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24226"/>
  <mc:AlternateContent xmlns:mc="http://schemas.openxmlformats.org/markup-compatibility/2006">
    <mc:Choice Requires="x15">
      <x15ac:absPath xmlns:x15ac="http://schemas.microsoft.com/office/spreadsheetml/2010/11/ac" url="C:\Users\hangs\Desktop\"/>
    </mc:Choice>
  </mc:AlternateContent>
  <xr:revisionPtr revIDLastSave="0" documentId="13_ncr:1_{1B565B4A-5E06-4144-898E-B68C4154FDC4}" xr6:coauthVersionLast="46" xr6:coauthVersionMax="46" xr10:uidLastSave="{00000000-0000-0000-0000-000000000000}"/>
  <bookViews>
    <workbookView xWindow="-120" yWindow="-120" windowWidth="38640" windowHeight="15990" xr2:uid="{00000000-000D-0000-FFFF-FFFF00000000}"/>
  </bookViews>
  <sheets>
    <sheet name="Front Page" sheetId="7" r:id="rId1"/>
    <sheet name="Model" sheetId="1" r:id="rId2"/>
    <sheet name="Summary Page" sheetId="9" r:id="rId3"/>
    <sheet name="Television Stations" sheetId="10" r:id="rId4"/>
    <sheet name="Update Log" sheetId="8" r:id="rId5"/>
  </sheets>
  <definedNames>
    <definedName name="AA.AlternatePriceSourceStartPeriod">"Q1-2018"</definedName>
    <definedName name="AA.CompareQuarters.LatestMRQ">"Q3-2018"</definedName>
    <definedName name="AA.CSIN">"YIW8LT0190"</definedName>
    <definedName name="AA.DBMacroVersion">"1.0.13.0"</definedName>
    <definedName name="AA.HardcodeChecker.LatestMRQ">"FY2019"</definedName>
    <definedName name="AA.ModelChecks.LatestMRQ">"Q3-2021"</definedName>
    <definedName name="AA.ModelChecks.LatestVersionNumber">"2.38.1.0"</definedName>
    <definedName name="AA.ModelColorScheme">"Canalyst"</definedName>
    <definedName name="AA.ModelVersion">"Q3-2021.29"</definedName>
    <definedName name="AA.PeriodLayout">"QFY"</definedName>
    <definedName name="AA.PersonalMacro.VersionNumber">"1.5.3.0"</definedName>
    <definedName name="AA.SessionToUploadId">""</definedName>
    <definedName name="AA.StartWorkModelVersion">"Q3-2021.27"</definedName>
    <definedName name="AA.StartWorkType">""</definedName>
    <definedName name="AA.SubyearType">"Q"</definedName>
    <definedName name="AA.TemplateUpgradeAttempted">"TRUE"</definedName>
    <definedName name="AA.TemplateVersion">"7.4.1.0"</definedName>
    <definedName name="AA.UpdateType">"Regular"</definedName>
    <definedName name="AA.VerifyUnitsAtModelVersion">"Q3-2018.23"</definedName>
    <definedName name="FP.DataSource">'Front Page'!$H$16</definedName>
    <definedName name="FP.DataSourceName">'Front Page'!$H$15</definedName>
    <definedName name="FP.Disclaimer">'Front Page'!$C$22</definedName>
    <definedName name="FP.LastPrice">'Front Page'!$H$20</definedName>
    <definedName name="FP.LastPriceDate">'Front Page'!$F$20</definedName>
    <definedName name="FP.RealTimeToggle">'Front Page'!$H$18</definedName>
    <definedName name="FP.UpdateDate">'Front Page'!$H$11</definedName>
    <definedName name="FP.UpdateEvent">'Front Page'!$H$13</definedName>
    <definedName name="FP_Comment">'Front Page'!$P$9:$P$16</definedName>
    <definedName name="FP_StockPriceOverride">'Front Page'!$C$20:$H$20</definedName>
    <definedName name="HP.MRFX">Model!$B$1156</definedName>
    <definedName name="HP.ReportCurrency">Model!$B$1155</definedName>
    <definedName name="HP.Ticker">Model!$A$2</definedName>
    <definedName name="HP.TradeCurrency">Model!$B$1153</definedName>
    <definedName name="HP.TradeCurrency.HardCoded">Model!$B$1154</definedName>
    <definedName name="MO.CFY">Model!$B$1160</definedName>
    <definedName name="MO.CompanyName">Model!$A$1</definedName>
    <definedName name="MO.DataSourceIndex">Model!$B$1162</definedName>
    <definedName name="MO.DataSourceName">Model!$A$4</definedName>
    <definedName name="MO.FirstForecastedFiscalYear">Model!$B$1161</definedName>
    <definedName name="MO.LastPrice">Model!$B$3</definedName>
    <definedName name="MO.LastPriceDate">Model!$B$1150</definedName>
    <definedName name="MO.LastPriceFormula">Model!$B$1152</definedName>
    <definedName name="MO.LastPriceHardcoded">Model!$B$1149</definedName>
    <definedName name="MO.MRFP">Model!$B$1159</definedName>
    <definedName name="MO.MRFPColumnNumber">Model!$B$1158</definedName>
    <definedName name="MO.MRFX.Hardcoded">Model!$B$1157</definedName>
    <definedName name="MO.RealTime">Model!$B$4</definedName>
    <definedName name="MO.RealTimeStockPriceToggle">Model!$B$1151</definedName>
    <definedName name="MO.ReportCurrency">Model!$B$1155</definedName>
    <definedName name="MO.ReportFX">Model!$A$5</definedName>
    <definedName name="MO.Ticker">Model!$A$2</definedName>
    <definedName name="MO.Ticker.Bloomberg">Model!$A$1087</definedName>
    <definedName name="MO.Ticker.CapIQ">Model!$A$1088</definedName>
    <definedName name="MO.Ticker.FactSet">Model!$A$1089</definedName>
    <definedName name="MO.Ticker.Thomson">Model!$A$1090</definedName>
    <definedName name="MO.TradingCurrency">Model!$A$3</definedName>
    <definedName name="MO.ValuationToggle">Model!$B$844</definedName>
    <definedName name="MO_BS_APandAE">Model!$1032:$1032</definedName>
    <definedName name="MO_BS_AR">Model!$1004:$1004</definedName>
    <definedName name="MO_BS_CA">Model!$1012:$1012</definedName>
    <definedName name="MO_BS_Cash">Model!$1003:$1003</definedName>
    <definedName name="MO_BS_CL">Model!$1036:$1036</definedName>
    <definedName name="MO_BS_CommonStock">Model!$1049:$1049</definedName>
    <definedName name="MO_BS_Goodwill">Model!$1024:$1024</definedName>
    <definedName name="MO_BS_Intangibles">Model!$1023:$1023</definedName>
    <definedName name="MO_BS_INV">Model!$1005:$1005</definedName>
    <definedName name="MO_BS_NCA">Model!$1028:$1028</definedName>
    <definedName name="MO_BS_NCI">Model!$1054:$1054</definedName>
    <definedName name="MO_BS_NCL">Model!$1044:$1044</definedName>
    <definedName name="MO_BS_OCI">Model!$1051:$1051</definedName>
    <definedName name="MO_BS_PPE">Model!$1022:$1022</definedName>
    <definedName name="MO_BS_Pref">Model!$1048:$1048</definedName>
    <definedName name="MO_BS_RestrictedCash_Current">Model!$1008:$1008</definedName>
    <definedName name="MO_BS_RetainedEarnings">Model!$1050:$1050</definedName>
    <definedName name="MO_BS_SE">Model!$1053:$1053</definedName>
    <definedName name="MO_BS_TA">Model!$1029:$1029</definedName>
    <definedName name="MO_BS_TaxAssets_Deferred_Current">Model!$1007:$1007</definedName>
    <definedName name="MO_BS_TaxLiabilities_Deferred_NonCurrent">Model!$1040:$1040</definedName>
    <definedName name="MO_BS_TL">Model!$1045:$1045</definedName>
    <definedName name="MO_BS_TLSE">Model!$1055:$1055</definedName>
    <definedName name="MO_BS_TreasuryStock">Model!$1052:$1052</definedName>
    <definedName name="MO_BSS_Cash">Model!$826:$826</definedName>
    <definedName name="MO_BSS_Debt">Model!$829:$829</definedName>
    <definedName name="MO_BSS_Debt_LT">Model!$828:$828</definedName>
    <definedName name="MO_BSS_Debt_Net">Model!$830:$830</definedName>
    <definedName name="MO_BSS_Debt_ST">Model!$827:$827</definedName>
    <definedName name="MO_BSS_Debt_ToCF">Model!$841:$841</definedName>
    <definedName name="MO_BSS_Debt_ToEBITDA">Model!$840:$840</definedName>
    <definedName name="MO_BSS_IE">Model!$832:$832</definedName>
    <definedName name="MO_BSS_IE_Net">Model!$836:$836</definedName>
    <definedName name="MO_BSS_II">Model!$834:$834</definedName>
    <definedName name="MO_BSS_InterestRate_Cash">Model!$835:$835</definedName>
    <definedName name="MO_BSS_InterestRate_Debt">Model!$833:$833</definedName>
    <definedName name="MO_BSS_NetInterestCoverage">Model!$839:$839</definedName>
    <definedName name="MO_BSS_NetInterestRate_Debt">Model!$837:$837</definedName>
    <definedName name="MO_CCFS_Balance_Begin">Model!$914:$914</definedName>
    <definedName name="MO_CCFS_Balance_End">Model!$915:$915</definedName>
    <definedName name="MO_CCFS_CFF">Model!$908:$908</definedName>
    <definedName name="MO_CCFS_CFI">Model!$895:$895</definedName>
    <definedName name="MO_CCFS_CFO">Model!$887:$887</definedName>
    <definedName name="MO_CCFS_CFO_BeforeWC">Model!$880:$880</definedName>
    <definedName name="MO_CCFS_FX">Model!$911:$911</definedName>
    <definedName name="MO_CCFS_NetChange">Model!$912:$912</definedName>
    <definedName name="MO_CFS_Balance_Begin">Model!$965:$965</definedName>
    <definedName name="MO_CFS_Balance_End">Model!$966:$966</definedName>
    <definedName name="MO_CFS_Buyback">Model!$953:$953</definedName>
    <definedName name="MO_CFS_CFF">Model!$959:$959</definedName>
    <definedName name="MO_CFS_CFI">Model!$946:$946</definedName>
    <definedName name="MO_CFS_CFO">Model!$938:$938</definedName>
    <definedName name="MO_CFS_CFO_BeforeWC">Model!$931:$931</definedName>
    <definedName name="MO_CFS_FX">Model!$962:$962</definedName>
    <definedName name="MO_CFS_NetChange">Model!$963:$963</definedName>
    <definedName name="MO_CFS_NI">Model!$919:$919</definedName>
    <definedName name="MO_CFS_SBC">Model!$927:$927</definedName>
    <definedName name="MO_CFSum_Acquisition">Model!$811:$811</definedName>
    <definedName name="MO_CFSum_Capex">Model!$809:$809</definedName>
    <definedName name="MO_CFSum_CFO_BeforeWC">Model!$806:$806</definedName>
    <definedName name="MO_CFSum_CFPS">Model!$807:$807</definedName>
    <definedName name="MO_CFSum_Divestiture">Model!$812:$812</definedName>
    <definedName name="MO_CFSum_Dividend">Model!$813:$813</definedName>
    <definedName name="MO_CFSum_DPS">Model!$814:$814</definedName>
    <definedName name="MO_CFSum_FCF_PostDivPostAD">Model!$822:$822</definedName>
    <definedName name="MO_CFSum_FCF_PostDivPostADPostDebtPostBuyback">Model!$823:$823</definedName>
    <definedName name="MO_CFSum_FCF_PostDivPreAD">Model!$821:$821</definedName>
    <definedName name="MO_CFSum_FCF_PreDiv">Model!$820:$820</definedName>
    <definedName name="MO_CFSum_NetDebtIssuance">Model!$816:$816</definedName>
    <definedName name="MO_CFSum_NetShares">Model!$817:$817</definedName>
    <definedName name="MO_CFSum_NetShares_Price">Model!$818:$818</definedName>
    <definedName name="MO_Checks_Bottom">Model!$C$1060:$XFD$1082</definedName>
    <definedName name="MO_Checks_BS">Model!$1057:$1057</definedName>
    <definedName name="MO_Checks_CF">Model!$968:$968</definedName>
    <definedName name="MO_Checks_IS">Model!$736:$736</definedName>
    <definedName name="MO_Common_Column_A">Model!$A:$A</definedName>
    <definedName name="MO_Common_Column_B">Model!$B:$B</definedName>
    <definedName name="MO_Common_ColumnHeader">Model!$5:$5</definedName>
    <definedName name="MO_Common_CompanySubtitle">Model!$2:$2</definedName>
    <definedName name="MO_Common_CompanyTitle">Model!$1:$1</definedName>
    <definedName name="MO_Common_FPDays">Model!$3:$3</definedName>
    <definedName name="MO_Common_QEndDate">Model!$4:$4</definedName>
    <definedName name="MO_DAF_A">Model!$987:$987</definedName>
    <definedName name="MO_DAF_A_Percentage">Model!$993:$993</definedName>
    <definedName name="MO_DAF_Capex">Model!$998:$998</definedName>
    <definedName name="MO_DAF_D">Model!$981:$981</definedName>
    <definedName name="MO_DAF_D_Percentage">Model!$992:$992</definedName>
    <definedName name="MO_DAF_DA">Model!$997:$997</definedName>
    <definedName name="MO_DAF_Intangibles_BoP">Model!$986:$986</definedName>
    <definedName name="MO_DAF_Intangibles_Capex">Model!$988:$988</definedName>
    <definedName name="MO_DAF_Intangibles_Capex_Percent">Model!$999:$999</definedName>
    <definedName name="MO_DAF_Intangibles_EoP">Model!$990:$990</definedName>
    <definedName name="MO_DAF_Intangibles_Life">Model!$995:$995</definedName>
    <definedName name="MO_DAF_Intangibles_Other">Model!$989:$989</definedName>
    <definedName name="MO_DAF_PPE_BoP">Model!$980:$980</definedName>
    <definedName name="MO_DAF_PPE_Capex">Model!$982:$982</definedName>
    <definedName name="MO_DAF_PPE_EoP">Model!$984:$984</definedName>
    <definedName name="MO_DAF_PPE_Life">Model!$994:$994</definedName>
    <definedName name="MO_DAF_PPE_Other">Model!$983:$983</definedName>
    <definedName name="MO_GA_TotalRevenue">Model!$45:$45</definedName>
    <definedName name="MO_IS_EBT">Model!$727:$727</definedName>
    <definedName name="MO_IS_FirstRow">Model!$715:$715</definedName>
    <definedName name="MO_IS_REV">Model!$717:$717</definedName>
    <definedName name="MO_MA_COGS">Model!$705:$705</definedName>
    <definedName name="MO_MA_EBITDA">Model!$710:$710</definedName>
    <definedName name="MO_MA_EBITDA_Adj">Model!$711:$711</definedName>
    <definedName name="MO_MA_GM">Model!$706:$706</definedName>
    <definedName name="MO_MA_SGA">Model!$709:$709</definedName>
    <definedName name="MO_RIS_Adjustments_Dilution_GAAP">Model!$787:$787</definedName>
    <definedName name="MO_RIS_Adjustments_Dilution_NONGAAP">Model!$790:$790</definedName>
    <definedName name="MO_RIS_Adjustments_NONGAAP">Model!$789:$789</definedName>
    <definedName name="MO_RIS_COGS">Model!$761:$761</definedName>
    <definedName name="MO_RIS_DA">Model!$769:$769</definedName>
    <definedName name="MO_RIS_DAintangibles">Model!$770:$770</definedName>
    <definedName name="MO_RIS_DisCont">Model!$783:$783</definedName>
    <definedName name="MO_RIS_Dividend_Prefs">Model!$785:$785</definedName>
    <definedName name="MO_RIS_EBIT">Model!$772:$772</definedName>
    <definedName name="MO_RIS_EBITDA">Model!$765:$765</definedName>
    <definedName name="MO_RIS_EBITDA_Adj">Model!$766:$766</definedName>
    <definedName name="MO_RIS_EBT">Model!$778:$778</definedName>
    <definedName name="MO_RIS_EI">Model!$774:$774</definedName>
    <definedName name="MO_RIS_EPS_WAB">Model!$796:$796</definedName>
    <definedName name="MO_RIS_EPS_WAD">Model!$797:$797</definedName>
    <definedName name="MO_RIS_EPS_WAD_Adj">Model!$798:$798</definedName>
    <definedName name="MO_RIS_GP">Model!$762:$762</definedName>
    <definedName name="MO_RIS_IE">Model!$775:$775</definedName>
    <definedName name="MO_RIS_IE_Net">Model!$775:$775</definedName>
    <definedName name="MO_RIS_NCI">Model!$784:$784</definedName>
    <definedName name="MO_RIS_NI_ContinOp">Model!$782:$782</definedName>
    <definedName name="MO_RIS_NI_GAAP_Basic">Model!$786:$786</definedName>
    <definedName name="MO_RIS_NI_GAAP_Diluted">Model!$788:$788</definedName>
    <definedName name="MO_RIS_NI_NONGAAP_Diluted">Model!$791:$791</definedName>
    <definedName name="MO_RIS_OI">Model!$776:$776</definedName>
    <definedName name="MO_RIS_OTI">Model!$777:$777</definedName>
    <definedName name="MO_RIS_REV">Model!$758:$758</definedName>
    <definedName name="MO_RIS_SBC">Model!$771:$771</definedName>
    <definedName name="MO_RIS_SGA">Model!$764:$764</definedName>
    <definedName name="MO_RIS_ShareCount_WAB">Model!$801:$801</definedName>
    <definedName name="MO_RIS_ShareCount_WAD">Model!$802:$802</definedName>
    <definedName name="MO_RIS_ShareCount_WAD_Adj">Model!$803:$803</definedName>
    <definedName name="MO_RIS_Tax_Current">Model!$780:$780</definedName>
    <definedName name="MO_RIS_Tax_Deferred">Model!$781:$781</definedName>
    <definedName name="MO_RIS_TaxRate_Current">Model!$793:$793</definedName>
    <definedName name="MO_RIS_TaxRate_Deferred">Model!$794:$794</definedName>
    <definedName name="MO_Section_AdjustedNumbers">Model!$738:$738</definedName>
    <definedName name="MO_Section_BalanceSheet">Model!$1001:$1001</definedName>
    <definedName name="MO_Section_BalanceSheetSummary">Model!$825:$825</definedName>
    <definedName name="MO_Section_CashFlowStatement">Model!$917:$917</definedName>
    <definedName name="MO_Section_CashFlowSummary">Model!$805:$805</definedName>
    <definedName name="MO_Section_CumulativeCashFlowStatement">Model!$866:$866</definedName>
    <definedName name="MO_Section_DAForecasting">Model!$979:$979</definedName>
    <definedName name="MO_Section_FinancialSummaryOperatingIncome">Model!$47:$47</definedName>
    <definedName name="MO_Section_GrowthAnalysis">Model!$6:$6</definedName>
    <definedName name="MO_Section_HistoricalSegmentedResultsPriorQSegmentReorganization">Model!$243:$243</definedName>
    <definedName name="MO_Section_IncomeStatement">Model!$714:$714</definedName>
    <definedName name="MO_Section_KeyMetricsDirecttoConsumerInternationalSupplementalRevenueandSegmentOperatingIncomeMDA">Model!$455:$455</definedName>
    <definedName name="MO_Section_KeyMetricsDirecttoConsumerOperatingStatsFS">Model!$157:$157</definedName>
    <definedName name="MO_Section_KeyMetricsMediaNetworksSupplementalRevenueandSegmentOperatingIncomeMDA">Model!$278:$278</definedName>
    <definedName name="MO_Section_KeyMetricsParksandResortsStatisticsMDA">Model!$358:$358</definedName>
    <definedName name="MO_Section_KeyMetricsParksandResortsStatisticsMDA_1">Model!$637:$637</definedName>
    <definedName name="MO_Section_KeyMetricsParksExperiencesConsumerProductsRevenuebyRegionFS">Model!$343:$343</definedName>
    <definedName name="MO_Section_KeyMetricsParksExperiencesConsumerProductsSegmentOperatingIncomeMDA">Model!$351:$351</definedName>
    <definedName name="MO_Section_KeyMetricsParksExperiencesConsumerProductsSupplementalRevenueandSegmentOperatingIncomeMDA">Model!$333:$333</definedName>
    <definedName name="MO_Section_KeyMetricsStudioEntertainmentMDA">Model!$414:$414</definedName>
    <definedName name="MO_Section_KeyMetricsSupplementalRevenueandSegmentOperatingIncomeMDA">Model!$605:$605</definedName>
    <definedName name="MO_Section_LastRow">Model!$1164:$1164</definedName>
    <definedName name="MO_Section_MarginAnalysis">Model!$704:$704</definedName>
    <definedName name="MO_Section_ModelChecks">Model!$1059:$1059</definedName>
    <definedName name="MO_Section_RevisedIncomeStatement">Model!$757:$757</definedName>
    <definedName name="MO_Section_SegmentedResultsConsumerProductsInteractiveMediaPriortoResegmentationMDA">Model!$670:$670</definedName>
    <definedName name="MO_Section_SegmentedResultsCorporateandUnallocatedSharedExpensesMDA">Model!$523:$523</definedName>
    <definedName name="MO_Section_SegmentedResultsCorporateandUnallocatedSharedExpensesPriortoResegmentationMDA">Model!$687:$687</definedName>
    <definedName name="MO_Section_SegmentedResultsDirecttoConsumerInternationalMDA">Model!$422:$422</definedName>
    <definedName name="MO_Section_SegmentedResultsEliminationsMDA">Model!$478:$478</definedName>
    <definedName name="MO_Section_SegmentedResultsGeographicBreakdownFS">Model!$550:$550</definedName>
    <definedName name="MO_Section_SegmentedResultsMediaandEntertainmentDistributionFS">Model!$75:$75</definedName>
    <definedName name="MO_Section_SegmentedResultsMediaNetworksMDA">Model!$244:$244</definedName>
    <definedName name="MO_Section_SegmentedResultsMediaNetworksPriortoResegmentationMDA">Model!$584:$584</definedName>
    <definedName name="MO_Section_SegmentedResultsParksandResortsPriortoResegmentationMDA">Model!$616:$616</definedName>
    <definedName name="MO_Section_SegmentedResultsParksExperiencesandProductsFS">Model!$199:$199</definedName>
    <definedName name="MO_Section_SegmentedResultsParksExperiencesConsumerProductsMDA">Model!$297:$297</definedName>
    <definedName name="MO_Section_SegmentedResultsPriortoResegmentation">Model!$558:$558</definedName>
    <definedName name="MO_Section_SegmentedResultsStudioEntertainmentMDA">Model!$379:$379</definedName>
    <definedName name="MO_Section_SegmentedResultsStudioEntertainmentPriortoResegmentationMDA">Model!$652:$652</definedName>
    <definedName name="MO_Section_SegmentedResultsTwentyFirstCenturyFoxMDA">Model!$559:$559</definedName>
    <definedName name="MO_Section_Tables">Model!$1084:$1084</definedName>
    <definedName name="MO_Section_Valuation">Model!$843:$843</definedName>
    <definedName name="MO_Section_WorkingCapitalForecasting">Model!$970:$970</definedName>
    <definedName name="MO_SNA_ConsensusEstimatePeriodNumber">Model!$1107:$1107</definedName>
    <definedName name="MO_SNA_ConsensusEstimatePeriodType">Model!$1106:$1106</definedName>
    <definedName name="MO_SNA_FPStartDate">Model!$1117:$1117</definedName>
    <definedName name="MO_SNA_IsHistoricalPeriod">Model!$1118:$1118</definedName>
    <definedName name="MO_SNA_LastDataRow">Model!$1055:$1055</definedName>
    <definedName name="MO_SPT_FXAverage">Model!$1140:$1140</definedName>
    <definedName name="MO_SPT_FXAverage_Sources">Model!$1141:$1145</definedName>
    <definedName name="MO_SPT_FXAverage_Sources_Bloomberg">Model!$1142:$1142</definedName>
    <definedName name="MO_SPT_FXAverage_Sources_CapIQ">Model!$1143:$1143</definedName>
    <definedName name="MO_SPT_FXAverage_Sources_FactSet">Model!$1144:$1144</definedName>
    <definedName name="MO_SPT_FXAverage_Sources_RealTimeOff">Model!$1141:$1141</definedName>
    <definedName name="MO_SPT_FXAverage_Sources_Thomson">Model!$1145:$1145</definedName>
    <definedName name="MO_SPT_StockAverage">Model!$1133:$1133</definedName>
    <definedName name="MO_SPT_StockAverage_Sources">Model!$1134:$1138</definedName>
    <definedName name="MO_SPT_StockAverage_Sources_Bloomberg">Model!$1135:$1135</definedName>
    <definedName name="MO_SPT_StockAverage_Sources_CapIQ">Model!$1136:$1136</definedName>
    <definedName name="MO_SPT_StockAverage_Sources_FactSet">Model!$1137:$1137</definedName>
    <definedName name="MO_SPT_StockAverage_Sources_RealTimeOff">Model!$1134:$1134</definedName>
    <definedName name="MO_SPT_StockAverage_Sources_Thomson">Model!$1138:$1138</definedName>
    <definedName name="MO_SPT_StockHigh">Model!$1119:$1119</definedName>
    <definedName name="MO_SPT_StockHigh_Sources">Model!$1120:$1124</definedName>
    <definedName name="MO_SPT_StockHigh_Sources_Bloomberg">Model!$1121:$1121</definedName>
    <definedName name="MO_SPT_StockHigh_Sources_CapIQ">Model!$1122:$1122</definedName>
    <definedName name="MO_SPT_StockHigh_Sources_FactSet">Model!$1123:$1123</definedName>
    <definedName name="MO_SPT_StockHigh_Sources_RealTimeOff">Model!$1120:$1120</definedName>
    <definedName name="MO_SPT_StockHigh_Sources_Thomson">Model!$1124:$1124</definedName>
    <definedName name="MO_SPT_StockLow">Model!$1126:$1126</definedName>
    <definedName name="MO_SPT_StockLow_Sources">Model!$1127:$1131</definedName>
    <definedName name="MO_SPT_StockLow_Sources_Bloomberg">Model!$1128:$1128</definedName>
    <definedName name="MO_SPT_StockLow_Sources_CapIQ">Model!$1129:$1129</definedName>
    <definedName name="MO_SPT_StockLow_Sources_FactSet">Model!$1130:$1130</definedName>
    <definedName name="MO_SPT_StockLow_Sources_RealTimeOff">Model!$1127:$1127</definedName>
    <definedName name="MO_SPT_StockLow_Sources_Thomson">Model!$1131:$1131</definedName>
    <definedName name="MO_SubSection_BS_CA">Model!$1002:$1002</definedName>
    <definedName name="MO_SubSection_BS_CL">Model!$1031:$1031</definedName>
    <definedName name="MO_SubSection_BS_NCA">Model!$1014:$1014</definedName>
    <definedName name="MO_SubSection_BS_NCL">Model!$1038:$1038</definedName>
    <definedName name="MO_SubSection_BS_SE">Model!$1047:$1047</definedName>
    <definedName name="MO_SubSection_CCFS_CFF">Model!$897:$897</definedName>
    <definedName name="MO_SubSection_CCFS_CFI">Model!$889:$889</definedName>
    <definedName name="MO_SubSection_CCFS_CFO">Model!$867:$867</definedName>
    <definedName name="MO_SubSection_CFS_CFF">Model!$948:$948</definedName>
    <definedName name="MO_SubSection_CFS_CFI">Model!$940:$940</definedName>
    <definedName name="MO_SubSection_CFS_CFO">Model!$918:$918</definedName>
    <definedName name="MO_VA_EV">Model!$846:$846</definedName>
    <definedName name="MO_VA_EV_ToEBITDA">Model!$850:$850</definedName>
    <definedName name="MO_VA_EV_ToSales">Model!$849:$849</definedName>
    <definedName name="MO_VA_EVCalc_NCI">Model!$862:$862</definedName>
    <definedName name="MO_VA_EVCalc_Other">Model!$864:$864</definedName>
    <definedName name="MO_VA_EVCalc_Prefs">Model!$863:$863</definedName>
    <definedName name="MO_VA_FCFYield_ToEV">Model!$853:$853</definedName>
    <definedName name="MO_VA_FCFYield_ToMktCap">Model!$852:$852</definedName>
    <definedName name="MO_VA_FX_Average">Model!$858:$858</definedName>
    <definedName name="MO_VA_MarketCap">Model!$845:$845</definedName>
    <definedName name="MO_VA_P_ToCF">Model!$851:$851</definedName>
    <definedName name="MO_VA_P_ToE">Model!$848:$848</definedName>
    <definedName name="MO_VA_StockPrice">Model!$844:$844</definedName>
    <definedName name="MO_VA_StockPrice_Avg">Model!$857:$857</definedName>
    <definedName name="MO_VA_StockPrice_High">Model!$855:$855</definedName>
    <definedName name="MO_VA_StockPrice_Low">Model!$856:$856</definedName>
    <definedName name="MO_VA_StockPrice_TradingCurrency">Model!$859:$859</definedName>
    <definedName name="MO_WCF_AP_Margin">Model!$973:$973</definedName>
    <definedName name="MO_WCF_AP_Margin_Change">Model!$977:$977</definedName>
    <definedName name="MO_WCF_AR_Margin">Model!$971:$971</definedName>
    <definedName name="MO_WCF_AR_Margin_Change">Model!$975:$975</definedName>
    <definedName name="MO_WCF_INV_Margin">Model!$972:$972</definedName>
    <definedName name="MO_WCF_INV_Margin_Change">Model!$976:$976</definedName>
    <definedName name="_xlnm.Print_Area" localSheetId="1">Model!$A$1:$BG$1055</definedName>
    <definedName name="_xlnm.Print_Area" localSheetId="2">'Summary Page'!$A$1:$BG$140</definedName>
    <definedName name="_xlnm.Print_Titles" localSheetId="1">Model!$5:$5</definedName>
    <definedName name="SP.ReportFX">'Summary Page'!$B$2</definedName>
    <definedName name="SP.ValuationToggle">'Summary Page'!$B$4</definedName>
    <definedName name="SP_BSR_Capital">'Summary Page'!$102:$102</definedName>
    <definedName name="SP_BSR_CashFlow">'Summary Page'!$101:$101</definedName>
    <definedName name="SP_BSR_CashFlow_LTM">'Summary Page'!$104:$104</definedName>
    <definedName name="SP_BSR_CL">'Summary Page'!$123:$123</definedName>
    <definedName name="SP_BSR_CL_Avg">'Summary Page'!$124:$124</definedName>
    <definedName name="SP_BSR_Debt">'Summary Page'!$117:$117</definedName>
    <definedName name="SP_BSR_Debt_Avg">'Summary Page'!$118:$118</definedName>
    <definedName name="SP_BSR_EBITDA">'Summary Page'!$100:$100</definedName>
    <definedName name="SP_BSR_EBITDA_LTM">'Summary Page'!$103:$103</definedName>
    <definedName name="SP_BSR_SE">'Summary Page'!$109:$109</definedName>
    <definedName name="SP_BSR_SE_Avg">'Summary Page'!$110:$110</definedName>
    <definedName name="SP_BSR_TA">'Summary Page'!$114:$114</definedName>
    <definedName name="SP_BSR_TA_Avg">'Summary Page'!$115:$115</definedName>
    <definedName name="SP_CFA_Acquisition">'Summary Page'!$85:$85</definedName>
    <definedName name="SP_CFA_Capex">'Summary Page'!$81:$81</definedName>
    <definedName name="SP_CFA_CFO_BeforeWC">'Summary Page'!$80:$80</definedName>
    <definedName name="SP_CFA_CFO_PerShare">'Summary Page'!$93:$93</definedName>
    <definedName name="SP_CFA_Debt">'Summary Page'!$89:$89</definedName>
    <definedName name="SP_CFA_Div">'Summary Page'!$83:$83</definedName>
    <definedName name="SP_CFA_Div_PerShare">'Summary Page'!$95:$95</definedName>
    <definedName name="SP_CFA_Divestiture">'Summary Page'!$86:$86</definedName>
    <definedName name="SP_CFA_Equity">'Summary Page'!$88:$88</definedName>
    <definedName name="SP_CFA_FCF_PerShare">'Summary Page'!$94:$94</definedName>
    <definedName name="SP_CFA_FCF_PostDiv">'Summary Page'!$84:$84</definedName>
    <definedName name="SP_CFA_FCF_PreDiv">'Summary Page'!$82:$82</definedName>
    <definedName name="SP_CFA_NetChange">'Summary Page'!$91:$91</definedName>
    <definedName name="SP_CFA_Other">'Summary Page'!$90:$90</definedName>
    <definedName name="SP_CFA_Payout_vsEPS">'Summary Page'!$97:$97</definedName>
    <definedName name="SP_CFA_Payout_vsFCF">'Summary Page'!$96:$96</definedName>
    <definedName name="SP_CFA_WC">'Summary Page'!$87:$87</definedName>
    <definedName name="SP_Checks_SummaryPage">'Summary Page'!$C$143:$XFD$146</definedName>
    <definedName name="SP_Common_Column_A">'Summary Page'!$A:$A</definedName>
    <definedName name="SP_Common_Column_B">'Summary Page'!$B:$B</definedName>
    <definedName name="SP_Common_ColumnHeader">'Summary Page'!$2:$2</definedName>
    <definedName name="SP_Common_QEndDate">'Summary Page'!$1:$1</definedName>
    <definedName name="SP_CS_Cash">'Summary Page'!$7:$7</definedName>
    <definedName name="SP_CS_Debt">'Summary Page'!$8:$8</definedName>
    <definedName name="SP_CS_EV">'Summary Page'!$10:$10</definedName>
    <definedName name="SP_CS_EVCalc_Other">'Summary Page'!$9:$9</definedName>
    <definedName name="SP_CS_MarketCap">'Summary Page'!$6:$6</definedName>
    <definedName name="SP_CS_ShareCount">'Summary Page'!$5:$5</definedName>
    <definedName name="SP_CS_StockPrice">'Summary Page'!$4:$4</definedName>
    <definedName name="SP_GF_COGS">'Summary Page'!$52:$52</definedName>
    <definedName name="SP_GF_DA">'Summary Page'!$56:$56</definedName>
    <definedName name="SP_GF_DisCont">'Summary Page'!$62:$62</definedName>
    <definedName name="SP_GF_Div_Prefs">'Summary Page'!$64:$64</definedName>
    <definedName name="SP_GF_EBITDA">'Summary Page'!$54:$54</definedName>
    <definedName name="SP_GF_EBT">'Summary Page'!$60:$60</definedName>
    <definedName name="SP_GF_EI">'Summary Page'!$58:$58</definedName>
    <definedName name="SP_GF_EPS_GAAP">'Summary Page'!$66:$66</definedName>
    <definedName name="SP_GF_IE">'Summary Page'!$57:$57</definedName>
    <definedName name="SP_GF_IE_Net">'Summary Page'!$57:$57</definedName>
    <definedName name="SP_GF_NCI">'Summary Page'!$63:$63</definedName>
    <definedName name="SP_GF_NI">'Summary Page'!$65:$65</definedName>
    <definedName name="SP_GF_OI">'Summary Page'!$59:$59</definedName>
    <definedName name="SP_GF_Rev">'Summary Page'!$51:$51</definedName>
    <definedName name="SP_GF_SBC">'Summary Page'!$55:$55</definedName>
    <definedName name="SP_GF_SGA">'Summary Page'!$53:$53</definedName>
    <definedName name="SP_GF_Tax">'Summary Page'!$61:$61</definedName>
    <definedName name="SP_MA_COGS">'Summary Page'!$74:$74</definedName>
    <definedName name="SP_MA_EBITDA">'Summary Page'!$76:$76</definedName>
    <definedName name="SP_MA_EBITDA_Adj">'Summary Page'!$77:$77</definedName>
    <definedName name="SP_MA_SGA">'Summary Page'!$75:$75</definedName>
    <definedName name="SP_NGF_EBITDA">'Summary Page'!$69:$69</definedName>
    <definedName name="SP_NGF_EPS">'Summary Page'!$71:$71</definedName>
    <definedName name="SP_NGF_NI">'Summary Page'!$70:$70</definedName>
    <definedName name="SP_PR_ROA">'Summary Page'!$116:$116</definedName>
    <definedName name="SP_PR_ROCE">'Summary Page'!$126:$126</definedName>
    <definedName name="SP_PR_ROE">'Summary Page'!$111:$111</definedName>
    <definedName name="SP_PR_ROIC">'Summary Page'!$120:$120</definedName>
    <definedName name="SP_Section_Checks">'Summary Page'!$142:$142</definedName>
    <definedName name="SP_Section_LastRow">'Summary Page'!$148:$148</definedName>
    <definedName name="tb_ConsensusEstimate">Model!$A$1105:$BG$1114</definedName>
    <definedName name="tb_EntireModel">Model!$A$1:$BG$1057</definedName>
    <definedName name="tb_KeyOutputs">Model!$A$1097:$A$1103</definedName>
    <definedName name="tb_StockPrice">Model!$A$1116:$BG$1146</definedName>
    <definedName name="tb_Tickers">Model!$A$1086:$A$1090</definedName>
    <definedName name="tb_UpdateLog">'Update Log'!$C$10:$H$39</definedName>
    <definedName name="tb_ValuationToggle">Model!$A$1092:$B$1095</definedName>
    <definedName name="UL.CSIN">'Update Log'!$H$7</definedName>
    <definedName name="UL.ModelVersion">'Update Log'!$H$8</definedName>
    <definedName name="UL.MRQ">'Update Log'!$F$7</definedName>
    <definedName name="UL.MRQColNum">'Update Log'!$E$7</definedName>
    <definedName name="z_YIW8LT0190_MO_AN_Amortizationof21CFandHuluintangibleassetsandfairvaluestepuponfilmandtelevisioncosts">Model!$753:$753</definedName>
    <definedName name="z_YIW8LT0190_MO_AN_corporateandunallocatedsharedexpenses">Model!$691:$691</definedName>
    <definedName name="z_YIW8LT0190_MO_AN_deferredtaxassetwriteoffduetodisneylandparisrecapitalization">Model!$744:$744</definedName>
    <definedName name="z_YIW8LT0190_MO_AN_epsasreported">Model!$739:$739</definedName>
    <definedName name="z_YIW8LT0190_MO_AN_epsexcludingcertainitemsaffectingcomparability">Model!$755:$755</definedName>
    <definedName name="z_YIW8LT0190_MO_AN_favorabletaxadjustmentsrelatedtopretaxearningsofprioryears">Model!$743:$743</definedName>
    <definedName name="z_YIW8LT0190_MO_AN_Gainfromsaleofpropertyrights">Model!$752:$752</definedName>
    <definedName name="z_YIW8LT0190_MO_AN_Gainonsaleofrealestate">Model!$749:$749</definedName>
    <definedName name="z_YIW8LT0190_MO_AN_GainrelatedtotheacquisitionofBAMTech">Model!$741:$741</definedName>
    <definedName name="z_YIW8LT0190_MO_AN_HuluEquityRedemptionCharge">Model!$698:$698</definedName>
    <definedName name="z_YIW8LT0190_MO_AN_HuluEquityRedemptionCharge_1">Model!$745:$745</definedName>
    <definedName name="z_YIW8LT0190_MO_AN_Impairmentofequityinvestments">Model!$695:$695</definedName>
    <definedName name="z_YIW8LT0190_MO_AN_Impairmentofequityinvestments_1">Model!$750:$750</definedName>
    <definedName name="z_YIW8LT0190_MO_AN_incomebeforeincometaxes">Model!$699:$699</definedName>
    <definedName name="z_YIW8LT0190_MO_AN_infinitycharge">Model!$697:$697</definedName>
    <definedName name="z_YIW8LT0190_MO_AN_infinitycharge_1">Model!$746:$746</definedName>
    <definedName name="z_YIW8LT0190_MO_AN_interestincomeexpense">Model!$694:$694</definedName>
    <definedName name="z_YIW8LT0190_MO_AN_OnetimenetbenefitfromtheTaxAct">Model!$751:$751</definedName>
    <definedName name="z_YIW8LT0190_MO_AN_Otherexpense">Model!$693:$693</definedName>
    <definedName name="z_YIW8LT0190_MO_AN_Otherexpense_1">Model!$747:$747</definedName>
    <definedName name="z_YIW8LT0190_MO_AN_restructuringandimpairmentcharges">Model!$692:$692</definedName>
    <definedName name="z_YIW8LT0190_MO_AN_restructuringandimpairmentcharges_1">Model!$754:$754</definedName>
    <definedName name="z_YIW8LT0190_MO_AN_segmentoperatingincome">Model!$688:$688</definedName>
    <definedName name="z_YIW8LT0190_MO_AN_settlementoflitigation">Model!$748:$748</definedName>
    <definedName name="z_YIW8LT0190_MO_AN_taxbenefitfromprioryearforeignearningsindefinitelyreinvestedoutsidetheus">Model!$742:$742</definedName>
    <definedName name="z_YIW8LT0190_MO_AN_vicegain">Model!$696:$696</definedName>
    <definedName name="z_YIW8LT0190_MO_AN_vicegain_1">Model!$740:$740</definedName>
    <definedName name="z_YIW8LT0190_MO_BlankRow_AN_1">"Deleted"</definedName>
    <definedName name="z_YIW8LT0190_MO_BlankRow_AN_2">"Deleted"</definedName>
    <definedName name="z_YIW8LT0190_MO_BlankRow_AN_3">Model!$756:$756</definedName>
    <definedName name="z_YIW8LT0190_MO_BlankRow_BS_1">Model!$1013:$1013</definedName>
    <definedName name="z_YIW8LT0190_MO_BlankRow_BS_2">Model!$1030:$1030</definedName>
    <definedName name="z_YIW8LT0190_MO_BlankRow_BS_3">Model!$1037:$1037</definedName>
    <definedName name="z_YIW8LT0190_MO_BlankRow_BS_4">Model!$1046:$1046</definedName>
    <definedName name="z_YIW8LT0190_MO_BlankRow_BS_5">Model!$1056:$1056</definedName>
    <definedName name="z_YIW8LT0190_MO_BlankRow_BS_6">Model!$1058:$1058</definedName>
    <definedName name="z_YIW8LT0190_MO_BlankRow_BSS">Model!$842:$842</definedName>
    <definedName name="z_YIW8LT0190_MO_BlankRow_BSS_1">Model!$831:$831</definedName>
    <definedName name="z_YIW8LT0190_MO_BlankRow_BSS_2">Model!$838:$838</definedName>
    <definedName name="z_YIW8LT0190_MO_BlankRow_CCFS">Model!$888:$888</definedName>
    <definedName name="z_YIW8LT0190_MO_BlankRow_CCFS_1">Model!$896:$896</definedName>
    <definedName name="z_YIW8LT0190_MO_BlankRow_CCFS_2">Model!$909:$909</definedName>
    <definedName name="z_YIW8LT0190_MO_BlankRow_CCFS_3">Model!$913:$913</definedName>
    <definedName name="z_YIW8LT0190_MO_BlankRow_CCFS_4">Model!$916:$916</definedName>
    <definedName name="z_YIW8LT0190_MO_BlankRow_CFS_2">Model!$939:$939</definedName>
    <definedName name="z_YIW8LT0190_MO_BlankRow_CFS_3">Model!$947:$947</definedName>
    <definedName name="z_YIW8LT0190_MO_BlankRow_CFS_4">Model!$960:$960</definedName>
    <definedName name="z_YIW8LT0190_MO_BlankRow_CFS_5">Model!$964:$964</definedName>
    <definedName name="z_YIW8LT0190_MO_BlankRow_CFS_6">Model!$967:$967</definedName>
    <definedName name="z_YIW8LT0190_MO_BlankRow_CFS_7">Model!$969:$969</definedName>
    <definedName name="z_YIW8LT0190_MO_BlankRow_CFSum">Model!$819:$819</definedName>
    <definedName name="z_YIW8LT0190_MO_BlankRow_CFSum_1">Model!$824:$824</definedName>
    <definedName name="z_YIW8LT0190_MO_BlankRow_CFSum_2">Model!$815:$815</definedName>
    <definedName name="z_YIW8LT0190_MO_BlankRow_DAF">Model!$985:$985</definedName>
    <definedName name="z_YIW8LT0190_MO_BlankRow_DAF_1">Model!$991:$991</definedName>
    <definedName name="z_YIW8LT0190_MO_BlankRow_DAF_2">Model!$996:$996</definedName>
    <definedName name="z_YIW8LT0190_MO_BlankRow_DAF_3">Model!$1000:$1000</definedName>
    <definedName name="z_YIW8LT0190_MO_BlankRow_GA_1">Model!$558:$558</definedName>
    <definedName name="z_YIW8LT0190_MO_BlankRow_GA_2">Model!$74:$74</definedName>
    <definedName name="z_YIW8LT0190_MO_BlankRow_GA_3">Model!$46:$46</definedName>
    <definedName name="z_YIW8LT0190_MO_BlankRow_IS">Model!$735:$735</definedName>
    <definedName name="z_YIW8LT0190_MO_BlankRow_IS_1">Model!$737:$737</definedName>
    <definedName name="z_YIW8LT0190_MO_BlankRow_MA">Model!$708:$708</definedName>
    <definedName name="z_YIW8LT0190_MO_BlankRow_MA_1">Model!$713:$713</definedName>
    <definedName name="z_YIW8LT0190_MO_BlankRow_MA_2">Model!$847:$847</definedName>
    <definedName name="z_YIW8LT0190_MO_BlankRow_MA_3">Model!$860:$860</definedName>
    <definedName name="z_YIW8LT0190_MO_BlankRow_MA_4">Model!$865:$865</definedName>
    <definedName name="z_YIW8LT0190_MO_BlankRow_MA_5">Model!$854:$854</definedName>
    <definedName name="z_YIW8LT0190_MO_BlankRow_OS_10">Model!$974:$974</definedName>
    <definedName name="z_YIW8LT0190_MO_BlankRow_OS_100">Model!$156:$156</definedName>
    <definedName name="z_YIW8LT0190_MO_BlankRow_OS_101">Model!$198:$198</definedName>
    <definedName name="z_YIW8LT0190_MO_BlankRow_OS_102">Model!$222:$222</definedName>
    <definedName name="z_YIW8LT0190_MO_BlankRow_OS_103">Model!$215:$215</definedName>
    <definedName name="z_YIW8LT0190_MO_BlankRow_OS_104">Model!$220:$220</definedName>
    <definedName name="z_YIW8LT0190_MO_BlankRow_OS_105">Model!$242:$242</definedName>
    <definedName name="z_YIW8LT0190_MO_BlankRow_OS_106">Model!$454:$454</definedName>
    <definedName name="z_YIW8LT0190_MO_BlankRow_OS_107">Model!$484:$484</definedName>
    <definedName name="z_YIW8LT0190_MO_BlankRow_OS_108">Model!$489:$489</definedName>
    <definedName name="z_YIW8LT0190_MO_BlankRow_OS_109">Model!$495:$495</definedName>
    <definedName name="z_YIW8LT0190_MO_BlankRow_OS_11">Model!$978:$978</definedName>
    <definedName name="z_YIW8LT0190_MO_BlankRow_OS_110">Model!$499:$499</definedName>
    <definedName name="z_YIW8LT0190_MO_BlankRow_OS_111">Model!$107:$107</definedName>
    <definedName name="z_YIW8LT0190_MO_BlankRow_OS_112">Model!$99:$99</definedName>
    <definedName name="z_YIW8LT0190_MO_BlankRow_OS_113">Model!$91:$91</definedName>
    <definedName name="z_YIW8LT0190_MO_BlankRow_OS_114">Model!$227:$227</definedName>
    <definedName name="z_YIW8LT0190_MO_BlankRow_OS_115">Model!$232:$232</definedName>
    <definedName name="z_YIW8LT0190_MO_BlankRow_OS_116">Model!$211:$211</definedName>
    <definedName name="z_YIW8LT0190_MO_BlankRow_OS_117">Model!$95:$95</definedName>
    <definedName name="z_YIW8LT0190_MO_BlankRow_OS_118">Model!$236:$236</definedName>
    <definedName name="z_YIW8LT0190_MO_BlankRow_OS_12">Model!$636:$636</definedName>
    <definedName name="z_YIW8LT0190_MO_BlankRow_OS_13">Model!$640:$640</definedName>
    <definedName name="z_YIW8LT0190_MO_BlankRow_OS_14">Model!$644:$644</definedName>
    <definedName name="z_YIW8LT0190_MO_BlankRow_OS_15">Model!$647:$647</definedName>
    <definedName name="z_YIW8LT0190_MO_BlankRow_OS_16">Model!$651:$651</definedName>
    <definedName name="z_YIW8LT0190_MO_BlankRow_OS_17">Model!$662:$662</definedName>
    <definedName name="z_YIW8LT0190_MO_BlankRow_OS_18">Model!$666:$666</definedName>
    <definedName name="z_YIW8LT0190_MO_BlankRow_OS_19">Model!$669:$669</definedName>
    <definedName name="z_YIW8LT0190_MO_BlankRow_OS_20">Model!$679:$679</definedName>
    <definedName name="z_YIW8LT0190_MO_BlankRow_OS_21">Model!$683:$683</definedName>
    <definedName name="z_YIW8LT0190_MO_BlankRow_OS_22">Model!$686:$686</definedName>
    <definedName name="z_YIW8LT0190_MO_BlankRow_OS_23">Model!$700:$700</definedName>
    <definedName name="z_YIW8LT0190_MO_BlankRow_OS_24">"Deleted"</definedName>
    <definedName name="z_YIW8LT0190_MO_BlankRow_OS_25">Model!$262:$262</definedName>
    <definedName name="z_YIW8LT0190_MO_BlankRow_OS_26">Model!$266:$266</definedName>
    <definedName name="z_YIW8LT0190_MO_BlankRow_OS_27">Model!$277:$277</definedName>
    <definedName name="z_YIW8LT0190_MO_BlankRow_OS_28">Model!$291:$291</definedName>
    <definedName name="z_YIW8LT0190_MO_BlankRow_OS_29">Model!$296:$296</definedName>
    <definedName name="z_YIW8LT0190_MO_BlankRow_OS_3">Model!$593:$593</definedName>
    <definedName name="z_YIW8LT0190_MO_BlankRow_OS_30">Model!$316:$316</definedName>
    <definedName name="z_YIW8LT0190_MO_BlankRow_OS_31">Model!$327:$327</definedName>
    <definedName name="z_YIW8LT0190_MO_BlankRow_OS_32">Model!$332:$332</definedName>
    <definedName name="z_YIW8LT0190_MO_BlankRow_OS_33">Model!$350:$350</definedName>
    <definedName name="z_YIW8LT0190_MO_BlankRow_OS_34">Model!$357:$357</definedName>
    <definedName name="z_YIW8LT0190_MO_BlankRow_OS_35">Model!$362:$362</definedName>
    <definedName name="z_YIW8LT0190_MO_BlankRow_OS_36">Model!$366:$366</definedName>
    <definedName name="z_YIW8LT0190_MO_BlankRow_OS_37">Model!$370:$370</definedName>
    <definedName name="z_YIW8LT0190_MO_BlankRow_OS_38">Model!$374:$374</definedName>
    <definedName name="z_YIW8LT0190_MO_BlankRow_OS_39">Model!$378:$378</definedName>
    <definedName name="z_YIW8LT0190_MO_BlankRow_OS_4">Model!$597:$597</definedName>
    <definedName name="z_YIW8LT0190_MO_BlankRow_OS_40">Model!$402:$402</definedName>
    <definedName name="z_YIW8LT0190_MO_BlankRow_OS_41">Model!$406:$406</definedName>
    <definedName name="z_YIW8LT0190_MO_BlankRow_OS_42">Model!$421:$421</definedName>
    <definedName name="z_YIW8LT0190_MO_BlankRow_OS_43">Model!$443:$443</definedName>
    <definedName name="z_YIW8LT0190_MO_BlankRow_OS_44">Model!$447:$447</definedName>
    <definedName name="z_YIW8LT0190_MO_BlankRow_OS_45">Model!$477:$477</definedName>
    <definedName name="z_YIW8LT0190_MO_BlankRow_OS_46">Model!$471:$471</definedName>
    <definedName name="z_YIW8LT0190_MO_BlankRow_OS_47">"Deleted"</definedName>
    <definedName name="z_YIW8LT0190_MO_BlankRow_OS_48">Model!$517:$517</definedName>
    <definedName name="z_YIW8LT0190_MO_BlankRow_OS_49">"Deleted"</definedName>
    <definedName name="z_YIW8LT0190_MO_BlankRow_OS_5">Model!$604:$604</definedName>
    <definedName name="z_YIW8LT0190_MO_BlankRow_OS_50">Model!$541:$541</definedName>
    <definedName name="z_YIW8LT0190_MO_BlankRow_OS_51">Model!$557:$557</definedName>
    <definedName name="z_YIW8LT0190_MO_BlankRow_OS_52">Model!$703:$703</definedName>
    <definedName name="z_YIW8LT0190_MO_BlankRow_OS_53">"Deleted"</definedName>
    <definedName name="z_YIW8LT0190_MO_BlankRow_OS_54">Model!$549:$549</definedName>
    <definedName name="z_YIW8LT0190_MO_BlankRow_OS_55">"Deleted"</definedName>
    <definedName name="z_YIW8LT0190_MO_BlankRow_OS_56">Model!$522:$522</definedName>
    <definedName name="z_YIW8LT0190_MO_BlankRow_OS_57">Model!$575:$575</definedName>
    <definedName name="z_YIW8LT0190_MO_BlankRow_OS_58">"Deleted"</definedName>
    <definedName name="z_YIW8LT0190_MO_BlankRow_OS_59">"Deleted"</definedName>
    <definedName name="z_YIW8LT0190_MO_BlankRow_OS_6">Model!$610:$610</definedName>
    <definedName name="z_YIW8LT0190_MO_BlankRow_OS_60">Model!$583:$583</definedName>
    <definedName name="z_YIW8LT0190_MO_BlankRow_OS_61">Model!$248:$248</definedName>
    <definedName name="z_YIW8LT0190_MO_BlankRow_OS_62">Model!$302:$302</definedName>
    <definedName name="z_YIW8LT0190_MO_BlankRow_OS_63">Model!$386:$386</definedName>
    <definedName name="z_YIW8LT0190_MO_BlankRow_OS_64">Model!$426:$426</definedName>
    <definedName name="z_YIW8LT0190_MO_BlankRow_OS_65">"Deleted"</definedName>
    <definedName name="z_YIW8LT0190_MO_BlankRow_OS_66">"Deleted"</definedName>
    <definedName name="z_YIW8LT0190_MO_BlankRow_OS_67">"Deleted"</definedName>
    <definedName name="z_YIW8LT0190_MO_BlankRow_OS_68">Model!$272:$272</definedName>
    <definedName name="z_YIW8LT0190_MO_BlankRow_OS_69">Model!$284:$284</definedName>
    <definedName name="z_YIW8LT0190_MO_BlankRow_OS_7">Model!$615:$615</definedName>
    <definedName name="z_YIW8LT0190_MO_BlankRow_OS_70">Model!$317:$317</definedName>
    <definedName name="z_YIW8LT0190_MO_BlankRow_OS_71">Model!$321:$321</definedName>
    <definedName name="z_YIW8LT0190_MO_BlankRow_OS_72">Model!$342:$342</definedName>
    <definedName name="z_YIW8LT0190_MO_BlankRow_OS_73">Model!$410:$410</definedName>
    <definedName name="z_YIW8LT0190_MO_BlankRow_OS_74">Model!$413:$413</definedName>
    <definedName name="z_YIW8LT0190_MO_BlankRow_OS_75">Model!$451:$451</definedName>
    <definedName name="z_YIW8LT0190_MO_BlankRow_OS_76">"Deleted"</definedName>
    <definedName name="z_YIW8LT0190_MO_BlankRow_OS_77">Model!$570:$570</definedName>
    <definedName name="z_YIW8LT0190_MO_BlankRow_OS_78">Model!$576:$576</definedName>
    <definedName name="z_YIW8LT0190_MO_BlankRow_OS_79">Model!$580:$580</definedName>
    <definedName name="z_YIW8LT0190_MO_BlankRow_OS_8">Model!$625:$625</definedName>
    <definedName name="z_YIW8LT0190_MO_BlankRow_OS_80">Model!$508:$508</definedName>
    <definedName name="z_YIW8LT0190_MO_BlankRow_OS_81">Model!$515:$515</definedName>
    <definedName name="z_YIW8LT0190_MO_BlankRow_OS_82">Model!$546:$546</definedName>
    <definedName name="z_YIW8LT0190_MO_BlankRow_OS_83">"Deleted"</definedName>
    <definedName name="z_YIW8LT0190_MO_BlankRow_OS_84">Model!$165:$165</definedName>
    <definedName name="z_YIW8LT0190_MO_BlankRow_OS_85">Model!$173:$173</definedName>
    <definedName name="z_YIW8LT0190_MO_BlankRow_OS_86">Model!$181:$181</definedName>
    <definedName name="z_YIW8LT0190_MO_BlankRow_OS_87">Model!$189:$189</definedName>
    <definedName name="z_YIW8LT0190_MO_BlankRow_OS_88">Model!$194:$194</definedName>
    <definedName name="z_YIW8LT0190_MO_BlankRow_OS_89">Model!$464:$464</definedName>
    <definedName name="z_YIW8LT0190_MO_BlankRow_OS_9">Model!$629:$629</definedName>
    <definedName name="z_YIW8LT0190_MO_BlankRow_OS_90">Model!$51:$51</definedName>
    <definedName name="z_YIW8LT0190_MO_BlankRow_OS_91">Model!$104:$104</definedName>
    <definedName name="z_YIW8LT0190_MO_BlankRow_OS_92">"Deleted"</definedName>
    <definedName name="z_YIW8LT0190_MO_BlankRow_OS_93">Model!$117:$117</definedName>
    <definedName name="z_YIW8LT0190_MO_BlankRow_OS_94">Model!$121:$121</definedName>
    <definedName name="z_YIW8LT0190_MO_BlankRow_OS_95">Model!$132:$132</definedName>
    <definedName name="z_YIW8LT0190_MO_BlankRow_OS_96">Model!$136:$136</definedName>
    <definedName name="z_YIW8LT0190_MO_BlankRow_OS_97">Model!$147:$147</definedName>
    <definedName name="z_YIW8LT0190_MO_BlankRow_OS_98">Model!$149:$149</definedName>
    <definedName name="z_YIW8LT0190_MO_BlankRow_OS_99">Model!$154:$154</definedName>
    <definedName name="z_YIW8LT0190_MO_BlankRow_RIS">Model!$760:$760</definedName>
    <definedName name="z_YIW8LT0190_MO_BlankRow_RIS_1">Model!$763:$763</definedName>
    <definedName name="z_YIW8LT0190_MO_BlankRow_RIS_2">Model!$768:$768</definedName>
    <definedName name="z_YIW8LT0190_MO_BlankRow_RIS_3">Model!$773:$773</definedName>
    <definedName name="z_YIW8LT0190_MO_BlankRow_RIS_4">Model!$779:$779</definedName>
    <definedName name="z_YIW8LT0190_MO_BlankRow_RIS_5">Model!$792:$792</definedName>
    <definedName name="z_YIW8LT0190_MO_BlankRow_RIS_6">Model!$795:$795</definedName>
    <definedName name="z_YIW8LT0190_MO_BlankRow_RIS_7">Model!$800:$800</definedName>
    <definedName name="z_YIW8LT0190_MO_BlankRow_RIS_8">Model!$804:$804</definedName>
    <definedName name="z_YIW8LT0190_MO_BlankRow_SNA">Model!$1083:$1083</definedName>
    <definedName name="z_YIW8LT0190_MO_BlankRow_SNA_1">Model!$1085:$1085</definedName>
    <definedName name="z_YIW8LT0190_MO_BlankRow_SNA_10">Model!$1139:$1139</definedName>
    <definedName name="z_YIW8LT0190_MO_BlankRow_SNA_11">Model!$1146:$1146</definedName>
    <definedName name="z_YIW8LT0190_MO_BlankRow_SNA_12">Model!$1147:$1147</definedName>
    <definedName name="z_YIW8LT0190_MO_BlankRow_SNA_13">Model!$1163:$1163</definedName>
    <definedName name="z_YIW8LT0190_MO_BlankRow_SNA_2">Model!$1091:$1091</definedName>
    <definedName name="z_YIW8LT0190_MO_BlankRow_SNA_3">Model!$1096:$1096</definedName>
    <definedName name="z_YIW8LT0190_MO_BlankRow_SNA_4">Model!$1103:$1103</definedName>
    <definedName name="z_YIW8LT0190_MO_BlankRow_SNA_5">Model!$1104:$1104</definedName>
    <definedName name="z_YIW8LT0190_MO_BlankRow_SNA_6">Model!$1114:$1114</definedName>
    <definedName name="z_YIW8LT0190_MO_BlankRow_SNA_7">Model!$1115:$1115</definedName>
    <definedName name="z_YIW8LT0190_MO_BlankRow_SNA_8">Model!$1125:$1125</definedName>
    <definedName name="z_YIW8LT0190_MO_BlankRow_SNA_9">Model!$1132:$1132</definedName>
    <definedName name="z_YIW8LT0190_MO_BS_Accountspayableandotheraccruedliabilities">Model!$1032:$1032</definedName>
    <definedName name="z_YIW8LT0190_MO_BS_accumulateddepreciation">Model!$1018:$1018</definedName>
    <definedName name="z_YIW8LT0190_MO_BS_Accumulatedothercomprehensiveloss">Model!$1051:$1051</definedName>
    <definedName name="z_YIW8LT0190_MO_BS_Assetsheldforsale">Model!$1010:$1010</definedName>
    <definedName name="z_YIW8LT0190_MO_BS_Attractions">Model!$1017:$1017</definedName>
    <definedName name="z_YIW8LT0190_MO_BS_borrowings">Model!$1039:$1039</definedName>
    <definedName name="z_YIW8LT0190_MO_BS_BSCheck">Model!$1057:$1057</definedName>
    <definedName name="z_YIW8LT0190_MO_BS_cashandcashequivalents">Model!$1003:$1003</definedName>
    <definedName name="z_YIW8LT0190_MO_BS_Commonstock">Model!$1049:$1049</definedName>
    <definedName name="z_YIW8LT0190_MO_BS_CurrentAssets">Model!$1002:$1002</definedName>
    <definedName name="z_YIW8LT0190_MO_BS_CurrentLiabilities">Model!$1031:$1031</definedName>
    <definedName name="z_YIW8LT0190_MO_BS_currentportionofborrowings">Model!$1033:$1033</definedName>
    <definedName name="z_YIW8LT0190_MO_BS_deferredincometaxes">Model!$1007:$1007</definedName>
    <definedName name="z_YIW8LT0190_MO_BS_deferredincometaxes_1">Model!$1040:$1040</definedName>
    <definedName name="z_YIW8LT0190_MO_BS_filmandtelevisioncosts">Model!$1015:$1015</definedName>
    <definedName name="z_YIW8LT0190_MO_BS_Goodwill">Model!$1024:$1024</definedName>
    <definedName name="z_YIW8LT0190_MO_BS_Intangibleassets">Model!$1023:$1023</definedName>
    <definedName name="z_YIW8LT0190_MO_BS_Inventories">Model!$1005:$1005</definedName>
    <definedName name="z_YIW8LT0190_MO_BS_investments">Model!$1016:$1016</definedName>
    <definedName name="z_YIW8LT0190_MO_BS_land">Model!$1021:$1021</definedName>
    <definedName name="z_YIW8LT0190_MO_BS_Liabilitiesheldforsale">Model!$1034:$1034</definedName>
    <definedName name="z_YIW8LT0190_MO_BS_NCI">Model!$1054:$1054</definedName>
    <definedName name="z_YIW8LT0190_MO_BS_NetIncomeonReportedISNIonRevised">Model!$1061:$1061</definedName>
    <definedName name="z_YIW8LT0190_MO_BS_NetIncomeonRevisedISNIonCFstatement">Model!$1060:$1060</definedName>
    <definedName name="z_YIW8LT0190_MO_BS_NonCurrentAssets">Model!$1014:$1014</definedName>
    <definedName name="z_YIW8LT0190_MO_BS_Noncurrentassetsheldforsalediscontinuedoperations">Model!$1026:$1026</definedName>
    <definedName name="z_YIW8LT0190_MO_BS_NonCurrentLiabilities">Model!$1038:$1038</definedName>
    <definedName name="z_YIW8LT0190_MO_BS_Noncurrentliabilitiesheldforsalediscontinuedoperations">Model!$1041:$1041</definedName>
    <definedName name="z_YIW8LT0190_MO_BS_Otherassets">Model!$1027:$1027</definedName>
    <definedName name="z_YIW8LT0190_MO_BS_Othercurrentassets">Model!$1011:$1011</definedName>
    <definedName name="z_YIW8LT0190_MO_BS_Otherlongtermliabilities">Model!$1042:$1042</definedName>
    <definedName name="z_YIW8LT0190_MO_BS_parks">Model!$1019:$1019</definedName>
    <definedName name="z_YIW8LT0190_MO_BS_parks_1">Model!$1022:$1022</definedName>
    <definedName name="z_YIW8LT0190_MO_BS_preferredstock">Model!$1048:$1048</definedName>
    <definedName name="z_YIW8LT0190_MO_BS_projectsinprogress">Model!$1020:$1020</definedName>
    <definedName name="z_YIW8LT0190_MO_BS_Receivables">Model!$1004:$1004</definedName>
    <definedName name="z_YIW8LT0190_MO_BS_redeemablenoncontrollinginterest">Model!$1043:$1043</definedName>
    <definedName name="z_YIW8LT0190_MO_BS_Restrictedcashincludedincurrentassetsholdforsale">Model!$1009:$1009</definedName>
    <definedName name="z_YIW8LT0190_MO_BS_Restrictedcashincludedinotherassets">Model!$1025:$1025</definedName>
    <definedName name="z_YIW8LT0190_MO_BS_Restrictedcashincludedinothercurrentassets">Model!$1008:$1008</definedName>
    <definedName name="z_YIW8LT0190_MO_BS_retainedearnings">Model!$1050:$1050</definedName>
    <definedName name="z_YIW8LT0190_MO_BS_ShareholdersEquity">Model!$1047:$1047</definedName>
    <definedName name="z_YIW8LT0190_MO_BS_televisioncostsandadvances">Model!$1006:$1006</definedName>
    <definedName name="z_YIW8LT0190_MO_BS_TotalAssets">Model!$1029:$1029</definedName>
    <definedName name="z_YIW8LT0190_MO_BS_TotalCurrentAssets">Model!$1012:$1012</definedName>
    <definedName name="z_YIW8LT0190_MO_BS_TotalCurrentLiabilities">Model!$1036:$1036</definedName>
    <definedName name="z_YIW8LT0190_MO_BS_TotalLiabilities">Model!$1045:$1045</definedName>
    <definedName name="z_YIW8LT0190_MO_BS_TotalLiabilitiesSE">Model!$1055:$1055</definedName>
    <definedName name="z_YIW8LT0190_MO_BS_TotalNonCurrentAssets">Model!$1028:$1028</definedName>
    <definedName name="z_YIW8LT0190_MO_BS_TotalNonCurrentliabilities">Model!$1044:$1044</definedName>
    <definedName name="z_YIW8LT0190_MO_BS_TotalSE">Model!$1053:$1053</definedName>
    <definedName name="z_YIW8LT0190_MO_BS_treasurystock">Model!$1052:$1052</definedName>
    <definedName name="z_YIW8LT0190_MO_BS_Unearnedroyaltiesandotheradvances">Model!$1035:$1035</definedName>
    <definedName name="z_YIW8LT0190_MO_BSS_Cash">Model!$826:$826</definedName>
    <definedName name="z_YIW8LT0190_MO_BSS_Debt">Model!$829:$829</definedName>
    <definedName name="z_YIW8LT0190_MO_BSS_DebtCashFlow">Model!$841:$841</definedName>
    <definedName name="z_YIW8LT0190_MO_BSS_DebtEBITDA">Model!$840:$840</definedName>
    <definedName name="z_YIW8LT0190_MO_BSS_EBITDANetInterestExpense">Model!$839:$839</definedName>
    <definedName name="z_YIW8LT0190_MO_BSS_EffectiveInterestRateonCash">Model!$835:$835</definedName>
    <definedName name="z_YIW8LT0190_MO_BSS_EffectiveInterestRateonDebt">Model!$833:$833</definedName>
    <definedName name="z_YIW8LT0190_MO_BSS_EffectiveNetInterestRateonDebt">Model!$837:$837</definedName>
    <definedName name="z_YIW8LT0190_MO_BSS_InterestExpense">Model!$832:$832</definedName>
    <definedName name="z_YIW8LT0190_MO_BSS_InterestIncome">Model!$834:$834</definedName>
    <definedName name="z_YIW8LT0190_MO_BSS_LTDebt">Model!$828:$828</definedName>
    <definedName name="z_YIW8LT0190_MO_BSS_NetDebt">Model!$830:$830</definedName>
    <definedName name="z_YIW8LT0190_MO_BSS_NetInterestExpenseIncome">Model!$836:$836</definedName>
    <definedName name="z_YIW8LT0190_MO_BSS_STDebt">Model!$827:$827</definedName>
    <definedName name="z_YIW8LT0190_MO_CCFS_Accountspayableandotheraccruedliabilities">Model!$884:$884</definedName>
    <definedName name="z_YIW8LT0190_MO_CCFS_Acquisitionofnoncontrollingandredeemablenoncontrollinginterests">Model!$905:$905</definedName>
    <definedName name="z_YIW8LT0190_MO_CCFS_Acquisitions">Model!$892:$892</definedName>
    <definedName name="z_YIW8LT0190_MO_CCFS_BeginningCashBalance">Model!$914:$914</definedName>
    <definedName name="z_YIW8LT0190_MO_CCFS_borrowings">Model!$899:$899</definedName>
    <definedName name="z_YIW8LT0190_MO_CCFS_Cashdistributionsreceivedfromequityinvestees">Model!$874:$874</definedName>
    <definedName name="z_YIW8LT0190_MO_CCFS_Cashfromdiscontinuedfinancingactivities">Model!$894:$894</definedName>
    <definedName name="z_YIW8LT0190_MO_CCFS_Cashprovidedbydiscontinuedoperations">Model!$886:$886</definedName>
    <definedName name="z_YIW8LT0190_MO_CCFS_Cashusedinfinancingactivitiesdiscontinuedoperations">Model!$907:$907</definedName>
    <definedName name="z_YIW8LT0190_MO_CCFS_Cashusedinoperationsdiscontinuedoperations">Model!$910:$910</definedName>
    <definedName name="z_YIW8LT0190_MO_CCFS_CFF">Model!$897:$897</definedName>
    <definedName name="z_YIW8LT0190_MO_CCFS_CFI">Model!$889:$889</definedName>
    <definedName name="z_YIW8LT0190_MO_CCFS_CFO">Model!$867:$867</definedName>
    <definedName name="z_YIW8LT0190_MO_CCFS_CFObeforeWC">Model!$880:$880</definedName>
    <definedName name="z_YIW8LT0190_MO_CCFS_commercialpaperborrowings">Model!$898:$898</definedName>
    <definedName name="z_YIW8LT0190_MO_CCFS_contributionsfromnoncontrollinginterestholders">Model!$904:$904</definedName>
    <definedName name="z_YIW8LT0190_MO_CCFS_deferredincometaxes">Model!$872:$872</definedName>
    <definedName name="z_YIW8LT0190_MO_CCFS_depreciationandamortization">Model!$869:$869</definedName>
    <definedName name="z_YIW8LT0190_MO_CCFS_Dividends">Model!$901:$901</definedName>
    <definedName name="z_YIW8LT0190_MO_CCFS_EndingCashBalance">Model!$915:$915</definedName>
    <definedName name="z_YIW8LT0190_MO_CCFS_Equitybasedcompensation">Model!$876:$876</definedName>
    <definedName name="z_YIW8LT0190_MO_CCFS_Equityintheincomeofinvestees">Model!$873:$873</definedName>
    <definedName name="z_YIW8LT0190_MO_CCFS_FX">Model!$911:$911</definedName>
    <definedName name="z_YIW8LT0190_MO_CCFS_Gainonacquisition">Model!$870:$870</definedName>
    <definedName name="z_YIW8LT0190_MO_CCFS_gainsonsalesofinvestments">Model!$871:$871</definedName>
    <definedName name="z_YIW8LT0190_MO_CCFS_impairmentcharges">Model!$878:$878</definedName>
    <definedName name="z_YIW8LT0190_MO_CCFS_incometaxes">Model!$885:$885</definedName>
    <definedName name="z_YIW8LT0190_MO_CCFS_inventories">Model!$882:$882</definedName>
    <definedName name="z_YIW8LT0190_MO_CCFS_investmentsinparks">Model!$890:$890</definedName>
    <definedName name="z_YIW8LT0190_MO_CCFS_NetCFF">Model!$908:$908</definedName>
    <definedName name="z_YIW8LT0190_MO_CCFS_NetCFI">Model!$895:$895</definedName>
    <definedName name="z_YIW8LT0190_MO_CCFS_NetCFO">Model!$887:$887</definedName>
    <definedName name="z_YIW8LT0190_MO_CCFS_NetChangeinCashBalance">Model!$912:$912</definedName>
    <definedName name="z_YIW8LT0190_MO_CCFS_netchangeinfilmandtelevisioncostsandadvances">Model!$875:$875</definedName>
    <definedName name="z_YIW8LT0190_MO_CCFS_Netchangeinoperatingleaserightofuseassetsliabilities">Model!$877:$877</definedName>
    <definedName name="z_YIW8LT0190_MO_CCFS_netincome">Model!$868:$868</definedName>
    <definedName name="z_YIW8LT0190_MO_CCFS_Other">Model!$879:$879</definedName>
    <definedName name="z_YIW8LT0190_MO_CCFS_Other_1">Model!$893:$893</definedName>
    <definedName name="z_YIW8LT0190_MO_CCFS_Other_2">Model!$906:$906</definedName>
    <definedName name="z_YIW8LT0190_MO_CCFS_Otherassets">Model!$883:$883</definedName>
    <definedName name="z_YIW8LT0190_MO_CCFS_proceedsfromexerciseofstockoptions">Model!$903:$903</definedName>
    <definedName name="z_YIW8LT0190_MO_CCFS_receivables">Model!$881:$881</definedName>
    <definedName name="z_YIW8LT0190_MO_CCFS_reductionofborrowings">Model!$900:$900</definedName>
    <definedName name="z_YIW8LT0190_MO_CCFS_repurchasesofcommonstock">Model!$902:$902</definedName>
    <definedName name="z_YIW8LT0190_MO_CCFS_salesofinvestmentsproceedsfromdispositions">Model!$891:$891</definedName>
    <definedName name="z_YIW8LT0190_MO_CFS_Accountspayableandotheraccruedliabilities">Model!$935:$935</definedName>
    <definedName name="z_YIW8LT0190_MO_CFS_Acquisitionofnoncontrollingandredeemablenoncontrollinginterests">Model!$956:$956</definedName>
    <definedName name="z_YIW8LT0190_MO_CFS_Acquisitions">Model!$943:$943</definedName>
    <definedName name="z_YIW8LT0190_MO_CFS_BeginningCashBalance">Model!$965:$965</definedName>
    <definedName name="z_YIW8LT0190_MO_CFS_borrowings">Model!$950:$950</definedName>
    <definedName name="z_YIW8LT0190_MO_CFS_Cashdistributionsreceivedfromequityinvestees">Model!$925:$925</definedName>
    <definedName name="z_YIW8LT0190_MO_CFS_Cashfromdiscontinuedfinancingactivities">Model!$945:$945</definedName>
    <definedName name="z_YIW8LT0190_MO_CFS_Cashprovidedbydiscontinuedoperations">Model!$937:$937</definedName>
    <definedName name="z_YIW8LT0190_MO_CFS_Cashusedinfinancingactivitiesdiscontinuedoperations">Model!$958:$958</definedName>
    <definedName name="z_YIW8LT0190_MO_CFS_Cashusedinoperationsdiscontinuedoperations">Model!$961:$961</definedName>
    <definedName name="z_YIW8LT0190_MO_CFS_CFCheck">Model!$968:$968</definedName>
    <definedName name="z_YIW8LT0190_MO_CFS_CFF">Model!$948:$948</definedName>
    <definedName name="z_YIW8LT0190_MO_CFS_CFI">Model!$940:$940</definedName>
    <definedName name="z_YIW8LT0190_MO_CFS_CFO">Model!$918:$918</definedName>
    <definedName name="z_YIW8LT0190_MO_CFS_CFObeforeWC">Model!$931:$931</definedName>
    <definedName name="z_YIW8LT0190_MO_CFS_commercialpaperborrowings">Model!$949:$949</definedName>
    <definedName name="z_YIW8LT0190_MO_CFS_contributionsfromnoncontrollinginterestholders">Model!$955:$955</definedName>
    <definedName name="z_YIW8LT0190_MO_CFS_deferredincometaxes">Model!$923:$923</definedName>
    <definedName name="z_YIW8LT0190_MO_CFS_depreciationandamortization">Model!$920:$920</definedName>
    <definedName name="z_YIW8LT0190_MO_CFS_Dividends">Model!$952:$952</definedName>
    <definedName name="z_YIW8LT0190_MO_CFS_EndingCashBalance">Model!$966:$966</definedName>
    <definedName name="z_YIW8LT0190_MO_CFS_Equitybasedcompensation">Model!$927:$927</definedName>
    <definedName name="z_YIW8LT0190_MO_CFS_Equityintheincomeofinvestees">Model!$924:$924</definedName>
    <definedName name="z_YIW8LT0190_MO_CFS_FX">Model!$962:$962</definedName>
    <definedName name="z_YIW8LT0190_MO_CFS_Gainonacquisition">Model!$921:$921</definedName>
    <definedName name="z_YIW8LT0190_MO_CFS_gainsonsalesofinvestments">Model!$922:$922</definedName>
    <definedName name="z_YIW8LT0190_MO_CFS_impairmentcharges">Model!$929:$929</definedName>
    <definedName name="z_YIW8LT0190_MO_CFS_incometaxes">Model!$936:$936</definedName>
    <definedName name="z_YIW8LT0190_MO_CFS_inventories">Model!$933:$933</definedName>
    <definedName name="z_YIW8LT0190_MO_CFS_investmentsinparks">Model!$941:$941</definedName>
    <definedName name="z_YIW8LT0190_MO_CFS_NetCFF">Model!$959:$959</definedName>
    <definedName name="z_YIW8LT0190_MO_CFS_NetCFI">Model!$946:$946</definedName>
    <definedName name="z_YIW8LT0190_MO_CFS_NetCFO">Model!$938:$938</definedName>
    <definedName name="z_YIW8LT0190_MO_CFS_NetChangeinCashBalance">Model!$963:$963</definedName>
    <definedName name="z_YIW8LT0190_MO_CFS_netchangeinfilmandtelevisioncostsandadvances">Model!$926:$926</definedName>
    <definedName name="z_YIW8LT0190_MO_CFS_Netchangeinoperatingleaserightofuseassetsliabilities">Model!$928:$928</definedName>
    <definedName name="z_YIW8LT0190_MO_CFS_netincome">Model!$919:$919</definedName>
    <definedName name="z_YIW8LT0190_MO_CFS_Other">Model!$930:$930</definedName>
    <definedName name="z_YIW8LT0190_MO_CFS_Other_1">Model!$944:$944</definedName>
    <definedName name="z_YIW8LT0190_MO_CFS_Other_2">Model!$957:$957</definedName>
    <definedName name="z_YIW8LT0190_MO_CFS_Otherassets">Model!$934:$934</definedName>
    <definedName name="z_YIW8LT0190_MO_CFS_proceedsfromexerciseofstockoptions">Model!$954:$954</definedName>
    <definedName name="z_YIW8LT0190_MO_CFS_receivables">Model!$932:$932</definedName>
    <definedName name="z_YIW8LT0190_MO_CFS_reductionofborrowings">Model!$951:$951</definedName>
    <definedName name="z_YIW8LT0190_MO_CFS_Repurchasesofcommonstock">Model!$953:$953</definedName>
    <definedName name="z_YIW8LT0190_MO_CFS_salesofinvestmentsproceedsfromdispositions">Model!$942:$942</definedName>
    <definedName name="z_YIW8LT0190_MO_CFSum_Acquisitions">Model!$811:$811</definedName>
    <definedName name="z_YIW8LT0190_MO_CFSum_Capex">Model!$809:$809</definedName>
    <definedName name="z_YIW8LT0190_MO_CFSum_CashFlowPerDilutedShare">Model!$807:$807</definedName>
    <definedName name="z_YIW8LT0190_MO_CFSum_ConsensusEstimatesCapex">Model!$810:$810</definedName>
    <definedName name="z_YIW8LT0190_MO_CFSum_consensusestimatescashflowperdilutedshare">Model!$808:$808</definedName>
    <definedName name="z_YIW8LT0190_MO_CFSum_Divestiture">Model!$812:$812</definedName>
    <definedName name="z_YIW8LT0190_MO_CFSum_DividendPaid">Model!$813:$813</definedName>
    <definedName name="z_YIW8LT0190_MO_CFSum_DividendPerShare">Model!$814:$814</definedName>
    <definedName name="z_YIW8LT0190_MO_CFSum_EstimatedSharePriceforIssuanceBuybacks">Model!$818:$818</definedName>
    <definedName name="z_YIW8LT0190_MO_CFSum_FCF">Model!$820:$820</definedName>
    <definedName name="z_YIW8LT0190_MO_CFSum_FCF_1">Model!$821:$821</definedName>
    <definedName name="z_YIW8LT0190_MO_CFSum_FCF_2">Model!$822:$822</definedName>
    <definedName name="z_YIW8LT0190_MO_CFSum_FCFPostDivDebtBuyback">Model!$823:$823</definedName>
    <definedName name="z_YIW8LT0190_MO_CFSum_NetDebtIssuanceRepayment">Model!$816:$816</definedName>
    <definedName name="z_YIW8LT0190_MO_CFSum_NetShareIssuanceBuybacks">Model!$817:$817</definedName>
    <definedName name="z_YIW8LT0190_MO_CFSum_OperatingCashFlowbeforeWC">Model!$806:$806</definedName>
    <definedName name="z_YIW8LT0190_MO_Checks_SNA_AdjustedNumbersFYSumofQs">Model!$1073:$1073</definedName>
    <definedName name="z_YIW8LT0190_MO_Checks_SNA_BalanceSheetisnotRepeated">Model!$1069:$1069</definedName>
    <definedName name="z_YIW8LT0190_MO_Checks_SNA_CapexisUpdated">Model!$1071:$1071</definedName>
    <definedName name="z_YIW8LT0190_MO_Checks_SNA_CashFlowisnotRepeated">Model!$1067:$1067</definedName>
    <definedName name="z_YIW8LT0190_MO_Checks_SNA_CashFlowSummarySignsareCorrect">Model!$1075:$1075</definedName>
    <definedName name="z_YIW8LT0190_MO_Checks_SNA_CashisPositive">Model!$1062:$1062</definedName>
    <definedName name="z_YIW8LT0190_MO_Checks_SNA_CFFsubtotalFYSumofQs">Model!$1081:$1081</definedName>
    <definedName name="z_YIW8LT0190_MO_Checks_SNA_CFIsubtotalFYSumofQs">Model!$1080:$1080</definedName>
    <definedName name="z_YIW8LT0190_MO_Checks_SNA_CFOBeforeWCsubtotalFYSumofQs">Model!$1078:$1078</definedName>
    <definedName name="z_YIW8LT0190_MO_Checks_SNA_CFOsubtotalFYSumofQs">Model!$1079:$1079</definedName>
    <definedName name="z_YIW8LT0190_MO_Checks_SNA_CFSummaryFYSumofQs">Model!$1082:$1082</definedName>
    <definedName name="z_YIW8LT0190_MO_Checks_SNA_DebtisPositive">Model!$1063:$1063</definedName>
    <definedName name="z_YIW8LT0190_MO_Checks_SNA_EndingCFEndingCumulativeCF">Model!$1070:$1070</definedName>
    <definedName name="z_YIW8LT0190_MO_Checks_SNA_IncomeStatementisnotRepeated">Model!$1068:$1068</definedName>
    <definedName name="z_YIW8LT0190_MO_Checks_SNA_Marginaddsupto100">Model!$1074:$1074</definedName>
    <definedName name="z_YIW8LT0190_MO_Checks_SNA_MarginisUpdated">Model!$1072:$1072</definedName>
    <definedName name="z_YIW8LT0190_MO_Checks_SNA_RISAdjustedNIFYSumofQs">Model!$1077:$1077</definedName>
    <definedName name="z_YIW8LT0190_MO_Checks_SNA_RISNIFYSumofQs">Model!$1076:$1076</definedName>
    <definedName name="z_YIW8LT0190_MO_Checks_SNA_SegmentedCAPEXCAPEX">Model!$1065:$1065</definedName>
    <definedName name="z_YIW8LT0190_MO_Checks_SNA_SegmentedDADA">Model!$1066:$1066</definedName>
    <definedName name="z_YIW8LT0190_MO_Checks_SNA_SegmentedEBTEBTinRIS">Model!$1064:$1064</definedName>
    <definedName name="z_YIW8LT0190_MO_DAF_AmortizationaspercentageofIntangiblesBoP">Model!$993:$993</definedName>
    <definedName name="z_YIW8LT0190_MO_DAF_Amortizationofintangibles">Model!$987:$987</definedName>
    <definedName name="z_YIW8LT0190_MO_DAF_Capexofintangibles">Model!$988:$988</definedName>
    <definedName name="z_YIW8LT0190_MO_DAF_CapexofPPE">Model!$982:$982</definedName>
    <definedName name="z_YIW8LT0190_MO_DAF_DepreciationaspercentageofPPEBoP">Model!$992:$992</definedName>
    <definedName name="z_YIW8LT0190_MO_DAF_Depreciationoffixedassets">Model!$981:$981</definedName>
    <definedName name="z_YIW8LT0190_MO_DAF_Impliedlifeoffixedassets">Model!$994:$994</definedName>
    <definedName name="z_YIW8LT0190_MO_DAF_Impliedlifeofintangibles">Model!$995:$995</definedName>
    <definedName name="z_YIW8LT0190_MO_DAF_IntangiblesBoP">Model!$986:$986</definedName>
    <definedName name="z_YIW8LT0190_MO_DAF_IntangiblesEoP">Model!$990:$990</definedName>
    <definedName name="z_YIW8LT0190_MO_DAF_Othernetadditionstointangibles">Model!$989:$989</definedName>
    <definedName name="z_YIW8LT0190_MO_DAF_OthernetadditionstoPPE">Model!$983:$983</definedName>
    <definedName name="z_YIW8LT0190_MO_DAF_Percentageofcapexallocatedtointangibleassets">Model!$999:$999</definedName>
    <definedName name="z_YIW8LT0190_MO_DAF_PPEBoP">Model!$980:$980</definedName>
    <definedName name="z_YIW8LT0190_MO_DAF_PPEEoP">Model!$984:$984</definedName>
    <definedName name="z_YIW8LT0190_MO_DAF_TotalCapex">Model!$998:$998</definedName>
    <definedName name="z_YIW8LT0190_MO_DAF_TotalDA">Model!$997:$997</definedName>
    <definedName name="z_YIW8LT0190_MO_GA_Broadcastingrevenuesgrowth">Model!$29:$29</definedName>
    <definedName name="z_YIW8LT0190_MO_GA_CableNetworksRevenuesGrowth">Model!$28:$28</definedName>
    <definedName name="z_YIW8LT0190_MO_GA_ConsumerProductsrevenuesgrowth">Model!$33:$33</definedName>
    <definedName name="z_YIW8LT0190_MO_GA_ContentSalesLicensingHomeentertainmentrevenuegrowth">Model!$19:$19</definedName>
    <definedName name="z_YIW8LT0190_MO_GA_ContentSalesLicensingTheatricaldistributionrevenuegrowth">Model!$18:$18</definedName>
    <definedName name="z_YIW8LT0190_MO_GA_ContentSalesLicensingTotalrevenuegrowth">Model!$20:$20</definedName>
    <definedName name="z_YIW8LT0190_MO_GA_ContentSalesLicensingTVSVODdistributionrevenuegrowth">Model!$17:$17</definedName>
    <definedName name="z_YIW8LT0190_MO_GA_DirecttoConsumerTotalrevenuegrowthrate">Model!$16:$16</definedName>
    <definedName name="z_YIW8LT0190_MO_GA_DomesticParksandResortsRevenuesGrowth">Model!$31:$31</definedName>
    <definedName name="z_YIW8LT0190_MO_GA_HomeEntertainmentRevenuesGrowth">Model!$36:$36</definedName>
    <definedName name="z_YIW8LT0190_MO_GA_InternationalParksandResortsRevenuesGrowth">Model!$32:$32</definedName>
    <definedName name="z_YIW8LT0190_MO_GA_LicensingPublishingandGamesRevenuesGrowth">Model!$41:$41</definedName>
    <definedName name="z_YIW8LT0190_MO_GA_LinearNetworkAdvertisingrevenuegrowthrate">Model!$14:$14</definedName>
    <definedName name="z_YIW8LT0190_MO_GA_LinearNetworkAffiliatefeesrevenuegrowthrate">Model!$9:$9</definedName>
    <definedName name="z_YIW8LT0190_MO_GA_LinearNetworkBroadcastingadvertisingrevenuegrowthrate">Model!$11:$11</definedName>
    <definedName name="z_YIW8LT0190_MO_GA_LinearNetworkCableadvertisingrevenuegrowthrate">Model!$10:$10</definedName>
    <definedName name="z_YIW8LT0190_MO_GA_LinearNetworkDomesticaffiliatefeesrevenuegrowthrate">Model!$7:$7</definedName>
    <definedName name="z_YIW8LT0190_MO_GA_LinearNetworkDomesticchannelsadvertisingrevenuegrowthrate">Model!$12:$12</definedName>
    <definedName name="z_YIW8LT0190_MO_GA_LinearNetworkInternationalaffiliatefeesrevenuegrowthrate">Model!$8:$8</definedName>
    <definedName name="z_YIW8LT0190_MO_GA_LinearNetworkInternationalchannelsadvertisingrevenuegrowthrate">Model!$13:$13</definedName>
    <definedName name="z_YIW8LT0190_MO_GA_LinearNetworkTotalrevenuegrowthrate">Model!$15:$15</definedName>
    <definedName name="z_YIW8LT0190_MO_GA_MediaandEntertainmentDistributionTotalrevenuegrowth">Model!$21:$21</definedName>
    <definedName name="z_YIW8LT0190_MO_GA_Merchandiselicensingandretailrevenuegrowth">Model!$25:$25</definedName>
    <definedName name="z_YIW8LT0190_MO_GA_Merchandiselicensingrevenuesgrowth">Model!$38:$38</definedName>
    <definedName name="z_YIW8LT0190_MO_GA_Otherrevenuesgrowth">Model!$39:$39</definedName>
    <definedName name="z_YIW8LT0190_MO_GA_ParksExperiencesandProductsTotalrevenuegrowth">Model!$27:$27</definedName>
    <definedName name="z_YIW8LT0190_MO_GA_ParksExperiencesmerchandisefoodandbeveragerevenuegrowth">Model!$23:$23</definedName>
    <definedName name="z_YIW8LT0190_MO_GA_Parkslicensingandotherrevenuegrowth">Model!$26:$26</definedName>
    <definedName name="z_YIW8LT0190_MO_GA_ResortsandVacationsrevenuegrowth">Model!$24:$24</definedName>
    <definedName name="z_YIW8LT0190_MO_GA_RetailandOtherRevenuesGrowth">Model!$42:$42</definedName>
    <definedName name="z_YIW8LT0190_MO_GA_TheatricalDistributionRevenuesGrowth">Model!$35:$35</definedName>
    <definedName name="z_YIW8LT0190_MO_GA_Themeparkadmissionsrevenuegrowth">Model!$22:$22</definedName>
    <definedName name="z_YIW8LT0190_MO_GA_TVSVODDistributionandOtherRevenuesGrowth">Model!$37:$37</definedName>
    <definedName name="z_YIW8LT0190_MO_GA_TwentyFirstCenturyFoxRevenueGrowth">Model!$44:$44</definedName>
    <definedName name="z_YIW8LT0190_MO_Header_ColumnHeader">Model!$5:$5</definedName>
    <definedName name="z_YIW8LT0190_MO_Header_CompanySubTitle">Model!$2:$2</definedName>
    <definedName name="z_YIW8LT0190_MO_Header_CompanyTitle">Model!$1:$1</definedName>
    <definedName name="z_YIW8LT0190_MO_Header_FPDays">Model!$3:$3</definedName>
    <definedName name="z_YIW8LT0190_MO_Header_QEndDate">Model!$4:$4</definedName>
    <definedName name="z_YIW8LT0190_MO_IS_Consolidatednetincome">Model!$731:$731</definedName>
    <definedName name="z_YIW8LT0190_MO_IS_costofproductsexclusiveofdepreciationandamortization">Model!$719:$719</definedName>
    <definedName name="z_YIW8LT0190_MO_IS_costofservicesexclusiveofdepreciationandamortization">Model!$718:$718</definedName>
    <definedName name="z_YIW8LT0190_MO_IS_depreciationandamortization">Model!$721:$721</definedName>
    <definedName name="z_YIW8LT0190_MO_IS_Equityintheincomeofinvestees">Model!$726:$726</definedName>
    <definedName name="z_YIW8LT0190_MO_IS_incomebeforeincometaxes">Model!$727:$727</definedName>
    <definedName name="z_YIW8LT0190_MO_IS_Incomefromdiscontinuedoperations">Model!$730:$730</definedName>
    <definedName name="z_YIW8LT0190_MO_IS_incometaxes">Model!$728:$728</definedName>
    <definedName name="z_YIW8LT0190_MO_IS_interestincomeexpense">Model!$725:$725</definedName>
    <definedName name="z_YIW8LT0190_MO_IS_ISCheck">Model!$736:$736</definedName>
    <definedName name="z_YIW8LT0190_MO_IS_lessnetincomeattributabletononcontrollinginterests">Model!$732:$732</definedName>
    <definedName name="z_YIW8LT0190_MO_IS_LessNetincomefromdiscontinuedoperationattributabletononcontrollinginterests">Model!$733:$733</definedName>
    <definedName name="z_YIW8LT0190_MO_IS_netincome">Model!$729:$729</definedName>
    <definedName name="z_YIW8LT0190_MO_IS_netincomeattributabletothewaltdisneycompanydisney">Model!$734:$734</definedName>
    <definedName name="z_YIW8LT0190_MO_IS_Otherexpense">Model!$724:$724</definedName>
    <definedName name="z_YIW8LT0190_MO_IS_productsrevenue">Model!$716:$716</definedName>
    <definedName name="z_YIW8LT0190_MO_IS_restructuringandimpairmentcharges">Model!$723:$723</definedName>
    <definedName name="z_YIW8LT0190_MO_IS_sellinggeneral">Model!$720:$720</definedName>
    <definedName name="z_YIW8LT0190_MO_IS_servicesrevenue">Model!$715:$715</definedName>
    <definedName name="z_YIW8LT0190_MO_IS_totalcostsandexpenses">Model!$722:$722</definedName>
    <definedName name="z_YIW8LT0190_MO_IS_totalrevenues">Model!$717:$717</definedName>
    <definedName name="z_YIW8LT0190_MO_MA_AdjustedEBITDAMargin">Model!$711:$711</definedName>
    <definedName name="z_YIW8LT0190_MO_MA_AverageFXRate">Model!$858:$858</definedName>
    <definedName name="z_YIW8LT0190_MO_MA_COGSMargin">Model!$705:$705</definedName>
    <definedName name="z_YIW8LT0190_MO_MA_consensusestimatesadjustedebitdamargin">Model!$712:$712</definedName>
    <definedName name="z_YIW8LT0190_MO_MA_consensusestimatesgrossmargin">Model!$707:$707</definedName>
    <definedName name="z_YIW8LT0190_MO_MA_EBITDAMargin">Model!$710:$710</definedName>
    <definedName name="z_YIW8LT0190_MO_MA_EVSalesAvg">Model!$849:$849</definedName>
    <definedName name="z_YIW8LT0190_MO_MA_GrossMargin">Model!$706:$706</definedName>
    <definedName name="z_YIW8LT0190_MO_MA_SGAadjforSBCMargin">Model!$709:$709</definedName>
    <definedName name="z_YIW8LT0190_MO_MA_StockPriceTradingCurAvg">Model!$859:$859</definedName>
    <definedName name="z_YIW8LT0190_MO_OS__260">Model!$61:$61</definedName>
    <definedName name="z_YIW8LT0190_MO_OS__278">Model!$504:$504</definedName>
    <definedName name="z_YIW8LT0190_MO_OS_21CFandHuluAmortizationexpenses">Model!$578:$578</definedName>
    <definedName name="z_YIW8LT0190_MO_OS_21CFandHuluAsiaPacificRevenue">Model!$573:$573</definedName>
    <definedName name="z_YIW8LT0190_MO_OS_21CFandHuluDepreciationandAmortizationexpenses">Model!$579:$579</definedName>
    <definedName name="z_YIW8LT0190_MO_OS_21CFandHuluDepreciationexpenses">Model!$577:$577</definedName>
    <definedName name="z_YIW8LT0190_MO_OS_21CFandHuluEuropeRevenue">Model!$572:$572</definedName>
    <definedName name="z_YIW8LT0190_MO_OS_21CFandHuluLatinAmericaRevenue">Model!$574:$574</definedName>
    <definedName name="z_YIW8LT0190_MO_OS_21CFandHuluUnitedStatesandCanadaRevenue">Model!$571:$571</definedName>
    <definedName name="z_YIW8LT0190_MO_OS_21CFCapitalExpenditures">Model!$582:$582</definedName>
    <definedName name="z_YIW8LT0190_MO_OS_21CFCumulativeCapitalExpenditures">Model!$581:$581</definedName>
    <definedName name="z_YIW8LT0190_MO_OS_21CFdepreciationandamortizationexpenses">Model!$568:$568</definedName>
    <definedName name="z_YIW8LT0190_MO_OS_21CFoperatingexpenses">Model!$567:$567</definedName>
    <definedName name="z_YIW8LT0190_MO_OS_21CFOperatingIncome">Model!$569:$569</definedName>
    <definedName name="z_YIW8LT0190_MO_OS_21CFOperatingIncome_1">Model!$58:$58</definedName>
    <definedName name="z_YIW8LT0190_MO_OS_21CFRevenues">Model!$566:$566</definedName>
    <definedName name="z_YIW8LT0190_MO_OS_Accountspayableandotheraccruedliabilities">Model!$973:$973</definedName>
    <definedName name="z_YIW8LT0190_MO_OS_AccountspayableandotheraccruedliabilitiesYYChange">Model!$977:$977</definedName>
    <definedName name="z_YIW8LT0190_MO_OS_Advertising_4">Model!$63:$63</definedName>
    <definedName name="z_YIW8LT0190_MO_OS_Advertising_5">Model!$561:$561</definedName>
    <definedName name="z_YIW8LT0190_MO_OS_Advertisingrevenues">Model!$607:$607</definedName>
    <definedName name="z_YIW8LT0190_MO_OS_Advertisingrevenues_1">Model!$280:$280</definedName>
    <definedName name="z_YIW8LT0190_MO_OS_Advertisingrevenues_2">Model!$457:$457</definedName>
    <definedName name="z_YIW8LT0190_MO_OS_Advertisingrevenues_3">Model!$339:$339</definedName>
    <definedName name="z_YIW8LT0190_MO_OS_Affiliatedfees">Model!$606:$606</definedName>
    <definedName name="z_YIW8LT0190_MO_OS_Affiliatedfees_1">Model!$279:$279</definedName>
    <definedName name="z_YIW8LT0190_MO_OS_Affiliatedfees_2">Model!$456:$456</definedName>
    <definedName name="z_YIW8LT0190_MO_OS_Affiliatefees">Model!$62:$62</definedName>
    <definedName name="z_YIW8LT0190_MO_OS_Affiliatefees_1">Model!$560:$560</definedName>
    <definedName name="z_YIW8LT0190_MO_OS_Affiliatefeeselimination">Model!$505:$505</definedName>
    <definedName name="z_YIW8LT0190_MO_OS_AmericasRevenue">Model!$553:$553</definedName>
    <definedName name="z_YIW8LT0190_MO_OS_Amortizationof21CFandHuluintangibleassetsandfairvaluestepuponfilmandtelevisioncosts">Model!$531:$531</definedName>
    <definedName name="z_YIW8LT0190_MO_OS_Amortizationof21CFandHuluintangibleassetsandfairvaluestepuponfilmandtelevisioncosts_1">Model!$545:$545</definedName>
    <definedName name="z_YIW8LT0190_MO_OS_Amortizationoffairvaluestepupfilmandtvcosts">Model!$399:$399</definedName>
    <definedName name="z_YIW8LT0190_MO_OS_Amortizationofintangibleassets_2">Model!$398:$398</definedName>
    <definedName name="z_YIW8LT0190_MO_OS_Amortizationofintangibleassets_3">Model!$436:$436</definedName>
    <definedName name="z_YIW8LT0190_MO_OS_Amortizationofintangibleassets_4">Model!$542:$542</definedName>
    <definedName name="z_YIW8LT0190_MO_OS_Amortizationofintangibleassets_5">Model!$491:$491</definedName>
    <definedName name="z_YIW8LT0190_MO_OS_AmortizationofIntangibleassetsandFairvaluestepuponfilmandtvcosts">Model!$259:$259</definedName>
    <definedName name="z_YIW8LT0190_MO_OS_AmortizationofIntangibleassetsandFairvaluestepuponfilmandtvcostsCalculated">Model!$315:$315</definedName>
    <definedName name="z_YIW8LT0190_MO_OS_AmortizationofintangiblerelatedtoTFCFequityinvestees">Model!$544:$544</definedName>
    <definedName name="z_YIW8LT0190_MO_OS_AmortizationofintangiblerelatedtoTFCFequityinvestees_1">Model!$497:$497</definedName>
    <definedName name="z_YIW8LT0190_MO_OS_Amortizationofstepupfilmandtvcosts">Model!$543:$543</definedName>
    <definedName name="z_YIW8LT0190_MO_OS_Amortizationofstepupfilmandtvcosts_1">Model!$480:$480</definedName>
    <definedName name="z_YIW8LT0190_MO_OS_Amortizationofstepuponfilmandtvcosts">Model!$258:$258</definedName>
    <definedName name="z_YIW8LT0190_MO_OS_Amortizationofstepuponfilmandtvcostscalculated">Model!$314:$314</definedName>
    <definedName name="z_YIW8LT0190_MO_OS_AmortizationofTFCFIntangibleassets">Model!$257:$257</definedName>
    <definedName name="z_YIW8LT0190_MO_OS_AmortizationofTFCFIntangibleassetsandFairvaluestepuponfilmandtvcosts">Model!$400:$400</definedName>
    <definedName name="z_YIW8LT0190_MO_OS_AmortizationofTFCFIntangibleassetsandFairvaluestepuponfilmandtvcosts_1">Model!$439:$439</definedName>
    <definedName name="z_YIW8LT0190_MO_OS_AmortizationofTFCFIntangibleassetscalculated">Model!$313:$313</definedName>
    <definedName name="z_YIW8LT0190_MO_OS_AmortizationofTFCFrelatedequityinvestees">Model!$438:$438</definedName>
    <definedName name="z_YIW8LT0190_MO_OS_Amortizationofvaluestepupfilmandtvcosts">Model!$437:$437</definedName>
    <definedName name="z_YIW8LT0190_MO_OS_asiapacificrevenue">Model!$555:$555</definedName>
    <definedName name="z_YIW8LT0190_MO_OS_BroadcastingCAPEX">Model!$602:$602</definedName>
    <definedName name="z_YIW8LT0190_MO_OS_BroadcastingcumulativeCAPEX">Model!$599:$599</definedName>
    <definedName name="z_YIW8LT0190_MO_OS_BroadcastingDepreciationexpenses">Model!$268:$268</definedName>
    <definedName name="z_YIW8LT0190_MO_OS_BroadcastingNetworksCumulativeCapitalExpenditures">Model!$274:$274</definedName>
    <definedName name="z_YIW8LT0190_MO_OS_Broadcastingoperatingincome">Model!$293:$293</definedName>
    <definedName name="z_YIW8LT0190_MO_OS_Broadcastingrevenues">Model!$586:$586</definedName>
    <definedName name="z_YIW8LT0190_MO_OS_Broadcastingrevenues_1">Model!$250:$250</definedName>
    <definedName name="z_YIW8LT0190_MO_OS_Broadcastingrevenuesgrowth">Model!$246:$246</definedName>
    <definedName name="z_YIW8LT0190_MO_OS_Broadcastingsegmentoperatingincome">Model!$612:$612</definedName>
    <definedName name="z_YIW8LT0190_MO_OS_CableMediaNetworksCumulativeCapitalExpenditures">Model!$273:$273</definedName>
    <definedName name="z_YIW8LT0190_MO_OS_CableNetworksCAPEX">Model!$601:$601</definedName>
    <definedName name="z_YIW8LT0190_MO_OS_CableNetworkscumulativeCAPEX">Model!$598:$598</definedName>
    <definedName name="z_YIW8LT0190_MO_OS_CableNetworksDepreciationexpenses">Model!$267:$267</definedName>
    <definedName name="z_YIW8LT0190_MO_OS_CableNetworksoperatingincome">Model!$292:$292</definedName>
    <definedName name="z_YIW8LT0190_MO_OS_CableNetworksrevenues">Model!$585:$585</definedName>
    <definedName name="z_YIW8LT0190_MO_OS_CableNetworksrevenues_1">Model!$249:$249</definedName>
    <definedName name="z_YIW8LT0190_MO_OS_CableNetworksrevenuesgrowth">Model!$245:$245</definedName>
    <definedName name="z_YIW8LT0190_MO_OS_CableNetworkssegmentoperatingincome">Model!$611:$611</definedName>
    <definedName name="z_YIW8LT0190_MO_OS_ConsoldiatedEquityInvestment">Model!$498:$498</definedName>
    <definedName name="z_YIW8LT0190_MO_OS_ConsolidatedCOGS">Model!$483:$483</definedName>
    <definedName name="z_YIW8LT0190_MO_OS_ConsolidatedDA">Model!$494:$494</definedName>
    <definedName name="z_YIW8LT0190_MO_OS_ConsolidatedSGA">Model!$488:$488</definedName>
    <definedName name="z_YIW8LT0190_MO_OS_ConsumerProductsInteractiveMediaCAPEX">Model!$685:$685</definedName>
    <definedName name="z_YIW8LT0190_MO_OS_ConsumerProductsInteractiveMediacumulativeCAPEX">Model!$684:$684</definedName>
    <definedName name="z_YIW8LT0190_MO_OS_ConsumerProductsInteractiveMediaEBITMargin">Model!$682:$682</definedName>
    <definedName name="z_YIW8LT0190_MO_OS_ConsumerProductsInteractiveMediaOperatingIncome">Model!$678:$678</definedName>
    <definedName name="z_YIW8LT0190_MO_OS_ConsumerProductsInteractiveMediaOPEXMargin">Model!$680:$680</definedName>
    <definedName name="z_YIW8LT0190_MO_OS_consumerproductsinteractivemediarevenuegrowth">Model!$43:$43</definedName>
    <definedName name="z_YIW8LT0190_MO_OS_ConsumerProductsInteractiveMediaSGAMargin">Model!$681:$681</definedName>
    <definedName name="z_YIW8LT0190_MO_OS_ConsumerProductsInteractiveMediaTotalRevenues">Model!$673:$673</definedName>
    <definedName name="z_YIW8LT0190_MO_OS_ConsumerProductsoperatingincome">Model!$355:$355</definedName>
    <definedName name="z_YIW8LT0190_MO_OS_ConsumerProductsoperatingincome_1">Model!$230:$230</definedName>
    <definedName name="z_YIW8LT0190_MO_OS_ConsumerProductsrevenue_2">Model!$225:$225</definedName>
    <definedName name="z_YIW8LT0190_MO_OS_ConsumerProductsrevenues">Model!$306:$306</definedName>
    <definedName name="z_YIW8LT0190_MO_OS_ConsumerProductsrevenuesgrowth">Model!$300:$300</definedName>
    <definedName name="z_YIW8LT0190_MO_OS_ContentSalesLicensingDA">Model!$129:$129</definedName>
    <definedName name="z_YIW8LT0190_MO_OS_ContentSalesLicensingEquityintheincomeofinvestees">Model!$130:$130</definedName>
    <definedName name="z_YIW8LT0190_MO_OS_ContentSalesLicensingHomeentertainmentrevenue">Model!$124:$124</definedName>
    <definedName name="z_YIW8LT0190_MO_OS_ContentSalesLicensingOperatingexpenses">Model!$127:$127</definedName>
    <definedName name="z_YIW8LT0190_MO_OS_ContentSalesLicensingOperatingexpensesmargin">Model!$133:$133</definedName>
    <definedName name="z_YIW8LT0190_MO_OS_ContentSalesLicensingOperatingIncome">Model!$131:$131</definedName>
    <definedName name="z_YIW8LT0190_MO_OS_ContentSalesLicensingOperatingincomemargin">Model!$135:$135</definedName>
    <definedName name="z_YIW8LT0190_MO_OS_ContentSalesLicensingOtherrevenue">Model!$125:$125</definedName>
    <definedName name="z_YIW8LT0190_MO_OS_ContentSalesLicensingSGA">Model!$128:$128</definedName>
    <definedName name="z_YIW8LT0190_MO_OS_ContentSalesLicensingSGAmargin">Model!$134:$134</definedName>
    <definedName name="z_YIW8LT0190_MO_OS_ContentSalesLicensingTheatricaldistributionrevenue">Model!$123:$123</definedName>
    <definedName name="z_YIW8LT0190_MO_OS_ContentSalesLicensingTotalrevenue">Model!$126:$126</definedName>
    <definedName name="z_YIW8LT0190_MO_OS_ContentSalesLicensingTVSVODdistributionrevenue">Model!$122:$122</definedName>
    <definedName name="z_YIW8LT0190_MO_OS_Corporateandunallocatedsharedexpenses">Model!$527:$527</definedName>
    <definedName name="z_YIW8LT0190_MO_OS_Corporateandunallocatedsharedexpenses_1">"Deleted"</definedName>
    <definedName name="z_YIW8LT0190_MO_OS_CorporateCAPEX">Model!$702:$702</definedName>
    <definedName name="z_YIW8LT0190_MO_OS_CorporatecumulativeCAPEX">Model!$701:$701</definedName>
    <definedName name="z_YIW8LT0190_MO_OS_CorporateCumulativeTotalCapitalExpenditures">Model!$547:$547</definedName>
    <definedName name="z_YIW8LT0190_MO_OS_CorporateDAexpenses">Model!$492:$492</definedName>
    <definedName name="z_YIW8LT0190_MO_OS_Corporatedepreciationandamortizationexpenses">Model!$690:$690</definedName>
    <definedName name="z_YIW8LT0190_MO_OS_Corporatedepreciationandamortizationexpenses_1">Model!$526:$526</definedName>
    <definedName name="z_YIW8LT0190_MO_OS_Corporateoperatingexpenses">Model!$689:$689</definedName>
    <definedName name="z_YIW8LT0190_MO_OS_Corporateoperatingexpenses_1">Model!$525:$525</definedName>
    <definedName name="z_YIW8LT0190_MO_OS_CorporateoperatingExpenses_2">Model!$486:$486</definedName>
    <definedName name="z_YIW8LT0190_MO_OS_CorporateTotalCapitalExpenditures">Model!$548:$548</definedName>
    <definedName name="z_YIW8LT0190_MO_OS_Costofgoodssoldanddistributioncosts">Model!$239:$239</definedName>
    <definedName name="z_YIW8LT0190_MO_OS_Depreciationandamortizationexpenses">Model!$590:$590</definedName>
    <definedName name="z_YIW8LT0190_MO_OS_Depreciationandamortizationexpenses_1">Model!$622:$622</definedName>
    <definedName name="z_YIW8LT0190_MO_OS_Depreciationandamortizationexpenses_2">Model!$659:$659</definedName>
    <definedName name="z_YIW8LT0190_MO_OS_Depreciationandamortizationexpenses_3">Model!$676:$676</definedName>
    <definedName name="z_YIW8LT0190_MO_OS_Depreciationandamortizationexpenses_4">Model!$254:$254</definedName>
    <definedName name="z_YIW8LT0190_MO_OS_Depreciationandamortizationexpenses_5">Model!$310:$310</definedName>
    <definedName name="z_YIW8LT0190_MO_OS_Depreciationandamortizationexpenses_6">Model!$395:$395</definedName>
    <definedName name="z_YIW8LT0190_MO_OS_Depreciationandamortizationexpenses_7">Model!$433:$433</definedName>
    <definedName name="z_YIW8LT0190_MO_OS_DirecttoConsumerAdvertisingrevenue">Model!$109:$109</definedName>
    <definedName name="z_YIW8LT0190_MO_OS_DirecttoConsumerDA">Model!$114:$114</definedName>
    <definedName name="z_YIW8LT0190_MO_OS_DirecttoConsumerEquityintheincomeofinvestees">Model!$115:$115</definedName>
    <definedName name="z_YIW8LT0190_MO_OS_DirecttoConsumerInternationalAmortizationexpenses">Model!$449:$449</definedName>
    <definedName name="z_YIW8LT0190_MO_OS_DirecttoConsumerInternationalCapitalExpenditures">Model!$453:$453</definedName>
    <definedName name="z_YIW8LT0190_MO_OS_DirecttoConsumerInternationalCumulativeCapitalExpenditures">Model!$452:$452</definedName>
    <definedName name="z_YIW8LT0190_MO_OS_DirecttoConsumerInternationalDepreciationandAmortizationexpenses">Model!$450:$450</definedName>
    <definedName name="z_YIW8LT0190_MO_OS_DirecttoConsumerInternationalDepreciationexpenses">Model!$448:$448</definedName>
    <definedName name="z_YIW8LT0190_MO_OS_DirecttoConsumerInternationalEBITMargin">Model!$446:$446</definedName>
    <definedName name="z_YIW8LT0190_MO_OS_DirecttoConsumerInternationalOperatingIncome">Model!$435:$435</definedName>
    <definedName name="z_YIW8LT0190_MO_OS_DirecttoConsumerInternationalOperatingIncome_1">Model!$476:$476</definedName>
    <definedName name="z_YIW8LT0190_MO_OS_DirecttoConsumerInternationalOperatingIncome_2">Model!$57:$57</definedName>
    <definedName name="z_YIW8LT0190_MO_OS_DirecttoConsumerInternationalOPEXMargin">Model!$444:$444</definedName>
    <definedName name="z_YIW8LT0190_MO_OS_DirecttoConsumerInternationalRevenueGrowth">Model!$425:$425</definedName>
    <definedName name="z_YIW8LT0190_MO_OS_DirecttoConsumerInternationalsAmericasRevenue">Model!$467:$467</definedName>
    <definedName name="z_YIW8LT0190_MO_OS_DirecttoConsumerInternationalsAsiaPacificRevenue">Model!$469:$469</definedName>
    <definedName name="z_YIW8LT0190_MO_OS_DirecttoConsumerInternationalsEuropeRevenue">Model!$468:$468</definedName>
    <definedName name="z_YIW8LT0190_MO_OS_DirecttoConsumerInternationalSGAMargin">Model!$445:$445</definedName>
    <definedName name="z_YIW8LT0190_MO_OS_DirecttoConsumerInternationalsLatinAmericaRevenue">Model!$466:$466</definedName>
    <definedName name="z_YIW8LT0190_MO_OS_DirecttoConsumerInternationalsUnitedStatesandCanadaRevenue">Model!$465:$465</definedName>
    <definedName name="z_YIW8LT0190_MO_OS_DirecttoConsumerInternationalTotalRevenues">Model!$430:$430</definedName>
    <definedName name="z_YIW8LT0190_MO_OS_DirecttoConsumerInternationalTotalRevenues_1">Model!$463:$463</definedName>
    <definedName name="z_YIW8LT0190_MO_OS_DirecttoConsumerOperatingexpenses">Model!$112:$112</definedName>
    <definedName name="z_YIW8LT0190_MO_OS_DirecttoConsumerOperatingexpensesmargin">Model!$118:$118</definedName>
    <definedName name="z_YIW8LT0190_MO_OS_DirecttoConsumerOperatingIncome">Model!$116:$116</definedName>
    <definedName name="z_YIW8LT0190_MO_OS_DirecttoConsumerOperatingincomemargin">Model!$120:$120</definedName>
    <definedName name="z_YIW8LT0190_MO_OS_DirecttoConsumerSGA">Model!$113:$113</definedName>
    <definedName name="z_YIW8LT0190_MO_OS_DirecttoConsumerSGAmargin">Model!$119:$119</definedName>
    <definedName name="z_YIW8LT0190_MO_OS_DirecttoConsumerSubscriptionfeesrevenue">Model!$108:$108</definedName>
    <definedName name="z_YIW8LT0190_MO_OS_DirecttoConsumerTotalrevenue">Model!$111:$111</definedName>
    <definedName name="z_YIW8LT0190_MO_OS_DirecttoConsumerTVSVODdistributionandotherrevenue">Model!$110:$110</definedName>
    <definedName name="z_YIW8LT0190_MO_OS_DiscrepancyinSegmentCOGS">Model!$482:$482</definedName>
    <definedName name="z_YIW8LT0190_MO_OS_DiscrepancyinSegmentDA">Model!$493:$493</definedName>
    <definedName name="z_YIW8LT0190_MO_OS_DiscrepancyinSegmentSGA">Model!$487:$487</definedName>
    <definedName name="z_YIW8LT0190_MO_OS_DisneyARPU">Model!$161:$161</definedName>
    <definedName name="z_YIW8LT0190_MO_OS_Disneyrevenuecalculated">Model!$164:$164</definedName>
    <definedName name="z_YIW8LT0190_MO_OS_DisneySubscribers">Model!$158:$158</definedName>
    <definedName name="z_YIW8LT0190_MO_OS_domesticavailableroomnights">Model!$642:$642</definedName>
    <definedName name="z_YIW8LT0190_MO_OS_domestichoteloccupancy">Model!$641:$641</definedName>
    <definedName name="z_YIW8LT0190_MO_OS_Domesticincreasedecreaseinparksattendance">Model!$359:$359</definedName>
    <definedName name="z_YIW8LT0190_MO_OS_Domesticincreasedecreaseinparkspercapitaguestspending">Model!$363:$363</definedName>
    <definedName name="z_YIW8LT0190_MO_OS_DomesticParksandResortsCAPEX">Model!$633:$633</definedName>
    <definedName name="z_YIW8LT0190_MO_OS_DomesticParksandResortscumulativeCAPEX">Model!$630:$630</definedName>
    <definedName name="z_YIW8LT0190_MO_OS_DomesticParksExperiencesConsumerProductsCumulativeCapitalExpenditures">Model!$328:$328</definedName>
    <definedName name="z_YIW8LT0190_MO_OS_DomesticParksExperiencesConsumerProductsDepreciationexpenses">Model!$322:$322</definedName>
    <definedName name="z_YIW8LT0190_MO_OS_DomesticParksExperiencesoperatingincome">Model!$352:$352</definedName>
    <definedName name="z_YIW8LT0190_MO_OS_DomesticParksExperiencesrevenues">Model!$303:$303</definedName>
    <definedName name="z_YIW8LT0190_MO_OS_DomesticParksExperiencesrevenuesgrowth">Model!$298:$298</definedName>
    <definedName name="z_YIW8LT0190_MO_OS_Domesticparksincreaseinattendance">Model!$638:$638</definedName>
    <definedName name="z_YIW8LT0190_MO_OS_Domesticparksincreaseinpercapitaguestspending">Model!$639:$639</definedName>
    <definedName name="z_YIW8LT0190_MO_OS_domesticperroomguestspending">Model!$643:$643</definedName>
    <definedName name="z_YIW8LT0190_MO_OS_Domesticresortsavailableroomnights">Model!$371:$371</definedName>
    <definedName name="z_YIW8LT0190_MO_OS_Domesticresortsoccupancy">Model!$367:$367</definedName>
    <definedName name="z_YIW8LT0190_MO_OS_Domesticresortsperroomguestspending">Model!$375:$375</definedName>
    <definedName name="z_YIW8LT0190_MO_OS_Domesticrevenues">Model!$617:$617</definedName>
    <definedName name="z_YIW8LT0190_MO_OS_DTCbusinessesandotheroperatingincome">Model!$473:$473</definedName>
    <definedName name="z_YIW8LT0190_MO_OS_DTCbusinessesandotherrevenues">Model!$428:$428</definedName>
    <definedName name="z_YIW8LT0190_MO_OS_DTCbusinessesandotherrevenuesgrowth">Model!$424:$424</definedName>
    <definedName name="z_YIW8LT0190_MO_OS_DTCdiscrepancy">Model!$196:$196</definedName>
    <definedName name="z_YIW8LT0190_MO_OS_EBITReportedinRIS">Model!$540:$540</definedName>
    <definedName name="z_YIW8LT0190_MO_OS_Eliminationofexpenses">Model!$516:$516</definedName>
    <definedName name="z_YIW8LT0190_MO_OS_EliminationsAmericas">Model!$511:$511</definedName>
    <definedName name="z_YIW8LT0190_MO_OS_EliminationsAsiaPacificRevenue">Model!$513:$513</definedName>
    <definedName name="z_YIW8LT0190_MO_OS_EliminationsEuropeRevenue">Model!$512:$512</definedName>
    <definedName name="z_YIW8LT0190_MO_OS_EliminationsLatinAmericaRevenue">Model!$510:$510</definedName>
    <definedName name="z_YIW8LT0190_MO_OS_EliminationsUnitedStatesandCanadaRevenue">Model!$509:$509</definedName>
    <definedName name="z_YIW8LT0190_MO_OS_Equityintheincomeofinvestees">Model!$591:$591</definedName>
    <definedName name="z_YIW8LT0190_MO_OS_Equityintheincomeofinvestees_1">Model!$613:$613</definedName>
    <definedName name="z_YIW8LT0190_MO_OS_Equityintheincomeofinvestees_10">Model!$475:$475</definedName>
    <definedName name="z_YIW8LT0190_MO_OS_Equityintheincomeofinvestees_11">Model!$539:$539</definedName>
    <definedName name="z_YIW8LT0190_MO_OS_Equityintheincomeofinvestees_12">Model!$102:$102</definedName>
    <definedName name="z_YIW8LT0190_MO_OS_Equityintheincomeofinvestees_2">Model!$623:$623</definedName>
    <definedName name="z_YIW8LT0190_MO_OS_Equityintheincomeofinvestees_3">Model!$660:$660</definedName>
    <definedName name="z_YIW8LT0190_MO_OS_Equityintheincomeofinvestees_4">Model!$677:$677</definedName>
    <definedName name="z_YIW8LT0190_MO_OS_Equityintheincomeofinvestees_5">Model!$255:$255</definedName>
    <definedName name="z_YIW8LT0190_MO_OS_Equityintheincomeofinvestees_6">Model!$294:$294</definedName>
    <definedName name="z_YIW8LT0190_MO_OS_Equityintheincomeofinvestees_7">Model!$311:$311</definedName>
    <definedName name="z_YIW8LT0190_MO_OS_Equityintheincomeofinvestees_8">Model!$396:$396</definedName>
    <definedName name="z_YIW8LT0190_MO_OS_Equityintheincomeofinvestees_9">Model!$434:$434</definedName>
    <definedName name="z_YIW8LT0190_MO_OS_ESPNARPU">Model!$169:$169</definedName>
    <definedName name="z_YIW8LT0190_MO_OS_ESPNrevenuecalculated">Model!$172:$172</definedName>
    <definedName name="z_YIW8LT0190_MO_OS_ESPNSubscribers">Model!$166:$166</definedName>
    <definedName name="z_YIW8LT0190_MO_OS_europerevenue">Model!$554:$554</definedName>
    <definedName name="z_YIW8LT0190_MO_OS_Homeentertainment_4">Model!$71:$71</definedName>
    <definedName name="z_YIW8LT0190_MO_OS_Homeentertainment_5">Model!$564:$564</definedName>
    <definedName name="z_YIW8LT0190_MO_OS_Homeentertainmentrevenues">Model!$654:$654</definedName>
    <definedName name="z_YIW8LT0190_MO_OS_Homeentertainmentrevenues_1">Model!$388:$388</definedName>
    <definedName name="z_YIW8LT0190_MO_OS_Homeentertainmentrevenues_2">Model!$461:$461</definedName>
    <definedName name="z_YIW8LT0190_MO_OS_Homeentertainmentrevenuesgrowth">Model!$381:$381</definedName>
    <definedName name="z_YIW8LT0190_MO_OS_HulublendedARPUcalculated">Model!$192:$192</definedName>
    <definedName name="z_YIW8LT0190_MO_OS_HuluGain">Model!$442:$442</definedName>
    <definedName name="z_YIW8LT0190_MO_OS_HuluLiveTVSVOD">Model!$182:$182</definedName>
    <definedName name="z_YIW8LT0190_MO_OS_HuluLiveTVSVODARPU">Model!$185:$185</definedName>
    <definedName name="z_YIW8LT0190_MO_OS_HuluLiveTVSVODrevenuecalculated">Model!$188:$188</definedName>
    <definedName name="z_YIW8LT0190_MO_OS_HuluSVODOnly">Model!$174:$174</definedName>
    <definedName name="z_YIW8LT0190_MO_OS_HuluSVODOnlyARPU">Model!$177:$177</definedName>
    <definedName name="z_YIW8LT0190_MO_OS_HuluSVODonlyrevenuecalculated">Model!$180:$180</definedName>
    <definedName name="z_YIW8LT0190_MO_OS_Impairmentofequityinvestment_1">Model!$261:$261</definedName>
    <definedName name="z_YIW8LT0190_MO_OS_Impairmentofequityinvestments">Model!$532:$532</definedName>
    <definedName name="z_YIW8LT0190_MO_OS_Impairmentofequityinvestments_1">Model!$441:$441</definedName>
    <definedName name="z_YIW8LT0190_MO_OS_IncomeBeforeIncomeTaxes">Model!$535:$535</definedName>
    <definedName name="z_YIW8LT0190_MO_OS_Infinitycharge">Model!$534:$534</definedName>
    <definedName name="z_YIW8LT0190_MO_OS_Infrastructurecosts">Model!$238:$238</definedName>
    <definedName name="z_YIW8LT0190_MO_OS_Interestexpenseincomenet">Model!$530:$530</definedName>
    <definedName name="z_YIW8LT0190_MO_OS_Interestexpenseincomenet_1">Model!$538:$538</definedName>
    <definedName name="z_YIW8LT0190_MO_OS_internationalavailableroomnights">Model!$649:$649</definedName>
    <definedName name="z_YIW8LT0190_MO_OS_InternationalChannelsoperatingincome">Model!$472:$472</definedName>
    <definedName name="z_YIW8LT0190_MO_OS_InternationalChannelsrevenues">Model!$427:$427</definedName>
    <definedName name="z_YIW8LT0190_MO_OS_Internationalchannelsrevenuesgrowth">Model!$423:$423</definedName>
    <definedName name="z_YIW8LT0190_MO_OS_internationalhoteloccupancy">Model!$648:$648</definedName>
    <definedName name="z_YIW8LT0190_MO_OS_Internationalincreasedecreaseinparksattendance">Model!$360:$360</definedName>
    <definedName name="z_YIW8LT0190_MO_OS_Internationalincreasedecreaseinparkspercapitaguestspending">Model!$364:$364</definedName>
    <definedName name="z_YIW8LT0190_MO_OS_InternationalParksandResortsCAPEX">Model!$634:$634</definedName>
    <definedName name="z_YIW8LT0190_MO_OS_InternationalParksandResortscumulativeCAPEX">Model!$631:$631</definedName>
    <definedName name="z_YIW8LT0190_MO_OS_InternationalParksExperiencesConsumerProductsCumulativeCapitalExpenditures">Model!$329:$329</definedName>
    <definedName name="z_YIW8LT0190_MO_OS_InternationalParksExperiencesConsumerProductsDepreciationexpenses">Model!$323:$323</definedName>
    <definedName name="z_YIW8LT0190_MO_OS_InternationalParksExperiencesoperatingincome">Model!$353:$353</definedName>
    <definedName name="z_YIW8LT0190_MO_OS_InternationalParksExperiencesrevenues">Model!$304:$304</definedName>
    <definedName name="z_YIW8LT0190_MO_OS_InternationalParksExperiencesrevenuesgrowth">Model!$299:$299</definedName>
    <definedName name="z_YIW8LT0190_MO_OS_Internationalparksincreaseinattendance">Model!$645:$645</definedName>
    <definedName name="z_YIW8LT0190_MO_OS_Internationalparksincreaseinpercapitaguestspending">Model!$646:$646</definedName>
    <definedName name="z_YIW8LT0190_MO_OS_internationalperroomguestspending">Model!$650:$650</definedName>
    <definedName name="z_YIW8LT0190_MO_OS_Internationalresortsavailableroomnights">Model!$372:$372</definedName>
    <definedName name="z_YIW8LT0190_MO_OS_Internationalresortsoccupancy">Model!$368:$368</definedName>
    <definedName name="z_YIW8LT0190_MO_OS_Internationalresortsperroomguestspending">Model!$376:$376</definedName>
    <definedName name="z_YIW8LT0190_MO_OS_Internationalrevenues">Model!$618:$618</definedName>
    <definedName name="z_YIW8LT0190_MO_OS_Inventories">Model!$972:$972</definedName>
    <definedName name="z_YIW8LT0190_MO_OS_InventoriesYYChange">Model!$976:$976</definedName>
    <definedName name="z_YIW8LT0190_MO_OS_LatinAmericaandOtherRevenue">Model!$552:$552</definedName>
    <definedName name="z_YIW8LT0190_MO_OS_Licensingpublishingandgamesrevenues">Model!$671:$671</definedName>
    <definedName name="z_YIW8LT0190_MO_OS_LinearNetworkAdvertisingrevenue">Model!$83:$83</definedName>
    <definedName name="z_YIW8LT0190_MO_OS_LinearNetworkAffiliatefeesrevenue">Model!$78:$78</definedName>
    <definedName name="z_YIW8LT0190_MO_OS_LinearNetworkBroadcastingadvertisingrevenue">Model!$80:$80</definedName>
    <definedName name="z_YIW8LT0190_MO_OS_LinearNetworkCableadvertisingrevenue">Model!$79:$79</definedName>
    <definedName name="z_YIW8LT0190_MO_OS_LinearNetworkDA">Model!$88:$88</definedName>
    <definedName name="z_YIW8LT0190_MO_OS_LinearNetworkDomesticaffiliatefeesrevenue">Model!$76:$76</definedName>
    <definedName name="z_YIW8LT0190_MO_OS_LinearNetworkDomesticchannelsadvertisingrevenue">Model!$81:$81</definedName>
    <definedName name="z_YIW8LT0190_MO_OS_LinearNetworkDomesticchannelsoperatingincomemargin">Model!$105:$105</definedName>
    <definedName name="z_YIW8LT0190_MO_OS_LinearNetworkDomesticchannelsrevenue">Model!$96:$96</definedName>
    <definedName name="z_YIW8LT0190_MO_OS_LinearNetworkEquityintheincomeofinvestees">Model!$89:$89</definedName>
    <definedName name="z_YIW8LT0190_MO_OS_LinearNetworkInternationalaffiliatefeesrevenue">Model!$77:$77</definedName>
    <definedName name="z_YIW8LT0190_MO_OS_LinearNetworkInternationalchannelsadvertisingrevenue">Model!$82:$82</definedName>
    <definedName name="z_YIW8LT0190_MO_OS_LinearNetworkInternationalchannelsoperatingincomemargin">Model!$106:$106</definedName>
    <definedName name="z_YIW8LT0190_MO_OS_LinearNetworkInternationalchannelsrevenue">Model!$97:$97</definedName>
    <definedName name="z_YIW8LT0190_MO_OS_LinearNetworkOperatingexpenses">Model!$86:$86</definedName>
    <definedName name="z_YIW8LT0190_MO_OS_LinearNetworkOperatingexpensesmargin">Model!$92:$92</definedName>
    <definedName name="z_YIW8LT0190_MO_OS_LinearNetworkOperatingIncome">Model!$90:$90</definedName>
    <definedName name="z_YIW8LT0190_MO_OS_LinearNetworkOperatingIncome_2">Model!$103:$103</definedName>
    <definedName name="z_YIW8LT0190_MO_OS_LinearNetworkOperatingincomemargin">Model!$94:$94</definedName>
    <definedName name="z_YIW8LT0190_MO_OS_LinearNetworkOtherrevenue">Model!$84:$84</definedName>
    <definedName name="z_YIW8LT0190_MO_OS_LinearNetworksDomesticchannelsoperatingincome">Model!$100:$100</definedName>
    <definedName name="z_YIW8LT0190_MO_OS_LinearNetworkSGA">Model!$87:$87</definedName>
    <definedName name="z_YIW8LT0190_MO_OS_LinearNetworkSGAmargin">Model!$93:$93</definedName>
    <definedName name="z_YIW8LT0190_MO_OS_LinearNetworksInternationalchannelsoperatingincome">Model!$101:$101</definedName>
    <definedName name="z_YIW8LT0190_MO_OS_LinearNetworkTotalrevenue">Model!$85:$85</definedName>
    <definedName name="z_YIW8LT0190_MO_OS_LinearNetworkTotalrevenue_1">Model!$98:$98</definedName>
    <definedName name="z_YIW8LT0190_MO_OS_MediaandEntertainmentDistributionAmortization">Model!$151:$151</definedName>
    <definedName name="z_YIW8LT0190_MO_OS_MediaandEntertainmentDistributionCapex">Model!$155:$155</definedName>
    <definedName name="z_YIW8LT0190_MO_OS_MediaandEntertainmentDistributionContentSalesLicensingandOtherrevenue">Model!$139:$139</definedName>
    <definedName name="z_YIW8LT0190_MO_OS_MediaandEntertainmentDistributionDA">Model!$144:$144</definedName>
    <definedName name="z_YIW8LT0190_MO_OS_MediaandEntertainmentDistributionDA_2">Model!$153:$153</definedName>
    <definedName name="z_YIW8LT0190_MO_OS_MediaandEntertainmentDistributionDADiscrepancy">Model!$152:$152</definedName>
    <definedName name="z_YIW8LT0190_MO_OS_MediaandEntertainmentDistributionDepreciation">Model!$150:$150</definedName>
    <definedName name="z_YIW8LT0190_MO_OS_MediaandEntertainmentDistributionDirecttoConsumerrevenue">Model!$138:$138</definedName>
    <definedName name="z_YIW8LT0190_MO_OS_MediaandEntertainmentDistributionEliminationofIntrasegmentrevenue">Model!$140:$140</definedName>
    <definedName name="z_YIW8LT0190_MO_OS_MediaandEntertainmentDistributionEliminationofIntrasegmentrevenue_1">Model!$481:$481</definedName>
    <definedName name="z_YIW8LT0190_MO_OS_MediaandEntertainmentDistributionEquityintheincomeofinvestees">Model!$145:$145</definedName>
    <definedName name="z_YIW8LT0190_MO_OS_MediaandEntertainmentDistributionLinearNetworksrevenue">Model!$137:$137</definedName>
    <definedName name="z_YIW8LT0190_MO_OS_MediaandEntertainmentDistributionOperatingexpenses">Model!$142:$142</definedName>
    <definedName name="z_YIW8LT0190_MO_OS_MediaandEntertainmentDistributionOperatingIncome">Model!$52:$52</definedName>
    <definedName name="z_YIW8LT0190_MO_OS_MediaandEntertainmentDistributionOperatingIncome_1">Model!$146:$146</definedName>
    <definedName name="z_YIW8LT0190_MO_OS_MediaandEntertainmentDistributionOperatingincomemargin">Model!$148:$148</definedName>
    <definedName name="z_YIW8LT0190_MO_OS_MediaandEntertainmentDistributionSGA">Model!$143:$143</definedName>
    <definedName name="z_YIW8LT0190_MO_OS_MediaandEntertainmentDistributionTotalrevenue">Model!$48:$48</definedName>
    <definedName name="z_YIW8LT0190_MO_OS_MediaandEntertainmentDistributionTotalrevenue_1">Model!$141:$141</definedName>
    <definedName name="z_YIW8LT0190_MO_OS_MediaNetworksAmericasRevenue">Model!$287:$287</definedName>
    <definedName name="z_YIW8LT0190_MO_OS_MediaNetworksAmortization_1">"Deleted"</definedName>
    <definedName name="z_YIW8LT0190_MO_OS_MediaNetworksAmortizationexpenses">Model!$270:$270</definedName>
    <definedName name="z_YIW8LT0190_MO_OS_MediaNetworksAsiaPacificRevenue">Model!$289:$289</definedName>
    <definedName name="z_YIW8LT0190_MO_OS_MediaNetworksCAPEX">Model!$603:$603</definedName>
    <definedName name="z_YIW8LT0190_MO_OS_MediaNetworksCapitalExpenditures">Model!$276:$276</definedName>
    <definedName name="z_YIW8LT0190_MO_OS_MediaNetworkscontenttransactionswithDTCI">Model!$502:$502</definedName>
    <definedName name="z_YIW8LT0190_MO_OS_MediaNetworkscontenttransactionswithDTCI_1">Model!$520:$520</definedName>
    <definedName name="z_YIW8LT0190_MO_OS_MediaNetworkscumulativeCAPEX">Model!$600:$600</definedName>
    <definedName name="z_YIW8LT0190_MO_OS_MediaNetworksCumulativeCapitalExpenditures">Model!$275:$275</definedName>
    <definedName name="z_YIW8LT0190_MO_OS_MediaNetworksDepreciation_2">"Deleted"</definedName>
    <definedName name="z_YIW8LT0190_MO_OS_MediaNetworksDepreciationandAmortization_1">"Deleted"</definedName>
    <definedName name="z_YIW8LT0190_MO_OS_MediaNetworksDepreciationandAmortizationexpenses">Model!$271:$271</definedName>
    <definedName name="z_YIW8LT0190_MO_OS_MediaNetworksDepreciationexpenses">Model!$269:$269</definedName>
    <definedName name="z_YIW8LT0190_MO_OS_MediaNetworksEBITMargin">Model!$596:$596</definedName>
    <definedName name="z_YIW8LT0190_MO_OS_MediaNetworksEBITMargin_1">Model!$265:$265</definedName>
    <definedName name="z_YIW8LT0190_MO_OS_MediaNetworksEuropeRevenue">Model!$288:$288</definedName>
    <definedName name="z_YIW8LT0190_MO_OS_MediaNetworksLatinAmericaRevenue">Model!$286:$286</definedName>
    <definedName name="z_YIW8LT0190_MO_OS_MediaNetworksOperatingIncome">Model!$592:$592</definedName>
    <definedName name="z_YIW8LT0190_MO_OS_MediaNetworksOperatingIncome_1">Model!$614:$614</definedName>
    <definedName name="z_YIW8LT0190_MO_OS_MediaNetworksOperatingIncome_2">Model!$256:$256</definedName>
    <definedName name="z_YIW8LT0190_MO_OS_MediaNetworksOperatingIncome_3">Model!$295:$295</definedName>
    <definedName name="z_YIW8LT0190_MO_OS_MediaNetworksOperatingIncome_4">Model!$54:$54</definedName>
    <definedName name="z_YIW8LT0190_MO_OS_MediaNetworksOPEXMargin">Model!$594:$594</definedName>
    <definedName name="z_YIW8LT0190_MO_OS_MediaNetworksOPEXMargin_1">Model!$263:$263</definedName>
    <definedName name="z_YIW8LT0190_MO_OS_medianetworksrevenuegrowth">Model!$30:$30</definedName>
    <definedName name="z_YIW8LT0190_MO_OS_MediaNetworksRevenueGrowth_1">Model!$247:$247</definedName>
    <definedName name="z_YIW8LT0190_MO_OS_MediaNetworksSGAMargin">Model!$595:$595</definedName>
    <definedName name="z_YIW8LT0190_MO_OS_MediaNetworksSGAMargin_1">Model!$264:$264</definedName>
    <definedName name="z_YIW8LT0190_MO_OS_MediaNetworksTotalRevenues">Model!$587:$587</definedName>
    <definedName name="z_YIW8LT0190_MO_OS_MediaNetworksTotalRevenues_1">Model!$609:$609</definedName>
    <definedName name="z_YIW8LT0190_MO_OS_MediaNetworksTotalRevenues_2">Model!$251:$251</definedName>
    <definedName name="z_YIW8LT0190_MO_OS_MediaNetworksTotalRevenues_3">Model!$283:$283</definedName>
    <definedName name="z_YIW8LT0190_MO_OS_MediaNetworksUnitedStatesandCanadaRevenue">Model!$285:$285</definedName>
    <definedName name="z_YIW8LT0190_MO_OS_Merchandiselicensing_4">Model!$69:$69</definedName>
    <definedName name="z_YIW8LT0190_MO_OS_Merchandiselicensingandretail">Model!$337:$337</definedName>
    <definedName name="z_YIW8LT0190_MO_OS_Merchandiselicensingrevenues">Model!$390:$390</definedName>
    <definedName name="z_YIW8LT0190_MO_OS_Merchandiselicensingrevenues_1">Model!$460:$460</definedName>
    <definedName name="z_YIW8LT0190_MO_OS_Merchandiselicensingrevenuesgrowth">Model!$383:$383</definedName>
    <definedName name="z_YIW8LT0190_MO_OS_Operatingexpenses">Model!$588:$588</definedName>
    <definedName name="z_YIW8LT0190_MO_OS_Operatingexpenses_1">Model!$620:$620</definedName>
    <definedName name="z_YIW8LT0190_MO_OS_Operatingexpenses_2">Model!$657:$657</definedName>
    <definedName name="z_YIW8LT0190_MO_OS_Operatingexpenses_3">Model!$674:$674</definedName>
    <definedName name="z_YIW8LT0190_MO_OS_Operatingexpenses_4">Model!$252:$252</definedName>
    <definedName name="z_YIW8LT0190_MO_OS_Operatingexpenses_5">Model!$308:$308</definedName>
    <definedName name="z_YIW8LT0190_MO_OS_Operatingexpenses_6">Model!$393:$393</definedName>
    <definedName name="z_YIW8LT0190_MO_OS_Operatingexpenses_7">Model!$431:$431</definedName>
    <definedName name="z_YIW8LT0190_MO_OS_Operatinglabor">Model!$237:$237</definedName>
    <definedName name="z_YIW8LT0190_MO_OS_Other_11">Model!$474:$474</definedName>
    <definedName name="z_YIW8LT0190_MO_OS_Other_8">Model!$72:$72</definedName>
    <definedName name="z_YIW8LT0190_MO_OS_Other_9">Model!$565:$565</definedName>
    <definedName name="z_YIW8LT0190_MO_OS_Othercurrentassets">"Deleted"</definedName>
    <definedName name="z_YIW8LT0190_MO_OS_OthercurrentassetsYYChange">"Deleted"</definedName>
    <definedName name="z_YIW8LT0190_MO_OS_Otherexpenseincomenet">Model!$529:$529</definedName>
    <definedName name="z_YIW8LT0190_MO_OS_Otherexpenseincomenet_1">Model!$537:$537</definedName>
    <definedName name="z_YIW8LT0190_MO_OS_Otheroperatingexpense">Model!$240:$240</definedName>
    <definedName name="z_YIW8LT0190_MO_OS_Otherrevenue_5">Model!$429:$429</definedName>
    <definedName name="z_YIW8LT0190_MO_OS_Otherrevenues">Model!$282:$282</definedName>
    <definedName name="z_YIW8LT0190_MO_OS_Otherrevenues_1">Model!$340:$340</definedName>
    <definedName name="z_YIW8LT0190_MO_OS_Otherrevenues_2">Model!$391:$391</definedName>
    <definedName name="z_YIW8LT0190_MO_OS_Otherrevenues_3">Model!$462:$462</definedName>
    <definedName name="z_YIW8LT0190_MO_OS_Otherrevenuesgrowth">Model!$384:$384</definedName>
    <definedName name="z_YIW8LT0190_MO_OS_ParksandResortsEBITMargin">Model!$628:$628</definedName>
    <definedName name="z_YIW8LT0190_MO_OS_ParksandResortsOperatingIncome">Model!$624:$624</definedName>
    <definedName name="z_YIW8LT0190_MO_OS_ParksandResortsOPEXMargin">Model!$626:$626</definedName>
    <definedName name="z_YIW8LT0190_MO_OS_ParksandResortsSGAMargin">Model!$627:$627</definedName>
    <definedName name="z_YIW8LT0190_MO_OS_ParksandResortsTotalRevenues">Model!$619:$619</definedName>
    <definedName name="z_YIW8LT0190_MO_OS_ParksExperienceandProductsAmericasRevenue">Model!$346:$346</definedName>
    <definedName name="z_YIW8LT0190_MO_OS_ParksExperienceandProductsAsiaPacificRevenue">Model!$348:$348</definedName>
    <definedName name="z_YIW8LT0190_MO_OS_ParksExperienceandProductsEuropeRevenue">Model!$347:$347</definedName>
    <definedName name="z_YIW8LT0190_MO_OS_ParksExperienceandProductsLatinAmericaRevenue">Model!$345:$345</definedName>
    <definedName name="z_YIW8LT0190_MO_OS_ParksExperienceandProductsUnitedStatesandCanadaRevenue">Model!$344:$344</definedName>
    <definedName name="z_YIW8LT0190_MO_OS_ParksExperiencesandProductsAmortization">Model!$217:$217</definedName>
    <definedName name="z_YIW8LT0190_MO_OS_ParksExperiencesandProductsCapex">Model!$221:$221</definedName>
    <definedName name="z_YIW8LT0190_MO_OS_ParksExperiencesandProductsConsumerProductsOperatingincomemargin">Model!$235:$235</definedName>
    <definedName name="z_YIW8LT0190_MO_OS_ParksExperiencesandProductsDA">Model!$208:$208</definedName>
    <definedName name="z_YIW8LT0190_MO_OS_ParksExperiencesandProductsDA_2">Model!$219:$219</definedName>
    <definedName name="z_YIW8LT0190_MO_OS_ParksExperiencesandProductsDADiscrepancy">Model!$218:$218</definedName>
    <definedName name="z_YIW8LT0190_MO_OS_ParksExperiencesandProductsDepreciation">Model!$216:$216</definedName>
    <definedName name="z_YIW8LT0190_MO_OS_ParksExperiencesandProductsDomesticOperatingincomemargin">Model!$233:$233</definedName>
    <definedName name="z_YIW8LT0190_MO_OS_ParksExperiencesandProductsEquityintheincomeofinvestees">Model!$209:$209</definedName>
    <definedName name="z_YIW8LT0190_MO_OS_ParksExperiencesandProductsInternationalOperatingincomemargin">Model!$234:$234</definedName>
    <definedName name="z_YIW8LT0190_MO_OS_ParksExperiencesandProductsMerchandiselicensingandretailrevenue">Model!$203:$203</definedName>
    <definedName name="z_YIW8LT0190_MO_OS_ParksExperiencesandProductsOperatingexpenses">Model!$206:$206</definedName>
    <definedName name="z_YIW8LT0190_MO_OS_ParksExperiencesandProductsOperatingexpensesmargin">Model!$212:$212</definedName>
    <definedName name="z_YIW8LT0190_MO_OS_ParksExperiencesandProductsOperatingIncome">Model!$53:$53</definedName>
    <definedName name="z_YIW8LT0190_MO_OS_ParksExperiencesandProductsOperatingincome_1">Model!$210:$210</definedName>
    <definedName name="z_YIW8LT0190_MO_OS_ParksExperiencesandProductsOperatingincome_3">Model!$231:$231</definedName>
    <definedName name="z_YIW8LT0190_MO_OS_ParksExperiencesandProductsOperatingincomemargin">Model!$214:$214</definedName>
    <definedName name="z_YIW8LT0190_MO_OS_ParksExperiencesandProductsParksExperiencesmerchandisefoodandbeveragerevenue">Model!$201:$201</definedName>
    <definedName name="z_YIW8LT0190_MO_OS_ParksExperiencesandProductsParkslicensingandotherrevenue">Model!$204:$204</definedName>
    <definedName name="z_YIW8LT0190_MO_OS_ParksExperiencesandProductsResortsandVacationsrevenue">Model!$202:$202</definedName>
    <definedName name="z_YIW8LT0190_MO_OS_ParksExperiencesandProductsSGA">Model!$207:$207</definedName>
    <definedName name="z_YIW8LT0190_MO_OS_ParksExperiencesandProductsSGAmargin">Model!$213:$213</definedName>
    <definedName name="z_YIW8LT0190_MO_OS_ParksExperiencesandProductsThemeparkadmissionsrevenue">Model!$200:$200</definedName>
    <definedName name="z_YIW8LT0190_MO_OS_ParksExperiencesandProductsTotalrevenue">Model!$49:$49</definedName>
    <definedName name="z_YIW8LT0190_MO_OS_ParksExperiencesandProductsTotalrevenue_1">Model!$205:$205</definedName>
    <definedName name="z_YIW8LT0190_MO_OS_ParksExperiencesandProductsTotalrevenue_2">Model!$226:$226</definedName>
    <definedName name="z_YIW8LT0190_MO_OS_ParksExperiencesConsumerProductsAmortizationexpenses">Model!$325:$325</definedName>
    <definedName name="z_YIW8LT0190_MO_OS_ParksExperiencesConsumerProductsCapitalExpenditures">Model!$331:$331</definedName>
    <definedName name="z_YIW8LT0190_MO_OS_ParksExperiencesConsumerProductsCumulativeCapitalExpenditures">Model!$330:$330</definedName>
    <definedName name="z_YIW8LT0190_MO_OS_ParksExperiencesConsumerProductsDepreciationandAmortizationexpenses">Model!$326:$326</definedName>
    <definedName name="z_YIW8LT0190_MO_OS_ParksExperiencesConsumerProductsDepreciationexpenses">Model!$324:$324</definedName>
    <definedName name="z_YIW8LT0190_MO_OS_ParksExperiencesConsumerProductsEBITMargin">Model!$320:$320</definedName>
    <definedName name="z_YIW8LT0190_MO_OS_ParksExperiencesConsumerProductsOperatingIncome">Model!$312:$312</definedName>
    <definedName name="z_YIW8LT0190_MO_OS_ParksExperiencesConsumerProductsOperatingIncome_1">Model!$356:$356</definedName>
    <definedName name="z_YIW8LT0190_MO_OS_ParksExperiencesConsumerProductsOperatingIncome_2">Model!$55:$55</definedName>
    <definedName name="z_YIW8LT0190_MO_OS_ParksExperiencesConsumerProductsOPEXMargin">Model!$318:$318</definedName>
    <definedName name="z_YIW8LT0190_MO_OS_ParksExperiencesConsumerProductsRevenueGrowth">Model!$301:$301</definedName>
    <definedName name="z_YIW8LT0190_MO_OS_ParksExperiencesConsumerProductsSGAMargin">Model!$319:$319</definedName>
    <definedName name="z_YIW8LT0190_MO_OS_ParksExperiencesConsumerProductsTotalRevenues">Model!$307:$307</definedName>
    <definedName name="z_YIW8LT0190_MO_OS_ParksExperiencesConsumerProductsTotalRevenues_1">Model!$341:$341</definedName>
    <definedName name="z_YIW8LT0190_MO_OS_ParksExperiencesDomesticoperatingincome">Model!$228:$228</definedName>
    <definedName name="z_YIW8LT0190_MO_OS_ParksExperiencesDomesticrevenue">Model!$223:$223</definedName>
    <definedName name="z_YIW8LT0190_MO_OS_ParksExperiencesInternationaloperatingincome">Model!$229:$229</definedName>
    <definedName name="z_YIW8LT0190_MO_OS_ParksExperiencesInternationalrevenue">Model!$224:$224</definedName>
    <definedName name="z_YIW8LT0190_MO_OS_ParksExperiencesmerchandisefoodandbeverage">Model!$335:$335</definedName>
    <definedName name="z_YIW8LT0190_MO_OS_ParksExperiencestotaloperatingincome">Model!$354:$354</definedName>
    <definedName name="z_YIW8LT0190_MO_OS_ParksExperiencestotalrevenues">Model!$305:$305</definedName>
    <definedName name="z_YIW8LT0190_MO_OS_Parkslicensingandother">Model!$338:$338</definedName>
    <definedName name="z_YIW8LT0190_MO_OS_QQDisneyARPUgrowth">Model!$162:$162</definedName>
    <definedName name="z_YIW8LT0190_MO_OS_QQDisneysubscribergrowth">Model!$159:$159</definedName>
    <definedName name="z_YIW8LT0190_MO_OS_QQESPNARPUgrowth">Model!$170:$170</definedName>
    <definedName name="z_YIW8LT0190_MO_OS_QQESPNsubscribergrowth">Model!$167:$167</definedName>
    <definedName name="z_YIW8LT0190_MO_OS_QQLiveTVSVODARPUgrowth">Model!$186:$186</definedName>
    <definedName name="z_YIW8LT0190_MO_OS_QQLiveTVSVODsubscribergrowth">Model!$183:$183</definedName>
    <definedName name="z_YIW8LT0190_MO_OS_QQSVODonlyARPUgrowth">Model!$178:$178</definedName>
    <definedName name="z_YIW8LT0190_MO_OS_QQSVODonlysubscribergrowth">Model!$175:$175</definedName>
    <definedName name="z_YIW8LT0190_MO_OS_Receivables">Model!$971:$971</definedName>
    <definedName name="z_YIW8LT0190_MO_OS_ReceivablesYYChange">Model!$975:$975</definedName>
    <definedName name="z_YIW8LT0190_MO_OS_Resortandvacations">Model!$65:$65</definedName>
    <definedName name="z_YIW8LT0190_MO_OS_Resortsandvacations">Model!$336:$336</definedName>
    <definedName name="z_YIW8LT0190_MO_OS_Restructuringandimpairmentcharges">Model!$528:$528</definedName>
    <definedName name="z_YIW8LT0190_MO_OS_Restructuringandimpairmentcharges_1">Model!$260:$260</definedName>
    <definedName name="z_YIW8LT0190_MO_OS_Restructuringandimpairmentcharges_2">Model!$401:$401</definedName>
    <definedName name="z_YIW8LT0190_MO_OS_Restructuringandimpairmentcharges_3">Model!$440:$440</definedName>
    <definedName name="z_YIW8LT0190_MO_OS_Restructuringandimpairmentcharges_4">Model!$536:$536</definedName>
    <definedName name="z_YIW8LT0190_MO_OS_Retailandotherrevenues">Model!$672:$672</definedName>
    <definedName name="z_YIW8LT0190_MO_OS_Retailandwholesalesalesofmerchandisefoodandbeverage">Model!$66:$66</definedName>
    <definedName name="z_YIW8LT0190_MO_OS_SegmentCOGS">Model!$479:$479</definedName>
    <definedName name="z_YIW8LT0190_MO_OS_SegmentDA">Model!$490:$490</definedName>
    <definedName name="z_YIW8LT0190_MO_OS_SegmentEquityInvestment">Model!$496:$496</definedName>
    <definedName name="z_YIW8LT0190_MO_OS_SegmentOperatingIncome">Model!$524:$524</definedName>
    <definedName name="z_YIW8LT0190_MO_OS_SegmentOperatingIncome_1">Model!$60:$60</definedName>
    <definedName name="z_YIW8LT0190_MO_OS_SegmentSGA">Model!$485:$485</definedName>
    <definedName name="z_YIW8LT0190_MO_OS_Sellinggeneraladministrativeandotherexpenses">Model!$589:$589</definedName>
    <definedName name="z_YIW8LT0190_MO_OS_Sellinggeneraladministrativeandotherexpenses_1">Model!$621:$621</definedName>
    <definedName name="z_YIW8LT0190_MO_OS_Sellinggeneraladministrativeandotherexpenses_2">Model!$658:$658</definedName>
    <definedName name="z_YIW8LT0190_MO_OS_Sellinggeneraladministrativeandotherexpenses_3">Model!$675:$675</definedName>
    <definedName name="z_YIW8LT0190_MO_OS_Sellinggeneraladministrativeandotherexpenses_4">Model!$253:$253</definedName>
    <definedName name="z_YIW8LT0190_MO_OS_Sellinggeneraladministrativeandotherexpenses_5">Model!$309:$309</definedName>
    <definedName name="z_YIW8LT0190_MO_OS_Sellinggeneraladministrativeandotherexpenses_6">Model!$394:$394</definedName>
    <definedName name="z_YIW8LT0190_MO_OS_Sellinggeneraladministrativeandotherexpenses_7">Model!$432:$432</definedName>
    <definedName name="z_YIW8LT0190_MO_OS_StudioEntertainmentAmortizationexpenses">Model!$408:$408</definedName>
    <definedName name="z_YIW8LT0190_MO_OS_StudioEntertainmentCAPEX">Model!$668:$668</definedName>
    <definedName name="z_YIW8LT0190_MO_OS_StudioEntertainmentcontenttransactionswithDTCI">Model!$501:$501</definedName>
    <definedName name="z_YIW8LT0190_MO_OS_StudioEntertainmentcontenttransactionswithDTCI_1">Model!$519:$519</definedName>
    <definedName name="z_YIW8LT0190_MO_OS_StudioEntertainmentcontenttransactionswithMediaNetworks">Model!$500:$500</definedName>
    <definedName name="z_YIW8LT0190_MO_OS_StudioEntertainmentcontenttransactionswithMediaNetworks_1">Model!$518:$518</definedName>
    <definedName name="z_YIW8LT0190_MO_OS_StudioEntertainmentcumulativeCAPEX">Model!$667:$667</definedName>
    <definedName name="z_YIW8LT0190_MO_OS_StudioEntertainmentCumulativeTotalCapitalExpenditures">Model!$411:$411</definedName>
    <definedName name="z_YIW8LT0190_MO_OS_StudioEntertainmentDepreciationandAmortizationexpenses">Model!$409:$409</definedName>
    <definedName name="z_YIW8LT0190_MO_OS_StudioEntertainmentDepreciationexpenses">Model!$407:$407</definedName>
    <definedName name="z_YIW8LT0190_MO_OS_StudioEntertainmentEBITMargin">Model!$665:$665</definedName>
    <definedName name="z_YIW8LT0190_MO_OS_StudioEntertainmentEBITMargin_1">Model!$405:$405</definedName>
    <definedName name="z_YIW8LT0190_MO_OS_StudioEntertainmentOperatingIncome">Model!$661:$661</definedName>
    <definedName name="z_YIW8LT0190_MO_OS_StudioEntertainmentOperatingIncome_1">Model!$397:$397</definedName>
    <definedName name="z_YIW8LT0190_MO_OS_StudioEntertainmentOperatingIncome_2">Model!$56:$56</definedName>
    <definedName name="z_YIW8LT0190_MO_OS_StudioEntertainmentOPEXMargin">Model!$663:$663</definedName>
    <definedName name="z_YIW8LT0190_MO_OS_StudioEntertainmentOPEXMargin_1">Model!$403:$403</definedName>
    <definedName name="z_YIW8LT0190_MO_OS_studioentertainmentrevenuegrowth">Model!$40:$40</definedName>
    <definedName name="z_YIW8LT0190_MO_OS_StudioEntertainmentRevenueGrowth_1">Model!$385:$385</definedName>
    <definedName name="z_YIW8LT0190_MO_OS_StudioEntertainmentsAmericasRevenue">Model!$417:$417</definedName>
    <definedName name="z_YIW8LT0190_MO_OS_StudioEntertainmentsAsiaPacificRevenue">Model!$419:$419</definedName>
    <definedName name="z_YIW8LT0190_MO_OS_StudioEntertainmentsEuropeRevenue">Model!$418:$418</definedName>
    <definedName name="z_YIW8LT0190_MO_OS_StudioEntertainmentSGAMargin">Model!$664:$664</definedName>
    <definedName name="z_YIW8LT0190_MO_OS_StudioEntertainmentSGAMargin_1">Model!$404:$404</definedName>
    <definedName name="z_YIW8LT0190_MO_OS_StudioEntertainmentsLatinAmericaRevenue">Model!$416:$416</definedName>
    <definedName name="z_YIW8LT0190_MO_OS_StudioEntertainmentsUnitedStatesandCanadaRevenue">Model!$415:$415</definedName>
    <definedName name="z_YIW8LT0190_MO_OS_StudioEntertainmentTotalCapitalExpenditures">Model!$412:$412</definedName>
    <definedName name="z_YIW8LT0190_MO_OS_StudioEntertainmentTotalRevenues">Model!$656:$656</definedName>
    <definedName name="z_YIW8LT0190_MO_OS_StudioEntertainmentTotalRevenues_1">Model!$392:$392</definedName>
    <definedName name="z_YIW8LT0190_MO_OS_Subscriptionfee_1">Model!$70:$70</definedName>
    <definedName name="z_YIW8LT0190_MO_OS_Subscriptionfeesandotherrevenues">Model!$458:$458</definedName>
    <definedName name="z_YIW8LT0190_MO_OS_Theatricaldistributionlicensing">Model!$68:$68</definedName>
    <definedName name="z_YIW8LT0190_MO_OS_Theatricaldistributionlicensing_1">Model!$563:$563</definedName>
    <definedName name="z_YIW8LT0190_MO_OS_Theatricaldistributionrevenues">Model!$653:$653</definedName>
    <definedName name="z_YIW8LT0190_MO_OS_Theatricaldistributionrevenues_1">Model!$387:$387</definedName>
    <definedName name="z_YIW8LT0190_MO_OS_Theatricaldistributionrevenuesgrowth">Model!$380:$380</definedName>
    <definedName name="z_YIW8LT0190_MO_OS_Themeparkadmissions">Model!$334:$334</definedName>
    <definedName name="z_YIW8LT0190_MO_OS_Themeparkadmissions_1">Model!$64:$64</definedName>
    <definedName name="z_YIW8LT0190_MO_OS_TotalDirecttoConsumerInternationalGeographicRevenue">Model!$470:$470</definedName>
    <definedName name="z_YIW8LT0190_MO_OS_TotalDTCrevenuecalculated">Model!$195:$195</definedName>
    <definedName name="z_YIW8LT0190_MO_OS_TotalDTCrevenuereported">Model!$197:$197</definedName>
    <definedName name="z_YIW8LT0190_MO_OS_TotalEliminationsGeographicRevenue">Model!$514:$514</definedName>
    <definedName name="z_YIW8LT0190_MO_OS_TotalHulurevenue">Model!$193:$193</definedName>
    <definedName name="z_YIW8LT0190_MO_OS_TotalHuluSubscribers">Model!$190:$190</definedName>
    <definedName name="z_YIW8LT0190_MO_OS_TotalIncreaseDecreaseinParksAttendance">Model!$361:$361</definedName>
    <definedName name="z_YIW8LT0190_MO_OS_TotalIncreaseDecreaseinParksPerCapitaGuestSpending">Model!$365:$365</definedName>
    <definedName name="z_YIW8LT0190_MO_OS_TotalIntersegmentContentTransactionOperatingIncome">Model!$521:$521</definedName>
    <definedName name="z_YIW8LT0190_MO_OS_TotalIntersegmentContentTransactionOperatingIncome_1">Model!$59:$59</definedName>
    <definedName name="z_YIW8LT0190_MO_OS_TotalIntersegmentContentTransactionRevenues">Model!$503:$503</definedName>
    <definedName name="z_YIW8LT0190_MO_OS_TotalIntersegmentContentTransactionRevenuesbysource">Model!$507:$507</definedName>
    <definedName name="z_YIW8LT0190_MO_OS_TotalMediaNetworksGeographicRevenue">Model!$290:$290</definedName>
    <definedName name="z_YIW8LT0190_MO_OS_Totaloperatingexpenses">Model!$241:$241</definedName>
    <definedName name="z_YIW8LT0190_MO_OS_TotalParksandResortsCAPEX">Model!$635:$635</definedName>
    <definedName name="z_YIW8LT0190_MO_OS_TotalParksandResortscumulativeCAPEX">Model!$632:$632</definedName>
    <definedName name="z_YIW8LT0190_MO_OS_totalparksandresortsrevenuegrowth">Model!$34:$34</definedName>
    <definedName name="z_YIW8LT0190_MO_OS_TotalParksExperienceandProductsGeographicRevenue">Model!$349:$349</definedName>
    <definedName name="z_YIW8LT0190_MO_OS_TotalResortsAvailableRoomNights">Model!$373:$373</definedName>
    <definedName name="z_YIW8LT0190_MO_OS_TotalResortsOccupancy">Model!$369:$369</definedName>
    <definedName name="z_YIW8LT0190_MO_OS_TotalResortsPerRoomGuestSpending">Model!$377:$377</definedName>
    <definedName name="z_YIW8LT0190_MO_OS_totalrevenue_1">Model!$556:$556</definedName>
    <definedName name="z_YIW8LT0190_MO_OS_TotalRevenue_2">Model!$73:$73</definedName>
    <definedName name="z_YIW8LT0190_MO_OS_Totalrevenue_3">Model!$50:$50</definedName>
    <definedName name="z_YIW8LT0190_MO_OS_TotalRevenueGrowth">Model!$45:$45</definedName>
    <definedName name="z_YIW8LT0190_MO_OS_TotalStudioEntertainmentGeographicRevenue">Model!$420:$420</definedName>
    <definedName name="z_YIW8LT0190_MO_OS_TVSVODdistributionandotherrevenues">Model!$608:$608</definedName>
    <definedName name="z_YIW8LT0190_MO_OS_TVSVODdistributionandotherrevenues_1">Model!$655:$655</definedName>
    <definedName name="z_YIW8LT0190_MO_OS_TVSVODdistributionandotherrevenues_2">Model!$281:$281</definedName>
    <definedName name="z_YIW8LT0190_MO_OS_TVSVODdistributionandotherrevenues_3">Model!$389:$389</definedName>
    <definedName name="z_YIW8LT0190_MO_OS_TVSVODdistributionandotherrevenuesgrowth">Model!$382:$382</definedName>
    <definedName name="z_YIW8LT0190_MO_OS_TVSVODdistributionlicensing_1">Model!$67:$67</definedName>
    <definedName name="z_YIW8LT0190_MO_OS_TVSVODdistributionlicensing_2">Model!$562:$562</definedName>
    <definedName name="z_YIW8LT0190_MO_OS_TVSVODdistributionlicensingelimination">Model!$506:$506</definedName>
    <definedName name="z_YIW8LT0190_MO_OS_TVSVODdistributionlicensingrevenues">Model!$459:$459</definedName>
    <definedName name="z_YIW8LT0190_MO_OS_UnadjustedCompanyOperatingIncome">"Deleted"</definedName>
    <definedName name="z_YIW8LT0190_MO_OS_unitedstatesandcanadarevenue">Model!$551:$551</definedName>
    <definedName name="z_YIW8LT0190_MO_OS_Vicegain">Model!$533:$533</definedName>
    <definedName name="z_YIW8LT0190_MO_OS_YYDisneyARPUgrowth">Model!$163:$163</definedName>
    <definedName name="z_YIW8LT0190_MO_OS_YYDisneysubscribergrowth">Model!$160:$160</definedName>
    <definedName name="z_YIW8LT0190_MO_OS_YYESPNARPUgrowth">Model!$171:$171</definedName>
    <definedName name="z_YIW8LT0190_MO_OS_YYESPNsubscribergrowth">Model!$168:$168</definedName>
    <definedName name="z_YIW8LT0190_MO_OS_YYLiveTVSVODARPUgrowth">Model!$187:$187</definedName>
    <definedName name="z_YIW8LT0190_MO_OS_YYLiveTVSVODsubscribergrowth">Model!$184:$184</definedName>
    <definedName name="z_YIW8LT0190_MO_OS_YYLiveTVSVODsubscribergrowth_1">Model!$191:$191</definedName>
    <definedName name="z_YIW8LT0190_MO_OS_YYSVODonlyARPUgrowth">Model!$179:$179</definedName>
    <definedName name="z_YIW8LT0190_MO_OS_YYSVODonlysubscribergrowth">Model!$176:$176</definedName>
    <definedName name="z_YIW8LT0190_MO_RIS_AdjustedEarningsPerShareWAD">Model!$798:$798</definedName>
    <definedName name="z_YIW8LT0190_MO_RIS_AdjustedEBITDANoAdjustments">Model!$766:$766</definedName>
    <definedName name="z_YIW8LT0190_MO_RIS_AdjustedNetIncome">Model!$791:$791</definedName>
    <definedName name="z_YIW8LT0190_MO_RIS_AdjustedSharesOutstandingWAD">Model!$803:$803</definedName>
    <definedName name="z_YIW8LT0190_MO_RIS_AdjustmentsforConvertibleSecurities">Model!$787:$787</definedName>
    <definedName name="z_YIW8LT0190_MO_RIS_Amortizationofintangible">Model!$770:$770</definedName>
    <definedName name="z_YIW8LT0190_MO_RIS_COGS">Model!$761:$761</definedName>
    <definedName name="z_YIW8LT0190_MO_RIS_consensusestimatesadjustedearningspersharewad">Model!$799:$799</definedName>
    <definedName name="z_YIW8LT0190_MO_RIS_consensusestimatesadjustedebitda">Model!$767:$767</definedName>
    <definedName name="z_YIW8LT0190_MO_RIS_consensusestimatesnetrevenue">Model!$759:$759</definedName>
    <definedName name="z_YIW8LT0190_MO_RIS_Currenttax">Model!$780:$780</definedName>
    <definedName name="z_YIW8LT0190_MO_RIS_Currenttaxrate">Model!$793:$793</definedName>
    <definedName name="z_YIW8LT0190_MO_RIS_DA">Model!$769:$769</definedName>
    <definedName name="z_YIW8LT0190_MO_RIS_Deferredtax">Model!$781:$781</definedName>
    <definedName name="z_YIW8LT0190_MO_RIS_Deferredtaxrate">Model!$794:$794</definedName>
    <definedName name="z_YIW8LT0190_MO_RIS_DilutedNetIncometoCommonShareholders">Model!$788:$788</definedName>
    <definedName name="z_YIW8LT0190_MO_RIS_DiscontinuedOperations">Model!$783:$783</definedName>
    <definedName name="z_YIW8LT0190_MO_RIS_EarningsfromEquityInvestments">Model!$774:$774</definedName>
    <definedName name="z_YIW8LT0190_MO_RIS_EarningsPerShareWAB">Model!$796:$796</definedName>
    <definedName name="z_YIW8LT0190_MO_RIS_EarningsPerShareWAD">Model!$797:$797</definedName>
    <definedName name="z_YIW8LT0190_MO_RIS_EarningstoPreferredandOtherSecurities">Model!$785:$785</definedName>
    <definedName name="z_YIW8LT0190_MO_RIS_EBIT">Model!$772:$772</definedName>
    <definedName name="z_YIW8LT0190_MO_RIS_EBITDA">Model!$765:$765</definedName>
    <definedName name="z_YIW8LT0190_MO_RIS_EBT">Model!$778:$778</definedName>
    <definedName name="z_YIW8LT0190_MO_RIS_GrossProfit">Model!$762:$762</definedName>
    <definedName name="z_YIW8LT0190_MO_RIS_Interestexpense">Model!$775:$775</definedName>
    <definedName name="z_YIW8LT0190_MO_RIS_NetIncomefromContinuedOperation">Model!$782:$782</definedName>
    <definedName name="z_YIW8LT0190_MO_RIS_NetIncometoCommonShareholders">Model!$786:$786</definedName>
    <definedName name="z_YIW8LT0190_MO_RIS_NetIncometoNCI">Model!$784:$784</definedName>
    <definedName name="z_YIW8LT0190_MO_RIS_NetRevenue">Model!$758:$758</definedName>
    <definedName name="z_YIW8LT0190_MO_RIS_NonGAAPAdjustments">Model!$789:$789</definedName>
    <definedName name="z_YIW8LT0190_MO_RIS_NonGAAPAdjustmentsforDilutiveSecurities">Model!$790:$790</definedName>
    <definedName name="z_YIW8LT0190_MO_RIS_Onetimeitem">Model!$777:$777</definedName>
    <definedName name="z_YIW8LT0190_MO_RIS_Otheritems">Model!$776:$776</definedName>
    <definedName name="z_YIW8LT0190_MO_RIS_SBC">Model!$771:$771</definedName>
    <definedName name="z_YIW8LT0190_MO_RIS_SGAadjforSBC">Model!$764:$764</definedName>
    <definedName name="z_YIW8LT0190_MO_RIS_SharesOutstandingWAB">Model!$801:$801</definedName>
    <definedName name="z_YIW8LT0190_MO_RIS_SharesOutstandingWAD">Model!$802:$802</definedName>
    <definedName name="z_YIW8LT0190_MO_Section_AN_AdjustedNumbers">Model!$738:$738</definedName>
    <definedName name="z_YIW8LT0190_MO_Section_BS_BalanceSheet">Model!$1001:$1001</definedName>
    <definedName name="z_YIW8LT0190_MO_Section_BS_ModelChecks">Model!$1059:$1059</definedName>
    <definedName name="z_YIW8LT0190_MO_Section_BSS_BalanceSheetSummary">Model!$825:$825</definedName>
    <definedName name="z_YIW8LT0190_MO_Section_CCFS_CumulativeCashFlowStatement">Model!$866:$866</definedName>
    <definedName name="z_YIW8LT0190_MO_Section_CFS_CashFlowStatement">Model!$917:$917</definedName>
    <definedName name="z_YIW8LT0190_MO_Section_CFSum_CashFlowSummary">Model!$805:$805</definedName>
    <definedName name="z_YIW8LT0190_MO_Section_DAF_DAForecasting">Model!$979:$979</definedName>
    <definedName name="z_YIW8LT0190_MO_Section_GA_GrowthAnalysis">Model!$6:$6</definedName>
    <definedName name="z_YIW8LT0190_MO_Section_IS_IncomeStatement">Model!$714:$714</definedName>
    <definedName name="z_YIW8LT0190_MO_Section_MA_MarginAnalysis">Model!$704:$704</definedName>
    <definedName name="z_YIW8LT0190_MO_Section_OS_FinancialSummaryOperatingIncome">Model!$47:$47</definedName>
    <definedName name="z_YIW8LT0190_MO_Section_OS_HistoricalSegmentedResultsPriorQ12021SegmentReorganization">Model!$243:$243</definedName>
    <definedName name="z_YIW8LT0190_MO_Section_OS_KeyMetricsDirecttoConsumerInternationalSupplementalRevenueandSegmentOperatingIncomeMDA">Model!$455:$455</definedName>
    <definedName name="z_YIW8LT0190_MO_Section_OS_KeyMetricsDirecttoConsumerOperatingStatsFS">Model!$157:$157</definedName>
    <definedName name="z_YIW8LT0190_MO_Section_OS_KeyMetricsMediaNetworksSupplementalRevenueandSegmentOperatingIncomeMDA">Model!$278:$278</definedName>
    <definedName name="z_YIW8LT0190_MO_Section_OS_KeyMetricsParks_1">Model!$333:$333</definedName>
    <definedName name="z_YIW8LT0190_MO_Section_OS_KeyMetricsParksandResortsStatisticsMDA">Model!$637:$637</definedName>
    <definedName name="z_YIW8LT0190_MO_Section_OS_KeyMetricsParksandResortsStatisticsMDA_1">Model!$358:$358</definedName>
    <definedName name="z_YIW8LT0190_MO_Section_OS_KeyMetricsParksExperiencesConsumerProductsRevenuebyRegionFS">Model!$343:$343</definedName>
    <definedName name="z_YIW8LT0190_MO_Section_OS_KeyMetricsParksExperiencesConsumerProductsSegmentOperatingIncomeMDA">Model!$351:$351</definedName>
    <definedName name="z_YIW8LT0190_MO_Section_OS_KeyMetricsStudioEntertainmentMDA">Model!$414:$414</definedName>
    <definedName name="z_YIW8LT0190_MO_Section_OS_KeyMetricsSupplementalRevenueandSegmentOperatingIncomeMDA">Model!$605:$605</definedName>
    <definedName name="z_YIW8LT0190_MO_Section_OS_SegmentedResultsConsumerProductsInteractiveMediaMDA">Model!$670:$670</definedName>
    <definedName name="z_YIW8LT0190_MO_Section_OS_SegmentedResultsCorporateandUnallocatedSharedExpensesMDA">Model!$687:$687</definedName>
    <definedName name="z_YIW8LT0190_MO_Section_OS_SegmentedResultsCorporateandUnallocatedSharedExpensesMDA_1">Model!$523:$523</definedName>
    <definedName name="z_YIW8LT0190_MO_Section_OS_SegmentedResultsDirecttoConsumerInternationalMDA">Model!$422:$422</definedName>
    <definedName name="z_YIW8LT0190_MO_Section_OS_SegmentedResultsEliminationsMDA">Model!$478:$478</definedName>
    <definedName name="z_YIW8LT0190_MO_Section_OS_SegmentedResultsGeographicBreakdownFS">Model!$550:$550</definedName>
    <definedName name="z_YIW8LT0190_MO_Section_OS_SegmentedResultsMediaandEntertainmentDistributionFS">Model!$75:$75</definedName>
    <definedName name="z_YIW8LT0190_MO_Section_OS_SegmentedResultsMediaNetworksMDA">Model!$584:$584</definedName>
    <definedName name="z_YIW8LT0190_MO_Section_OS_SegmentedResultsMediaNetworksMDA_1">Model!$244:$244</definedName>
    <definedName name="z_YIW8LT0190_MO_Section_OS_SegmentedResultsParks_1">Model!$297:$297</definedName>
    <definedName name="z_YIW8LT0190_MO_Section_OS_SegmentedResultsParksandResortsMDA">Model!$616:$616</definedName>
    <definedName name="z_YIW8LT0190_MO_Section_OS_SegmentedResultsParksExperiencesandProductsFS">Model!$199:$199</definedName>
    <definedName name="z_YIW8LT0190_MO_Section_OS_SegmentedResultsStudioEntertainmentMDA">Model!$652:$652</definedName>
    <definedName name="z_YIW8LT0190_MO_Section_OS_SegmentedResultsStudioEntertainmentMDA_1">Model!$379:$379</definedName>
    <definedName name="z_YIW8LT0190_MO_Section_OS_SegmentedResultsTwentyFirstCenturyFoxMDA">Model!$559:$559</definedName>
    <definedName name="z_YIW8LT0190_MO_Section_OS_WorkingCapitalForecasting">Model!$970:$970</definedName>
    <definedName name="z_YIW8LT0190_MO_Section_RIS_RevisedIncomeStatement">Model!$757:$757</definedName>
    <definedName name="z_YIW8LT0190_MO_Section_SNA_Canalyst">Model!$1164:$1164</definedName>
    <definedName name="z_YIW8LT0190_MO_Section_TB_Tables">Model!$1084:$1084</definedName>
    <definedName name="z_YIW8LT0190_MO_Section_VA_Valuation">Model!$843:$843</definedName>
    <definedName name="z_YIW8LT0190_MO_Unstructured_SNA_AdjustedEarningsPerShareWAD">Model!$1100:$1100</definedName>
    <definedName name="z_YIW8LT0190_MO_Unstructured_SNA_AdjustedEBITDA">Model!$1099:$1099</definedName>
    <definedName name="z_YIW8LT0190_MO_Unstructured_SNA_Avg">Model!$1095:$1095</definedName>
    <definedName name="z_YIW8LT0190_MO_Unstructured_SNA_Bloomberg">Model!$1121:$1121</definedName>
    <definedName name="z_YIW8LT0190_MO_Unstructured_SNA_Bloomberg_1">Model!$1128:$1128</definedName>
    <definedName name="z_YIW8LT0190_MO_Unstructured_SNA_Bloomberg_2">Model!$1135:$1135</definedName>
    <definedName name="z_YIW8LT0190_MO_Unstructured_SNA_Bloomberg_3">Model!$1142:$1142</definedName>
    <definedName name="z_YIW8LT0190_MO_Unstructured_SNA_CapitalIQ">Model!$1122:$1122</definedName>
    <definedName name="z_YIW8LT0190_MO_Unstructured_SNA_CapitalIQ_1">Model!$1129:$1129</definedName>
    <definedName name="z_YIW8LT0190_MO_Unstructured_SNA_CapitalIQ_2">Model!$1136:$1136</definedName>
    <definedName name="z_YIW8LT0190_MO_Unstructured_SNA_CapitalIQ_3">Model!$1143:$1143</definedName>
    <definedName name="z_YIW8LT0190_MO_Unstructured_SNA_ConsensusEstimatesAdjustedEarningsPerShareWAD">Model!$1111:$1111</definedName>
    <definedName name="z_YIW8LT0190_MO_Unstructured_SNA_ConsensusEstimatesAdjustedEBITDA">Model!$1110:$1110</definedName>
    <definedName name="z_YIW8LT0190_MO_Unstructured_SNA_ConsensusEstimatesCapex">Model!$1113:$1113</definedName>
    <definedName name="z_YIW8LT0190_MO_Unstructured_SNA_ConsensusEstimatesCashFlowPerDilutedShare">Model!$1112:$1112</definedName>
    <definedName name="z_YIW8LT0190_MO_Unstructured_SNA_ConsensusEstimatesGrossMargin">Model!$1108:$1108</definedName>
    <definedName name="z_YIW8LT0190_MO_Unstructured_SNA_ConsensusEstimatesNetRevenue">Model!$1109:$1109</definedName>
    <definedName name="z_YIW8LT0190_MO_Unstructured_SNA_ConsensusEstimateTable">Model!$1105:$1105</definedName>
    <definedName name="z_YIW8LT0190_MO_Unstructured_SNA_CurrentFiscalYear">Model!$1160:$1160</definedName>
    <definedName name="z_YIW8LT0190_MO_Unstructured_SNA_DataSourceIndex">Model!$1162:$1162</definedName>
    <definedName name="z_YIW8LT0190_MO_Unstructured_SNA_DISN">Model!$1090:$1090</definedName>
    <definedName name="z_YIW8LT0190_MO_Unstructured_SNA_DISUS">Model!$1087:$1087</definedName>
    <definedName name="z_YIW8LT0190_MO_Unstructured_SNA_DISUS_1">Model!$1089:$1089</definedName>
    <definedName name="z_YIW8LT0190_MO_Unstructured_SNA_EVEBITDAAvg">Model!$1101:$1101</definedName>
    <definedName name="z_YIW8LT0190_MO_Unstructured_SNA_FactSet">Model!$1123:$1123</definedName>
    <definedName name="z_YIW8LT0190_MO_Unstructured_SNA_FactSet_1">Model!$1130:$1130</definedName>
    <definedName name="z_YIW8LT0190_MO_Unstructured_SNA_FactSet_2">Model!$1137:$1137</definedName>
    <definedName name="z_YIW8LT0190_MO_Unstructured_SNA_FactSet_3">Model!$1144:$1144</definedName>
    <definedName name="z_YIW8LT0190_MO_Unstructured_SNA_FirstForecastFiscalYear">Model!$1161:$1161</definedName>
    <definedName name="z_YIW8LT0190_MO_Unstructured_SNA_FiscalPeriodStartDate">Model!$1117:$1117</definedName>
    <definedName name="z_YIW8LT0190_MO_Unstructured_SNA_FXAverageRealTimeOffSource">Model!$1140:$1140</definedName>
    <definedName name="z_YIW8LT0190_MO_Unstructured_SNA_FYorFQ">Model!$1106:$1106</definedName>
    <definedName name="z_YIW8LT0190_MO_Unstructured_SNA_GeneralTable">Model!$1148:$1148</definedName>
    <definedName name="z_YIW8LT0190_MO_Unstructured_SNA_High">Model!$1093:$1093</definedName>
    <definedName name="z_YIW8LT0190_MO_Unstructured_SNA_IsHistoricalPeriod">Model!$1118:$1118</definedName>
    <definedName name="z_YIW8LT0190_MO_Unstructured_SNA_KeyOutputs">Model!$1097:$1097</definedName>
    <definedName name="z_YIW8LT0190_MO_Unstructured_SNA_LastPrice">Model!$1149:$1149</definedName>
    <definedName name="z_YIW8LT0190_MO_Unstructured_SNA_LastPriceDate">Model!$1150:$1150</definedName>
    <definedName name="z_YIW8LT0190_MO_Unstructured_SNA_LastPriceFormula">Model!$1152:$1152</definedName>
    <definedName name="z_YIW8LT0190_MO_Unstructured_SNA_Low">Model!$1094:$1094</definedName>
    <definedName name="z_YIW8LT0190_MO_Unstructured_SNA_ModelSheetCurrencyHardcoded">Model!$1155:$1155</definedName>
    <definedName name="z_YIW8LT0190_MO_Unstructured_SNA_MostRecentFiscalPeriodMRFP">Model!$1159:$1159</definedName>
    <definedName name="z_YIW8LT0190_MO_Unstructured_SNA_MostRecentFX">Model!$1156:$1156</definedName>
    <definedName name="z_YIW8LT0190_MO_Unstructured_SNA_MostRecentFXHardcoded">Model!$1157:$1157</definedName>
    <definedName name="z_YIW8LT0190_MO_Unstructured_SNA_MRFPColumnNumber">Model!$1158:$1158</definedName>
    <definedName name="z_YIW8LT0190_MO_Unstructured_SNA_NetRevenue">Model!$1098:$1098</definedName>
    <definedName name="z_YIW8LT0190_MO_Unstructured_SNA_NYSEDIS">Model!$1088:$1088</definedName>
    <definedName name="z_YIW8LT0190_MO_Unstructured_SNA_PEAvg">Model!$1102:$1102</definedName>
    <definedName name="z_YIW8LT0190_MO_Unstructured_SNA_Period">Model!$1107:$1107</definedName>
    <definedName name="z_YIW8LT0190_MO_Unstructured_SNA_RealTimeOffSource">Model!$1120:$1120</definedName>
    <definedName name="z_YIW8LT0190_MO_Unstructured_SNA_RealTimeOffSource_1">Model!$1127:$1127</definedName>
    <definedName name="z_YIW8LT0190_MO_Unstructured_SNA_RealTimeOffSource_2">Model!$1134:$1134</definedName>
    <definedName name="z_YIW8LT0190_MO_Unstructured_SNA_RealTimeOffSource_3">Model!$1141:$1141</definedName>
    <definedName name="z_YIW8LT0190_MO_Unstructured_SNA_RealTimeStockPrice">Model!$1151:$1151</definedName>
    <definedName name="z_YIW8LT0190_MO_Unstructured_SNA_Refinitiv">Model!$1124:$1124</definedName>
    <definedName name="z_YIW8LT0190_MO_Unstructured_SNA_Refinitiv_1">Model!$1131:$1131</definedName>
    <definedName name="z_YIW8LT0190_MO_Unstructured_SNA_Refinitiv_2">Model!$1138:$1138</definedName>
    <definedName name="z_YIW8LT0190_MO_Unstructured_SNA_Refinitiv_3">Model!$1145:$1145</definedName>
    <definedName name="z_YIW8LT0190_MO_Unstructured_SNA_StockAverageRealTimeOffSource">Model!$1133:$1133</definedName>
    <definedName name="z_YIW8LT0190_MO_Unstructured_SNA_StockHighRealTimeOffSource">Model!$1119:$1119</definedName>
    <definedName name="z_YIW8LT0190_MO_Unstructured_SNA_StockLowRealTimeOffSource">Model!$1126:$1126</definedName>
    <definedName name="z_YIW8LT0190_MO_Unstructured_SNA_StockPriceTable">Model!$1116:$1116</definedName>
    <definedName name="z_YIW8LT0190_MO_Unstructured_SNA_TickerSymbol">Model!$1086:$1086</definedName>
    <definedName name="z_YIW8LT0190_MO_Unstructured_SNA_TradeCurrency">Model!$1153:$1153</definedName>
    <definedName name="z_YIW8LT0190_MO_Unstructured_SNA_TradeCurrencyHardcoded">Model!$1154:$1154</definedName>
    <definedName name="z_YIW8LT0190_MO_Unstructured_SNA_ValuationToggleTable">Model!$1092:$1092</definedName>
    <definedName name="z_YIW8LT0190_MO_VA_EnterpriseValueAverage">Model!$846:$846</definedName>
    <definedName name="z_YIW8LT0190_MO_VA_EnterpriseValueAvg">"Deleted"</definedName>
    <definedName name="z_YIW8LT0190_MO_VA_enterprisevaluecomponents">Model!$861:$861</definedName>
    <definedName name="z_YIW8LT0190_MO_VA_EnterpriseValueHigh">"Deleted"</definedName>
    <definedName name="z_YIW8LT0190_MO_VA_EnterpriseValueLow">"Deleted"</definedName>
    <definedName name="z_YIW8LT0190_MO_VA_EVEBITDAAverage">Model!$850:$850</definedName>
    <definedName name="z_YIW8LT0190_MO_VA_FCFYieldtoAverageEnterpriseValue">Model!$853:$853</definedName>
    <definedName name="z_YIW8LT0190_MO_VA_FCFYieldtoAverageMarketCap">Model!$852:$852</definedName>
    <definedName name="z_YIW8LT0190_MO_VA_MarketCapAverage">Model!$845:$845</definedName>
    <definedName name="z_YIW8LT0190_MO_VA_MarketCapAvg">"Deleted"</definedName>
    <definedName name="z_YIW8LT0190_MO_VA_MarketCapHigh">"Deleted"</definedName>
    <definedName name="z_YIW8LT0190_MO_VA_MarketCapLow">"Deleted"</definedName>
    <definedName name="z_YIW8LT0190_MO_VA_NoncontrollingInterest">Model!$862:$862</definedName>
    <definedName name="z_YIW8LT0190_MO_VA_OtherEVComponents">Model!$864:$864</definedName>
    <definedName name="z_YIW8LT0190_MO_VA_PCFAverage">Model!$851:$851</definedName>
    <definedName name="z_YIW8LT0190_MO_VA_PEAverage">Model!$848:$848</definedName>
    <definedName name="z_YIW8LT0190_MO_VA_PreferredShares">Model!$863:$863</definedName>
    <definedName name="z_YIW8LT0190_MO_VA_StockAvg">Model!$857:$857</definedName>
    <definedName name="z_YIW8LT0190_MO_VA_StockHigh">Model!$855:$855</definedName>
    <definedName name="z_YIW8LT0190_MO_VA_StockLow">Model!$856:$856</definedName>
    <definedName name="z_YIW8LT0190_MO_VA_StockPriceAverage">Model!$844:$844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7" l="1"/>
  <c r="H8" i="8"/>
  <c r="H7" i="8"/>
  <c r="F7" i="8"/>
  <c r="I10" i="10"/>
  <c r="B10" i="10"/>
  <c r="A140" i="9"/>
  <c r="A139" i="9"/>
  <c r="A138" i="9"/>
  <c r="A137" i="9"/>
  <c r="A136" i="9"/>
  <c r="I125" i="9"/>
  <c r="H125" i="9"/>
  <c r="G125" i="9"/>
  <c r="I119" i="9"/>
  <c r="H119" i="9"/>
  <c r="G119" i="9"/>
  <c r="BG95" i="9"/>
  <c r="BF95" i="9"/>
  <c r="BE95" i="9"/>
  <c r="BC95" i="9"/>
  <c r="BB95" i="9"/>
  <c r="BA95" i="9"/>
  <c r="AZ95" i="9"/>
  <c r="AX95" i="9"/>
  <c r="AW95" i="9"/>
  <c r="AV95" i="9"/>
  <c r="AU95" i="9"/>
  <c r="AS95" i="9"/>
  <c r="AR95" i="9"/>
  <c r="AQ95" i="9"/>
  <c r="AP95" i="9"/>
  <c r="AN95" i="9"/>
  <c r="AM95" i="9"/>
  <c r="AL95" i="9"/>
  <c r="AK95" i="9"/>
  <c r="AI95" i="9"/>
  <c r="AH95" i="9"/>
  <c r="AG95" i="9"/>
  <c r="AF95" i="9"/>
  <c r="AD95" i="9"/>
  <c r="AC95" i="9"/>
  <c r="AB95" i="9"/>
  <c r="AA95" i="9"/>
  <c r="Y95" i="9"/>
  <c r="X95" i="9"/>
  <c r="W95" i="9"/>
  <c r="V95" i="9"/>
  <c r="T95" i="9"/>
  <c r="S95" i="9"/>
  <c r="R95" i="9"/>
  <c r="Q95" i="9"/>
  <c r="P95" i="9"/>
  <c r="O95" i="9"/>
  <c r="N95" i="9"/>
  <c r="M95" i="9"/>
  <c r="L95" i="9"/>
  <c r="K95" i="9"/>
  <c r="J95" i="9"/>
  <c r="I95" i="9"/>
  <c r="H95" i="9"/>
  <c r="G95" i="9"/>
  <c r="F95" i="9"/>
  <c r="E95" i="9"/>
  <c r="D95" i="9"/>
  <c r="C95" i="9"/>
  <c r="BG90" i="9"/>
  <c r="BF90" i="9"/>
  <c r="BE90" i="9"/>
  <c r="BC90" i="9"/>
  <c r="BB90" i="9"/>
  <c r="BA90" i="9"/>
  <c r="AZ90" i="9"/>
  <c r="AX90" i="9"/>
  <c r="BG89" i="9"/>
  <c r="BF89" i="9"/>
  <c r="BE89" i="9"/>
  <c r="BC89" i="9"/>
  <c r="BB89" i="9"/>
  <c r="BA89" i="9"/>
  <c r="AZ89" i="9"/>
  <c r="AX89" i="9"/>
  <c r="BG88" i="9"/>
  <c r="BF88" i="9"/>
  <c r="BE88" i="9"/>
  <c r="BC88" i="9"/>
  <c r="BB88" i="9"/>
  <c r="BA88" i="9"/>
  <c r="AZ88" i="9"/>
  <c r="AX88" i="9"/>
  <c r="BG86" i="9"/>
  <c r="BF86" i="9"/>
  <c r="BE86" i="9"/>
  <c r="BC86" i="9"/>
  <c r="BB86" i="9"/>
  <c r="BA86" i="9"/>
  <c r="AZ86" i="9"/>
  <c r="AX86" i="9"/>
  <c r="A86" i="9"/>
  <c r="BG85" i="9"/>
  <c r="BF85" i="9"/>
  <c r="BE85" i="9"/>
  <c r="BC85" i="9"/>
  <c r="BB85" i="9"/>
  <c r="BA85" i="9"/>
  <c r="AZ85" i="9"/>
  <c r="AX85" i="9"/>
  <c r="A85" i="9"/>
  <c r="A83" i="9"/>
  <c r="A81" i="9"/>
  <c r="A80" i="9"/>
  <c r="A76" i="9"/>
  <c r="A75" i="9"/>
  <c r="A74" i="9"/>
  <c r="A71" i="9"/>
  <c r="A70" i="9"/>
  <c r="A65" i="9"/>
  <c r="BG64" i="9"/>
  <c r="BF64" i="9"/>
  <c r="BE64" i="9"/>
  <c r="BC64" i="9"/>
  <c r="BB64" i="9"/>
  <c r="BA64" i="9"/>
  <c r="AZ64" i="9"/>
  <c r="AX64" i="9"/>
  <c r="AW64" i="9"/>
  <c r="AV64" i="9"/>
  <c r="AU64" i="9"/>
  <c r="AT64" i="9"/>
  <c r="AS64" i="9"/>
  <c r="AR64" i="9"/>
  <c r="AQ64" i="9"/>
  <c r="AP64" i="9"/>
  <c r="AO64" i="9"/>
  <c r="AN64" i="9"/>
  <c r="AM64" i="9"/>
  <c r="AL64" i="9"/>
  <c r="AK64" i="9"/>
  <c r="AJ64" i="9"/>
  <c r="AI64" i="9"/>
  <c r="AH64" i="9"/>
  <c r="AG64" i="9"/>
  <c r="AF64" i="9"/>
  <c r="AE64" i="9"/>
  <c r="AD64" i="9"/>
  <c r="AC64" i="9"/>
  <c r="AB64" i="9"/>
  <c r="AA64" i="9"/>
  <c r="Z64" i="9"/>
  <c r="Y64" i="9"/>
  <c r="X64" i="9"/>
  <c r="W64" i="9"/>
  <c r="V64" i="9"/>
  <c r="U64" i="9"/>
  <c r="T64" i="9"/>
  <c r="S64" i="9"/>
  <c r="R64" i="9"/>
  <c r="Q64" i="9"/>
  <c r="P64" i="9"/>
  <c r="O64" i="9"/>
  <c r="N64" i="9"/>
  <c r="M64" i="9"/>
  <c r="L64" i="9"/>
  <c r="K64" i="9"/>
  <c r="J64" i="9"/>
  <c r="I64" i="9"/>
  <c r="H64" i="9"/>
  <c r="G64" i="9"/>
  <c r="F64" i="9"/>
  <c r="E64" i="9"/>
  <c r="D64" i="9"/>
  <c r="C64" i="9"/>
  <c r="A64" i="9"/>
  <c r="BG63" i="9"/>
  <c r="BF63" i="9"/>
  <c r="BE63" i="9"/>
  <c r="BC63" i="9"/>
  <c r="BB63" i="9"/>
  <c r="BA63" i="9"/>
  <c r="AZ63" i="9"/>
  <c r="AX63" i="9"/>
  <c r="A63" i="9"/>
  <c r="BG62" i="9"/>
  <c r="BF62" i="9"/>
  <c r="BE62" i="9"/>
  <c r="BC62" i="9"/>
  <c r="BB62" i="9"/>
  <c r="BA62" i="9"/>
  <c r="AZ62" i="9"/>
  <c r="AX62" i="9"/>
  <c r="A62" i="9"/>
  <c r="A60" i="9"/>
  <c r="A58" i="9"/>
  <c r="A57" i="9"/>
  <c r="A56" i="9"/>
  <c r="BG55" i="9"/>
  <c r="BF55" i="9"/>
  <c r="BE55" i="9"/>
  <c r="BC55" i="9"/>
  <c r="BB55" i="9"/>
  <c r="BA55" i="9"/>
  <c r="AZ55" i="9"/>
  <c r="AX55" i="9"/>
  <c r="A55" i="9"/>
  <c r="A54" i="9"/>
  <c r="A53" i="9"/>
  <c r="J52" i="9"/>
  <c r="I52" i="9"/>
  <c r="H52" i="9"/>
  <c r="G52" i="9"/>
  <c r="F52" i="9"/>
  <c r="E52" i="9"/>
  <c r="D52" i="9"/>
  <c r="C52" i="9"/>
  <c r="A52" i="9"/>
  <c r="A51" i="9"/>
  <c r="J48" i="9"/>
  <c r="I48" i="9"/>
  <c r="H48" i="9"/>
  <c r="G48" i="9"/>
  <c r="C48" i="9"/>
  <c r="A48" i="9"/>
  <c r="BG47" i="9"/>
  <c r="BF47" i="9"/>
  <c r="BE47" i="9"/>
  <c r="BD47" i="9"/>
  <c r="BC47" i="9"/>
  <c r="BB47" i="9"/>
  <c r="BA47" i="9"/>
  <c r="AZ47" i="9"/>
  <c r="AY47" i="9"/>
  <c r="AX47" i="9"/>
  <c r="AW47" i="9"/>
  <c r="AV47" i="9"/>
  <c r="AU47" i="9"/>
  <c r="AI47" i="9"/>
  <c r="AH47" i="9"/>
  <c r="AG47" i="9"/>
  <c r="AF47" i="9"/>
  <c r="AD47" i="9"/>
  <c r="AC47" i="9"/>
  <c r="AB47" i="9"/>
  <c r="AA47" i="9"/>
  <c r="Z47" i="9"/>
  <c r="Y47" i="9"/>
  <c r="X47" i="9"/>
  <c r="W47" i="9"/>
  <c r="V47" i="9"/>
  <c r="U47" i="9"/>
  <c r="T47" i="9"/>
  <c r="S47" i="9"/>
  <c r="R47" i="9"/>
  <c r="Q47" i="9"/>
  <c r="P47" i="9"/>
  <c r="O47" i="9"/>
  <c r="N47" i="9"/>
  <c r="M47" i="9"/>
  <c r="L47" i="9"/>
  <c r="K47" i="9"/>
  <c r="J47" i="9"/>
  <c r="I47" i="9"/>
  <c r="H47" i="9"/>
  <c r="G47" i="9"/>
  <c r="F47" i="9"/>
  <c r="E47" i="9"/>
  <c r="D47" i="9"/>
  <c r="C47" i="9"/>
  <c r="A47" i="9"/>
  <c r="BG46" i="9"/>
  <c r="BF46" i="9"/>
  <c r="BE46" i="9"/>
  <c r="BD46" i="9"/>
  <c r="BC46" i="9"/>
  <c r="BB46" i="9"/>
  <c r="BA46" i="9"/>
  <c r="AZ46" i="9"/>
  <c r="AY46" i="9"/>
  <c r="AX46" i="9"/>
  <c r="AW46" i="9"/>
  <c r="AV46" i="9"/>
  <c r="AU46" i="9"/>
  <c r="AI46" i="9"/>
  <c r="AH46" i="9"/>
  <c r="AG46" i="9"/>
  <c r="AF46" i="9"/>
  <c r="AD46" i="9"/>
  <c r="AC46" i="9"/>
  <c r="AB46" i="9"/>
  <c r="AA46" i="9"/>
  <c r="Z46" i="9"/>
  <c r="Y46" i="9"/>
  <c r="X46" i="9"/>
  <c r="W46" i="9"/>
  <c r="V46" i="9"/>
  <c r="U46" i="9"/>
  <c r="T46" i="9"/>
  <c r="S46" i="9"/>
  <c r="R46" i="9"/>
  <c r="Q46" i="9"/>
  <c r="P46" i="9"/>
  <c r="O46" i="9"/>
  <c r="N46" i="9"/>
  <c r="M46" i="9"/>
  <c r="L46" i="9"/>
  <c r="K46" i="9"/>
  <c r="J46" i="9"/>
  <c r="I46" i="9"/>
  <c r="H46" i="9"/>
  <c r="G46" i="9"/>
  <c r="F46" i="9"/>
  <c r="E46" i="9"/>
  <c r="D46" i="9"/>
  <c r="C46" i="9"/>
  <c r="A46" i="9"/>
  <c r="BG45" i="9"/>
  <c r="BF45" i="9"/>
  <c r="BE45" i="9"/>
  <c r="BD45" i="9"/>
  <c r="BC45" i="9"/>
  <c r="BB45" i="9"/>
  <c r="BA45" i="9"/>
  <c r="AZ45" i="9"/>
  <c r="AY45" i="9"/>
  <c r="AX45" i="9"/>
  <c r="AW45" i="9"/>
  <c r="AV45" i="9"/>
  <c r="AU45" i="9"/>
  <c r="AI45" i="9"/>
  <c r="AH45" i="9"/>
  <c r="AG45" i="9"/>
  <c r="AF45" i="9"/>
  <c r="AD45" i="9"/>
  <c r="AC45" i="9"/>
  <c r="AB45" i="9"/>
  <c r="AA45" i="9"/>
  <c r="Z45" i="9"/>
  <c r="Y45" i="9"/>
  <c r="X45" i="9"/>
  <c r="W45" i="9"/>
  <c r="V45" i="9"/>
  <c r="U45" i="9"/>
  <c r="T45" i="9"/>
  <c r="S45" i="9"/>
  <c r="R45" i="9"/>
  <c r="Q45" i="9"/>
  <c r="P45" i="9"/>
  <c r="O45" i="9"/>
  <c r="N45" i="9"/>
  <c r="M45" i="9"/>
  <c r="L45" i="9"/>
  <c r="K45" i="9"/>
  <c r="J45" i="9"/>
  <c r="I45" i="9"/>
  <c r="H45" i="9"/>
  <c r="G45" i="9"/>
  <c r="F45" i="9"/>
  <c r="E45" i="9"/>
  <c r="D45" i="9"/>
  <c r="C45" i="9"/>
  <c r="A45" i="9"/>
  <c r="BG44" i="9"/>
  <c r="BF44" i="9"/>
  <c r="BE44" i="9"/>
  <c r="BD44" i="9"/>
  <c r="BC44" i="9"/>
  <c r="BB44" i="9"/>
  <c r="BA44" i="9"/>
  <c r="AZ44" i="9"/>
  <c r="AY44" i="9"/>
  <c r="AX44" i="9"/>
  <c r="AW44" i="9"/>
  <c r="AV44" i="9"/>
  <c r="AU44" i="9"/>
  <c r="AI44" i="9"/>
  <c r="AH44" i="9"/>
  <c r="AG44" i="9"/>
  <c r="AF44" i="9"/>
  <c r="AD44" i="9"/>
  <c r="AC44" i="9"/>
  <c r="AB44" i="9"/>
  <c r="AA44" i="9"/>
  <c r="Z44" i="9"/>
  <c r="Y44" i="9"/>
  <c r="X44" i="9"/>
  <c r="W44" i="9"/>
  <c r="V44" i="9"/>
  <c r="U44" i="9"/>
  <c r="T44" i="9"/>
  <c r="S44" i="9"/>
  <c r="R44" i="9"/>
  <c r="Q44" i="9"/>
  <c r="P44" i="9"/>
  <c r="O44" i="9"/>
  <c r="N44" i="9"/>
  <c r="M44" i="9"/>
  <c r="L44" i="9"/>
  <c r="K44" i="9"/>
  <c r="J44" i="9"/>
  <c r="I44" i="9"/>
  <c r="H44" i="9"/>
  <c r="G44" i="9"/>
  <c r="F44" i="9"/>
  <c r="E44" i="9"/>
  <c r="D44" i="9"/>
  <c r="C44" i="9"/>
  <c r="A44" i="9"/>
  <c r="BG43" i="9"/>
  <c r="BF43" i="9"/>
  <c r="BE43" i="9"/>
  <c r="BD43" i="9"/>
  <c r="BC43" i="9"/>
  <c r="BB43" i="9"/>
  <c r="BA43" i="9"/>
  <c r="AZ43" i="9"/>
  <c r="AY43" i="9"/>
  <c r="AX43" i="9"/>
  <c r="AW43" i="9"/>
  <c r="AV43" i="9"/>
  <c r="AU43" i="9"/>
  <c r="AI43" i="9"/>
  <c r="AH43" i="9"/>
  <c r="AG43" i="9"/>
  <c r="AF43" i="9"/>
  <c r="AD43" i="9"/>
  <c r="AC43" i="9"/>
  <c r="AB43" i="9"/>
  <c r="AA43" i="9"/>
  <c r="Z43" i="9"/>
  <c r="Y43" i="9"/>
  <c r="X43" i="9"/>
  <c r="W43" i="9"/>
  <c r="V43" i="9"/>
  <c r="U43" i="9"/>
  <c r="T43" i="9"/>
  <c r="S43" i="9"/>
  <c r="R43" i="9"/>
  <c r="Q43" i="9"/>
  <c r="P43" i="9"/>
  <c r="O43" i="9"/>
  <c r="N43" i="9"/>
  <c r="M43" i="9"/>
  <c r="L43" i="9"/>
  <c r="K43" i="9"/>
  <c r="J43" i="9"/>
  <c r="I43" i="9"/>
  <c r="H43" i="9"/>
  <c r="G43" i="9"/>
  <c r="F43" i="9"/>
  <c r="E43" i="9"/>
  <c r="D43" i="9"/>
  <c r="C43" i="9"/>
  <c r="A43" i="9"/>
  <c r="BG42" i="9"/>
  <c r="BF42" i="9"/>
  <c r="BE42" i="9"/>
  <c r="BD42" i="9"/>
  <c r="BC42" i="9"/>
  <c r="BB42" i="9"/>
  <c r="BA42" i="9"/>
  <c r="AZ42" i="9"/>
  <c r="AY42" i="9"/>
  <c r="AX42" i="9"/>
  <c r="AW42" i="9"/>
  <c r="AV42" i="9"/>
  <c r="AU42" i="9"/>
  <c r="AI42" i="9"/>
  <c r="AH42" i="9"/>
  <c r="AG42" i="9"/>
  <c r="AF42" i="9"/>
  <c r="AD42" i="9"/>
  <c r="AC42" i="9"/>
  <c r="AB42" i="9"/>
  <c r="AA42" i="9"/>
  <c r="Z42" i="9"/>
  <c r="Y42" i="9"/>
  <c r="X42" i="9"/>
  <c r="W42" i="9"/>
  <c r="V42" i="9"/>
  <c r="U42" i="9"/>
  <c r="T42" i="9"/>
  <c r="S42" i="9"/>
  <c r="R42" i="9"/>
  <c r="Q42" i="9"/>
  <c r="P42" i="9"/>
  <c r="O42" i="9"/>
  <c r="N42" i="9"/>
  <c r="M42" i="9"/>
  <c r="L42" i="9"/>
  <c r="K42" i="9"/>
  <c r="J42" i="9"/>
  <c r="I42" i="9"/>
  <c r="H42" i="9"/>
  <c r="G42" i="9"/>
  <c r="F42" i="9"/>
  <c r="E42" i="9"/>
  <c r="D42" i="9"/>
  <c r="C42" i="9"/>
  <c r="A42" i="9"/>
  <c r="BG41" i="9"/>
  <c r="BF41" i="9"/>
  <c r="BE41" i="9"/>
  <c r="BD41" i="9"/>
  <c r="BC41" i="9"/>
  <c r="BB41" i="9"/>
  <c r="BA41" i="9"/>
  <c r="AZ41" i="9"/>
  <c r="AY41" i="9"/>
  <c r="AX41" i="9"/>
  <c r="AW41" i="9"/>
  <c r="AV41" i="9"/>
  <c r="AU41" i="9"/>
  <c r="AI41" i="9"/>
  <c r="AH41" i="9"/>
  <c r="AG41" i="9"/>
  <c r="AF41" i="9"/>
  <c r="AD41" i="9"/>
  <c r="AC41" i="9"/>
  <c r="AB41" i="9"/>
  <c r="AA41" i="9"/>
  <c r="Z41" i="9"/>
  <c r="Y41" i="9"/>
  <c r="X41" i="9"/>
  <c r="W41" i="9"/>
  <c r="V41" i="9"/>
  <c r="U41" i="9"/>
  <c r="T41" i="9"/>
  <c r="S41" i="9"/>
  <c r="R41" i="9"/>
  <c r="Q41" i="9"/>
  <c r="P41" i="9"/>
  <c r="O41" i="9"/>
  <c r="N41" i="9"/>
  <c r="M41" i="9"/>
  <c r="L41" i="9"/>
  <c r="K41" i="9"/>
  <c r="J41" i="9"/>
  <c r="I41" i="9"/>
  <c r="H41" i="9"/>
  <c r="G41" i="9"/>
  <c r="F41" i="9"/>
  <c r="E41" i="9"/>
  <c r="D41" i="9"/>
  <c r="C41" i="9"/>
  <c r="A41" i="9"/>
  <c r="BG40" i="9"/>
  <c r="BF40" i="9"/>
  <c r="BE40" i="9"/>
  <c r="BD40" i="9"/>
  <c r="BC40" i="9"/>
  <c r="BB40" i="9"/>
  <c r="BA40" i="9"/>
  <c r="AZ40" i="9"/>
  <c r="AY40" i="9"/>
  <c r="AX40" i="9"/>
  <c r="AW40" i="9"/>
  <c r="AV40" i="9"/>
  <c r="AU40" i="9"/>
  <c r="AI40" i="9"/>
  <c r="AH40" i="9"/>
  <c r="AG40" i="9"/>
  <c r="AF40" i="9"/>
  <c r="AD40" i="9"/>
  <c r="AC40" i="9"/>
  <c r="AB40" i="9"/>
  <c r="AA40" i="9"/>
  <c r="Z40" i="9"/>
  <c r="Y40" i="9"/>
  <c r="X40" i="9"/>
  <c r="W40" i="9"/>
  <c r="V40" i="9"/>
  <c r="U40" i="9"/>
  <c r="T40" i="9"/>
  <c r="S40" i="9"/>
  <c r="R40" i="9"/>
  <c r="Q40" i="9"/>
  <c r="P40" i="9"/>
  <c r="O40" i="9"/>
  <c r="N40" i="9"/>
  <c r="M40" i="9"/>
  <c r="L40" i="9"/>
  <c r="K40" i="9"/>
  <c r="J40" i="9"/>
  <c r="I40" i="9"/>
  <c r="H40" i="9"/>
  <c r="G40" i="9"/>
  <c r="F40" i="9"/>
  <c r="E40" i="9"/>
  <c r="D40" i="9"/>
  <c r="C40" i="9"/>
  <c r="A40" i="9"/>
  <c r="BG39" i="9"/>
  <c r="BF39" i="9"/>
  <c r="BE39" i="9"/>
  <c r="BD39" i="9"/>
  <c r="BC39" i="9"/>
  <c r="BB39" i="9"/>
  <c r="BA39" i="9"/>
  <c r="AZ39" i="9"/>
  <c r="AY39" i="9"/>
  <c r="AX39" i="9"/>
  <c r="AW39" i="9"/>
  <c r="AV39" i="9"/>
  <c r="AU39" i="9"/>
  <c r="AI39" i="9"/>
  <c r="AH39" i="9"/>
  <c r="AG39" i="9"/>
  <c r="AF39" i="9"/>
  <c r="AD39" i="9"/>
  <c r="AC39" i="9"/>
  <c r="AB39" i="9"/>
  <c r="AA39" i="9"/>
  <c r="Z39" i="9"/>
  <c r="Y39" i="9"/>
  <c r="X39" i="9"/>
  <c r="W39" i="9"/>
  <c r="V39" i="9"/>
  <c r="U39" i="9"/>
  <c r="T39" i="9"/>
  <c r="S39" i="9"/>
  <c r="R39" i="9"/>
  <c r="Q39" i="9"/>
  <c r="P39" i="9"/>
  <c r="O39" i="9"/>
  <c r="N39" i="9"/>
  <c r="M39" i="9"/>
  <c r="L39" i="9"/>
  <c r="K39" i="9"/>
  <c r="J39" i="9"/>
  <c r="I39" i="9"/>
  <c r="H39" i="9"/>
  <c r="G39" i="9"/>
  <c r="F39" i="9"/>
  <c r="E39" i="9"/>
  <c r="D39" i="9"/>
  <c r="C39" i="9"/>
  <c r="A39" i="9"/>
  <c r="BG38" i="9"/>
  <c r="BF38" i="9"/>
  <c r="BE38" i="9"/>
  <c r="BD38" i="9"/>
  <c r="BC38" i="9"/>
  <c r="BB38" i="9"/>
  <c r="BA38" i="9"/>
  <c r="AZ38" i="9"/>
  <c r="AY38" i="9"/>
  <c r="AX38" i="9"/>
  <c r="AW38" i="9"/>
  <c r="AV38" i="9"/>
  <c r="AU38" i="9"/>
  <c r="AI38" i="9"/>
  <c r="AH38" i="9"/>
  <c r="AG38" i="9"/>
  <c r="AF38" i="9"/>
  <c r="AD38" i="9"/>
  <c r="AC38" i="9"/>
  <c r="AB38" i="9"/>
  <c r="AA38" i="9"/>
  <c r="Z38" i="9"/>
  <c r="Y38" i="9"/>
  <c r="X38" i="9"/>
  <c r="W38" i="9"/>
  <c r="V38" i="9"/>
  <c r="U38" i="9"/>
  <c r="T38" i="9"/>
  <c r="S38" i="9"/>
  <c r="R38" i="9"/>
  <c r="Q38" i="9"/>
  <c r="P38" i="9"/>
  <c r="O38" i="9"/>
  <c r="N38" i="9"/>
  <c r="M38" i="9"/>
  <c r="L38" i="9"/>
  <c r="K38" i="9"/>
  <c r="J38" i="9"/>
  <c r="I38" i="9"/>
  <c r="H38" i="9"/>
  <c r="G38" i="9"/>
  <c r="F38" i="9"/>
  <c r="E38" i="9"/>
  <c r="D38" i="9"/>
  <c r="C38" i="9"/>
  <c r="A38" i="9"/>
  <c r="BG37" i="9"/>
  <c r="BF37" i="9"/>
  <c r="BE37" i="9"/>
  <c r="BD37" i="9"/>
  <c r="BC37" i="9"/>
  <c r="BB37" i="9"/>
  <c r="BA37" i="9"/>
  <c r="AZ37" i="9"/>
  <c r="AY37" i="9"/>
  <c r="AX37" i="9"/>
  <c r="AW37" i="9"/>
  <c r="AV37" i="9"/>
  <c r="AU37" i="9"/>
  <c r="AI37" i="9"/>
  <c r="AH37" i="9"/>
  <c r="AG37" i="9"/>
  <c r="AF37" i="9"/>
  <c r="AD37" i="9"/>
  <c r="AC37" i="9"/>
  <c r="AB37" i="9"/>
  <c r="AA37" i="9"/>
  <c r="Z37" i="9"/>
  <c r="Y37" i="9"/>
  <c r="X37" i="9"/>
  <c r="W37" i="9"/>
  <c r="V37" i="9"/>
  <c r="U37" i="9"/>
  <c r="T37" i="9"/>
  <c r="S37" i="9"/>
  <c r="R37" i="9"/>
  <c r="Q37" i="9"/>
  <c r="P37" i="9"/>
  <c r="O37" i="9"/>
  <c r="N37" i="9"/>
  <c r="M37" i="9"/>
  <c r="L37" i="9"/>
  <c r="K37" i="9"/>
  <c r="J37" i="9"/>
  <c r="I37" i="9"/>
  <c r="H37" i="9"/>
  <c r="G37" i="9"/>
  <c r="F37" i="9"/>
  <c r="E37" i="9"/>
  <c r="D37" i="9"/>
  <c r="C37" i="9"/>
  <c r="A37" i="9"/>
  <c r="BG36" i="9"/>
  <c r="BF36" i="9"/>
  <c r="BE36" i="9"/>
  <c r="BD36" i="9"/>
  <c r="BC36" i="9"/>
  <c r="BB36" i="9"/>
  <c r="BA36" i="9"/>
  <c r="AZ36" i="9"/>
  <c r="AY36" i="9"/>
  <c r="AX36" i="9"/>
  <c r="AW36" i="9"/>
  <c r="AV36" i="9"/>
  <c r="AU36" i="9"/>
  <c r="AI36" i="9"/>
  <c r="AH36" i="9"/>
  <c r="AG36" i="9"/>
  <c r="AF36" i="9"/>
  <c r="AD36" i="9"/>
  <c r="AC36" i="9"/>
  <c r="AB36" i="9"/>
  <c r="AA36" i="9"/>
  <c r="Z36" i="9"/>
  <c r="Y36" i="9"/>
  <c r="X36" i="9"/>
  <c r="W36" i="9"/>
  <c r="V36" i="9"/>
  <c r="U36" i="9"/>
  <c r="T36" i="9"/>
  <c r="S36" i="9"/>
  <c r="R36" i="9"/>
  <c r="Q36" i="9"/>
  <c r="P36" i="9"/>
  <c r="O36" i="9"/>
  <c r="N36" i="9"/>
  <c r="M36" i="9"/>
  <c r="L36" i="9"/>
  <c r="K36" i="9"/>
  <c r="J36" i="9"/>
  <c r="I36" i="9"/>
  <c r="H36" i="9"/>
  <c r="G36" i="9"/>
  <c r="F36" i="9"/>
  <c r="E36" i="9"/>
  <c r="D36" i="9"/>
  <c r="C36" i="9"/>
  <c r="A36" i="9"/>
  <c r="BG35" i="9"/>
  <c r="BF35" i="9"/>
  <c r="BE35" i="9"/>
  <c r="BD35" i="9"/>
  <c r="BC35" i="9"/>
  <c r="BB35" i="9"/>
  <c r="BA35" i="9"/>
  <c r="AZ35" i="9"/>
  <c r="AY35" i="9"/>
  <c r="AX35" i="9"/>
  <c r="AW35" i="9"/>
  <c r="AV35" i="9"/>
  <c r="AU35" i="9"/>
  <c r="AI35" i="9"/>
  <c r="AH35" i="9"/>
  <c r="AG35" i="9"/>
  <c r="AF35" i="9"/>
  <c r="AD35" i="9"/>
  <c r="AC35" i="9"/>
  <c r="AB35" i="9"/>
  <c r="AA35" i="9"/>
  <c r="Z35" i="9"/>
  <c r="Y35" i="9"/>
  <c r="X35" i="9"/>
  <c r="W35" i="9"/>
  <c r="V35" i="9"/>
  <c r="U35" i="9"/>
  <c r="T35" i="9"/>
  <c r="S35" i="9"/>
  <c r="R35" i="9"/>
  <c r="Q35" i="9"/>
  <c r="P35" i="9"/>
  <c r="O35" i="9"/>
  <c r="N35" i="9"/>
  <c r="M35" i="9"/>
  <c r="L35" i="9"/>
  <c r="K35" i="9"/>
  <c r="J35" i="9"/>
  <c r="I35" i="9"/>
  <c r="H35" i="9"/>
  <c r="G35" i="9"/>
  <c r="F35" i="9"/>
  <c r="E35" i="9"/>
  <c r="D35" i="9"/>
  <c r="C35" i="9"/>
  <c r="A35" i="9"/>
  <c r="BG34" i="9"/>
  <c r="BF34" i="9"/>
  <c r="BE34" i="9"/>
  <c r="BD34" i="9"/>
  <c r="BC34" i="9"/>
  <c r="BB34" i="9"/>
  <c r="BA34" i="9"/>
  <c r="AZ34" i="9"/>
  <c r="AY34" i="9"/>
  <c r="AX34" i="9"/>
  <c r="AW34" i="9"/>
  <c r="AV34" i="9"/>
  <c r="AU34" i="9"/>
  <c r="AI34" i="9"/>
  <c r="AH34" i="9"/>
  <c r="AG34" i="9"/>
  <c r="AF34" i="9"/>
  <c r="AD34" i="9"/>
  <c r="AC34" i="9"/>
  <c r="AB34" i="9"/>
  <c r="AA34" i="9"/>
  <c r="Z34" i="9"/>
  <c r="Y34" i="9"/>
  <c r="X34" i="9"/>
  <c r="W34" i="9"/>
  <c r="V34" i="9"/>
  <c r="U34" i="9"/>
  <c r="T34" i="9"/>
  <c r="S34" i="9"/>
  <c r="R34" i="9"/>
  <c r="Q34" i="9"/>
  <c r="P34" i="9"/>
  <c r="O34" i="9"/>
  <c r="N34" i="9"/>
  <c r="M34" i="9"/>
  <c r="L34" i="9"/>
  <c r="K34" i="9"/>
  <c r="J34" i="9"/>
  <c r="I34" i="9"/>
  <c r="H34" i="9"/>
  <c r="G34" i="9"/>
  <c r="F34" i="9"/>
  <c r="E34" i="9"/>
  <c r="D34" i="9"/>
  <c r="C34" i="9"/>
  <c r="A34" i="9"/>
  <c r="A33" i="9"/>
  <c r="BG32" i="9"/>
  <c r="BF32" i="9"/>
  <c r="BE32" i="9"/>
  <c r="BC32" i="9"/>
  <c r="BB32" i="9"/>
  <c r="BA32" i="9"/>
  <c r="AZ32" i="9"/>
  <c r="AX32" i="9"/>
  <c r="A32" i="9"/>
  <c r="BG31" i="9"/>
  <c r="BF31" i="9"/>
  <c r="BE31" i="9"/>
  <c r="BC31" i="9"/>
  <c r="BB31" i="9"/>
  <c r="BA31" i="9"/>
  <c r="AZ31" i="9"/>
  <c r="AX31" i="9"/>
  <c r="A31" i="9"/>
  <c r="BG30" i="9"/>
  <c r="BF30" i="9"/>
  <c r="BE30" i="9"/>
  <c r="BC30" i="9"/>
  <c r="BB30" i="9"/>
  <c r="BA30" i="9"/>
  <c r="AZ30" i="9"/>
  <c r="AX30" i="9"/>
  <c r="A30" i="9"/>
  <c r="BG29" i="9"/>
  <c r="BF29" i="9"/>
  <c r="BE29" i="9"/>
  <c r="BC29" i="9"/>
  <c r="BB29" i="9"/>
  <c r="BA29" i="9"/>
  <c r="AZ29" i="9"/>
  <c r="AX29" i="9"/>
  <c r="A29" i="9"/>
  <c r="BG28" i="9"/>
  <c r="BF28" i="9"/>
  <c r="BE28" i="9"/>
  <c r="BC28" i="9"/>
  <c r="BB28" i="9"/>
  <c r="BA28" i="9"/>
  <c r="AZ28" i="9"/>
  <c r="AX28" i="9"/>
  <c r="A28" i="9"/>
  <c r="A27" i="9"/>
  <c r="A26" i="9"/>
  <c r="BG25" i="9"/>
  <c r="BF25" i="9"/>
  <c r="BE25" i="9"/>
  <c r="BC25" i="9"/>
  <c r="BB25" i="9"/>
  <c r="BA25" i="9"/>
  <c r="AZ25" i="9"/>
  <c r="AX25" i="9"/>
  <c r="A25" i="9"/>
  <c r="BG24" i="9"/>
  <c r="BF24" i="9"/>
  <c r="BE24" i="9"/>
  <c r="BC24" i="9"/>
  <c r="BB24" i="9"/>
  <c r="BA24" i="9"/>
  <c r="AZ24" i="9"/>
  <c r="AX24" i="9"/>
  <c r="A24" i="9"/>
  <c r="BG23" i="9"/>
  <c r="BF23" i="9"/>
  <c r="BE23" i="9"/>
  <c r="BC23" i="9"/>
  <c r="BB23" i="9"/>
  <c r="BA23" i="9"/>
  <c r="AZ23" i="9"/>
  <c r="AX23" i="9"/>
  <c r="A23" i="9"/>
  <c r="A22" i="9"/>
  <c r="A21" i="9"/>
  <c r="BG20" i="9"/>
  <c r="BF20" i="9"/>
  <c r="BE20" i="9"/>
  <c r="BC20" i="9"/>
  <c r="BB20" i="9"/>
  <c r="BA20" i="9"/>
  <c r="AZ20" i="9"/>
  <c r="AX20" i="9"/>
  <c r="A20" i="9"/>
  <c r="BG19" i="9"/>
  <c r="BF19" i="9"/>
  <c r="BE19" i="9"/>
  <c r="BD19" i="9"/>
  <c r="BC19" i="9"/>
  <c r="BB19" i="9"/>
  <c r="BA19" i="9"/>
  <c r="AZ19" i="9"/>
  <c r="AY19" i="9"/>
  <c r="AX19" i="9"/>
  <c r="A19" i="9"/>
  <c r="BG18" i="9"/>
  <c r="BF18" i="9"/>
  <c r="BE18" i="9"/>
  <c r="BD18" i="9"/>
  <c r="BC18" i="9"/>
  <c r="BB18" i="9"/>
  <c r="BA18" i="9"/>
  <c r="AZ18" i="9"/>
  <c r="AY18" i="9"/>
  <c r="AX18" i="9"/>
  <c r="A18" i="9"/>
  <c r="BG17" i="9"/>
  <c r="BF17" i="9"/>
  <c r="BE17" i="9"/>
  <c r="BD17" i="9"/>
  <c r="BC17" i="9"/>
  <c r="BB17" i="9"/>
  <c r="BA17" i="9"/>
  <c r="AZ17" i="9"/>
  <c r="AY17" i="9"/>
  <c r="AX17" i="9"/>
  <c r="A17" i="9"/>
  <c r="BG16" i="9"/>
  <c r="BF16" i="9"/>
  <c r="BE16" i="9"/>
  <c r="BD16" i="9"/>
  <c r="BC16" i="9"/>
  <c r="BB16" i="9"/>
  <c r="BA16" i="9"/>
  <c r="AZ16" i="9"/>
  <c r="AY16" i="9"/>
  <c r="AX16" i="9"/>
  <c r="A16" i="9"/>
  <c r="BG15" i="9"/>
  <c r="BF15" i="9"/>
  <c r="BE15" i="9"/>
  <c r="BC15" i="9"/>
  <c r="BB15" i="9"/>
  <c r="BA15" i="9"/>
  <c r="AZ15" i="9"/>
  <c r="AX15" i="9"/>
  <c r="A15" i="9"/>
  <c r="BG14" i="9"/>
  <c r="BF14" i="9"/>
  <c r="BE14" i="9"/>
  <c r="BD14" i="9"/>
  <c r="BC14" i="9"/>
  <c r="BB14" i="9"/>
  <c r="BA14" i="9"/>
  <c r="AZ14" i="9"/>
  <c r="AY14" i="9"/>
  <c r="AX14" i="9"/>
  <c r="A14" i="9"/>
  <c r="BG13" i="9"/>
  <c r="BF13" i="9"/>
  <c r="BE13" i="9"/>
  <c r="BD13" i="9"/>
  <c r="BC13" i="9"/>
  <c r="BB13" i="9"/>
  <c r="BA13" i="9"/>
  <c r="AZ13" i="9"/>
  <c r="AY13" i="9"/>
  <c r="AX13" i="9"/>
  <c r="A13" i="9"/>
  <c r="A10" i="9"/>
  <c r="A8" i="9"/>
  <c r="A7" i="9"/>
  <c r="A6" i="9"/>
  <c r="AU5" i="9"/>
  <c r="AP5" i="9"/>
  <c r="A5" i="9"/>
  <c r="A4" i="9"/>
  <c r="C2" i="9"/>
  <c r="C1" i="9"/>
  <c r="A1" i="9"/>
  <c r="B1161" i="1"/>
  <c r="B1160" i="1"/>
  <c r="B1151" i="1"/>
  <c r="B1150" i="1"/>
  <c r="B1149" i="1"/>
  <c r="BG1145" i="1"/>
  <c r="BF1145" i="1"/>
  <c r="BE1145" i="1"/>
  <c r="BD1145" i="1"/>
  <c r="BC1145" i="1"/>
  <c r="BB1145" i="1"/>
  <c r="BA1145" i="1"/>
  <c r="AZ1145" i="1"/>
  <c r="AY1145" i="1"/>
  <c r="AX1145" i="1"/>
  <c r="AW1145" i="1"/>
  <c r="AV1145" i="1"/>
  <c r="AU1145" i="1"/>
  <c r="AT1145" i="1"/>
  <c r="AS1145" i="1"/>
  <c r="AR1145" i="1"/>
  <c r="AQ1145" i="1"/>
  <c r="AP1145" i="1"/>
  <c r="AO1145" i="1"/>
  <c r="AN1145" i="1"/>
  <c r="AM1145" i="1"/>
  <c r="AL1145" i="1"/>
  <c r="AK1145" i="1"/>
  <c r="AJ1145" i="1"/>
  <c r="AI1145" i="1"/>
  <c r="AH1145" i="1"/>
  <c r="AG1145" i="1"/>
  <c r="AF1145" i="1"/>
  <c r="AE1145" i="1"/>
  <c r="AD1145" i="1"/>
  <c r="AC1145" i="1"/>
  <c r="AB1145" i="1"/>
  <c r="AA1145" i="1"/>
  <c r="Z1145" i="1"/>
  <c r="Y1145" i="1"/>
  <c r="X1145" i="1"/>
  <c r="W1145" i="1"/>
  <c r="V1145" i="1"/>
  <c r="U1145" i="1"/>
  <c r="T1145" i="1"/>
  <c r="S1145" i="1"/>
  <c r="R1145" i="1"/>
  <c r="Q1145" i="1"/>
  <c r="P1145" i="1"/>
  <c r="O1145" i="1"/>
  <c r="N1145" i="1"/>
  <c r="M1145" i="1"/>
  <c r="L1145" i="1"/>
  <c r="K1145" i="1"/>
  <c r="J1145" i="1"/>
  <c r="I1145" i="1"/>
  <c r="H1145" i="1"/>
  <c r="G1145" i="1"/>
  <c r="F1145" i="1"/>
  <c r="E1145" i="1"/>
  <c r="D1145" i="1"/>
  <c r="C1145" i="1"/>
  <c r="BG1141" i="1"/>
  <c r="BF1141" i="1"/>
  <c r="BE1141" i="1"/>
  <c r="BD1141" i="1"/>
  <c r="BC1141" i="1"/>
  <c r="BB1141" i="1"/>
  <c r="BA1141" i="1"/>
  <c r="AZ1141" i="1"/>
  <c r="AY1141" i="1"/>
  <c r="AX1141" i="1"/>
  <c r="BG1136" i="1"/>
  <c r="BF1136" i="1"/>
  <c r="BE1136" i="1"/>
  <c r="BD1136" i="1"/>
  <c r="BC1136" i="1"/>
  <c r="BB1136" i="1"/>
  <c r="BA1136" i="1"/>
  <c r="AZ1136" i="1"/>
  <c r="AY1136" i="1"/>
  <c r="AX1136" i="1"/>
  <c r="AW1136" i="1"/>
  <c r="AV1136" i="1"/>
  <c r="AU1136" i="1"/>
  <c r="AT1136" i="1"/>
  <c r="AS1136" i="1"/>
  <c r="AR1136" i="1"/>
  <c r="AQ1136" i="1"/>
  <c r="AP1136" i="1"/>
  <c r="AO1136" i="1"/>
  <c r="AN1136" i="1"/>
  <c r="AM1136" i="1"/>
  <c r="AL1136" i="1"/>
  <c r="AK1136" i="1"/>
  <c r="AJ1136" i="1"/>
  <c r="AI1136" i="1"/>
  <c r="AH1136" i="1"/>
  <c r="AG1136" i="1"/>
  <c r="AF1136" i="1"/>
  <c r="AE1136" i="1"/>
  <c r="AD1136" i="1"/>
  <c r="AC1136" i="1"/>
  <c r="AB1136" i="1"/>
  <c r="AA1136" i="1"/>
  <c r="Z1136" i="1"/>
  <c r="Y1136" i="1"/>
  <c r="X1136" i="1"/>
  <c r="W1136" i="1"/>
  <c r="V1136" i="1"/>
  <c r="U1136" i="1"/>
  <c r="T1136" i="1"/>
  <c r="S1136" i="1"/>
  <c r="R1136" i="1"/>
  <c r="Q1136" i="1"/>
  <c r="P1136" i="1"/>
  <c r="O1136" i="1"/>
  <c r="N1136" i="1"/>
  <c r="M1136" i="1"/>
  <c r="L1136" i="1"/>
  <c r="K1136" i="1"/>
  <c r="J1136" i="1"/>
  <c r="I1136" i="1"/>
  <c r="H1136" i="1"/>
  <c r="G1136" i="1"/>
  <c r="F1136" i="1"/>
  <c r="E1136" i="1"/>
  <c r="D1136" i="1"/>
  <c r="C1136" i="1"/>
  <c r="BG1129" i="1"/>
  <c r="BF1129" i="1"/>
  <c r="BE1129" i="1"/>
  <c r="BD1129" i="1"/>
  <c r="BC1129" i="1"/>
  <c r="BB1129" i="1"/>
  <c r="BA1129" i="1"/>
  <c r="AZ1129" i="1"/>
  <c r="AY1129" i="1"/>
  <c r="AX1129" i="1"/>
  <c r="AW1129" i="1"/>
  <c r="AV1129" i="1"/>
  <c r="AU1129" i="1"/>
  <c r="AT1129" i="1"/>
  <c r="AS1129" i="1"/>
  <c r="AR1129" i="1"/>
  <c r="AQ1129" i="1"/>
  <c r="AP1129" i="1"/>
  <c r="AO1129" i="1"/>
  <c r="AN1129" i="1"/>
  <c r="AM1129" i="1"/>
  <c r="AL1129" i="1"/>
  <c r="AK1129" i="1"/>
  <c r="AJ1129" i="1"/>
  <c r="AI1129" i="1"/>
  <c r="AH1129" i="1"/>
  <c r="AG1129" i="1"/>
  <c r="AF1129" i="1"/>
  <c r="AE1129" i="1"/>
  <c r="AD1129" i="1"/>
  <c r="AC1129" i="1"/>
  <c r="AB1129" i="1"/>
  <c r="AA1129" i="1"/>
  <c r="Z1129" i="1"/>
  <c r="Y1129" i="1"/>
  <c r="X1129" i="1"/>
  <c r="W1129" i="1"/>
  <c r="V1129" i="1"/>
  <c r="U1129" i="1"/>
  <c r="T1129" i="1"/>
  <c r="S1129" i="1"/>
  <c r="R1129" i="1"/>
  <c r="Q1129" i="1"/>
  <c r="P1129" i="1"/>
  <c r="O1129" i="1"/>
  <c r="N1129" i="1"/>
  <c r="M1129" i="1"/>
  <c r="L1129" i="1"/>
  <c r="K1129" i="1"/>
  <c r="J1129" i="1"/>
  <c r="I1129" i="1"/>
  <c r="H1129" i="1"/>
  <c r="G1129" i="1"/>
  <c r="F1129" i="1"/>
  <c r="E1129" i="1"/>
  <c r="D1129" i="1"/>
  <c r="C1129" i="1"/>
  <c r="BG1122" i="1"/>
  <c r="BF1122" i="1"/>
  <c r="BE1122" i="1"/>
  <c r="BD1122" i="1"/>
  <c r="BC1122" i="1"/>
  <c r="BB1122" i="1"/>
  <c r="BA1122" i="1"/>
  <c r="AZ1122" i="1"/>
  <c r="AY1122" i="1"/>
  <c r="AX1122" i="1"/>
  <c r="AW1122" i="1"/>
  <c r="AV1122" i="1"/>
  <c r="AU1122" i="1"/>
  <c r="AT1122" i="1"/>
  <c r="AS1122" i="1"/>
  <c r="AR1122" i="1"/>
  <c r="AQ1122" i="1"/>
  <c r="AP1122" i="1"/>
  <c r="AO1122" i="1"/>
  <c r="AN1122" i="1"/>
  <c r="AM1122" i="1"/>
  <c r="AL1122" i="1"/>
  <c r="AK1122" i="1"/>
  <c r="AJ1122" i="1"/>
  <c r="AI1122" i="1"/>
  <c r="AH1122" i="1"/>
  <c r="AG1122" i="1"/>
  <c r="AF1122" i="1"/>
  <c r="AE1122" i="1"/>
  <c r="AD1122" i="1"/>
  <c r="AC1122" i="1"/>
  <c r="AB1122" i="1"/>
  <c r="AA1122" i="1"/>
  <c r="Z1122" i="1"/>
  <c r="Y1122" i="1"/>
  <c r="X1122" i="1"/>
  <c r="W1122" i="1"/>
  <c r="V1122" i="1"/>
  <c r="U1122" i="1"/>
  <c r="T1122" i="1"/>
  <c r="S1122" i="1"/>
  <c r="R1122" i="1"/>
  <c r="Q1122" i="1"/>
  <c r="P1122" i="1"/>
  <c r="O1122" i="1"/>
  <c r="N1122" i="1"/>
  <c r="M1122" i="1"/>
  <c r="L1122" i="1"/>
  <c r="K1122" i="1"/>
  <c r="J1122" i="1"/>
  <c r="I1122" i="1"/>
  <c r="H1122" i="1"/>
  <c r="G1122" i="1"/>
  <c r="F1122" i="1"/>
  <c r="E1122" i="1"/>
  <c r="D1122" i="1"/>
  <c r="C1122" i="1"/>
  <c r="BG1118" i="1"/>
  <c r="BF1118" i="1"/>
  <c r="BE1118" i="1"/>
  <c r="BD1118" i="1"/>
  <c r="BC1118" i="1"/>
  <c r="BB1118" i="1"/>
  <c r="BA1118" i="1"/>
  <c r="AZ1118" i="1"/>
  <c r="AY1118" i="1"/>
  <c r="AX1118" i="1"/>
  <c r="AW1118" i="1"/>
  <c r="AV1118" i="1"/>
  <c r="AU1118" i="1"/>
  <c r="AT1118" i="1"/>
  <c r="AS1118" i="1"/>
  <c r="AR1118" i="1"/>
  <c r="AQ1118" i="1"/>
  <c r="AP1118" i="1"/>
  <c r="AO1118" i="1"/>
  <c r="AN1118" i="1"/>
  <c r="AM1118" i="1"/>
  <c r="AL1118" i="1"/>
  <c r="AK1118" i="1"/>
  <c r="AJ1118" i="1"/>
  <c r="AI1118" i="1"/>
  <c r="AH1118" i="1"/>
  <c r="AG1118" i="1"/>
  <c r="AF1118" i="1"/>
  <c r="AE1118" i="1"/>
  <c r="AD1118" i="1"/>
  <c r="AC1118" i="1"/>
  <c r="AB1118" i="1"/>
  <c r="AA1118" i="1"/>
  <c r="Z1118" i="1"/>
  <c r="Y1118" i="1"/>
  <c r="X1118" i="1"/>
  <c r="W1118" i="1"/>
  <c r="V1118" i="1"/>
  <c r="U1118" i="1"/>
  <c r="T1118" i="1"/>
  <c r="S1118" i="1"/>
  <c r="R1118" i="1"/>
  <c r="Q1118" i="1"/>
  <c r="P1118" i="1"/>
  <c r="O1118" i="1"/>
  <c r="N1118" i="1"/>
  <c r="M1118" i="1"/>
  <c r="L1118" i="1"/>
  <c r="K1118" i="1"/>
  <c r="J1118" i="1"/>
  <c r="I1118" i="1"/>
  <c r="H1118" i="1"/>
  <c r="G1118" i="1"/>
  <c r="F1118" i="1"/>
  <c r="E1118" i="1"/>
  <c r="D1118" i="1"/>
  <c r="C1118" i="1"/>
  <c r="A1108" i="1"/>
  <c r="A1100" i="1"/>
  <c r="A1098" i="1"/>
  <c r="BD1073" i="1"/>
  <c r="AY1073" i="1"/>
  <c r="BG1072" i="1"/>
  <c r="BF1072" i="1"/>
  <c r="BE1072" i="1"/>
  <c r="BD1072" i="1"/>
  <c r="BC1072" i="1"/>
  <c r="BB1072" i="1"/>
  <c r="BA1072" i="1"/>
  <c r="AZ1072" i="1"/>
  <c r="AY1072" i="1"/>
  <c r="AX1072" i="1"/>
  <c r="BG1070" i="1"/>
  <c r="BF1070" i="1"/>
  <c r="BE1070" i="1"/>
  <c r="BD1070" i="1"/>
  <c r="BC1070" i="1"/>
  <c r="BB1070" i="1"/>
  <c r="BA1070" i="1"/>
  <c r="AZ1070" i="1"/>
  <c r="AY1070" i="1"/>
  <c r="AX1070" i="1"/>
  <c r="BG1061" i="1"/>
  <c r="BF1061" i="1"/>
  <c r="BE1061" i="1"/>
  <c r="BD1061" i="1"/>
  <c r="BC1061" i="1"/>
  <c r="BB1061" i="1"/>
  <c r="BA1061" i="1"/>
  <c r="AZ1061" i="1"/>
  <c r="AY1061" i="1"/>
  <c r="AX1061" i="1"/>
  <c r="BG1060" i="1"/>
  <c r="BF1060" i="1"/>
  <c r="BE1060" i="1"/>
  <c r="BD1060" i="1"/>
  <c r="BC1060" i="1"/>
  <c r="BB1060" i="1"/>
  <c r="BA1060" i="1"/>
  <c r="AZ1060" i="1"/>
  <c r="AY1060" i="1"/>
  <c r="AX1060" i="1"/>
  <c r="BE1054" i="1"/>
  <c r="BF1054" i="1" s="1"/>
  <c r="BG1054" i="1" s="1"/>
  <c r="AY1054" i="1"/>
  <c r="AZ1054" i="1" s="1"/>
  <c r="BA1054" i="1" s="1"/>
  <c r="BB1054" i="1" s="1"/>
  <c r="BC1054" i="1" s="1"/>
  <c r="BD1054" i="1" s="1"/>
  <c r="AX1054" i="1"/>
  <c r="AS1054" i="1"/>
  <c r="AN1054" i="1"/>
  <c r="AI1054" i="1"/>
  <c r="AD1054" i="1"/>
  <c r="Y1054" i="1"/>
  <c r="T1054" i="1"/>
  <c r="O1054" i="1"/>
  <c r="J1054" i="1"/>
  <c r="AW1053" i="1"/>
  <c r="AV1053" i="1"/>
  <c r="AV109" i="9" s="1"/>
  <c r="AU1053" i="1"/>
  <c r="AU109" i="9" s="1"/>
  <c r="AT1053" i="1"/>
  <c r="AT109" i="9" s="1"/>
  <c r="AR1053" i="1"/>
  <c r="AR109" i="9" s="1"/>
  <c r="AQ1053" i="1"/>
  <c r="AP1053" i="1"/>
  <c r="AP109" i="9" s="1"/>
  <c r="AO1053" i="1"/>
  <c r="AM1053" i="1"/>
  <c r="AM109" i="9" s="1"/>
  <c r="AL1053" i="1"/>
  <c r="AL109" i="9" s="1"/>
  <c r="AK1053" i="1"/>
  <c r="AK109" i="9" s="1"/>
  <c r="AJ1053" i="1"/>
  <c r="AJ109" i="9" s="1"/>
  <c r="AH1053" i="1"/>
  <c r="AG1053" i="1"/>
  <c r="AG109" i="9" s="1"/>
  <c r="AF1053" i="1"/>
  <c r="AF109" i="9" s="1"/>
  <c r="AE1053" i="1"/>
  <c r="AC1053" i="1"/>
  <c r="AC109" i="9" s="1"/>
  <c r="AB1053" i="1"/>
  <c r="AB109" i="9" s="1"/>
  <c r="AA1053" i="1"/>
  <c r="Z1053" i="1"/>
  <c r="Z109" i="9" s="1"/>
  <c r="Z110" i="9" s="1"/>
  <c r="X1053" i="1"/>
  <c r="X109" i="9" s="1"/>
  <c r="W1053" i="1"/>
  <c r="V1053" i="1"/>
  <c r="V109" i="9" s="1"/>
  <c r="U1053" i="1"/>
  <c r="U109" i="9" s="1"/>
  <c r="S1053" i="1"/>
  <c r="S109" i="9" s="1"/>
  <c r="R1053" i="1"/>
  <c r="Q1053" i="1"/>
  <c r="Q109" i="9" s="1"/>
  <c r="P1053" i="1"/>
  <c r="P109" i="9" s="1"/>
  <c r="N1053" i="1"/>
  <c r="N109" i="9" s="1"/>
  <c r="M1053" i="1"/>
  <c r="M109" i="9" s="1"/>
  <c r="L1053" i="1"/>
  <c r="L109" i="9" s="1"/>
  <c r="K1053" i="1"/>
  <c r="I1053" i="1"/>
  <c r="H1053" i="1"/>
  <c r="H109" i="9" s="1"/>
  <c r="G1053" i="1"/>
  <c r="F1053" i="1"/>
  <c r="F109" i="9" s="1"/>
  <c r="F110" i="9" s="1"/>
  <c r="E1053" i="1"/>
  <c r="E109" i="9" s="1"/>
  <c r="D1053" i="1"/>
  <c r="D109" i="9" s="1"/>
  <c r="D110" i="9" s="1"/>
  <c r="C1053" i="1"/>
  <c r="C109" i="9" s="1"/>
  <c r="C110" i="9" s="1"/>
  <c r="AZ1052" i="1"/>
  <c r="BA1052" i="1" s="1"/>
  <c r="BB1052" i="1" s="1"/>
  <c r="BC1052" i="1" s="1"/>
  <c r="BD1052" i="1" s="1"/>
  <c r="BE1052" i="1" s="1"/>
  <c r="BF1052" i="1" s="1"/>
  <c r="BG1052" i="1" s="1"/>
  <c r="AX1052" i="1"/>
  <c r="AY1052" i="1" s="1"/>
  <c r="AS1052" i="1"/>
  <c r="AN1052" i="1"/>
  <c r="AI1052" i="1"/>
  <c r="AD1052" i="1"/>
  <c r="Y1052" i="1"/>
  <c r="T1052" i="1"/>
  <c r="O1052" i="1"/>
  <c r="O1053" i="1" s="1"/>
  <c r="J1052" i="1"/>
  <c r="AZ1051" i="1"/>
  <c r="BA1051" i="1" s="1"/>
  <c r="BB1051" i="1" s="1"/>
  <c r="BC1051" i="1" s="1"/>
  <c r="BD1051" i="1" s="1"/>
  <c r="BE1051" i="1" s="1"/>
  <c r="BF1051" i="1" s="1"/>
  <c r="BG1051" i="1" s="1"/>
  <c r="AX1051" i="1"/>
  <c r="AY1051" i="1" s="1"/>
  <c r="AS1051" i="1"/>
  <c r="AN1051" i="1"/>
  <c r="AI1051" i="1"/>
  <c r="AD1051" i="1"/>
  <c r="Y1051" i="1"/>
  <c r="Y1053" i="1" s="1"/>
  <c r="T1051" i="1"/>
  <c r="O1051" i="1"/>
  <c r="J1051" i="1"/>
  <c r="AS1050" i="1"/>
  <c r="AN1050" i="1"/>
  <c r="AI1050" i="1"/>
  <c r="AD1050" i="1"/>
  <c r="Y1050" i="1"/>
  <c r="T1050" i="1"/>
  <c r="O1050" i="1"/>
  <c r="J1050" i="1"/>
  <c r="AS1049" i="1"/>
  <c r="AN1049" i="1"/>
  <c r="AI1049" i="1"/>
  <c r="AD1049" i="1"/>
  <c r="Y1049" i="1"/>
  <c r="T1049" i="1"/>
  <c r="O1049" i="1"/>
  <c r="J1049" i="1"/>
  <c r="AX1048" i="1"/>
  <c r="AY1048" i="1" s="1"/>
  <c r="AZ1048" i="1" s="1"/>
  <c r="BA1048" i="1" s="1"/>
  <c r="BB1048" i="1" s="1"/>
  <c r="BC1048" i="1" s="1"/>
  <c r="BD1048" i="1" s="1"/>
  <c r="BE1048" i="1" s="1"/>
  <c r="AS1048" i="1"/>
  <c r="AS1053" i="1" s="1"/>
  <c r="AN1048" i="1"/>
  <c r="AI1048" i="1"/>
  <c r="AI1053" i="1" s="1"/>
  <c r="AD1048" i="1"/>
  <c r="AD1053" i="1" s="1"/>
  <c r="Y1048" i="1"/>
  <c r="T1048" i="1"/>
  <c r="O1048" i="1"/>
  <c r="J1048" i="1"/>
  <c r="J1053" i="1" s="1"/>
  <c r="X1045" i="1"/>
  <c r="X1055" i="1" s="1"/>
  <c r="R1045" i="1"/>
  <c r="C1045" i="1"/>
  <c r="C1055" i="1" s="1"/>
  <c r="AW1044" i="1"/>
  <c r="AV1044" i="1"/>
  <c r="AU1044" i="1"/>
  <c r="AT1044" i="1"/>
  <c r="AR1044" i="1"/>
  <c r="AQ1044" i="1"/>
  <c r="AP1044" i="1"/>
  <c r="AO1044" i="1"/>
  <c r="AM1044" i="1"/>
  <c r="AL1044" i="1"/>
  <c r="AK1044" i="1"/>
  <c r="AJ1044" i="1"/>
  <c r="AH1044" i="1"/>
  <c r="AG1044" i="1"/>
  <c r="AF1044" i="1"/>
  <c r="AE1044" i="1"/>
  <c r="AC1044" i="1"/>
  <c r="AB1044" i="1"/>
  <c r="AA1044" i="1"/>
  <c r="Z1044" i="1"/>
  <c r="Y1044" i="1"/>
  <c r="X1044" i="1"/>
  <c r="W1044" i="1"/>
  <c r="V1044" i="1"/>
  <c r="U1044" i="1"/>
  <c r="T1044" i="1"/>
  <c r="S1044" i="1"/>
  <c r="S1045" i="1" s="1"/>
  <c r="S1055" i="1" s="1"/>
  <c r="R1044" i="1"/>
  <c r="Q1044" i="1"/>
  <c r="P1044" i="1"/>
  <c r="N1044" i="1"/>
  <c r="M1044" i="1"/>
  <c r="L1044" i="1"/>
  <c r="K1044" i="1"/>
  <c r="I1044" i="1"/>
  <c r="H1044" i="1"/>
  <c r="G1044" i="1"/>
  <c r="F1044" i="1"/>
  <c r="E1044" i="1"/>
  <c r="D1044" i="1"/>
  <c r="C1044" i="1"/>
  <c r="BF1043" i="1"/>
  <c r="BG1043" i="1" s="1"/>
  <c r="AX1043" i="1"/>
  <c r="AY1043" i="1" s="1"/>
  <c r="AZ1043" i="1" s="1"/>
  <c r="BA1043" i="1" s="1"/>
  <c r="BB1043" i="1" s="1"/>
  <c r="BC1043" i="1" s="1"/>
  <c r="BD1043" i="1" s="1"/>
  <c r="BE1043" i="1" s="1"/>
  <c r="AS1043" i="1"/>
  <c r="AN1043" i="1"/>
  <c r="AI1043" i="1"/>
  <c r="AD1043" i="1"/>
  <c r="AX1042" i="1"/>
  <c r="AY1042" i="1" s="1"/>
  <c r="AZ1042" i="1" s="1"/>
  <c r="BA1042" i="1" s="1"/>
  <c r="BB1042" i="1" s="1"/>
  <c r="BC1042" i="1" s="1"/>
  <c r="BD1042" i="1" s="1"/>
  <c r="BE1042" i="1" s="1"/>
  <c r="BF1042" i="1" s="1"/>
  <c r="BG1042" i="1" s="1"/>
  <c r="AS1042" i="1"/>
  <c r="AN1042" i="1"/>
  <c r="AI1042" i="1"/>
  <c r="AD1042" i="1"/>
  <c r="Y1042" i="1"/>
  <c r="T1042" i="1"/>
  <c r="O1042" i="1"/>
  <c r="J1042" i="1"/>
  <c r="AX1041" i="1"/>
  <c r="AY1041" i="1" s="1"/>
  <c r="AZ1041" i="1" s="1"/>
  <c r="BA1041" i="1" s="1"/>
  <c r="BB1041" i="1" s="1"/>
  <c r="BC1041" i="1" s="1"/>
  <c r="BD1041" i="1" s="1"/>
  <c r="BE1041" i="1" s="1"/>
  <c r="BF1041" i="1" s="1"/>
  <c r="BG1041" i="1" s="1"/>
  <c r="AS1040" i="1"/>
  <c r="AN1040" i="1"/>
  <c r="AI1040" i="1"/>
  <c r="AI1044" i="1" s="1"/>
  <c r="AD1040" i="1"/>
  <c r="Y1040" i="1"/>
  <c r="T1040" i="1"/>
  <c r="O1040" i="1"/>
  <c r="J1040" i="1"/>
  <c r="AS1039" i="1"/>
  <c r="AS1044" i="1" s="1"/>
  <c r="AN1039" i="1"/>
  <c r="AN1044" i="1" s="1"/>
  <c r="AI1039" i="1"/>
  <c r="AD1039" i="1"/>
  <c r="Y1039" i="1"/>
  <c r="T1039" i="1"/>
  <c r="O1039" i="1"/>
  <c r="J1039" i="1"/>
  <c r="J1044" i="1" s="1"/>
  <c r="AW1036" i="1"/>
  <c r="AW123" i="9" s="1"/>
  <c r="AV1036" i="1"/>
  <c r="AV123" i="9" s="1"/>
  <c r="AU1036" i="1"/>
  <c r="AU123" i="9" s="1"/>
  <c r="AT1036" i="1"/>
  <c r="AT123" i="9" s="1"/>
  <c r="AT124" i="9" s="1"/>
  <c r="AR1036" i="1"/>
  <c r="AR123" i="9" s="1"/>
  <c r="AQ1036" i="1"/>
  <c r="AQ123" i="9" s="1"/>
  <c r="AP1036" i="1"/>
  <c r="AP123" i="9" s="1"/>
  <c r="AP124" i="9" s="1"/>
  <c r="AO1036" i="1"/>
  <c r="AO123" i="9" s="1"/>
  <c r="AO124" i="9" s="1"/>
  <c r="AN1036" i="1"/>
  <c r="AN123" i="9" s="1"/>
  <c r="AN124" i="9" s="1"/>
  <c r="AM1036" i="1"/>
  <c r="AM123" i="9" s="1"/>
  <c r="AL1036" i="1"/>
  <c r="AL123" i="9" s="1"/>
  <c r="AK1036" i="1"/>
  <c r="AK123" i="9" s="1"/>
  <c r="AJ1036" i="1"/>
  <c r="AJ123" i="9" s="1"/>
  <c r="AJ124" i="9" s="1"/>
  <c r="AH1036" i="1"/>
  <c r="AH123" i="9" s="1"/>
  <c r="AG1036" i="1"/>
  <c r="AG123" i="9" s="1"/>
  <c r="AF1036" i="1"/>
  <c r="AE1036" i="1"/>
  <c r="AE123" i="9" s="1"/>
  <c r="AC1036" i="1"/>
  <c r="AC123" i="9" s="1"/>
  <c r="AB1036" i="1"/>
  <c r="AB123" i="9" s="1"/>
  <c r="AA1036" i="1"/>
  <c r="AA123" i="9" s="1"/>
  <c r="Z1036" i="1"/>
  <c r="X1036" i="1"/>
  <c r="X123" i="9" s="1"/>
  <c r="W1036" i="1"/>
  <c r="W123" i="9" s="1"/>
  <c r="V1036" i="1"/>
  <c r="V123" i="9" s="1"/>
  <c r="U1036" i="1"/>
  <c r="U123" i="9" s="1"/>
  <c r="S1036" i="1"/>
  <c r="S123" i="9" s="1"/>
  <c r="R1036" i="1"/>
  <c r="R123" i="9" s="1"/>
  <c r="Q1036" i="1"/>
  <c r="Q123" i="9" s="1"/>
  <c r="P1036" i="1"/>
  <c r="P123" i="9" s="1"/>
  <c r="P124" i="9" s="1"/>
  <c r="N1036" i="1"/>
  <c r="N123" i="9" s="1"/>
  <c r="M1036" i="1"/>
  <c r="M123" i="9" s="1"/>
  <c r="L1036" i="1"/>
  <c r="L123" i="9" s="1"/>
  <c r="K1036" i="1"/>
  <c r="K123" i="9" s="1"/>
  <c r="K124" i="9" s="1"/>
  <c r="I1036" i="1"/>
  <c r="I123" i="9" s="1"/>
  <c r="H1036" i="1"/>
  <c r="H123" i="9" s="1"/>
  <c r="G1036" i="1"/>
  <c r="G123" i="9" s="1"/>
  <c r="F1036" i="1"/>
  <c r="F123" i="9" s="1"/>
  <c r="E1036" i="1"/>
  <c r="E123" i="9" s="1"/>
  <c r="E124" i="9" s="1"/>
  <c r="D1036" i="1"/>
  <c r="D123" i="9" s="1"/>
  <c r="C1036" i="1"/>
  <c r="C123" i="9" s="1"/>
  <c r="C124" i="9" s="1"/>
  <c r="BA1035" i="1"/>
  <c r="BB1035" i="1" s="1"/>
  <c r="BC1035" i="1" s="1"/>
  <c r="BD1035" i="1" s="1"/>
  <c r="BE1035" i="1" s="1"/>
  <c r="BF1035" i="1" s="1"/>
  <c r="BG1035" i="1" s="1"/>
  <c r="AY1035" i="1"/>
  <c r="AZ1035" i="1" s="1"/>
  <c r="AX1035" i="1"/>
  <c r="AS1035" i="1"/>
  <c r="AN1035" i="1"/>
  <c r="AI1035" i="1"/>
  <c r="AD1035" i="1"/>
  <c r="Y1035" i="1"/>
  <c r="T1035" i="1"/>
  <c r="O1035" i="1"/>
  <c r="J1035" i="1"/>
  <c r="BC1034" i="1"/>
  <c r="BD1034" i="1" s="1"/>
  <c r="BE1034" i="1" s="1"/>
  <c r="BF1034" i="1" s="1"/>
  <c r="BG1034" i="1" s="1"/>
  <c r="BA1034" i="1"/>
  <c r="BB1034" i="1" s="1"/>
  <c r="AY1034" i="1"/>
  <c r="AZ1034" i="1" s="1"/>
  <c r="AX1034" i="1"/>
  <c r="AS1033" i="1"/>
  <c r="AN1033" i="1"/>
  <c r="AI1033" i="1"/>
  <c r="AD1033" i="1"/>
  <c r="Y1033" i="1"/>
  <c r="T1033" i="1"/>
  <c r="O1033" i="1"/>
  <c r="J1033" i="1"/>
  <c r="AS1032" i="1"/>
  <c r="AS1036" i="1" s="1"/>
  <c r="AN1032" i="1"/>
  <c r="AI1032" i="1"/>
  <c r="AI1036" i="1" s="1"/>
  <c r="AD1032" i="1"/>
  <c r="AD1036" i="1" s="1"/>
  <c r="Y1032" i="1"/>
  <c r="T1032" i="1"/>
  <c r="T1036" i="1" s="1"/>
  <c r="O1032" i="1"/>
  <c r="J1032" i="1"/>
  <c r="J1036" i="1" s="1"/>
  <c r="Z1029" i="1"/>
  <c r="X1029" i="1"/>
  <c r="X1057" i="1" s="1"/>
  <c r="S1029" i="1"/>
  <c r="P1029" i="1"/>
  <c r="AO1028" i="1"/>
  <c r="AK1028" i="1"/>
  <c r="AB1028" i="1"/>
  <c r="AB1029" i="1" s="1"/>
  <c r="U1028" i="1"/>
  <c r="Q1028" i="1"/>
  <c r="I1028" i="1"/>
  <c r="E1028" i="1"/>
  <c r="BA1027" i="1"/>
  <c r="BB1027" i="1" s="1"/>
  <c r="BC1027" i="1" s="1"/>
  <c r="BD1027" i="1" s="1"/>
  <c r="BE1027" i="1" s="1"/>
  <c r="BF1027" i="1" s="1"/>
  <c r="BG1027" i="1" s="1"/>
  <c r="AX1027" i="1"/>
  <c r="AY1027" i="1" s="1"/>
  <c r="AZ1027" i="1" s="1"/>
  <c r="AW1027" i="1"/>
  <c r="AV1027" i="1"/>
  <c r="AU1027" i="1"/>
  <c r="AT1027" i="1"/>
  <c r="AS1027" i="1" s="1"/>
  <c r="AR1027" i="1"/>
  <c r="AQ1027" i="1"/>
  <c r="AP1027" i="1"/>
  <c r="AO1027" i="1"/>
  <c r="AN1027" i="1" s="1"/>
  <c r="AM1027" i="1"/>
  <c r="AK1027" i="1"/>
  <c r="AJ1027" i="1"/>
  <c r="AI1027" i="1" s="1"/>
  <c r="AH1027" i="1"/>
  <c r="AG1027" i="1"/>
  <c r="AF1027" i="1"/>
  <c r="AE1027" i="1"/>
  <c r="AD1027" i="1" s="1"/>
  <c r="Y1027" i="1"/>
  <c r="T1027" i="1"/>
  <c r="O1027" i="1"/>
  <c r="J1027" i="1"/>
  <c r="BA1026" i="1"/>
  <c r="BB1026" i="1" s="1"/>
  <c r="BC1026" i="1" s="1"/>
  <c r="BD1026" i="1" s="1"/>
  <c r="BE1026" i="1" s="1"/>
  <c r="BF1026" i="1" s="1"/>
  <c r="BG1026" i="1" s="1"/>
  <c r="AY1026" i="1"/>
  <c r="AZ1026" i="1" s="1"/>
  <c r="AX1026" i="1"/>
  <c r="AX1025" i="1"/>
  <c r="AY1025" i="1" s="1"/>
  <c r="AZ1025" i="1" s="1"/>
  <c r="BA1025" i="1" s="1"/>
  <c r="BB1025" i="1" s="1"/>
  <c r="BC1025" i="1" s="1"/>
  <c r="BD1025" i="1" s="1"/>
  <c r="BE1025" i="1" s="1"/>
  <c r="BF1025" i="1" s="1"/>
  <c r="BG1025" i="1" s="1"/>
  <c r="AS1025" i="1"/>
  <c r="AR1025" i="1"/>
  <c r="AN1025" i="1"/>
  <c r="AI1025" i="1"/>
  <c r="AD1025" i="1"/>
  <c r="AZ1024" i="1"/>
  <c r="BA1024" i="1" s="1"/>
  <c r="BB1024" i="1" s="1"/>
  <c r="BC1024" i="1" s="1"/>
  <c r="BD1024" i="1" s="1"/>
  <c r="BE1024" i="1" s="1"/>
  <c r="BF1024" i="1" s="1"/>
  <c r="BG1024" i="1" s="1"/>
  <c r="AY1024" i="1"/>
  <c r="AX1024" i="1"/>
  <c r="AS1024" i="1"/>
  <c r="AN1024" i="1"/>
  <c r="AI1024" i="1"/>
  <c r="AD1024" i="1"/>
  <c r="Y1024" i="1"/>
  <c r="T1024" i="1"/>
  <c r="O1024" i="1"/>
  <c r="J1024" i="1"/>
  <c r="BB1023" i="1"/>
  <c r="BC1023" i="1" s="1"/>
  <c r="BD1023" i="1" s="1"/>
  <c r="BE1023" i="1" s="1"/>
  <c r="BF1023" i="1" s="1"/>
  <c r="BG1023" i="1" s="1"/>
  <c r="AY1023" i="1"/>
  <c r="AZ1023" i="1" s="1"/>
  <c r="BA1023" i="1" s="1"/>
  <c r="AX1023" i="1"/>
  <c r="AS1023" i="1"/>
  <c r="AN1023" i="1"/>
  <c r="AI1023" i="1"/>
  <c r="AD1023" i="1"/>
  <c r="Y1023" i="1"/>
  <c r="T1023" i="1"/>
  <c r="O1023" i="1"/>
  <c r="J1023" i="1"/>
  <c r="AV1022" i="1"/>
  <c r="AV1028" i="1" s="1"/>
  <c r="AR1022" i="1"/>
  <c r="AR1028" i="1" s="1"/>
  <c r="AP1022" i="1"/>
  <c r="AK1022" i="1"/>
  <c r="AH1022" i="1"/>
  <c r="AH1028" i="1" s="1"/>
  <c r="AF1022" i="1"/>
  <c r="AB1022" i="1"/>
  <c r="Z1022" i="1"/>
  <c r="Z1028" i="1" s="1"/>
  <c r="X1022" i="1"/>
  <c r="X1028" i="1" s="1"/>
  <c r="U1022" i="1"/>
  <c r="S1022" i="1"/>
  <c r="S1028" i="1" s="1"/>
  <c r="R1022" i="1"/>
  <c r="P1022" i="1"/>
  <c r="P1028" i="1" s="1"/>
  <c r="L1022" i="1"/>
  <c r="L984" i="1" s="1"/>
  <c r="H1022" i="1"/>
  <c r="E1022" i="1"/>
  <c r="C1022" i="1"/>
  <c r="C1028" i="1" s="1"/>
  <c r="AS1021" i="1"/>
  <c r="AN1021" i="1"/>
  <c r="AI1021" i="1"/>
  <c r="AI1022" i="1" s="1"/>
  <c r="AI984" i="1" s="1"/>
  <c r="AD1021" i="1"/>
  <c r="Y1021" i="1"/>
  <c r="T1021" i="1"/>
  <c r="O1021" i="1"/>
  <c r="J1021" i="1"/>
  <c r="AS1020" i="1"/>
  <c r="AN1020" i="1"/>
  <c r="AI1020" i="1"/>
  <c r="AD1020" i="1"/>
  <c r="Y1020" i="1"/>
  <c r="T1020" i="1"/>
  <c r="O1020" i="1"/>
  <c r="J1020" i="1"/>
  <c r="AW1019" i="1"/>
  <c r="AW1022" i="1" s="1"/>
  <c r="AW1028" i="1" s="1"/>
  <c r="AV1019" i="1"/>
  <c r="AU1019" i="1"/>
  <c r="AU1022" i="1" s="1"/>
  <c r="AT1019" i="1"/>
  <c r="AT1022" i="1" s="1"/>
  <c r="AT1028" i="1" s="1"/>
  <c r="AR1019" i="1"/>
  <c r="AQ1019" i="1"/>
  <c r="AQ1022" i="1" s="1"/>
  <c r="AP1019" i="1"/>
  <c r="AO1019" i="1"/>
  <c r="AO1022" i="1" s="1"/>
  <c r="AM1019" i="1"/>
  <c r="AM1022" i="1" s="1"/>
  <c r="AM1028" i="1" s="1"/>
  <c r="AL1019" i="1"/>
  <c r="AL1022" i="1" s="1"/>
  <c r="AK1019" i="1"/>
  <c r="AJ1019" i="1"/>
  <c r="AJ1022" i="1" s="1"/>
  <c r="AJ1028" i="1" s="1"/>
  <c r="AH1019" i="1"/>
  <c r="AG1019" i="1"/>
  <c r="AG1022" i="1" s="1"/>
  <c r="AF1019" i="1"/>
  <c r="AE1019" i="1"/>
  <c r="AE1022" i="1" s="1"/>
  <c r="AE1028" i="1" s="1"/>
  <c r="AC1019" i="1"/>
  <c r="AC1022" i="1" s="1"/>
  <c r="AC1028" i="1" s="1"/>
  <c r="AB1019" i="1"/>
  <c r="AA1019" i="1"/>
  <c r="AA1022" i="1" s="1"/>
  <c r="Z1019" i="1"/>
  <c r="Y1019" i="1"/>
  <c r="Y1022" i="1" s="1"/>
  <c r="Y1028" i="1" s="1"/>
  <c r="X1019" i="1"/>
  <c r="W1019" i="1"/>
  <c r="W1022" i="1" s="1"/>
  <c r="W1028" i="1" s="1"/>
  <c r="V1019" i="1"/>
  <c r="V1022" i="1" s="1"/>
  <c r="V1028" i="1" s="1"/>
  <c r="U1019" i="1"/>
  <c r="T1019" i="1"/>
  <c r="T1022" i="1" s="1"/>
  <c r="S1019" i="1"/>
  <c r="R1019" i="1"/>
  <c r="Q1019" i="1"/>
  <c r="Q1022" i="1" s="1"/>
  <c r="P1019" i="1"/>
  <c r="O1019" i="1"/>
  <c r="O1022" i="1" s="1"/>
  <c r="N1019" i="1"/>
  <c r="N1022" i="1" s="1"/>
  <c r="N1028" i="1" s="1"/>
  <c r="M1019" i="1"/>
  <c r="M1022" i="1" s="1"/>
  <c r="M1028" i="1" s="1"/>
  <c r="L1019" i="1"/>
  <c r="K1019" i="1"/>
  <c r="K1022" i="1" s="1"/>
  <c r="I1019" i="1"/>
  <c r="I1022" i="1" s="1"/>
  <c r="H1019" i="1"/>
  <c r="G1019" i="1"/>
  <c r="G1022" i="1" s="1"/>
  <c r="G1028" i="1" s="1"/>
  <c r="F1019" i="1"/>
  <c r="F1022" i="1" s="1"/>
  <c r="F1028" i="1" s="1"/>
  <c r="E1019" i="1"/>
  <c r="D1019" i="1"/>
  <c r="D1022" i="1" s="1"/>
  <c r="D1028" i="1" s="1"/>
  <c r="C1019" i="1"/>
  <c r="AS1018" i="1"/>
  <c r="AN1018" i="1"/>
  <c r="AI1018" i="1"/>
  <c r="AD1018" i="1"/>
  <c r="Y1018" i="1"/>
  <c r="T1018" i="1"/>
  <c r="O1018" i="1"/>
  <c r="J1018" i="1"/>
  <c r="AS1017" i="1"/>
  <c r="AS1019" i="1" s="1"/>
  <c r="AS1022" i="1" s="1"/>
  <c r="AN1017" i="1"/>
  <c r="AI1017" i="1"/>
  <c r="AI1019" i="1" s="1"/>
  <c r="AD1017" i="1"/>
  <c r="AD1019" i="1" s="1"/>
  <c r="AD1022" i="1" s="1"/>
  <c r="Y1017" i="1"/>
  <c r="T1017" i="1"/>
  <c r="O1017" i="1"/>
  <c r="J1017" i="1"/>
  <c r="J1019" i="1" s="1"/>
  <c r="J1022" i="1" s="1"/>
  <c r="AS1016" i="1"/>
  <c r="AN1016" i="1"/>
  <c r="AI1016" i="1"/>
  <c r="AD1016" i="1"/>
  <c r="Y1016" i="1"/>
  <c r="T1016" i="1"/>
  <c r="O1016" i="1"/>
  <c r="J1016" i="1"/>
  <c r="AS1015" i="1"/>
  <c r="AN1015" i="1"/>
  <c r="AI1015" i="1"/>
  <c r="AD1015" i="1"/>
  <c r="Y1015" i="1"/>
  <c r="T1015" i="1"/>
  <c r="O1015" i="1"/>
  <c r="J1015" i="1"/>
  <c r="J990" i="1" s="1"/>
  <c r="AU1012" i="1"/>
  <c r="AQ1012" i="1"/>
  <c r="AL1012" i="1"/>
  <c r="AE1012" i="1"/>
  <c r="AE1029" i="1" s="1"/>
  <c r="AC1012" i="1"/>
  <c r="AB1012" i="1"/>
  <c r="AA1012" i="1"/>
  <c r="Z1012" i="1"/>
  <c r="X1012" i="1"/>
  <c r="W1012" i="1"/>
  <c r="W1029" i="1" s="1"/>
  <c r="V1012" i="1"/>
  <c r="V1029" i="1" s="1"/>
  <c r="U1012" i="1"/>
  <c r="S1012" i="1"/>
  <c r="R1012" i="1"/>
  <c r="Q1012" i="1"/>
  <c r="P1012" i="1"/>
  <c r="N1012" i="1"/>
  <c r="M1012" i="1"/>
  <c r="L1012" i="1"/>
  <c r="K1012" i="1"/>
  <c r="I1012" i="1"/>
  <c r="H1012" i="1"/>
  <c r="G1012" i="1"/>
  <c r="F1012" i="1"/>
  <c r="F1029" i="1" s="1"/>
  <c r="E1012" i="1"/>
  <c r="E1029" i="1" s="1"/>
  <c r="D1012" i="1"/>
  <c r="D1029" i="1" s="1"/>
  <c r="C1012" i="1"/>
  <c r="C1029" i="1" s="1"/>
  <c r="AW1011" i="1"/>
  <c r="AV1011" i="1"/>
  <c r="AV1012" i="1" s="1"/>
  <c r="AV1029" i="1" s="1"/>
  <c r="AU1011" i="1"/>
  <c r="AT1011" i="1"/>
  <c r="AR1011" i="1"/>
  <c r="AQ1011" i="1"/>
  <c r="AP1011" i="1"/>
  <c r="AP1012" i="1" s="1"/>
  <c r="AO1011" i="1"/>
  <c r="AO1012" i="1" s="1"/>
  <c r="AN1011" i="1"/>
  <c r="AM1011" i="1"/>
  <c r="AK1011" i="1"/>
  <c r="AK1012" i="1" s="1"/>
  <c r="AK1029" i="1" s="1"/>
  <c r="AJ1011" i="1"/>
  <c r="AJ1012" i="1" s="1"/>
  <c r="AI1011" i="1"/>
  <c r="AH1011" i="1"/>
  <c r="AH1012" i="1" s="1"/>
  <c r="AH1029" i="1" s="1"/>
  <c r="AG1011" i="1"/>
  <c r="AG1012" i="1" s="1"/>
  <c r="AF1011" i="1"/>
  <c r="AF1012" i="1" s="1"/>
  <c r="AE1011" i="1"/>
  <c r="AD1011" i="1"/>
  <c r="Y1011" i="1"/>
  <c r="T1011" i="1"/>
  <c r="O1011" i="1"/>
  <c r="J1011" i="1"/>
  <c r="BE1010" i="1"/>
  <c r="BF1010" i="1" s="1"/>
  <c r="BG1010" i="1" s="1"/>
  <c r="BA1010" i="1"/>
  <c r="BB1010" i="1" s="1"/>
  <c r="BC1010" i="1" s="1"/>
  <c r="BD1010" i="1" s="1"/>
  <c r="AX1010" i="1"/>
  <c r="AY1010" i="1" s="1"/>
  <c r="AZ1010" i="1" s="1"/>
  <c r="AM1010" i="1"/>
  <c r="AM1012" i="1" s="1"/>
  <c r="BD1009" i="1"/>
  <c r="BE1009" i="1" s="1"/>
  <c r="BF1009" i="1" s="1"/>
  <c r="BG1009" i="1" s="1"/>
  <c r="AZ1009" i="1"/>
  <c r="BA1009" i="1" s="1"/>
  <c r="BB1009" i="1" s="1"/>
  <c r="BC1009" i="1" s="1"/>
  <c r="AX1009" i="1"/>
  <c r="AY1009" i="1" s="1"/>
  <c r="BF1008" i="1"/>
  <c r="BG1008" i="1" s="1"/>
  <c r="AX1008" i="1"/>
  <c r="AY1008" i="1" s="1"/>
  <c r="AZ1008" i="1" s="1"/>
  <c r="BA1008" i="1" s="1"/>
  <c r="BB1008" i="1" s="1"/>
  <c r="BC1008" i="1" s="1"/>
  <c r="BD1008" i="1" s="1"/>
  <c r="BE1008" i="1" s="1"/>
  <c r="AS1008" i="1"/>
  <c r="AR1008" i="1"/>
  <c r="AR1012" i="1" s="1"/>
  <c r="AR1029" i="1" s="1"/>
  <c r="AN1008" i="1"/>
  <c r="AI1008" i="1"/>
  <c r="AD1008" i="1"/>
  <c r="AY1007" i="1"/>
  <c r="AZ1007" i="1" s="1"/>
  <c r="BA1007" i="1" s="1"/>
  <c r="BB1007" i="1" s="1"/>
  <c r="BC1007" i="1" s="1"/>
  <c r="BD1007" i="1" s="1"/>
  <c r="BE1007" i="1" s="1"/>
  <c r="BF1007" i="1" s="1"/>
  <c r="BG1007" i="1" s="1"/>
  <c r="AX1007" i="1"/>
  <c r="AS1007" i="1"/>
  <c r="AN1007" i="1"/>
  <c r="AI1007" i="1"/>
  <c r="AD1007" i="1"/>
  <c r="Y1007" i="1"/>
  <c r="T1007" i="1"/>
  <c r="O1007" i="1"/>
  <c r="J1007" i="1"/>
  <c r="BA1006" i="1"/>
  <c r="BB1006" i="1" s="1"/>
  <c r="BC1006" i="1" s="1"/>
  <c r="BD1006" i="1" s="1"/>
  <c r="BE1006" i="1" s="1"/>
  <c r="BF1006" i="1" s="1"/>
  <c r="BG1006" i="1" s="1"/>
  <c r="AY1006" i="1"/>
  <c r="AZ1006" i="1" s="1"/>
  <c r="AX1006" i="1"/>
  <c r="AS1006" i="1"/>
  <c r="AN1006" i="1"/>
  <c r="AI1006" i="1"/>
  <c r="AD1006" i="1"/>
  <c r="Y1006" i="1"/>
  <c r="T1006" i="1"/>
  <c r="O1006" i="1"/>
  <c r="J1006" i="1"/>
  <c r="AS1005" i="1"/>
  <c r="AN1005" i="1"/>
  <c r="AI1005" i="1"/>
  <c r="AD1005" i="1"/>
  <c r="Y1005" i="1"/>
  <c r="T1005" i="1"/>
  <c r="O1005" i="1"/>
  <c r="J1005" i="1"/>
  <c r="AS1004" i="1"/>
  <c r="AN1004" i="1"/>
  <c r="AI1004" i="1"/>
  <c r="AD1004" i="1"/>
  <c r="Y1004" i="1"/>
  <c r="T1004" i="1"/>
  <c r="O1004" i="1"/>
  <c r="J1004" i="1"/>
  <c r="AS1003" i="1"/>
  <c r="AN1003" i="1"/>
  <c r="AI1003" i="1"/>
  <c r="AD1003" i="1"/>
  <c r="Y1003" i="1"/>
  <c r="T1003" i="1"/>
  <c r="T1012" i="1" s="1"/>
  <c r="O1003" i="1"/>
  <c r="O1012" i="1" s="1"/>
  <c r="J1003" i="1"/>
  <c r="J1012" i="1" s="1"/>
  <c r="BD999" i="1"/>
  <c r="AY999" i="1"/>
  <c r="AE995" i="1"/>
  <c r="Z995" i="1"/>
  <c r="AW990" i="1"/>
  <c r="AV990" i="1"/>
  <c r="AU990" i="1"/>
  <c r="AT990" i="1"/>
  <c r="AS990" i="1"/>
  <c r="AR990" i="1"/>
  <c r="AQ990" i="1"/>
  <c r="AP990" i="1"/>
  <c r="AQ986" i="1" s="1"/>
  <c r="AO990" i="1"/>
  <c r="AN990" i="1"/>
  <c r="AM990" i="1"/>
  <c r="AL990" i="1"/>
  <c r="AK990" i="1"/>
  <c r="AJ990" i="1"/>
  <c r="AO986" i="1" s="1"/>
  <c r="AI990" i="1"/>
  <c r="AH990" i="1"/>
  <c r="AI986" i="1" s="1"/>
  <c r="AG990" i="1"/>
  <c r="AH986" i="1" s="1"/>
  <c r="AF990" i="1"/>
  <c r="AE990" i="1"/>
  <c r="AD990" i="1"/>
  <c r="AD989" i="1" s="1"/>
  <c r="AC990" i="1"/>
  <c r="AB990" i="1"/>
  <c r="AB989" i="1" s="1"/>
  <c r="AA990" i="1"/>
  <c r="AA989" i="1" s="1"/>
  <c r="Z990" i="1"/>
  <c r="AA986" i="1" s="1"/>
  <c r="Y990" i="1"/>
  <c r="Y989" i="1" s="1"/>
  <c r="X990" i="1"/>
  <c r="W990" i="1"/>
  <c r="V990" i="1"/>
  <c r="U990" i="1"/>
  <c r="T990" i="1"/>
  <c r="S990" i="1"/>
  <c r="T986" i="1" s="1"/>
  <c r="R990" i="1"/>
  <c r="S986" i="1" s="1"/>
  <c r="Q990" i="1"/>
  <c r="P990" i="1"/>
  <c r="O990" i="1"/>
  <c r="N990" i="1"/>
  <c r="N989" i="1" s="1"/>
  <c r="M990" i="1"/>
  <c r="L990" i="1"/>
  <c r="M986" i="1" s="1"/>
  <c r="K990" i="1"/>
  <c r="K989" i="1" s="1"/>
  <c r="I990" i="1"/>
  <c r="H990" i="1"/>
  <c r="G990" i="1"/>
  <c r="F990" i="1"/>
  <c r="E990" i="1"/>
  <c r="D990" i="1"/>
  <c r="C990" i="1"/>
  <c r="U989" i="1"/>
  <c r="R989" i="1"/>
  <c r="AF987" i="1"/>
  <c r="AE987" i="1"/>
  <c r="AD987" i="1"/>
  <c r="AC987" i="1"/>
  <c r="AB987" i="1"/>
  <c r="AA987" i="1"/>
  <c r="Z987" i="1"/>
  <c r="Y987" i="1"/>
  <c r="X987" i="1"/>
  <c r="W987" i="1"/>
  <c r="V987" i="1"/>
  <c r="U987" i="1"/>
  <c r="U993" i="1" s="1"/>
  <c r="T987" i="1"/>
  <c r="S987" i="1"/>
  <c r="R987" i="1"/>
  <c r="Q987" i="1"/>
  <c r="P987" i="1"/>
  <c r="O987" i="1"/>
  <c r="N987" i="1"/>
  <c r="M987" i="1"/>
  <c r="L987" i="1"/>
  <c r="K987" i="1"/>
  <c r="J987" i="1"/>
  <c r="I987" i="1"/>
  <c r="H987" i="1"/>
  <c r="G987" i="1"/>
  <c r="F987" i="1"/>
  <c r="E987" i="1"/>
  <c r="E993" i="1" s="1"/>
  <c r="D987" i="1"/>
  <c r="AX986" i="1"/>
  <c r="AW986" i="1"/>
  <c r="AU986" i="1"/>
  <c r="AS986" i="1"/>
  <c r="AR986" i="1"/>
  <c r="AM986" i="1"/>
  <c r="AL986" i="1"/>
  <c r="AK986" i="1"/>
  <c r="AJ986" i="1"/>
  <c r="AG986" i="1"/>
  <c r="AE986" i="1"/>
  <c r="AE993" i="1" s="1"/>
  <c r="AD986" i="1"/>
  <c r="AC986" i="1"/>
  <c r="AB986" i="1"/>
  <c r="Z986" i="1"/>
  <c r="Z993" i="1" s="1"/>
  <c r="Y986" i="1"/>
  <c r="W986" i="1"/>
  <c r="V986" i="1"/>
  <c r="U986" i="1"/>
  <c r="R986" i="1"/>
  <c r="Q986" i="1"/>
  <c r="O986" i="1"/>
  <c r="N986" i="1"/>
  <c r="L986" i="1"/>
  <c r="K986" i="1"/>
  <c r="K995" i="1" s="1"/>
  <c r="I986" i="1"/>
  <c r="G986" i="1"/>
  <c r="F986" i="1"/>
  <c r="E986" i="1"/>
  <c r="E995" i="1" s="1"/>
  <c r="D986" i="1"/>
  <c r="AW984" i="1"/>
  <c r="AV984" i="1"/>
  <c r="AT984" i="1"/>
  <c r="AY980" i="1" s="1"/>
  <c r="AP984" i="1"/>
  <c r="AO984" i="1"/>
  <c r="AM984" i="1"/>
  <c r="AN980" i="1" s="1"/>
  <c r="AK984" i="1"/>
  <c r="AL980" i="1" s="1"/>
  <c r="AJ984" i="1"/>
  <c r="AH984" i="1"/>
  <c r="AI980" i="1" s="1"/>
  <c r="AE984" i="1"/>
  <c r="AJ980" i="1" s="1"/>
  <c r="AD984" i="1"/>
  <c r="AC984" i="1"/>
  <c r="AD980" i="1" s="1"/>
  <c r="AB984" i="1"/>
  <c r="AC980" i="1" s="1"/>
  <c r="Z984" i="1"/>
  <c r="Y984" i="1"/>
  <c r="X984" i="1"/>
  <c r="W984" i="1"/>
  <c r="V984" i="1"/>
  <c r="U984" i="1"/>
  <c r="V980" i="1" s="1"/>
  <c r="S984" i="1"/>
  <c r="Q984" i="1"/>
  <c r="P984" i="1"/>
  <c r="O984" i="1"/>
  <c r="N984" i="1"/>
  <c r="O980" i="1" s="1"/>
  <c r="M984" i="1"/>
  <c r="N980" i="1" s="1"/>
  <c r="I984" i="1"/>
  <c r="G984" i="1"/>
  <c r="F984" i="1"/>
  <c r="E984" i="1"/>
  <c r="F980" i="1" s="1"/>
  <c r="D984" i="1"/>
  <c r="C984" i="1"/>
  <c r="AX980" i="1"/>
  <c r="AW980" i="1"/>
  <c r="AU980" i="1"/>
  <c r="AP980" i="1"/>
  <c r="AF980" i="1"/>
  <c r="Z980" i="1"/>
  <c r="Y980" i="1"/>
  <c r="X980" i="1"/>
  <c r="W980" i="1"/>
  <c r="U980" i="1"/>
  <c r="T980" i="1"/>
  <c r="R980" i="1"/>
  <c r="Q980" i="1"/>
  <c r="J980" i="1"/>
  <c r="H980" i="1"/>
  <c r="G980" i="1"/>
  <c r="D980" i="1"/>
  <c r="A966" i="1"/>
  <c r="C965" i="1"/>
  <c r="A965" i="1"/>
  <c r="A963" i="1"/>
  <c r="BD962" i="1"/>
  <c r="AW962" i="1"/>
  <c r="AV962" i="1"/>
  <c r="AU962" i="1"/>
  <c r="AY962" i="1" s="1"/>
  <c r="AT962" i="1"/>
  <c r="AR962" i="1"/>
  <c r="AQ962" i="1"/>
  <c r="AP962" i="1"/>
  <c r="AO962" i="1"/>
  <c r="AM962" i="1"/>
  <c r="AL962" i="1"/>
  <c r="AK962" i="1"/>
  <c r="AJ962" i="1"/>
  <c r="AH962" i="1"/>
  <c r="AG962" i="1"/>
  <c r="AF962" i="1"/>
  <c r="AE962" i="1"/>
  <c r="AC962" i="1"/>
  <c r="AB962" i="1"/>
  <c r="AA962" i="1"/>
  <c r="Z962" i="1"/>
  <c r="X962" i="1"/>
  <c r="W962" i="1"/>
  <c r="V962" i="1"/>
  <c r="U962" i="1"/>
  <c r="S962" i="1"/>
  <c r="R962" i="1"/>
  <c r="Q962" i="1"/>
  <c r="P962" i="1"/>
  <c r="N962" i="1"/>
  <c r="M962" i="1"/>
  <c r="L962" i="1"/>
  <c r="K962" i="1"/>
  <c r="I962" i="1"/>
  <c r="H962" i="1"/>
  <c r="G962" i="1"/>
  <c r="F962" i="1"/>
  <c r="E962" i="1"/>
  <c r="D962" i="1"/>
  <c r="C962" i="1"/>
  <c r="A962" i="1"/>
  <c r="BD961" i="1"/>
  <c r="AY961" i="1"/>
  <c r="AW961" i="1"/>
  <c r="AV961" i="1"/>
  <c r="AU961" i="1"/>
  <c r="AT961" i="1"/>
  <c r="AR961" i="1"/>
  <c r="AQ961" i="1"/>
  <c r="AP961" i="1"/>
  <c r="AO961" i="1"/>
  <c r="AN961" i="1"/>
  <c r="AM961" i="1"/>
  <c r="AL961" i="1"/>
  <c r="AK961" i="1"/>
  <c r="AJ961" i="1"/>
  <c r="AI961" i="1"/>
  <c r="AH961" i="1"/>
  <c r="AG961" i="1"/>
  <c r="AF961" i="1"/>
  <c r="AE961" i="1"/>
  <c r="AD961" i="1"/>
  <c r="AC961" i="1"/>
  <c r="AB961" i="1"/>
  <c r="AA961" i="1"/>
  <c r="Z961" i="1"/>
  <c r="Y961" i="1"/>
  <c r="X961" i="1"/>
  <c r="W961" i="1"/>
  <c r="V961" i="1"/>
  <c r="U961" i="1"/>
  <c r="T961" i="1"/>
  <c r="S961" i="1"/>
  <c r="R961" i="1"/>
  <c r="Q961" i="1"/>
  <c r="P961" i="1"/>
  <c r="O961" i="1"/>
  <c r="N961" i="1"/>
  <c r="M961" i="1"/>
  <c r="L961" i="1"/>
  <c r="K961" i="1"/>
  <c r="J961" i="1"/>
  <c r="I961" i="1"/>
  <c r="H961" i="1"/>
  <c r="G961" i="1"/>
  <c r="F961" i="1"/>
  <c r="E961" i="1"/>
  <c r="D961" i="1"/>
  <c r="C961" i="1"/>
  <c r="A961" i="1"/>
  <c r="AU959" i="1"/>
  <c r="AL959" i="1"/>
  <c r="AA959" i="1"/>
  <c r="V959" i="1"/>
  <c r="F959" i="1"/>
  <c r="A959" i="1"/>
  <c r="BD958" i="1"/>
  <c r="AW958" i="1"/>
  <c r="AV958" i="1"/>
  <c r="AU958" i="1"/>
  <c r="AY958" i="1" s="1"/>
  <c r="AT958" i="1"/>
  <c r="AR958" i="1"/>
  <c r="AQ958" i="1"/>
  <c r="AP958" i="1"/>
  <c r="AO958" i="1"/>
  <c r="AN958" i="1"/>
  <c r="AM958" i="1"/>
  <c r="AL958" i="1"/>
  <c r="AK958" i="1"/>
  <c r="AJ958" i="1"/>
  <c r="AI958" i="1"/>
  <c r="AH958" i="1"/>
  <c r="AG958" i="1"/>
  <c r="AF958" i="1"/>
  <c r="AE958" i="1"/>
  <c r="AD958" i="1"/>
  <c r="AC958" i="1"/>
  <c r="AB958" i="1"/>
  <c r="AA958" i="1"/>
  <c r="Z958" i="1"/>
  <c r="Y958" i="1"/>
  <c r="X958" i="1"/>
  <c r="W958" i="1"/>
  <c r="V958" i="1"/>
  <c r="U958" i="1"/>
  <c r="T958" i="1"/>
  <c r="S958" i="1"/>
  <c r="R958" i="1"/>
  <c r="Q958" i="1"/>
  <c r="P958" i="1"/>
  <c r="O958" i="1"/>
  <c r="N958" i="1"/>
  <c r="M958" i="1"/>
  <c r="L958" i="1"/>
  <c r="K958" i="1"/>
  <c r="J958" i="1"/>
  <c r="I958" i="1"/>
  <c r="H958" i="1"/>
  <c r="G958" i="1"/>
  <c r="F958" i="1"/>
  <c r="E958" i="1"/>
  <c r="D958" i="1"/>
  <c r="C958" i="1"/>
  <c r="A958" i="1"/>
  <c r="BD957" i="1"/>
  <c r="AW957" i="1"/>
  <c r="AV957" i="1"/>
  <c r="AU957" i="1"/>
  <c r="AT957" i="1"/>
  <c r="AR957" i="1"/>
  <c r="AQ957" i="1"/>
  <c r="AP957" i="1"/>
  <c r="AO957" i="1"/>
  <c r="AM957" i="1"/>
  <c r="AL957" i="1"/>
  <c r="AK957" i="1"/>
  <c r="AJ957" i="1"/>
  <c r="AI957" i="1"/>
  <c r="AH957" i="1"/>
  <c r="AG957" i="1"/>
  <c r="AF957" i="1"/>
  <c r="AE957" i="1"/>
  <c r="AE959" i="1" s="1"/>
  <c r="AC957" i="1"/>
  <c r="AB957" i="1"/>
  <c r="AA957" i="1"/>
  <c r="Z957" i="1"/>
  <c r="Y957" i="1"/>
  <c r="X957" i="1"/>
  <c r="W957" i="1"/>
  <c r="V957" i="1"/>
  <c r="U957" i="1"/>
  <c r="S957" i="1"/>
  <c r="R957" i="1"/>
  <c r="Q957" i="1"/>
  <c r="P957" i="1"/>
  <c r="N957" i="1"/>
  <c r="M957" i="1"/>
  <c r="L957" i="1"/>
  <c r="K957" i="1"/>
  <c r="I957" i="1"/>
  <c r="H957" i="1"/>
  <c r="G957" i="1"/>
  <c r="F957" i="1"/>
  <c r="E957" i="1"/>
  <c r="D957" i="1"/>
  <c r="C957" i="1"/>
  <c r="A957" i="1"/>
  <c r="BD956" i="1"/>
  <c r="AW956" i="1"/>
  <c r="AV956" i="1"/>
  <c r="AU956" i="1"/>
  <c r="AT956" i="1"/>
  <c r="AR956" i="1"/>
  <c r="AQ956" i="1"/>
  <c r="AP956" i="1"/>
  <c r="AO956" i="1"/>
  <c r="AM956" i="1"/>
  <c r="AL956" i="1"/>
  <c r="AK956" i="1"/>
  <c r="AJ956" i="1"/>
  <c r="AI956" i="1"/>
  <c r="AH956" i="1"/>
  <c r="AG956" i="1"/>
  <c r="AF956" i="1"/>
  <c r="AE956" i="1"/>
  <c r="AD956" i="1"/>
  <c r="AC956" i="1"/>
  <c r="AB956" i="1"/>
  <c r="AA956" i="1"/>
  <c r="Z956" i="1"/>
  <c r="Y956" i="1"/>
  <c r="X956" i="1"/>
  <c r="W956" i="1"/>
  <c r="V956" i="1"/>
  <c r="U956" i="1"/>
  <c r="T956" i="1"/>
  <c r="S956" i="1"/>
  <c r="R956" i="1"/>
  <c r="Q956" i="1"/>
  <c r="P956" i="1"/>
  <c r="O956" i="1"/>
  <c r="N956" i="1"/>
  <c r="M956" i="1"/>
  <c r="L956" i="1"/>
  <c r="K956" i="1"/>
  <c r="J956" i="1"/>
  <c r="I956" i="1"/>
  <c r="H956" i="1"/>
  <c r="G956" i="1"/>
  <c r="F956" i="1"/>
  <c r="E956" i="1"/>
  <c r="D956" i="1"/>
  <c r="C956" i="1"/>
  <c r="A956" i="1"/>
  <c r="BD955" i="1"/>
  <c r="AW955" i="1"/>
  <c r="AV955" i="1"/>
  <c r="AY955" i="1" s="1"/>
  <c r="AU955" i="1"/>
  <c r="AT955" i="1"/>
  <c r="AR955" i="1"/>
  <c r="AQ955" i="1"/>
  <c r="AP955" i="1"/>
  <c r="AO955" i="1"/>
  <c r="AM955" i="1"/>
  <c r="AL955" i="1"/>
  <c r="AK955" i="1"/>
  <c r="AJ955" i="1"/>
  <c r="AH955" i="1"/>
  <c r="AG955" i="1"/>
  <c r="AF955" i="1"/>
  <c r="AE955" i="1"/>
  <c r="AD955" i="1"/>
  <c r="AC955" i="1"/>
  <c r="AB955" i="1"/>
  <c r="AA955" i="1"/>
  <c r="Z955" i="1"/>
  <c r="X955" i="1"/>
  <c r="W955" i="1"/>
  <c r="V955" i="1"/>
  <c r="U955" i="1"/>
  <c r="S955" i="1"/>
  <c r="R955" i="1"/>
  <c r="Q955" i="1"/>
  <c r="P955" i="1"/>
  <c r="N955" i="1"/>
  <c r="M955" i="1"/>
  <c r="L955" i="1"/>
  <c r="K955" i="1"/>
  <c r="I955" i="1"/>
  <c r="H955" i="1"/>
  <c r="G955" i="1"/>
  <c r="F955" i="1"/>
  <c r="E955" i="1"/>
  <c r="D955" i="1"/>
  <c r="C955" i="1"/>
  <c r="A955" i="1"/>
  <c r="BD954" i="1"/>
  <c r="AW954" i="1"/>
  <c r="AV954" i="1"/>
  <c r="AU954" i="1"/>
  <c r="AY954" i="1" s="1"/>
  <c r="AT954" i="1"/>
  <c r="AR954" i="1"/>
  <c r="AQ954" i="1"/>
  <c r="AP954" i="1"/>
  <c r="AO954" i="1"/>
  <c r="AM954" i="1"/>
  <c r="AL954" i="1"/>
  <c r="AK954" i="1"/>
  <c r="AJ954" i="1"/>
  <c r="AH954" i="1"/>
  <c r="AG954" i="1"/>
  <c r="AF954" i="1"/>
  <c r="AF817" i="1" s="1"/>
  <c r="AF88" i="9" s="1"/>
  <c r="AE954" i="1"/>
  <c r="AC954" i="1"/>
  <c r="AB954" i="1"/>
  <c r="AA954" i="1"/>
  <c r="Z954" i="1"/>
  <c r="Y954" i="1"/>
  <c r="X954" i="1"/>
  <c r="W954" i="1"/>
  <c r="V954" i="1"/>
  <c r="U954" i="1"/>
  <c r="S954" i="1"/>
  <c r="R954" i="1"/>
  <c r="Q954" i="1"/>
  <c r="P954" i="1"/>
  <c r="O954" i="1"/>
  <c r="N954" i="1"/>
  <c r="M954" i="1"/>
  <c r="L954" i="1"/>
  <c r="K954" i="1"/>
  <c r="I954" i="1"/>
  <c r="H954" i="1"/>
  <c r="G954" i="1"/>
  <c r="F954" i="1"/>
  <c r="E954" i="1"/>
  <c r="E959" i="1" s="1"/>
  <c r="D954" i="1"/>
  <c r="C954" i="1"/>
  <c r="A954" i="1"/>
  <c r="BG953" i="1"/>
  <c r="BF953" i="1"/>
  <c r="BE953" i="1"/>
  <c r="BC953" i="1"/>
  <c r="BD953" i="1" s="1"/>
  <c r="BD817" i="1" s="1"/>
  <c r="BD88" i="9" s="1"/>
  <c r="BB953" i="1"/>
  <c r="BA953" i="1"/>
  <c r="AZ953" i="1"/>
  <c r="AX953" i="1"/>
  <c r="AW953" i="1"/>
  <c r="AV953" i="1"/>
  <c r="AU953" i="1"/>
  <c r="AY953" i="1" s="1"/>
  <c r="AT953" i="1"/>
  <c r="AR953" i="1"/>
  <c r="AQ953" i="1"/>
  <c r="AP953" i="1"/>
  <c r="AO953" i="1"/>
  <c r="AM953" i="1"/>
  <c r="AL953" i="1"/>
  <c r="AK953" i="1"/>
  <c r="AJ953" i="1"/>
  <c r="AH953" i="1"/>
  <c r="AG953" i="1"/>
  <c r="AF953" i="1"/>
  <c r="AE953" i="1"/>
  <c r="AC953" i="1"/>
  <c r="AB953" i="1"/>
  <c r="AA953" i="1"/>
  <c r="Z953" i="1"/>
  <c r="X953" i="1"/>
  <c r="W953" i="1"/>
  <c r="V953" i="1"/>
  <c r="U953" i="1"/>
  <c r="S953" i="1"/>
  <c r="S817" i="1" s="1"/>
  <c r="S88" i="9" s="1"/>
  <c r="R953" i="1"/>
  <c r="Q953" i="1"/>
  <c r="P953" i="1"/>
  <c r="N953" i="1"/>
  <c r="M953" i="1"/>
  <c r="L953" i="1"/>
  <c r="K953" i="1"/>
  <c r="J953" i="1"/>
  <c r="I953" i="1"/>
  <c r="H953" i="1"/>
  <c r="G953" i="1"/>
  <c r="F953" i="1"/>
  <c r="E953" i="1"/>
  <c r="D953" i="1"/>
  <c r="C953" i="1"/>
  <c r="C817" i="1" s="1"/>
  <c r="C88" i="9" s="1"/>
  <c r="A953" i="1"/>
  <c r="AW952" i="1"/>
  <c r="AV952" i="1"/>
  <c r="AU952" i="1"/>
  <c r="AT952" i="1"/>
  <c r="AR952" i="1"/>
  <c r="AQ952" i="1"/>
  <c r="AP952" i="1"/>
  <c r="AO952" i="1"/>
  <c r="AM952" i="1"/>
  <c r="AL952" i="1"/>
  <c r="AK952" i="1"/>
  <c r="AJ952" i="1"/>
  <c r="AH952" i="1"/>
  <c r="AG952" i="1"/>
  <c r="AG813" i="1" s="1"/>
  <c r="AG83" i="9" s="1"/>
  <c r="AF952" i="1"/>
  <c r="AE952" i="1"/>
  <c r="AC952" i="1"/>
  <c r="AB952" i="1"/>
  <c r="AA952" i="1"/>
  <c r="Z952" i="1"/>
  <c r="X952" i="1"/>
  <c r="W952" i="1"/>
  <c r="V952" i="1"/>
  <c r="U952" i="1"/>
  <c r="S952" i="1"/>
  <c r="R952" i="1"/>
  <c r="Q952" i="1"/>
  <c r="P952" i="1"/>
  <c r="N952" i="1"/>
  <c r="M952" i="1"/>
  <c r="L952" i="1"/>
  <c r="K952" i="1"/>
  <c r="I952" i="1"/>
  <c r="H952" i="1"/>
  <c r="G952" i="1"/>
  <c r="F952" i="1"/>
  <c r="E952" i="1"/>
  <c r="D952" i="1"/>
  <c r="C952" i="1"/>
  <c r="A952" i="1"/>
  <c r="BD951" i="1"/>
  <c r="AW951" i="1"/>
  <c r="AV951" i="1"/>
  <c r="AY951" i="1" s="1"/>
  <c r="AU951" i="1"/>
  <c r="AT951" i="1"/>
  <c r="AS951" i="1"/>
  <c r="AR951" i="1"/>
  <c r="AQ951" i="1"/>
  <c r="AQ959" i="1" s="1"/>
  <c r="AP951" i="1"/>
  <c r="AO951" i="1"/>
  <c r="AM951" i="1"/>
  <c r="AL951" i="1"/>
  <c r="AK951" i="1"/>
  <c r="AJ951" i="1"/>
  <c r="AH951" i="1"/>
  <c r="AG951" i="1"/>
  <c r="AF951" i="1"/>
  <c r="AE951" i="1"/>
  <c r="AC951" i="1"/>
  <c r="AB951" i="1"/>
  <c r="AA951" i="1"/>
  <c r="Z951" i="1"/>
  <c r="X951" i="1"/>
  <c r="W951" i="1"/>
  <c r="V951" i="1"/>
  <c r="U951" i="1"/>
  <c r="S951" i="1"/>
  <c r="R951" i="1"/>
  <c r="Q951" i="1"/>
  <c r="P951" i="1"/>
  <c r="N951" i="1"/>
  <c r="M951" i="1"/>
  <c r="L951" i="1"/>
  <c r="K951" i="1"/>
  <c r="K959" i="1" s="1"/>
  <c r="I951" i="1"/>
  <c r="H951" i="1"/>
  <c r="G951" i="1"/>
  <c r="F951" i="1"/>
  <c r="E951" i="1"/>
  <c r="D951" i="1"/>
  <c r="C951" i="1"/>
  <c r="A951" i="1"/>
  <c r="BG950" i="1"/>
  <c r="BF950" i="1"/>
  <c r="BE950" i="1"/>
  <c r="BD950" i="1"/>
  <c r="BC950" i="1"/>
  <c r="BB950" i="1"/>
  <c r="BA950" i="1"/>
  <c r="AZ950" i="1"/>
  <c r="AX950" i="1"/>
  <c r="AW950" i="1"/>
  <c r="AW816" i="1" s="1"/>
  <c r="AW89" i="9" s="1"/>
  <c r="AV950" i="1"/>
  <c r="AU950" i="1"/>
  <c r="AT950" i="1"/>
  <c r="AR950" i="1"/>
  <c r="AQ950" i="1"/>
  <c r="AP950" i="1"/>
  <c r="AO950" i="1"/>
  <c r="AM950" i="1"/>
  <c r="AL950" i="1"/>
  <c r="AK950" i="1"/>
  <c r="AK959" i="1" s="1"/>
  <c r="AJ950" i="1"/>
  <c r="AH950" i="1"/>
  <c r="AG950" i="1"/>
  <c r="AG816" i="1" s="1"/>
  <c r="AG89" i="9" s="1"/>
  <c r="AF950" i="1"/>
  <c r="AE950" i="1"/>
  <c r="AC950" i="1"/>
  <c r="AC959" i="1" s="1"/>
  <c r="AB950" i="1"/>
  <c r="AA950" i="1"/>
  <c r="Z950" i="1"/>
  <c r="X950" i="1"/>
  <c r="X959" i="1" s="1"/>
  <c r="W950" i="1"/>
  <c r="V950" i="1"/>
  <c r="U950" i="1"/>
  <c r="U959" i="1" s="1"/>
  <c r="S950" i="1"/>
  <c r="R950" i="1"/>
  <c r="Q950" i="1"/>
  <c r="P950" i="1"/>
  <c r="N950" i="1"/>
  <c r="M950" i="1"/>
  <c r="M959" i="1" s="1"/>
  <c r="L950" i="1"/>
  <c r="K950" i="1"/>
  <c r="I950" i="1"/>
  <c r="H950" i="1"/>
  <c r="G950" i="1"/>
  <c r="F950" i="1"/>
  <c r="E950" i="1"/>
  <c r="D950" i="1"/>
  <c r="C950" i="1"/>
  <c r="A950" i="1"/>
  <c r="BD949" i="1"/>
  <c r="AW949" i="1"/>
  <c r="AV949" i="1"/>
  <c r="AV959" i="1" s="1"/>
  <c r="AU949" i="1"/>
  <c r="AT949" i="1"/>
  <c r="AT959" i="1" s="1"/>
  <c r="AR949" i="1"/>
  <c r="AR959" i="1" s="1"/>
  <c r="AQ949" i="1"/>
  <c r="AP949" i="1"/>
  <c r="AO949" i="1"/>
  <c r="AM949" i="1"/>
  <c r="AL949" i="1"/>
  <c r="AK949" i="1"/>
  <c r="AJ949" i="1"/>
  <c r="AJ959" i="1" s="1"/>
  <c r="AI949" i="1"/>
  <c r="AH949" i="1"/>
  <c r="AH959" i="1" s="1"/>
  <c r="AG949" i="1"/>
  <c r="AF949" i="1"/>
  <c r="AE949" i="1"/>
  <c r="AC949" i="1"/>
  <c r="AB949" i="1"/>
  <c r="AA949" i="1"/>
  <c r="Z949" i="1"/>
  <c r="X949" i="1"/>
  <c r="W949" i="1"/>
  <c r="V949" i="1"/>
  <c r="U949" i="1"/>
  <c r="S949" i="1"/>
  <c r="R949" i="1"/>
  <c r="R959" i="1" s="1"/>
  <c r="Q949" i="1"/>
  <c r="Q959" i="1" s="1"/>
  <c r="P949" i="1"/>
  <c r="P959" i="1" s="1"/>
  <c r="N949" i="1"/>
  <c r="N959" i="1" s="1"/>
  <c r="M949" i="1"/>
  <c r="L949" i="1"/>
  <c r="K949" i="1"/>
  <c r="J949" i="1"/>
  <c r="I949" i="1"/>
  <c r="H949" i="1"/>
  <c r="G949" i="1"/>
  <c r="F949" i="1"/>
  <c r="E949" i="1"/>
  <c r="D949" i="1"/>
  <c r="D959" i="1" s="1"/>
  <c r="C949" i="1"/>
  <c r="A949" i="1"/>
  <c r="A948" i="1"/>
  <c r="AT946" i="1"/>
  <c r="AP946" i="1"/>
  <c r="AK946" i="1"/>
  <c r="U946" i="1"/>
  <c r="L946" i="1"/>
  <c r="D946" i="1"/>
  <c r="A946" i="1"/>
  <c r="AW945" i="1"/>
  <c r="AV945" i="1"/>
  <c r="AU945" i="1"/>
  <c r="AY945" i="1" s="1"/>
  <c r="AT945" i="1"/>
  <c r="AR945" i="1"/>
  <c r="AQ945" i="1"/>
  <c r="AP945" i="1"/>
  <c r="AO945" i="1"/>
  <c r="AN945" i="1"/>
  <c r="AM945" i="1"/>
  <c r="AL945" i="1"/>
  <c r="AK945" i="1"/>
  <c r="AJ945" i="1"/>
  <c r="AI945" i="1"/>
  <c r="AH945" i="1"/>
  <c r="AG945" i="1"/>
  <c r="AF945" i="1"/>
  <c r="AE945" i="1"/>
  <c r="AD945" i="1"/>
  <c r="AC945" i="1"/>
  <c r="AB945" i="1"/>
  <c r="AA945" i="1"/>
  <c r="Z945" i="1"/>
  <c r="Y945" i="1"/>
  <c r="X945" i="1"/>
  <c r="W945" i="1"/>
  <c r="V945" i="1"/>
  <c r="U945" i="1"/>
  <c r="T945" i="1"/>
  <c r="S945" i="1"/>
  <c r="R945" i="1"/>
  <c r="Q945" i="1"/>
  <c r="P945" i="1"/>
  <c r="O945" i="1"/>
  <c r="N945" i="1"/>
  <c r="M945" i="1"/>
  <c r="L945" i="1"/>
  <c r="K945" i="1"/>
  <c r="J945" i="1"/>
  <c r="I945" i="1"/>
  <c r="H945" i="1"/>
  <c r="G945" i="1"/>
  <c r="F945" i="1"/>
  <c r="E945" i="1"/>
  <c r="D945" i="1"/>
  <c r="C945" i="1"/>
  <c r="A945" i="1"/>
  <c r="BD944" i="1"/>
  <c r="AW944" i="1"/>
  <c r="AW90" i="9" s="1"/>
  <c r="AV944" i="1"/>
  <c r="AU944" i="1"/>
  <c r="AT944" i="1"/>
  <c r="AR944" i="1"/>
  <c r="AQ944" i="1"/>
  <c r="AP944" i="1"/>
  <c r="AO944" i="1"/>
  <c r="AM944" i="1"/>
  <c r="AL944" i="1"/>
  <c r="AK944" i="1"/>
  <c r="AK90" i="9" s="1"/>
  <c r="AJ944" i="1"/>
  <c r="AJ90" i="9" s="1"/>
  <c r="AH944" i="1"/>
  <c r="AH90" i="9" s="1"/>
  <c r="AG944" i="1"/>
  <c r="AG90" i="9" s="1"/>
  <c r="AF944" i="1"/>
  <c r="AE944" i="1"/>
  <c r="AC944" i="1"/>
  <c r="AC90" i="9" s="1"/>
  <c r="AB944" i="1"/>
  <c r="AB90" i="9" s="1"/>
  <c r="AA944" i="1"/>
  <c r="Z944" i="1"/>
  <c r="Z90" i="9" s="1"/>
  <c r="X944" i="1"/>
  <c r="X90" i="9" s="1"/>
  <c r="W944" i="1"/>
  <c r="W90" i="9" s="1"/>
  <c r="V944" i="1"/>
  <c r="U944" i="1"/>
  <c r="S944" i="1"/>
  <c r="R944" i="1"/>
  <c r="R90" i="9" s="1"/>
  <c r="Q944" i="1"/>
  <c r="P944" i="1"/>
  <c r="N944" i="1"/>
  <c r="M944" i="1"/>
  <c r="M90" i="9" s="1"/>
  <c r="L944" i="1"/>
  <c r="L90" i="9" s="1"/>
  <c r="K944" i="1"/>
  <c r="I944" i="1"/>
  <c r="H944" i="1"/>
  <c r="G944" i="1"/>
  <c r="G90" i="9" s="1"/>
  <c r="F944" i="1"/>
  <c r="E944" i="1"/>
  <c r="E90" i="9" s="1"/>
  <c r="D944" i="1"/>
  <c r="D90" i="9" s="1"/>
  <c r="C944" i="1"/>
  <c r="A944" i="1"/>
  <c r="BG943" i="1"/>
  <c r="BF943" i="1"/>
  <c r="BE943" i="1"/>
  <c r="BC943" i="1"/>
  <c r="BB943" i="1"/>
  <c r="BA943" i="1"/>
  <c r="AZ943" i="1"/>
  <c r="AX943" i="1"/>
  <c r="AW943" i="1"/>
  <c r="AV943" i="1"/>
  <c r="AU943" i="1"/>
  <c r="AY943" i="1" s="1"/>
  <c r="AT943" i="1"/>
  <c r="AR943" i="1"/>
  <c r="AQ943" i="1"/>
  <c r="AP943" i="1"/>
  <c r="AO943" i="1"/>
  <c r="AM943" i="1"/>
  <c r="AL943" i="1"/>
  <c r="AK943" i="1"/>
  <c r="AJ943" i="1"/>
  <c r="AH943" i="1"/>
  <c r="AH946" i="1" s="1"/>
  <c r="AG943" i="1"/>
  <c r="AF943" i="1"/>
  <c r="AE943" i="1"/>
  <c r="AC943" i="1"/>
  <c r="AB943" i="1"/>
  <c r="AA943" i="1"/>
  <c r="Z943" i="1"/>
  <c r="Y943" i="1"/>
  <c r="X943" i="1"/>
  <c r="W943" i="1"/>
  <c r="W946" i="1" s="1"/>
  <c r="V943" i="1"/>
  <c r="U943" i="1"/>
  <c r="S943" i="1"/>
  <c r="R943" i="1"/>
  <c r="R946" i="1" s="1"/>
  <c r="Q943" i="1"/>
  <c r="Q811" i="1" s="1"/>
  <c r="P943" i="1"/>
  <c r="N943" i="1"/>
  <c r="M943" i="1"/>
  <c r="L943" i="1"/>
  <c r="K943" i="1"/>
  <c r="I943" i="1"/>
  <c r="H943" i="1"/>
  <c r="G943" i="1"/>
  <c r="F943" i="1"/>
  <c r="E943" i="1"/>
  <c r="D943" i="1"/>
  <c r="C943" i="1"/>
  <c r="A943" i="1"/>
  <c r="BG942" i="1"/>
  <c r="BF942" i="1"/>
  <c r="BE942" i="1"/>
  <c r="BC942" i="1"/>
  <c r="BB942" i="1"/>
  <c r="BA942" i="1"/>
  <c r="AZ942" i="1"/>
  <c r="BD942" i="1" s="1"/>
  <c r="AY942" i="1"/>
  <c r="AX942" i="1"/>
  <c r="AW942" i="1"/>
  <c r="AV942" i="1"/>
  <c r="AU942" i="1"/>
  <c r="AT942" i="1"/>
  <c r="AR942" i="1"/>
  <c r="AR946" i="1" s="1"/>
  <c r="AQ942" i="1"/>
  <c r="AP942" i="1"/>
  <c r="AO942" i="1"/>
  <c r="AM942" i="1"/>
  <c r="AL942" i="1"/>
  <c r="AK942" i="1"/>
  <c r="AJ942" i="1"/>
  <c r="AH942" i="1"/>
  <c r="AG942" i="1"/>
  <c r="AF942" i="1"/>
  <c r="AE942" i="1"/>
  <c r="AC942" i="1"/>
  <c r="AB942" i="1"/>
  <c r="AB946" i="1" s="1"/>
  <c r="AA942" i="1"/>
  <c r="Z942" i="1"/>
  <c r="X942" i="1"/>
  <c r="W942" i="1"/>
  <c r="V942" i="1"/>
  <c r="U942" i="1"/>
  <c r="S942" i="1"/>
  <c r="R942" i="1"/>
  <c r="Q942" i="1"/>
  <c r="P942" i="1"/>
  <c r="N942" i="1"/>
  <c r="N946" i="1" s="1"/>
  <c r="M942" i="1"/>
  <c r="L942" i="1"/>
  <c r="K942" i="1"/>
  <c r="I942" i="1"/>
  <c r="I946" i="1" s="1"/>
  <c r="H942" i="1"/>
  <c r="G942" i="1"/>
  <c r="F942" i="1"/>
  <c r="E942" i="1"/>
  <c r="D942" i="1"/>
  <c r="C942" i="1"/>
  <c r="A942" i="1"/>
  <c r="AW941" i="1"/>
  <c r="AV941" i="1"/>
  <c r="AU941" i="1"/>
  <c r="AT941" i="1"/>
  <c r="AR941" i="1"/>
  <c r="AQ941" i="1"/>
  <c r="AP941" i="1"/>
  <c r="AO941" i="1"/>
  <c r="AM941" i="1"/>
  <c r="AL941" i="1"/>
  <c r="AK941" i="1"/>
  <c r="AJ941" i="1"/>
  <c r="AI941" i="1"/>
  <c r="AH941" i="1"/>
  <c r="AG941" i="1"/>
  <c r="AF941" i="1"/>
  <c r="AE941" i="1"/>
  <c r="AC941" i="1"/>
  <c r="AB941" i="1"/>
  <c r="AA941" i="1"/>
  <c r="Z941" i="1"/>
  <c r="X941" i="1"/>
  <c r="W941" i="1"/>
  <c r="V941" i="1"/>
  <c r="U941" i="1"/>
  <c r="S941" i="1"/>
  <c r="R941" i="1"/>
  <c r="Q941" i="1"/>
  <c r="P941" i="1"/>
  <c r="N941" i="1"/>
  <c r="M941" i="1"/>
  <c r="L941" i="1"/>
  <c r="K941" i="1"/>
  <c r="I941" i="1"/>
  <c r="H941" i="1"/>
  <c r="G941" i="1"/>
  <c r="F941" i="1"/>
  <c r="E941" i="1"/>
  <c r="D941" i="1"/>
  <c r="C941" i="1"/>
  <c r="A941" i="1"/>
  <c r="A940" i="1"/>
  <c r="A938" i="1"/>
  <c r="BD937" i="1"/>
  <c r="AW937" i="1"/>
  <c r="AV937" i="1"/>
  <c r="AU937" i="1"/>
  <c r="AT937" i="1"/>
  <c r="AR937" i="1"/>
  <c r="AQ937" i="1"/>
  <c r="AP937" i="1"/>
  <c r="AO937" i="1"/>
  <c r="AM937" i="1"/>
  <c r="AL937" i="1"/>
  <c r="AK937" i="1"/>
  <c r="AJ937" i="1"/>
  <c r="AI937" i="1"/>
  <c r="AH937" i="1"/>
  <c r="AG937" i="1"/>
  <c r="AF937" i="1"/>
  <c r="AE937" i="1"/>
  <c r="AD937" i="1"/>
  <c r="AC937" i="1"/>
  <c r="AB937" i="1"/>
  <c r="AA937" i="1"/>
  <c r="Z937" i="1"/>
  <c r="Y937" i="1"/>
  <c r="X937" i="1"/>
  <c r="W937" i="1"/>
  <c r="V937" i="1"/>
  <c r="U937" i="1"/>
  <c r="T937" i="1"/>
  <c r="S937" i="1"/>
  <c r="R937" i="1"/>
  <c r="Q937" i="1"/>
  <c r="P937" i="1"/>
  <c r="O937" i="1"/>
  <c r="N937" i="1"/>
  <c r="M937" i="1"/>
  <c r="L937" i="1"/>
  <c r="K937" i="1"/>
  <c r="J937" i="1"/>
  <c r="I937" i="1"/>
  <c r="H937" i="1"/>
  <c r="G937" i="1"/>
  <c r="F937" i="1"/>
  <c r="E937" i="1"/>
  <c r="D937" i="1"/>
  <c r="C937" i="1"/>
  <c r="A937" i="1"/>
  <c r="BD936" i="1"/>
  <c r="AY936" i="1"/>
  <c r="AW936" i="1"/>
  <c r="AV936" i="1"/>
  <c r="AU936" i="1"/>
  <c r="AT936" i="1"/>
  <c r="AR936" i="1"/>
  <c r="AQ936" i="1"/>
  <c r="AP936" i="1"/>
  <c r="AO936" i="1"/>
  <c r="AM936" i="1"/>
  <c r="AL936" i="1"/>
  <c r="AK936" i="1"/>
  <c r="AJ936" i="1"/>
  <c r="AH936" i="1"/>
  <c r="AG936" i="1"/>
  <c r="AF936" i="1"/>
  <c r="AE936" i="1"/>
  <c r="AC936" i="1"/>
  <c r="AB936" i="1"/>
  <c r="AA936" i="1"/>
  <c r="Z936" i="1"/>
  <c r="X936" i="1"/>
  <c r="W936" i="1"/>
  <c r="V936" i="1"/>
  <c r="U936" i="1"/>
  <c r="S936" i="1"/>
  <c r="R936" i="1"/>
  <c r="Q936" i="1"/>
  <c r="P936" i="1"/>
  <c r="N936" i="1"/>
  <c r="M936" i="1"/>
  <c r="L936" i="1"/>
  <c r="K936" i="1"/>
  <c r="I936" i="1"/>
  <c r="H936" i="1"/>
  <c r="G936" i="1"/>
  <c r="F936" i="1"/>
  <c r="E936" i="1"/>
  <c r="D936" i="1"/>
  <c r="C936" i="1"/>
  <c r="A936" i="1"/>
  <c r="AW935" i="1"/>
  <c r="AV935" i="1"/>
  <c r="AU935" i="1"/>
  <c r="AT935" i="1"/>
  <c r="AR935" i="1"/>
  <c r="AQ935" i="1"/>
  <c r="AP935" i="1"/>
  <c r="AO935" i="1"/>
  <c r="AM935" i="1"/>
  <c r="AL935" i="1"/>
  <c r="AK935" i="1"/>
  <c r="AJ935" i="1"/>
  <c r="AH935" i="1"/>
  <c r="AG935" i="1"/>
  <c r="AF935" i="1"/>
  <c r="AE935" i="1"/>
  <c r="AC935" i="1"/>
  <c r="AB935" i="1"/>
  <c r="AA935" i="1"/>
  <c r="Z935" i="1"/>
  <c r="X935" i="1"/>
  <c r="W935" i="1"/>
  <c r="V935" i="1"/>
  <c r="U935" i="1"/>
  <c r="S935" i="1"/>
  <c r="R935" i="1"/>
  <c r="Q935" i="1"/>
  <c r="P935" i="1"/>
  <c r="N935" i="1"/>
  <c r="M935" i="1"/>
  <c r="L935" i="1"/>
  <c r="K935" i="1"/>
  <c r="I935" i="1"/>
  <c r="H935" i="1"/>
  <c r="G935" i="1"/>
  <c r="F935" i="1"/>
  <c r="E935" i="1"/>
  <c r="D935" i="1"/>
  <c r="C935" i="1"/>
  <c r="A935" i="1"/>
  <c r="BD934" i="1"/>
  <c r="AW934" i="1"/>
  <c r="AV934" i="1"/>
  <c r="AY934" i="1" s="1"/>
  <c r="AU934" i="1"/>
  <c r="AT934" i="1"/>
  <c r="AR934" i="1"/>
  <c r="AQ934" i="1"/>
  <c r="AP934" i="1"/>
  <c r="AO934" i="1"/>
  <c r="AM934" i="1"/>
  <c r="AL934" i="1"/>
  <c r="AK934" i="1"/>
  <c r="AJ934" i="1"/>
  <c r="AH934" i="1"/>
  <c r="AG934" i="1"/>
  <c r="AF934" i="1"/>
  <c r="AE934" i="1"/>
  <c r="AD934" i="1"/>
  <c r="AC934" i="1"/>
  <c r="AB934" i="1"/>
  <c r="AA934" i="1"/>
  <c r="Z934" i="1"/>
  <c r="X934" i="1"/>
  <c r="W934" i="1"/>
  <c r="V934" i="1"/>
  <c r="U934" i="1"/>
  <c r="S934" i="1"/>
  <c r="R934" i="1"/>
  <c r="Q934" i="1"/>
  <c r="P934" i="1"/>
  <c r="N934" i="1"/>
  <c r="M934" i="1"/>
  <c r="L934" i="1"/>
  <c r="K934" i="1"/>
  <c r="I934" i="1"/>
  <c r="H934" i="1"/>
  <c r="G934" i="1"/>
  <c r="F934" i="1"/>
  <c r="E934" i="1"/>
  <c r="D934" i="1"/>
  <c r="C934" i="1"/>
  <c r="A934" i="1"/>
  <c r="AW933" i="1"/>
  <c r="AV933" i="1"/>
  <c r="AU933" i="1"/>
  <c r="AT933" i="1"/>
  <c r="AR933" i="1"/>
  <c r="AQ933" i="1"/>
  <c r="AP933" i="1"/>
  <c r="AO933" i="1"/>
  <c r="AN933" i="1"/>
  <c r="AM933" i="1"/>
  <c r="AL933" i="1"/>
  <c r="AK933" i="1"/>
  <c r="AJ933" i="1"/>
  <c r="AH933" i="1"/>
  <c r="AG933" i="1"/>
  <c r="AF933" i="1"/>
  <c r="AE933" i="1"/>
  <c r="AC933" i="1"/>
  <c r="AB933" i="1"/>
  <c r="AA933" i="1"/>
  <c r="Z933" i="1"/>
  <c r="X933" i="1"/>
  <c r="W933" i="1"/>
  <c r="V933" i="1"/>
  <c r="U933" i="1"/>
  <c r="S933" i="1"/>
  <c r="R933" i="1"/>
  <c r="Q933" i="1"/>
  <c r="P933" i="1"/>
  <c r="N933" i="1"/>
  <c r="M933" i="1"/>
  <c r="L933" i="1"/>
  <c r="K933" i="1"/>
  <c r="I933" i="1"/>
  <c r="H933" i="1"/>
  <c r="G933" i="1"/>
  <c r="F933" i="1"/>
  <c r="E933" i="1"/>
  <c r="D933" i="1"/>
  <c r="C933" i="1"/>
  <c r="A933" i="1"/>
  <c r="AW932" i="1"/>
  <c r="AW87" i="9" s="1"/>
  <c r="AV932" i="1"/>
  <c r="AU932" i="1"/>
  <c r="AT932" i="1"/>
  <c r="AR932" i="1"/>
  <c r="AR87" i="9" s="1"/>
  <c r="AQ932" i="1"/>
  <c r="AP932" i="1"/>
  <c r="AP87" i="9" s="1"/>
  <c r="AO932" i="1"/>
  <c r="AM932" i="1"/>
  <c r="AL932" i="1"/>
  <c r="AK932" i="1"/>
  <c r="AJ932" i="1"/>
  <c r="AJ87" i="9" s="1"/>
  <c r="AH932" i="1"/>
  <c r="AG932" i="1"/>
  <c r="AG87" i="9" s="1"/>
  <c r="AF932" i="1"/>
  <c r="AE932" i="1"/>
  <c r="AD932" i="1"/>
  <c r="AC932" i="1"/>
  <c r="AC87" i="9" s="1"/>
  <c r="AB932" i="1"/>
  <c r="AB87" i="9" s="1"/>
  <c r="AA932" i="1"/>
  <c r="AA87" i="9" s="1"/>
  <c r="Z932" i="1"/>
  <c r="Z87" i="9" s="1"/>
  <c r="X932" i="1"/>
  <c r="W932" i="1"/>
  <c r="W87" i="9" s="1"/>
  <c r="V932" i="1"/>
  <c r="U932" i="1"/>
  <c r="U87" i="9" s="1"/>
  <c r="S932" i="1"/>
  <c r="R932" i="1"/>
  <c r="R87" i="9" s="1"/>
  <c r="Q932" i="1"/>
  <c r="Q87" i="9" s="1"/>
  <c r="P932" i="1"/>
  <c r="N932" i="1"/>
  <c r="N87" i="9" s="1"/>
  <c r="M932" i="1"/>
  <c r="L932" i="1"/>
  <c r="K932" i="1"/>
  <c r="K87" i="9" s="1"/>
  <c r="I932" i="1"/>
  <c r="H932" i="1"/>
  <c r="H87" i="9" s="1"/>
  <c r="G932" i="1"/>
  <c r="G87" i="9" s="1"/>
  <c r="F932" i="1"/>
  <c r="F87" i="9" s="1"/>
  <c r="E932" i="1"/>
  <c r="E87" i="9" s="1"/>
  <c r="D932" i="1"/>
  <c r="D87" i="9" s="1"/>
  <c r="C932" i="1"/>
  <c r="C87" i="9" s="1"/>
  <c r="A932" i="1"/>
  <c r="AF931" i="1"/>
  <c r="A931" i="1"/>
  <c r="BD930" i="1"/>
  <c r="AY930" i="1"/>
  <c r="AW930" i="1"/>
  <c r="AV930" i="1"/>
  <c r="AU930" i="1"/>
  <c r="AT930" i="1"/>
  <c r="AR930" i="1"/>
  <c r="AQ930" i="1"/>
  <c r="AP930" i="1"/>
  <c r="AO930" i="1"/>
  <c r="AM930" i="1"/>
  <c r="AL930" i="1"/>
  <c r="AK930" i="1"/>
  <c r="AJ930" i="1"/>
  <c r="AH930" i="1"/>
  <c r="AG930" i="1"/>
  <c r="AF930" i="1"/>
  <c r="AE930" i="1"/>
  <c r="AC930" i="1"/>
  <c r="AB930" i="1"/>
  <c r="AA930" i="1"/>
  <c r="Z930" i="1"/>
  <c r="Y930" i="1"/>
  <c r="X930" i="1"/>
  <c r="W930" i="1"/>
  <c r="V930" i="1"/>
  <c r="U930" i="1"/>
  <c r="S930" i="1"/>
  <c r="R930" i="1"/>
  <c r="Q930" i="1"/>
  <c r="P930" i="1"/>
  <c r="N930" i="1"/>
  <c r="M930" i="1"/>
  <c r="L930" i="1"/>
  <c r="K930" i="1"/>
  <c r="I930" i="1"/>
  <c r="H930" i="1"/>
  <c r="G930" i="1"/>
  <c r="F930" i="1"/>
  <c r="E930" i="1"/>
  <c r="D930" i="1"/>
  <c r="C930" i="1"/>
  <c r="A930" i="1"/>
  <c r="BD929" i="1"/>
  <c r="AW929" i="1"/>
  <c r="AY929" i="1" s="1"/>
  <c r="AV929" i="1"/>
  <c r="AU929" i="1"/>
  <c r="AT929" i="1"/>
  <c r="AR929" i="1"/>
  <c r="AQ929" i="1"/>
  <c r="AP929" i="1"/>
  <c r="AO929" i="1"/>
  <c r="AM929" i="1"/>
  <c r="AL929" i="1"/>
  <c r="AK929" i="1"/>
  <c r="AJ929" i="1"/>
  <c r="AI929" i="1"/>
  <c r="AH929" i="1"/>
  <c r="AG929" i="1"/>
  <c r="AF929" i="1"/>
  <c r="AE929" i="1"/>
  <c r="AC929" i="1"/>
  <c r="AB929" i="1"/>
  <c r="AA929" i="1"/>
  <c r="Z929" i="1"/>
  <c r="X929" i="1"/>
  <c r="W929" i="1"/>
  <c r="V929" i="1"/>
  <c r="U929" i="1"/>
  <c r="T929" i="1"/>
  <c r="S929" i="1"/>
  <c r="R929" i="1"/>
  <c r="Q929" i="1"/>
  <c r="P929" i="1"/>
  <c r="N929" i="1"/>
  <c r="M929" i="1"/>
  <c r="L929" i="1"/>
  <c r="K929" i="1"/>
  <c r="I929" i="1"/>
  <c r="H929" i="1"/>
  <c r="G929" i="1"/>
  <c r="F929" i="1"/>
  <c r="E929" i="1"/>
  <c r="D929" i="1"/>
  <c r="C929" i="1"/>
  <c r="A929" i="1"/>
  <c r="BD928" i="1"/>
  <c r="AW928" i="1"/>
  <c r="AV928" i="1"/>
  <c r="AU928" i="1"/>
  <c r="AY928" i="1" s="1"/>
  <c r="AT928" i="1"/>
  <c r="AS928" i="1"/>
  <c r="AR928" i="1"/>
  <c r="AQ928" i="1"/>
  <c r="AP928" i="1"/>
  <c r="AO928" i="1"/>
  <c r="AN928" i="1"/>
  <c r="AM928" i="1"/>
  <c r="AL928" i="1"/>
  <c r="AK928" i="1"/>
  <c r="AJ928" i="1"/>
  <c r="AI928" i="1"/>
  <c r="AH928" i="1"/>
  <c r="AG928" i="1"/>
  <c r="AF928" i="1"/>
  <c r="AE928" i="1"/>
  <c r="AD928" i="1"/>
  <c r="AC928" i="1"/>
  <c r="AB928" i="1"/>
  <c r="AA928" i="1"/>
  <c r="Z928" i="1"/>
  <c r="Y928" i="1"/>
  <c r="X928" i="1"/>
  <c r="W928" i="1"/>
  <c r="V928" i="1"/>
  <c r="U928" i="1"/>
  <c r="T928" i="1"/>
  <c r="S928" i="1"/>
  <c r="R928" i="1"/>
  <c r="Q928" i="1"/>
  <c r="P928" i="1"/>
  <c r="O928" i="1"/>
  <c r="N928" i="1"/>
  <c r="M928" i="1"/>
  <c r="L928" i="1"/>
  <c r="K928" i="1"/>
  <c r="J928" i="1"/>
  <c r="I928" i="1"/>
  <c r="H928" i="1"/>
  <c r="G928" i="1"/>
  <c r="F928" i="1"/>
  <c r="E928" i="1"/>
  <c r="D928" i="1"/>
  <c r="C928" i="1"/>
  <c r="A928" i="1"/>
  <c r="BG927" i="1"/>
  <c r="BF927" i="1"/>
  <c r="BE927" i="1"/>
  <c r="BC927" i="1"/>
  <c r="BB927" i="1"/>
  <c r="BA927" i="1"/>
  <c r="AZ927" i="1"/>
  <c r="BD927" i="1" s="1"/>
  <c r="AX927" i="1"/>
  <c r="AX1049" i="1" s="1"/>
  <c r="AY1049" i="1" s="1"/>
  <c r="AZ1049" i="1" s="1"/>
  <c r="AW927" i="1"/>
  <c r="AV927" i="1"/>
  <c r="AU927" i="1"/>
  <c r="AT927" i="1"/>
  <c r="AR927" i="1"/>
  <c r="AQ927" i="1"/>
  <c r="AP927" i="1"/>
  <c r="AO927" i="1"/>
  <c r="AM927" i="1"/>
  <c r="AL927" i="1"/>
  <c r="AK927" i="1"/>
  <c r="AJ927" i="1"/>
  <c r="AH927" i="1"/>
  <c r="AG927" i="1"/>
  <c r="AF927" i="1"/>
  <c r="AE927" i="1"/>
  <c r="AC927" i="1"/>
  <c r="AB927" i="1"/>
  <c r="AA927" i="1"/>
  <c r="Z927" i="1"/>
  <c r="Y927" i="1"/>
  <c r="X927" i="1"/>
  <c r="W927" i="1"/>
  <c r="V927" i="1"/>
  <c r="U927" i="1"/>
  <c r="S927" i="1"/>
  <c r="R927" i="1"/>
  <c r="Q927" i="1"/>
  <c r="P927" i="1"/>
  <c r="O927" i="1"/>
  <c r="N927" i="1"/>
  <c r="M927" i="1"/>
  <c r="L927" i="1"/>
  <c r="K927" i="1"/>
  <c r="I927" i="1"/>
  <c r="H927" i="1"/>
  <c r="G927" i="1"/>
  <c r="F927" i="1"/>
  <c r="E927" i="1"/>
  <c r="D927" i="1"/>
  <c r="C927" i="1"/>
  <c r="A927" i="1"/>
  <c r="BD926" i="1"/>
  <c r="AW926" i="1"/>
  <c r="AY926" i="1" s="1"/>
  <c r="AV926" i="1"/>
  <c r="AU926" i="1"/>
  <c r="AT926" i="1"/>
  <c r="AR926" i="1"/>
  <c r="AQ926" i="1"/>
  <c r="AP926" i="1"/>
  <c r="AO926" i="1"/>
  <c r="AM926" i="1"/>
  <c r="AL926" i="1"/>
  <c r="AK926" i="1"/>
  <c r="AJ926" i="1"/>
  <c r="AH926" i="1"/>
  <c r="AG926" i="1"/>
  <c r="AF926" i="1"/>
  <c r="AE926" i="1"/>
  <c r="AC926" i="1"/>
  <c r="AB926" i="1"/>
  <c r="AA926" i="1"/>
  <c r="Z926" i="1"/>
  <c r="X926" i="1"/>
  <c r="W926" i="1"/>
  <c r="V926" i="1"/>
  <c r="U926" i="1"/>
  <c r="T926" i="1"/>
  <c r="S926" i="1"/>
  <c r="R926" i="1"/>
  <c r="Q926" i="1"/>
  <c r="P926" i="1"/>
  <c r="N926" i="1"/>
  <c r="M926" i="1"/>
  <c r="L926" i="1"/>
  <c r="K926" i="1"/>
  <c r="I926" i="1"/>
  <c r="H926" i="1"/>
  <c r="G926" i="1"/>
  <c r="F926" i="1"/>
  <c r="E926" i="1"/>
  <c r="D926" i="1"/>
  <c r="C926" i="1"/>
  <c r="A926" i="1"/>
  <c r="BD925" i="1"/>
  <c r="AW925" i="1"/>
  <c r="AY925" i="1" s="1"/>
  <c r="AV925" i="1"/>
  <c r="AU925" i="1"/>
  <c r="AT925" i="1"/>
  <c r="AS925" i="1"/>
  <c r="AR925" i="1"/>
  <c r="AQ925" i="1"/>
  <c r="AP925" i="1"/>
  <c r="AO925" i="1"/>
  <c r="AM925" i="1"/>
  <c r="AL925" i="1"/>
  <c r="AK925" i="1"/>
  <c r="AJ925" i="1"/>
  <c r="AI925" i="1"/>
  <c r="AH925" i="1"/>
  <c r="AG925" i="1"/>
  <c r="AF925" i="1"/>
  <c r="AE925" i="1"/>
  <c r="AC925" i="1"/>
  <c r="AB925" i="1"/>
  <c r="AA925" i="1"/>
  <c r="Z925" i="1"/>
  <c r="X925" i="1"/>
  <c r="W925" i="1"/>
  <c r="V925" i="1"/>
  <c r="U925" i="1"/>
  <c r="T925" i="1"/>
  <c r="S925" i="1"/>
  <c r="R925" i="1"/>
  <c r="Q925" i="1"/>
  <c r="P925" i="1"/>
  <c r="N925" i="1"/>
  <c r="M925" i="1"/>
  <c r="L925" i="1"/>
  <c r="K925" i="1"/>
  <c r="I925" i="1"/>
  <c r="H925" i="1"/>
  <c r="G925" i="1"/>
  <c r="F925" i="1"/>
  <c r="E925" i="1"/>
  <c r="D925" i="1"/>
  <c r="C925" i="1"/>
  <c r="A925" i="1"/>
  <c r="AW924" i="1"/>
  <c r="AV924" i="1"/>
  <c r="AU924" i="1"/>
  <c r="AT924" i="1"/>
  <c r="AS924" i="1"/>
  <c r="AR924" i="1"/>
  <c r="AQ924" i="1"/>
  <c r="AP924" i="1"/>
  <c r="AO924" i="1"/>
  <c r="AM924" i="1"/>
  <c r="AL924" i="1"/>
  <c r="AK924" i="1"/>
  <c r="AJ924" i="1"/>
  <c r="AH924" i="1"/>
  <c r="AG924" i="1"/>
  <c r="AF924" i="1"/>
  <c r="AE924" i="1"/>
  <c r="AD924" i="1"/>
  <c r="AC924" i="1"/>
  <c r="AB924" i="1"/>
  <c r="AA924" i="1"/>
  <c r="Z924" i="1"/>
  <c r="X924" i="1"/>
  <c r="W924" i="1"/>
  <c r="V924" i="1"/>
  <c r="U924" i="1"/>
  <c r="S924" i="1"/>
  <c r="R924" i="1"/>
  <c r="Q924" i="1"/>
  <c r="P924" i="1"/>
  <c r="N924" i="1"/>
  <c r="M924" i="1"/>
  <c r="L924" i="1"/>
  <c r="K924" i="1"/>
  <c r="I924" i="1"/>
  <c r="H924" i="1"/>
  <c r="G924" i="1"/>
  <c r="F924" i="1"/>
  <c r="E924" i="1"/>
  <c r="D924" i="1"/>
  <c r="C924" i="1"/>
  <c r="A924" i="1"/>
  <c r="AW923" i="1"/>
  <c r="AV923" i="1"/>
  <c r="AV931" i="1" s="1"/>
  <c r="AU923" i="1"/>
  <c r="AT923" i="1"/>
  <c r="AR923" i="1"/>
  <c r="AQ923" i="1"/>
  <c r="AP923" i="1"/>
  <c r="AO923" i="1"/>
  <c r="AM923" i="1"/>
  <c r="AL923" i="1"/>
  <c r="AK923" i="1"/>
  <c r="AJ923" i="1"/>
  <c r="AH923" i="1"/>
  <c r="AG923" i="1"/>
  <c r="AF923" i="1"/>
  <c r="AE923" i="1"/>
  <c r="AE931" i="1" s="1"/>
  <c r="AC923" i="1"/>
  <c r="AB923" i="1"/>
  <c r="AA923" i="1"/>
  <c r="Z923" i="1"/>
  <c r="X923" i="1"/>
  <c r="W923" i="1"/>
  <c r="V923" i="1"/>
  <c r="U923" i="1"/>
  <c r="S923" i="1"/>
  <c r="R923" i="1"/>
  <c r="Q923" i="1"/>
  <c r="P923" i="1"/>
  <c r="O923" i="1"/>
  <c r="N923" i="1"/>
  <c r="M923" i="1"/>
  <c r="L923" i="1"/>
  <c r="K923" i="1"/>
  <c r="I923" i="1"/>
  <c r="H923" i="1"/>
  <c r="G923" i="1"/>
  <c r="F923" i="1"/>
  <c r="E923" i="1"/>
  <c r="D923" i="1"/>
  <c r="C923" i="1"/>
  <c r="A923" i="1"/>
  <c r="BD922" i="1"/>
  <c r="AY922" i="1"/>
  <c r="AW922" i="1"/>
  <c r="AV922" i="1"/>
  <c r="AU922" i="1"/>
  <c r="AT922" i="1"/>
  <c r="AR922" i="1"/>
  <c r="AQ922" i="1"/>
  <c r="AP922" i="1"/>
  <c r="AO922" i="1"/>
  <c r="AM922" i="1"/>
  <c r="AL922" i="1"/>
  <c r="AK922" i="1"/>
  <c r="AJ922" i="1"/>
  <c r="AH922" i="1"/>
  <c r="AG922" i="1"/>
  <c r="AF922" i="1"/>
  <c r="AE922" i="1"/>
  <c r="AC922" i="1"/>
  <c r="AB922" i="1"/>
  <c r="AA922" i="1"/>
  <c r="Z922" i="1"/>
  <c r="X922" i="1"/>
  <c r="W922" i="1"/>
  <c r="V922" i="1"/>
  <c r="U922" i="1"/>
  <c r="S922" i="1"/>
  <c r="R922" i="1"/>
  <c r="Q922" i="1"/>
  <c r="P922" i="1"/>
  <c r="N922" i="1"/>
  <c r="M922" i="1"/>
  <c r="L922" i="1"/>
  <c r="K922" i="1"/>
  <c r="I922" i="1"/>
  <c r="H922" i="1"/>
  <c r="G922" i="1"/>
  <c r="F922" i="1"/>
  <c r="E922" i="1"/>
  <c r="D922" i="1"/>
  <c r="C922" i="1"/>
  <c r="A922" i="1"/>
  <c r="BD921" i="1"/>
  <c r="AW921" i="1"/>
  <c r="AY921" i="1" s="1"/>
  <c r="AV921" i="1"/>
  <c r="AU921" i="1"/>
  <c r="AT921" i="1"/>
  <c r="AS921" i="1"/>
  <c r="AR921" i="1"/>
  <c r="AQ921" i="1"/>
  <c r="AP921" i="1"/>
  <c r="AO921" i="1"/>
  <c r="AM921" i="1"/>
  <c r="AL921" i="1"/>
  <c r="AK921" i="1"/>
  <c r="AJ921" i="1"/>
  <c r="AI921" i="1"/>
  <c r="AH921" i="1"/>
  <c r="AG921" i="1"/>
  <c r="AF921" i="1"/>
  <c r="AE921" i="1"/>
  <c r="AD921" i="1"/>
  <c r="AC921" i="1"/>
  <c r="AB921" i="1"/>
  <c r="AA921" i="1"/>
  <c r="Z921" i="1"/>
  <c r="Y921" i="1"/>
  <c r="X921" i="1"/>
  <c r="W921" i="1"/>
  <c r="V921" i="1"/>
  <c r="U921" i="1"/>
  <c r="T921" i="1"/>
  <c r="S921" i="1"/>
  <c r="R921" i="1"/>
  <c r="Q921" i="1"/>
  <c r="P921" i="1"/>
  <c r="O921" i="1"/>
  <c r="N921" i="1"/>
  <c r="M921" i="1"/>
  <c r="L921" i="1"/>
  <c r="K921" i="1"/>
  <c r="J921" i="1"/>
  <c r="I921" i="1"/>
  <c r="H921" i="1"/>
  <c r="G921" i="1"/>
  <c r="F921" i="1"/>
  <c r="E921" i="1"/>
  <c r="D921" i="1"/>
  <c r="C921" i="1"/>
  <c r="A921" i="1"/>
  <c r="AW920" i="1"/>
  <c r="AV920" i="1"/>
  <c r="AU920" i="1"/>
  <c r="AT920" i="1"/>
  <c r="AS920" i="1"/>
  <c r="AR920" i="1"/>
  <c r="AQ920" i="1"/>
  <c r="AP920" i="1"/>
  <c r="AO920" i="1"/>
  <c r="AM920" i="1"/>
  <c r="AL920" i="1"/>
  <c r="AK920" i="1"/>
  <c r="AJ920" i="1"/>
  <c r="AH920" i="1"/>
  <c r="AG920" i="1"/>
  <c r="AF920" i="1"/>
  <c r="AE920" i="1"/>
  <c r="AD920" i="1"/>
  <c r="AC920" i="1"/>
  <c r="AB920" i="1"/>
  <c r="AA920" i="1"/>
  <c r="Z920" i="1"/>
  <c r="X920" i="1"/>
  <c r="W920" i="1"/>
  <c r="V920" i="1"/>
  <c r="U920" i="1"/>
  <c r="S920" i="1"/>
  <c r="R920" i="1"/>
  <c r="Q920" i="1"/>
  <c r="P920" i="1"/>
  <c r="N920" i="1"/>
  <c r="M920" i="1"/>
  <c r="L920" i="1"/>
  <c r="K920" i="1"/>
  <c r="I920" i="1"/>
  <c r="H920" i="1"/>
  <c r="G920" i="1"/>
  <c r="F920" i="1"/>
  <c r="E920" i="1"/>
  <c r="D920" i="1"/>
  <c r="C920" i="1"/>
  <c r="A920" i="1"/>
  <c r="AW919" i="1"/>
  <c r="AV919" i="1"/>
  <c r="AU919" i="1"/>
  <c r="AT919" i="1"/>
  <c r="AR919" i="1"/>
  <c r="AQ919" i="1"/>
  <c r="AP919" i="1"/>
  <c r="AO919" i="1"/>
  <c r="AM919" i="1"/>
  <c r="AL919" i="1"/>
  <c r="AK919" i="1"/>
  <c r="AJ919" i="1"/>
  <c r="AH919" i="1"/>
  <c r="AG919" i="1"/>
  <c r="AF919" i="1"/>
  <c r="AE919" i="1"/>
  <c r="AC919" i="1"/>
  <c r="AB919" i="1"/>
  <c r="AA919" i="1"/>
  <c r="Z919" i="1"/>
  <c r="X919" i="1"/>
  <c r="X931" i="1" s="1"/>
  <c r="X938" i="1" s="1"/>
  <c r="W919" i="1"/>
  <c r="V919" i="1"/>
  <c r="U919" i="1"/>
  <c r="S919" i="1"/>
  <c r="R919" i="1"/>
  <c r="Q919" i="1"/>
  <c r="P919" i="1"/>
  <c r="O919" i="1"/>
  <c r="O931" i="1" s="1"/>
  <c r="N919" i="1"/>
  <c r="M919" i="1"/>
  <c r="L919" i="1"/>
  <c r="K919" i="1"/>
  <c r="I919" i="1"/>
  <c r="H919" i="1"/>
  <c r="G919" i="1"/>
  <c r="F919" i="1"/>
  <c r="E919" i="1"/>
  <c r="D919" i="1"/>
  <c r="C919" i="1"/>
  <c r="A919" i="1"/>
  <c r="A918" i="1"/>
  <c r="V912" i="1"/>
  <c r="U912" i="1"/>
  <c r="BC911" i="1"/>
  <c r="AX911" i="1"/>
  <c r="AS911" i="1"/>
  <c r="AS962" i="1" s="1"/>
  <c r="AN911" i="1"/>
  <c r="AN962" i="1" s="1"/>
  <c r="AI911" i="1"/>
  <c r="AI962" i="1" s="1"/>
  <c r="AD911" i="1"/>
  <c r="AD962" i="1" s="1"/>
  <c r="Y911" i="1"/>
  <c r="Y962" i="1" s="1"/>
  <c r="T911" i="1"/>
  <c r="T962" i="1" s="1"/>
  <c r="O911" i="1"/>
  <c r="O962" i="1" s="1"/>
  <c r="J911" i="1"/>
  <c r="J962" i="1" s="1"/>
  <c r="AS910" i="1"/>
  <c r="AS961" i="1" s="1"/>
  <c r="BG908" i="1"/>
  <c r="BF908" i="1"/>
  <c r="BF912" i="1" s="1"/>
  <c r="BE908" i="1"/>
  <c r="BE912" i="1" s="1"/>
  <c r="BD908" i="1"/>
  <c r="BB908" i="1"/>
  <c r="BA908" i="1"/>
  <c r="AZ908" i="1"/>
  <c r="AY908" i="1"/>
  <c r="AY912" i="1" s="1"/>
  <c r="AW908" i="1"/>
  <c r="AV908" i="1"/>
  <c r="AV912" i="1" s="1"/>
  <c r="AU908" i="1"/>
  <c r="AT908" i="1"/>
  <c r="AT912" i="1" s="1"/>
  <c r="AR908" i="1"/>
  <c r="AR912" i="1" s="1"/>
  <c r="AQ908" i="1"/>
  <c r="AP908" i="1"/>
  <c r="AO908" i="1"/>
  <c r="AO912" i="1" s="1"/>
  <c r="AM908" i="1"/>
  <c r="AM912" i="1" s="1"/>
  <c r="AL908" i="1"/>
  <c r="AK908" i="1"/>
  <c r="AJ908" i="1"/>
  <c r="AH908" i="1"/>
  <c r="AH912" i="1" s="1"/>
  <c r="AG908" i="1"/>
  <c r="AF908" i="1"/>
  <c r="AF912" i="1" s="1"/>
  <c r="AE908" i="1"/>
  <c r="AC908" i="1"/>
  <c r="AB908" i="1"/>
  <c r="AB912" i="1" s="1"/>
  <c r="AA908" i="1"/>
  <c r="Z908" i="1"/>
  <c r="Z912" i="1" s="1"/>
  <c r="Y908" i="1"/>
  <c r="X908" i="1"/>
  <c r="W908" i="1"/>
  <c r="W912" i="1" s="1"/>
  <c r="V908" i="1"/>
  <c r="U908" i="1"/>
  <c r="S908" i="1"/>
  <c r="S912" i="1" s="1"/>
  <c r="R908" i="1"/>
  <c r="R912" i="1" s="1"/>
  <c r="Q908" i="1"/>
  <c r="P908" i="1"/>
  <c r="P912" i="1" s="1"/>
  <c r="N908" i="1"/>
  <c r="N912" i="1" s="1"/>
  <c r="M908" i="1"/>
  <c r="L908" i="1"/>
  <c r="L912" i="1" s="1"/>
  <c r="K908" i="1"/>
  <c r="I908" i="1"/>
  <c r="H908" i="1"/>
  <c r="G908" i="1"/>
  <c r="G912" i="1" s="1"/>
  <c r="F908" i="1"/>
  <c r="E908" i="1"/>
  <c r="D908" i="1"/>
  <c r="C908" i="1"/>
  <c r="AS907" i="1"/>
  <c r="AS958" i="1" s="1"/>
  <c r="BC906" i="1"/>
  <c r="AX906" i="1"/>
  <c r="AS906" i="1"/>
  <c r="AS957" i="1" s="1"/>
  <c r="AN906" i="1"/>
  <c r="AN957" i="1" s="1"/>
  <c r="AI906" i="1"/>
  <c r="AD906" i="1"/>
  <c r="AD957" i="1" s="1"/>
  <c r="Y906" i="1"/>
  <c r="T906" i="1"/>
  <c r="T957" i="1" s="1"/>
  <c r="O906" i="1"/>
  <c r="O957" i="1" s="1"/>
  <c r="J906" i="1"/>
  <c r="J957" i="1" s="1"/>
  <c r="AS905" i="1"/>
  <c r="AS956" i="1" s="1"/>
  <c r="AN905" i="1"/>
  <c r="AN956" i="1" s="1"/>
  <c r="BC904" i="1"/>
  <c r="AX904" i="1"/>
  <c r="AS904" i="1"/>
  <c r="AS955" i="1" s="1"/>
  <c r="AN904" i="1"/>
  <c r="AN955" i="1" s="1"/>
  <c r="AI904" i="1"/>
  <c r="AI955" i="1" s="1"/>
  <c r="AD904" i="1"/>
  <c r="Y904" i="1"/>
  <c r="Y955" i="1" s="1"/>
  <c r="T904" i="1"/>
  <c r="T955" i="1" s="1"/>
  <c r="O904" i="1"/>
  <c r="O955" i="1" s="1"/>
  <c r="J904" i="1"/>
  <c r="J955" i="1" s="1"/>
  <c r="BC903" i="1"/>
  <c r="AX903" i="1"/>
  <c r="AS903" i="1"/>
  <c r="AS954" i="1" s="1"/>
  <c r="AN903" i="1"/>
  <c r="AN954" i="1" s="1"/>
  <c r="AI903" i="1"/>
  <c r="AI954" i="1" s="1"/>
  <c r="AD903" i="1"/>
  <c r="AD954" i="1" s="1"/>
  <c r="Y903" i="1"/>
  <c r="T903" i="1"/>
  <c r="T954" i="1" s="1"/>
  <c r="O903" i="1"/>
  <c r="J903" i="1"/>
  <c r="J954" i="1" s="1"/>
  <c r="BC902" i="1"/>
  <c r="AX902" i="1"/>
  <c r="AS902" i="1"/>
  <c r="AS953" i="1" s="1"/>
  <c r="AN902" i="1"/>
  <c r="AN953" i="1" s="1"/>
  <c r="AI902" i="1"/>
  <c r="AI953" i="1" s="1"/>
  <c r="AI817" i="1" s="1"/>
  <c r="AI88" i="9" s="1"/>
  <c r="AD902" i="1"/>
  <c r="AD953" i="1" s="1"/>
  <c r="Y902" i="1"/>
  <c r="Y953" i="1" s="1"/>
  <c r="Y817" i="1" s="1"/>
  <c r="Y88" i="9" s="1"/>
  <c r="T902" i="1"/>
  <c r="T953" i="1" s="1"/>
  <c r="T817" i="1" s="1"/>
  <c r="T88" i="9" s="1"/>
  <c r="O902" i="1"/>
  <c r="O953" i="1" s="1"/>
  <c r="J902" i="1"/>
  <c r="BC901" i="1"/>
  <c r="AX901" i="1"/>
  <c r="AS901" i="1"/>
  <c r="AS952" i="1" s="1"/>
  <c r="AN901" i="1"/>
  <c r="AN952" i="1" s="1"/>
  <c r="AI901" i="1"/>
  <c r="AI952" i="1" s="1"/>
  <c r="AI813" i="1" s="1"/>
  <c r="AI83" i="9" s="1"/>
  <c r="AD901" i="1"/>
  <c r="AD952" i="1" s="1"/>
  <c r="Y901" i="1"/>
  <c r="Y952" i="1" s="1"/>
  <c r="T901" i="1"/>
  <c r="T952" i="1" s="1"/>
  <c r="O901" i="1"/>
  <c r="O952" i="1" s="1"/>
  <c r="J901" i="1"/>
  <c r="J952" i="1" s="1"/>
  <c r="BC900" i="1"/>
  <c r="AX900" i="1"/>
  <c r="AS900" i="1"/>
  <c r="AN900" i="1"/>
  <c r="AI900" i="1"/>
  <c r="AD900" i="1"/>
  <c r="AD951" i="1" s="1"/>
  <c r="AD816" i="1" s="1"/>
  <c r="AD89" i="9" s="1"/>
  <c r="Y900" i="1"/>
  <c r="Y951" i="1" s="1"/>
  <c r="T900" i="1"/>
  <c r="T951" i="1" s="1"/>
  <c r="O900" i="1"/>
  <c r="O951" i="1" s="1"/>
  <c r="J900" i="1"/>
  <c r="J951" i="1" s="1"/>
  <c r="BC899" i="1"/>
  <c r="AX899" i="1"/>
  <c r="AS899" i="1"/>
  <c r="AS950" i="1" s="1"/>
  <c r="AS816" i="1" s="1"/>
  <c r="AS89" i="9" s="1"/>
  <c r="AN899" i="1"/>
  <c r="AN950" i="1" s="1"/>
  <c r="AI899" i="1"/>
  <c r="AI950" i="1" s="1"/>
  <c r="AD899" i="1"/>
  <c r="AD950" i="1" s="1"/>
  <c r="Y899" i="1"/>
  <c r="Y950" i="1" s="1"/>
  <c r="T899" i="1"/>
  <c r="T950" i="1" s="1"/>
  <c r="O899" i="1"/>
  <c r="O950" i="1" s="1"/>
  <c r="J899" i="1"/>
  <c r="J950" i="1" s="1"/>
  <c r="BC898" i="1"/>
  <c r="BC908" i="1" s="1"/>
  <c r="AX898" i="1"/>
  <c r="AX908" i="1" s="1"/>
  <c r="AS898" i="1"/>
  <c r="AS949" i="1" s="1"/>
  <c r="AN898" i="1"/>
  <c r="AN949" i="1" s="1"/>
  <c r="AI898" i="1"/>
  <c r="AD898" i="1"/>
  <c r="AD949" i="1" s="1"/>
  <c r="Y898" i="1"/>
  <c r="Y949" i="1" s="1"/>
  <c r="T898" i="1"/>
  <c r="T949" i="1" s="1"/>
  <c r="O898" i="1"/>
  <c r="O949" i="1" s="1"/>
  <c r="J898" i="1"/>
  <c r="BG895" i="1"/>
  <c r="BF895" i="1"/>
  <c r="BE895" i="1"/>
  <c r="BD895" i="1"/>
  <c r="BB895" i="1"/>
  <c r="BA895" i="1"/>
  <c r="BA912" i="1" s="1"/>
  <c r="AZ895" i="1"/>
  <c r="AY895" i="1"/>
  <c r="AW895" i="1"/>
  <c r="AV895" i="1"/>
  <c r="AU895" i="1"/>
  <c r="AT895" i="1"/>
  <c r="AS895" i="1"/>
  <c r="AR895" i="1"/>
  <c r="AQ895" i="1"/>
  <c r="AQ912" i="1" s="1"/>
  <c r="AP895" i="1"/>
  <c r="AO895" i="1"/>
  <c r="AM895" i="1"/>
  <c r="AL895" i="1"/>
  <c r="AL912" i="1" s="1"/>
  <c r="AK895" i="1"/>
  <c r="AK912" i="1" s="1"/>
  <c r="AJ895" i="1"/>
  <c r="AI895" i="1"/>
  <c r="AH895" i="1"/>
  <c r="AG895" i="1"/>
  <c r="AF895" i="1"/>
  <c r="AE895" i="1"/>
  <c r="AC895" i="1"/>
  <c r="AB895" i="1"/>
  <c r="AA895" i="1"/>
  <c r="Z895" i="1"/>
  <c r="X895" i="1"/>
  <c r="X912" i="1" s="1"/>
  <c r="W895" i="1"/>
  <c r="V895" i="1"/>
  <c r="U895" i="1"/>
  <c r="S895" i="1"/>
  <c r="R895" i="1"/>
  <c r="Q895" i="1"/>
  <c r="P895" i="1"/>
  <c r="O895" i="1"/>
  <c r="N895" i="1"/>
  <c r="M895" i="1"/>
  <c r="M912" i="1" s="1"/>
  <c r="L895" i="1"/>
  <c r="K895" i="1"/>
  <c r="K912" i="1" s="1"/>
  <c r="I895" i="1"/>
  <c r="H895" i="1"/>
  <c r="G895" i="1"/>
  <c r="F895" i="1"/>
  <c r="F912" i="1" s="1"/>
  <c r="E895" i="1"/>
  <c r="E912" i="1" s="1"/>
  <c r="D895" i="1"/>
  <c r="D912" i="1" s="1"/>
  <c r="C895" i="1"/>
  <c r="AS894" i="1"/>
  <c r="AS945" i="1" s="1"/>
  <c r="AN894" i="1"/>
  <c r="BC893" i="1"/>
  <c r="AX893" i="1"/>
  <c r="AS893" i="1"/>
  <c r="AS944" i="1" s="1"/>
  <c r="AN893" i="1"/>
  <c r="AN944" i="1" s="1"/>
  <c r="AN90" i="9" s="1"/>
  <c r="AI893" i="1"/>
  <c r="AI944" i="1" s="1"/>
  <c r="AD893" i="1"/>
  <c r="AD944" i="1" s="1"/>
  <c r="Y893" i="1"/>
  <c r="Y944" i="1" s="1"/>
  <c r="T893" i="1"/>
  <c r="T944" i="1" s="1"/>
  <c r="O893" i="1"/>
  <c r="O944" i="1" s="1"/>
  <c r="O90" i="9" s="1"/>
  <c r="J893" i="1"/>
  <c r="J944" i="1" s="1"/>
  <c r="J90" i="9" s="1"/>
  <c r="BC892" i="1"/>
  <c r="AX892" i="1"/>
  <c r="AS892" i="1"/>
  <c r="AS943" i="1" s="1"/>
  <c r="AN892" i="1"/>
  <c r="AN943" i="1" s="1"/>
  <c r="AI892" i="1"/>
  <c r="AI943" i="1" s="1"/>
  <c r="AD892" i="1"/>
  <c r="AD943" i="1" s="1"/>
  <c r="Y892" i="1"/>
  <c r="T892" i="1"/>
  <c r="T943" i="1" s="1"/>
  <c r="T811" i="1" s="1"/>
  <c r="O892" i="1"/>
  <c r="O943" i="1" s="1"/>
  <c r="O811" i="1" s="1"/>
  <c r="J892" i="1"/>
  <c r="J943" i="1" s="1"/>
  <c r="BC891" i="1"/>
  <c r="AX891" i="1"/>
  <c r="AS891" i="1"/>
  <c r="AS942" i="1" s="1"/>
  <c r="AN891" i="1"/>
  <c r="AN942" i="1" s="1"/>
  <c r="AI891" i="1"/>
  <c r="AI942" i="1" s="1"/>
  <c r="AI812" i="1" s="1"/>
  <c r="AI86" i="9" s="1"/>
  <c r="AD891" i="1"/>
  <c r="AD942" i="1" s="1"/>
  <c r="AD812" i="1" s="1"/>
  <c r="AD86" i="9" s="1"/>
  <c r="Y891" i="1"/>
  <c r="T891" i="1"/>
  <c r="T942" i="1" s="1"/>
  <c r="T812" i="1" s="1"/>
  <c r="T86" i="9" s="1"/>
  <c r="O891" i="1"/>
  <c r="O942" i="1" s="1"/>
  <c r="J891" i="1"/>
  <c r="J942" i="1" s="1"/>
  <c r="BC890" i="1"/>
  <c r="AX890" i="1"/>
  <c r="AS890" i="1"/>
  <c r="AS941" i="1" s="1"/>
  <c r="AN890" i="1"/>
  <c r="AN895" i="1" s="1"/>
  <c r="AI890" i="1"/>
  <c r="AD890" i="1"/>
  <c r="AD941" i="1" s="1"/>
  <c r="Y890" i="1"/>
  <c r="Y941" i="1" s="1"/>
  <c r="T890" i="1"/>
  <c r="T941" i="1" s="1"/>
  <c r="O890" i="1"/>
  <c r="O941" i="1" s="1"/>
  <c r="J890" i="1"/>
  <c r="J941" i="1" s="1"/>
  <c r="BE887" i="1"/>
  <c r="BD887" i="1"/>
  <c r="AV887" i="1"/>
  <c r="AT887" i="1"/>
  <c r="AR887" i="1"/>
  <c r="AO887" i="1"/>
  <c r="AM887" i="1"/>
  <c r="AH887" i="1"/>
  <c r="AF887" i="1"/>
  <c r="AB887" i="1"/>
  <c r="X887" i="1"/>
  <c r="W887" i="1"/>
  <c r="R887" i="1"/>
  <c r="P887" i="1"/>
  <c r="N887" i="1"/>
  <c r="L887" i="1"/>
  <c r="I887" i="1"/>
  <c r="H887" i="1"/>
  <c r="G887" i="1"/>
  <c r="AS886" i="1"/>
  <c r="AS937" i="1" s="1"/>
  <c r="AN886" i="1"/>
  <c r="AN937" i="1" s="1"/>
  <c r="BC885" i="1"/>
  <c r="AX885" i="1"/>
  <c r="AS885" i="1"/>
  <c r="AS936" i="1" s="1"/>
  <c r="AN885" i="1"/>
  <c r="AN936" i="1" s="1"/>
  <c r="AI885" i="1"/>
  <c r="AI936" i="1" s="1"/>
  <c r="AD885" i="1"/>
  <c r="AD936" i="1" s="1"/>
  <c r="Y885" i="1"/>
  <c r="Y936" i="1" s="1"/>
  <c r="T885" i="1"/>
  <c r="T936" i="1" s="1"/>
  <c r="O885" i="1"/>
  <c r="O936" i="1" s="1"/>
  <c r="J885" i="1"/>
  <c r="J936" i="1" s="1"/>
  <c r="BC884" i="1"/>
  <c r="AX884" i="1"/>
  <c r="AS884" i="1"/>
  <c r="AS935" i="1" s="1"/>
  <c r="AN884" i="1"/>
  <c r="AN935" i="1" s="1"/>
  <c r="AI884" i="1"/>
  <c r="AI935" i="1" s="1"/>
  <c r="AD884" i="1"/>
  <c r="AD935" i="1" s="1"/>
  <c r="Y884" i="1"/>
  <c r="Y935" i="1" s="1"/>
  <c r="T884" i="1"/>
  <c r="T935" i="1" s="1"/>
  <c r="O884" i="1"/>
  <c r="O935" i="1" s="1"/>
  <c r="J884" i="1"/>
  <c r="J935" i="1" s="1"/>
  <c r="BC883" i="1"/>
  <c r="AX883" i="1"/>
  <c r="AS883" i="1"/>
  <c r="AS934" i="1" s="1"/>
  <c r="AN883" i="1"/>
  <c r="AN934" i="1" s="1"/>
  <c r="AI883" i="1"/>
  <c r="AI934" i="1" s="1"/>
  <c r="AD883" i="1"/>
  <c r="Y883" i="1"/>
  <c r="Y934" i="1" s="1"/>
  <c r="T883" i="1"/>
  <c r="T934" i="1" s="1"/>
  <c r="O883" i="1"/>
  <c r="O934" i="1" s="1"/>
  <c r="J883" i="1"/>
  <c r="J934" i="1" s="1"/>
  <c r="BC882" i="1"/>
  <c r="AX882" i="1"/>
  <c r="AS882" i="1"/>
  <c r="AS933" i="1" s="1"/>
  <c r="AN882" i="1"/>
  <c r="AI882" i="1"/>
  <c r="AI933" i="1" s="1"/>
  <c r="AD882" i="1"/>
  <c r="AD933" i="1" s="1"/>
  <c r="Y882" i="1"/>
  <c r="Y933" i="1" s="1"/>
  <c r="T882" i="1"/>
  <c r="T933" i="1" s="1"/>
  <c r="O882" i="1"/>
  <c r="O933" i="1" s="1"/>
  <c r="J882" i="1"/>
  <c r="J933" i="1" s="1"/>
  <c r="BC881" i="1"/>
  <c r="AX881" i="1"/>
  <c r="AS881" i="1"/>
  <c r="AS932" i="1" s="1"/>
  <c r="AS87" i="9" s="1"/>
  <c r="AN881" i="1"/>
  <c r="AN932" i="1" s="1"/>
  <c r="AI881" i="1"/>
  <c r="AI932" i="1" s="1"/>
  <c r="AD881" i="1"/>
  <c r="Y881" i="1"/>
  <c r="Y932" i="1" s="1"/>
  <c r="T881" i="1"/>
  <c r="T932" i="1" s="1"/>
  <c r="O881" i="1"/>
  <c r="O932" i="1" s="1"/>
  <c r="O87" i="9" s="1"/>
  <c r="J881" i="1"/>
  <c r="J932" i="1" s="1"/>
  <c r="BG880" i="1"/>
  <c r="BG887" i="1" s="1"/>
  <c r="BF880" i="1"/>
  <c r="BF887" i="1" s="1"/>
  <c r="BE880" i="1"/>
  <c r="BD880" i="1"/>
  <c r="BB880" i="1"/>
  <c r="BB887" i="1" s="1"/>
  <c r="BB912" i="1" s="1"/>
  <c r="BA880" i="1"/>
  <c r="BA887" i="1" s="1"/>
  <c r="AZ880" i="1"/>
  <c r="AZ887" i="1" s="1"/>
  <c r="AY880" i="1"/>
  <c r="AY887" i="1" s="1"/>
  <c r="AW880" i="1"/>
  <c r="AW887" i="1" s="1"/>
  <c r="AV880" i="1"/>
  <c r="AU880" i="1"/>
  <c r="AU887" i="1" s="1"/>
  <c r="AT880" i="1"/>
  <c r="AR880" i="1"/>
  <c r="AQ880" i="1"/>
  <c r="AQ887" i="1" s="1"/>
  <c r="AP880" i="1"/>
  <c r="AP887" i="1" s="1"/>
  <c r="AO880" i="1"/>
  <c r="AM880" i="1"/>
  <c r="AL880" i="1"/>
  <c r="AL887" i="1" s="1"/>
  <c r="AK880" i="1"/>
  <c r="AK887" i="1" s="1"/>
  <c r="AJ880" i="1"/>
  <c r="AJ887" i="1" s="1"/>
  <c r="AH880" i="1"/>
  <c r="AG880" i="1"/>
  <c r="AG887" i="1" s="1"/>
  <c r="AF880" i="1"/>
  <c r="AE880" i="1"/>
  <c r="AE887" i="1" s="1"/>
  <c r="AC880" i="1"/>
  <c r="AC887" i="1" s="1"/>
  <c r="AB880" i="1"/>
  <c r="AA880" i="1"/>
  <c r="AA887" i="1" s="1"/>
  <c r="Z880" i="1"/>
  <c r="Z887" i="1" s="1"/>
  <c r="X880" i="1"/>
  <c r="W880" i="1"/>
  <c r="V880" i="1"/>
  <c r="V887" i="1" s="1"/>
  <c r="U880" i="1"/>
  <c r="U887" i="1" s="1"/>
  <c r="S880" i="1"/>
  <c r="S887" i="1" s="1"/>
  <c r="R880" i="1"/>
  <c r="Q880" i="1"/>
  <c r="Q887" i="1" s="1"/>
  <c r="P880" i="1"/>
  <c r="N880" i="1"/>
  <c r="M880" i="1"/>
  <c r="M887" i="1" s="1"/>
  <c r="L880" i="1"/>
  <c r="K880" i="1"/>
  <c r="K887" i="1" s="1"/>
  <c r="I880" i="1"/>
  <c r="H880" i="1"/>
  <c r="G880" i="1"/>
  <c r="F880" i="1"/>
  <c r="F887" i="1" s="1"/>
  <c r="E880" i="1"/>
  <c r="E887" i="1" s="1"/>
  <c r="D880" i="1"/>
  <c r="D887" i="1" s="1"/>
  <c r="C880" i="1"/>
  <c r="C887" i="1" s="1"/>
  <c r="BC879" i="1"/>
  <c r="AX879" i="1"/>
  <c r="AS879" i="1"/>
  <c r="AS930" i="1" s="1"/>
  <c r="AN879" i="1"/>
  <c r="AN930" i="1" s="1"/>
  <c r="AI879" i="1"/>
  <c r="AI930" i="1" s="1"/>
  <c r="AD879" i="1"/>
  <c r="AD930" i="1" s="1"/>
  <c r="Y879" i="1"/>
  <c r="T879" i="1"/>
  <c r="T930" i="1" s="1"/>
  <c r="O879" i="1"/>
  <c r="O930" i="1" s="1"/>
  <c r="J879" i="1"/>
  <c r="J930" i="1" s="1"/>
  <c r="BC878" i="1"/>
  <c r="AX878" i="1"/>
  <c r="AS878" i="1"/>
  <c r="AS929" i="1" s="1"/>
  <c r="AN878" i="1"/>
  <c r="AN929" i="1" s="1"/>
  <c r="AI878" i="1"/>
  <c r="AD878" i="1"/>
  <c r="AD929" i="1" s="1"/>
  <c r="Y878" i="1"/>
  <c r="Y929" i="1" s="1"/>
  <c r="T878" i="1"/>
  <c r="O878" i="1"/>
  <c r="O929" i="1" s="1"/>
  <c r="J878" i="1"/>
  <c r="J929" i="1" s="1"/>
  <c r="AS877" i="1"/>
  <c r="BC876" i="1"/>
  <c r="AX876" i="1"/>
  <c r="AS876" i="1"/>
  <c r="AS927" i="1" s="1"/>
  <c r="AN876" i="1"/>
  <c r="AN927" i="1" s="1"/>
  <c r="AI876" i="1"/>
  <c r="AI927" i="1" s="1"/>
  <c r="AD876" i="1"/>
  <c r="AD927" i="1" s="1"/>
  <c r="Y876" i="1"/>
  <c r="T876" i="1"/>
  <c r="T927" i="1" s="1"/>
  <c r="O876" i="1"/>
  <c r="O880" i="1" s="1"/>
  <c r="J876" i="1"/>
  <c r="J927" i="1" s="1"/>
  <c r="BC875" i="1"/>
  <c r="AX875" i="1"/>
  <c r="AS875" i="1"/>
  <c r="AS926" i="1" s="1"/>
  <c r="AN875" i="1"/>
  <c r="AN926" i="1" s="1"/>
  <c r="AI875" i="1"/>
  <c r="AI926" i="1" s="1"/>
  <c r="AD875" i="1"/>
  <c r="AD926" i="1" s="1"/>
  <c r="Y875" i="1"/>
  <c r="Y926" i="1" s="1"/>
  <c r="T875" i="1"/>
  <c r="O875" i="1"/>
  <c r="O926" i="1" s="1"/>
  <c r="J875" i="1"/>
  <c r="J926" i="1" s="1"/>
  <c r="BC874" i="1"/>
  <c r="AX874" i="1"/>
  <c r="AS874" i="1"/>
  <c r="AN874" i="1"/>
  <c r="AN925" i="1" s="1"/>
  <c r="AI874" i="1"/>
  <c r="AD874" i="1"/>
  <c r="AD925" i="1" s="1"/>
  <c r="Y874" i="1"/>
  <c r="Y925" i="1" s="1"/>
  <c r="T874" i="1"/>
  <c r="O874" i="1"/>
  <c r="O925" i="1" s="1"/>
  <c r="J874" i="1"/>
  <c r="J925" i="1" s="1"/>
  <c r="BC873" i="1"/>
  <c r="AX873" i="1"/>
  <c r="AS873" i="1"/>
  <c r="AN873" i="1"/>
  <c r="AN924" i="1" s="1"/>
  <c r="AI873" i="1"/>
  <c r="AI924" i="1" s="1"/>
  <c r="AD873" i="1"/>
  <c r="Y873" i="1"/>
  <c r="Y924" i="1" s="1"/>
  <c r="T873" i="1"/>
  <c r="T924" i="1" s="1"/>
  <c r="O873" i="1"/>
  <c r="O924" i="1" s="1"/>
  <c r="J873" i="1"/>
  <c r="J924" i="1" s="1"/>
  <c r="BC872" i="1"/>
  <c r="AX872" i="1"/>
  <c r="AS872" i="1"/>
  <c r="AS923" i="1" s="1"/>
  <c r="AN872" i="1"/>
  <c r="AN923" i="1" s="1"/>
  <c r="AI872" i="1"/>
  <c r="AI923" i="1" s="1"/>
  <c r="AD872" i="1"/>
  <c r="AD923" i="1" s="1"/>
  <c r="Y872" i="1"/>
  <c r="Y923" i="1" s="1"/>
  <c r="Y781" i="1" s="1"/>
  <c r="T872" i="1"/>
  <c r="T923" i="1" s="1"/>
  <c r="O872" i="1"/>
  <c r="J872" i="1"/>
  <c r="J923" i="1" s="1"/>
  <c r="BC871" i="1"/>
  <c r="AX871" i="1"/>
  <c r="AS871" i="1"/>
  <c r="AS922" i="1" s="1"/>
  <c r="AN871" i="1"/>
  <c r="AN922" i="1" s="1"/>
  <c r="AI871" i="1"/>
  <c r="AI922" i="1" s="1"/>
  <c r="AD871" i="1"/>
  <c r="AD922" i="1" s="1"/>
  <c r="Y871" i="1"/>
  <c r="Y922" i="1" s="1"/>
  <c r="T871" i="1"/>
  <c r="T922" i="1" s="1"/>
  <c r="O871" i="1"/>
  <c r="O922" i="1" s="1"/>
  <c r="J871" i="1"/>
  <c r="J922" i="1" s="1"/>
  <c r="AS870" i="1"/>
  <c r="AN870" i="1"/>
  <c r="AN921" i="1" s="1"/>
  <c r="BC869" i="1"/>
  <c r="AX869" i="1"/>
  <c r="AS869" i="1"/>
  <c r="AN869" i="1"/>
  <c r="AN920" i="1" s="1"/>
  <c r="AI869" i="1"/>
  <c r="AI880" i="1" s="1"/>
  <c r="AI887" i="1" s="1"/>
  <c r="AD869" i="1"/>
  <c r="Y869" i="1"/>
  <c r="Y920" i="1" s="1"/>
  <c r="T869" i="1"/>
  <c r="T920" i="1" s="1"/>
  <c r="O869" i="1"/>
  <c r="O920" i="1" s="1"/>
  <c r="J869" i="1"/>
  <c r="BC868" i="1"/>
  <c r="BC880" i="1" s="1"/>
  <c r="AX868" i="1"/>
  <c r="AX880" i="1" s="1"/>
  <c r="AX887" i="1" s="1"/>
  <c r="AS868" i="1"/>
  <c r="AS919" i="1" s="1"/>
  <c r="AN868" i="1"/>
  <c r="AN919" i="1" s="1"/>
  <c r="AI868" i="1"/>
  <c r="AI919" i="1" s="1"/>
  <c r="AD868" i="1"/>
  <c r="AD919" i="1" s="1"/>
  <c r="Y868" i="1"/>
  <c r="Y919" i="1" s="1"/>
  <c r="T868" i="1"/>
  <c r="T919" i="1" s="1"/>
  <c r="O868" i="1"/>
  <c r="J868" i="1"/>
  <c r="J919" i="1" s="1"/>
  <c r="BG864" i="1"/>
  <c r="BF864" i="1"/>
  <c r="BE864" i="1"/>
  <c r="BD864" i="1"/>
  <c r="BC864" i="1"/>
  <c r="BB864" i="1"/>
  <c r="BA864" i="1"/>
  <c r="AZ864" i="1"/>
  <c r="AY864" i="1"/>
  <c r="AX864" i="1"/>
  <c r="AW864" i="1"/>
  <c r="AV864" i="1"/>
  <c r="AU864" i="1"/>
  <c r="AT864" i="1"/>
  <c r="AS864" i="1"/>
  <c r="AR864" i="1"/>
  <c r="AQ864" i="1"/>
  <c r="AP864" i="1"/>
  <c r="AO864" i="1"/>
  <c r="AN864" i="1"/>
  <c r="AM864" i="1"/>
  <c r="AL864" i="1"/>
  <c r="AK864" i="1"/>
  <c r="AJ864" i="1"/>
  <c r="AI864" i="1"/>
  <c r="AH864" i="1"/>
  <c r="AG864" i="1"/>
  <c r="AF864" i="1"/>
  <c r="AE864" i="1"/>
  <c r="AD864" i="1"/>
  <c r="AC864" i="1"/>
  <c r="AB864" i="1"/>
  <c r="AA864" i="1"/>
  <c r="Z864" i="1"/>
  <c r="Y864" i="1"/>
  <c r="X864" i="1"/>
  <c r="W864" i="1"/>
  <c r="V864" i="1"/>
  <c r="U864" i="1"/>
  <c r="T864" i="1"/>
  <c r="S864" i="1"/>
  <c r="R864" i="1"/>
  <c r="Q864" i="1"/>
  <c r="P864" i="1"/>
  <c r="O864" i="1"/>
  <c r="N864" i="1"/>
  <c r="M864" i="1"/>
  <c r="L864" i="1"/>
  <c r="K864" i="1"/>
  <c r="J864" i="1"/>
  <c r="I864" i="1"/>
  <c r="H864" i="1"/>
  <c r="G864" i="1"/>
  <c r="F864" i="1"/>
  <c r="E864" i="1"/>
  <c r="D864" i="1"/>
  <c r="C864" i="1"/>
  <c r="BD863" i="1"/>
  <c r="BC863" i="1"/>
  <c r="BB863" i="1"/>
  <c r="BA863" i="1"/>
  <c r="AZ863" i="1"/>
  <c r="AY863" i="1"/>
  <c r="AX863" i="1"/>
  <c r="AW863" i="1"/>
  <c r="AV863" i="1"/>
  <c r="AU863" i="1"/>
  <c r="AT863" i="1"/>
  <c r="AS863" i="1"/>
  <c r="AR863" i="1"/>
  <c r="AQ863" i="1"/>
  <c r="AP863" i="1"/>
  <c r="AO863" i="1"/>
  <c r="AN863" i="1"/>
  <c r="AM863" i="1"/>
  <c r="AL863" i="1"/>
  <c r="AK863" i="1"/>
  <c r="AJ863" i="1"/>
  <c r="AI863" i="1"/>
  <c r="AH863" i="1"/>
  <c r="AG863" i="1"/>
  <c r="AF863" i="1"/>
  <c r="AE863" i="1"/>
  <c r="AD863" i="1"/>
  <c r="AC863" i="1"/>
  <c r="AB863" i="1"/>
  <c r="AA863" i="1"/>
  <c r="Z863" i="1"/>
  <c r="Y863" i="1"/>
  <c r="X863" i="1"/>
  <c r="W863" i="1"/>
  <c r="V863" i="1"/>
  <c r="U863" i="1"/>
  <c r="T863" i="1"/>
  <c r="S863" i="1"/>
  <c r="R863" i="1"/>
  <c r="Q863" i="1"/>
  <c r="P863" i="1"/>
  <c r="O863" i="1"/>
  <c r="N863" i="1"/>
  <c r="M863" i="1"/>
  <c r="L863" i="1"/>
  <c r="K863" i="1"/>
  <c r="J863" i="1"/>
  <c r="I863" i="1"/>
  <c r="H863" i="1"/>
  <c r="G863" i="1"/>
  <c r="F863" i="1"/>
  <c r="E863" i="1"/>
  <c r="D863" i="1"/>
  <c r="C863" i="1"/>
  <c r="BG862" i="1"/>
  <c r="BF862" i="1"/>
  <c r="BE862" i="1"/>
  <c r="BD862" i="1"/>
  <c r="BD9" i="9" s="1"/>
  <c r="BC862" i="1"/>
  <c r="BC9" i="9" s="1"/>
  <c r="BB862" i="1"/>
  <c r="BA862" i="1"/>
  <c r="AZ862" i="1"/>
  <c r="AY862" i="1"/>
  <c r="AX862" i="1"/>
  <c r="AW862" i="1"/>
  <c r="AW9" i="9" s="1"/>
  <c r="AV862" i="1"/>
  <c r="AV9" i="9" s="1"/>
  <c r="AU862" i="1"/>
  <c r="AT862" i="1"/>
  <c r="AS862" i="1"/>
  <c r="AR862" i="1"/>
  <c r="AQ862" i="1"/>
  <c r="AP862" i="1"/>
  <c r="AP9" i="9" s="1"/>
  <c r="AO862" i="1"/>
  <c r="AN862" i="1"/>
  <c r="AN9" i="9" s="1"/>
  <c r="AM862" i="1"/>
  <c r="AM9" i="9" s="1"/>
  <c r="AL862" i="1"/>
  <c r="AK862" i="1"/>
  <c r="AJ862" i="1"/>
  <c r="AI862" i="1"/>
  <c r="AH862" i="1"/>
  <c r="AG862" i="1"/>
  <c r="AG9" i="9" s="1"/>
  <c r="AF862" i="1"/>
  <c r="AF9" i="9" s="1"/>
  <c r="AE862" i="1"/>
  <c r="AD862" i="1"/>
  <c r="AC862" i="1"/>
  <c r="AB862" i="1"/>
  <c r="AA862" i="1"/>
  <c r="Z862" i="1"/>
  <c r="Z9" i="9" s="1"/>
  <c r="Y862" i="1"/>
  <c r="Y9" i="9" s="1"/>
  <c r="X862" i="1"/>
  <c r="X9" i="9" s="1"/>
  <c r="W862" i="1"/>
  <c r="W9" i="9" s="1"/>
  <c r="V862" i="1"/>
  <c r="U862" i="1"/>
  <c r="T862" i="1"/>
  <c r="S862" i="1"/>
  <c r="R862" i="1"/>
  <c r="Q862" i="1"/>
  <c r="Q9" i="9" s="1"/>
  <c r="P862" i="1"/>
  <c r="P9" i="9" s="1"/>
  <c r="O862" i="1"/>
  <c r="N862" i="1"/>
  <c r="M862" i="1"/>
  <c r="L862" i="1"/>
  <c r="K862" i="1"/>
  <c r="J862" i="1"/>
  <c r="J9" i="9" s="1"/>
  <c r="I862" i="1"/>
  <c r="I9" i="9" s="1"/>
  <c r="H862" i="1"/>
  <c r="H9" i="9" s="1"/>
  <c r="G862" i="1"/>
  <c r="G9" i="9" s="1"/>
  <c r="F862" i="1"/>
  <c r="E862" i="1"/>
  <c r="D862" i="1"/>
  <c r="C862" i="1"/>
  <c r="BG857" i="1"/>
  <c r="BF857" i="1"/>
  <c r="BE857" i="1"/>
  <c r="BD857" i="1"/>
  <c r="BC857" i="1"/>
  <c r="BB857" i="1"/>
  <c r="BA857" i="1"/>
  <c r="AZ857" i="1"/>
  <c r="AY857" i="1"/>
  <c r="AX857" i="1"/>
  <c r="BG856" i="1"/>
  <c r="BF856" i="1"/>
  <c r="BE856" i="1"/>
  <c r="BD856" i="1"/>
  <c r="BC856" i="1"/>
  <c r="BB856" i="1"/>
  <c r="BA856" i="1"/>
  <c r="AZ856" i="1"/>
  <c r="AY856" i="1"/>
  <c r="AX856" i="1"/>
  <c r="BG855" i="1"/>
  <c r="BF855" i="1"/>
  <c r="BE855" i="1"/>
  <c r="BD855" i="1"/>
  <c r="BC855" i="1"/>
  <c r="BB855" i="1"/>
  <c r="BA855" i="1"/>
  <c r="AZ855" i="1"/>
  <c r="AY855" i="1"/>
  <c r="AX855" i="1"/>
  <c r="A853" i="1"/>
  <c r="A852" i="1"/>
  <c r="A851" i="1"/>
  <c r="A850" i="1"/>
  <c r="A1101" i="1" s="1"/>
  <c r="A849" i="1"/>
  <c r="A848" i="1"/>
  <c r="A1102" i="1" s="1"/>
  <c r="A846" i="1"/>
  <c r="A845" i="1"/>
  <c r="A844" i="1"/>
  <c r="AW830" i="1"/>
  <c r="AT830" i="1"/>
  <c r="AO830" i="1"/>
  <c r="AM830" i="1"/>
  <c r="AG830" i="1"/>
  <c r="AD830" i="1"/>
  <c r="Z830" i="1"/>
  <c r="Y830" i="1"/>
  <c r="W830" i="1"/>
  <c r="Q830" i="1"/>
  <c r="N830" i="1"/>
  <c r="J830" i="1"/>
  <c r="I830" i="1"/>
  <c r="I117" i="9" s="1"/>
  <c r="G830" i="1"/>
  <c r="G117" i="9" s="1"/>
  <c r="AX829" i="1"/>
  <c r="AW829" i="1"/>
  <c r="AV829" i="1"/>
  <c r="AV830" i="1" s="1"/>
  <c r="AU829" i="1"/>
  <c r="AT829" i="1"/>
  <c r="AS829" i="1"/>
  <c r="AR829" i="1"/>
  <c r="AQ829" i="1"/>
  <c r="AQ830" i="1" s="1"/>
  <c r="AP829" i="1"/>
  <c r="AO829" i="1"/>
  <c r="AN829" i="1"/>
  <c r="AN830" i="1" s="1"/>
  <c r="AM829" i="1"/>
  <c r="AL829" i="1"/>
  <c r="AK829" i="1"/>
  <c r="AJ829" i="1"/>
  <c r="AI829" i="1"/>
  <c r="AI830" i="1" s="1"/>
  <c r="AH829" i="1"/>
  <c r="AG829" i="1"/>
  <c r="AF829" i="1"/>
  <c r="AF830" i="1" s="1"/>
  <c r="AE829" i="1"/>
  <c r="AD829" i="1"/>
  <c r="AC829" i="1"/>
  <c r="AB829" i="1"/>
  <c r="AA829" i="1"/>
  <c r="AA830" i="1" s="1"/>
  <c r="Z829" i="1"/>
  <c r="Y829" i="1"/>
  <c r="X829" i="1"/>
  <c r="X830" i="1" s="1"/>
  <c r="W829" i="1"/>
  <c r="V829" i="1"/>
  <c r="U829" i="1"/>
  <c r="T829" i="1"/>
  <c r="S829" i="1"/>
  <c r="S830" i="1" s="1"/>
  <c r="R829" i="1"/>
  <c r="Q829" i="1"/>
  <c r="P829" i="1"/>
  <c r="P830" i="1" s="1"/>
  <c r="O829" i="1"/>
  <c r="N829" i="1"/>
  <c r="M829" i="1"/>
  <c r="L829" i="1"/>
  <c r="K829" i="1"/>
  <c r="K830" i="1" s="1"/>
  <c r="J829" i="1"/>
  <c r="I829" i="1"/>
  <c r="H829" i="1"/>
  <c r="H830" i="1" s="1"/>
  <c r="H117" i="9" s="1"/>
  <c r="G829" i="1"/>
  <c r="F829" i="1"/>
  <c r="E829" i="1"/>
  <c r="D829" i="1"/>
  <c r="C829" i="1"/>
  <c r="AW828" i="1"/>
  <c r="AX828" i="1" s="1"/>
  <c r="AX1039" i="1" s="1"/>
  <c r="AV828" i="1"/>
  <c r="AU828" i="1"/>
  <c r="AT828" i="1"/>
  <c r="AS828" i="1"/>
  <c r="AR828" i="1"/>
  <c r="AQ828" i="1"/>
  <c r="AP828" i="1"/>
  <c r="AO828" i="1"/>
  <c r="AN828" i="1"/>
  <c r="AM828" i="1"/>
  <c r="AL828" i="1"/>
  <c r="AK828" i="1"/>
  <c r="AJ828" i="1"/>
  <c r="AI828" i="1"/>
  <c r="AH828" i="1"/>
  <c r="AG828" i="1"/>
  <c r="AF828" i="1"/>
  <c r="AE828" i="1"/>
  <c r="AD828" i="1"/>
  <c r="AC828" i="1"/>
  <c r="AB828" i="1"/>
  <c r="AA828" i="1"/>
  <c r="Z828" i="1"/>
  <c r="Y828" i="1"/>
  <c r="X828" i="1"/>
  <c r="W828" i="1"/>
  <c r="V828" i="1"/>
  <c r="U828" i="1"/>
  <c r="T828" i="1"/>
  <c r="S828" i="1"/>
  <c r="R828" i="1"/>
  <c r="Q828" i="1"/>
  <c r="P828" i="1"/>
  <c r="O828" i="1"/>
  <c r="N828" i="1"/>
  <c r="M828" i="1"/>
  <c r="L828" i="1"/>
  <c r="K828" i="1"/>
  <c r="J828" i="1"/>
  <c r="I828" i="1"/>
  <c r="H828" i="1"/>
  <c r="G828" i="1"/>
  <c r="F828" i="1"/>
  <c r="E828" i="1"/>
  <c r="D828" i="1"/>
  <c r="C828" i="1"/>
  <c r="AW827" i="1"/>
  <c r="AV827" i="1"/>
  <c r="AU827" i="1"/>
  <c r="AT827" i="1"/>
  <c r="AS827" i="1"/>
  <c r="AR827" i="1"/>
  <c r="AQ827" i="1"/>
  <c r="AP827" i="1"/>
  <c r="AO827" i="1"/>
  <c r="AN827" i="1"/>
  <c r="AM827" i="1"/>
  <c r="AL827" i="1"/>
  <c r="AK827" i="1"/>
  <c r="AJ827" i="1"/>
  <c r="AI827" i="1"/>
  <c r="AH827" i="1"/>
  <c r="AG827" i="1"/>
  <c r="AF827" i="1"/>
  <c r="AE827" i="1"/>
  <c r="AD827" i="1"/>
  <c r="AC827" i="1"/>
  <c r="AB827" i="1"/>
  <c r="AA827" i="1"/>
  <c r="Z827" i="1"/>
  <c r="Y827" i="1"/>
  <c r="X827" i="1"/>
  <c r="W827" i="1"/>
  <c r="V827" i="1"/>
  <c r="U827" i="1"/>
  <c r="T827" i="1"/>
  <c r="S827" i="1"/>
  <c r="R827" i="1"/>
  <c r="Q827" i="1"/>
  <c r="P827" i="1"/>
  <c r="O827" i="1"/>
  <c r="N827" i="1"/>
  <c r="M827" i="1"/>
  <c r="L827" i="1"/>
  <c r="K827" i="1"/>
  <c r="J827" i="1"/>
  <c r="I827" i="1"/>
  <c r="H827" i="1"/>
  <c r="G827" i="1"/>
  <c r="F827" i="1"/>
  <c r="E827" i="1"/>
  <c r="D827" i="1"/>
  <c r="C827" i="1"/>
  <c r="AW826" i="1"/>
  <c r="AV826" i="1"/>
  <c r="AU826" i="1"/>
  <c r="AT826" i="1"/>
  <c r="AS826" i="1"/>
  <c r="AR826" i="1"/>
  <c r="AQ826" i="1"/>
  <c r="AP826" i="1"/>
  <c r="AO826" i="1"/>
  <c r="AN826" i="1"/>
  <c r="AM826" i="1"/>
  <c r="AL826" i="1"/>
  <c r="AK826" i="1"/>
  <c r="AJ826" i="1"/>
  <c r="AI826" i="1"/>
  <c r="AH826" i="1"/>
  <c r="AG826" i="1"/>
  <c r="AF826" i="1"/>
  <c r="AE826" i="1"/>
  <c r="AD826" i="1"/>
  <c r="AC826" i="1"/>
  <c r="AB826" i="1"/>
  <c r="AA826" i="1"/>
  <c r="Z826" i="1"/>
  <c r="Y826" i="1"/>
  <c r="X826" i="1"/>
  <c r="W826" i="1"/>
  <c r="V826" i="1"/>
  <c r="U826" i="1"/>
  <c r="T826" i="1"/>
  <c r="S826" i="1"/>
  <c r="R826" i="1"/>
  <c r="Q826" i="1"/>
  <c r="P826" i="1"/>
  <c r="O826" i="1"/>
  <c r="N826" i="1"/>
  <c r="M826" i="1"/>
  <c r="L826" i="1"/>
  <c r="K826" i="1"/>
  <c r="J826" i="1"/>
  <c r="I826" i="1"/>
  <c r="H826" i="1"/>
  <c r="G826" i="1"/>
  <c r="F826" i="1"/>
  <c r="E826" i="1"/>
  <c r="D826" i="1"/>
  <c r="C826" i="1"/>
  <c r="BD818" i="1"/>
  <c r="AY818" i="1"/>
  <c r="AY817" i="1"/>
  <c r="AY88" i="9" s="1"/>
  <c r="AW817" i="1"/>
  <c r="AW88" i="9" s="1"/>
  <c r="AV817" i="1"/>
  <c r="AV88" i="9" s="1"/>
  <c r="AU817" i="1"/>
  <c r="AU88" i="9" s="1"/>
  <c r="AT817" i="1"/>
  <c r="AT88" i="9" s="1"/>
  <c r="AS817" i="1"/>
  <c r="AS88" i="9" s="1"/>
  <c r="AR817" i="1"/>
  <c r="AR88" i="9" s="1"/>
  <c r="AQ817" i="1"/>
  <c r="AQ88" i="9" s="1"/>
  <c r="AP817" i="1"/>
  <c r="AP88" i="9" s="1"/>
  <c r="AO817" i="1"/>
  <c r="AO88" i="9" s="1"/>
  <c r="AN817" i="1"/>
  <c r="AN88" i="9" s="1"/>
  <c r="AM817" i="1"/>
  <c r="AM88" i="9" s="1"/>
  <c r="AL817" i="1"/>
  <c r="AL88" i="9" s="1"/>
  <c r="AK817" i="1"/>
  <c r="AK88" i="9" s="1"/>
  <c r="AJ817" i="1"/>
  <c r="AJ88" i="9" s="1"/>
  <c r="AH817" i="1"/>
  <c r="AH88" i="9" s="1"/>
  <c r="AG817" i="1"/>
  <c r="AG88" i="9" s="1"/>
  <c r="AE817" i="1"/>
  <c r="AE88" i="9" s="1"/>
  <c r="AD817" i="1"/>
  <c r="AD88" i="9" s="1"/>
  <c r="AC817" i="1"/>
  <c r="AC88" i="9" s="1"/>
  <c r="AB817" i="1"/>
  <c r="AB88" i="9" s="1"/>
  <c r="AA817" i="1"/>
  <c r="AA88" i="9" s="1"/>
  <c r="Z817" i="1"/>
  <c r="Z88" i="9" s="1"/>
  <c r="X817" i="1"/>
  <c r="X88" i="9" s="1"/>
  <c r="W817" i="1"/>
  <c r="W88" i="9" s="1"/>
  <c r="V817" i="1"/>
  <c r="V88" i="9" s="1"/>
  <c r="U817" i="1"/>
  <c r="U88" i="9" s="1"/>
  <c r="R817" i="1"/>
  <c r="R88" i="9" s="1"/>
  <c r="Q817" i="1"/>
  <c r="Q88" i="9" s="1"/>
  <c r="P817" i="1"/>
  <c r="P88" i="9" s="1"/>
  <c r="O817" i="1"/>
  <c r="O88" i="9" s="1"/>
  <c r="N817" i="1"/>
  <c r="N88" i="9" s="1"/>
  <c r="M817" i="1"/>
  <c r="M88" i="9" s="1"/>
  <c r="L817" i="1"/>
  <c r="L88" i="9" s="1"/>
  <c r="K817" i="1"/>
  <c r="K88" i="9" s="1"/>
  <c r="J817" i="1"/>
  <c r="J88" i="9" s="1"/>
  <c r="I817" i="1"/>
  <c r="I88" i="9" s="1"/>
  <c r="H817" i="1"/>
  <c r="H88" i="9" s="1"/>
  <c r="G817" i="1"/>
  <c r="G88" i="9" s="1"/>
  <c r="F817" i="1"/>
  <c r="F88" i="9" s="1"/>
  <c r="E817" i="1"/>
  <c r="E88" i="9" s="1"/>
  <c r="D817" i="1"/>
  <c r="D88" i="9" s="1"/>
  <c r="BD816" i="1"/>
  <c r="BD89" i="9" s="1"/>
  <c r="AV816" i="1"/>
  <c r="AV89" i="9" s="1"/>
  <c r="AU816" i="1"/>
  <c r="AU89" i="9" s="1"/>
  <c r="AT816" i="1"/>
  <c r="AT89" i="9" s="1"/>
  <c r="AR816" i="1"/>
  <c r="AR89" i="9" s="1"/>
  <c r="AQ816" i="1"/>
  <c r="AQ89" i="9" s="1"/>
  <c r="AP816" i="1"/>
  <c r="AP89" i="9" s="1"/>
  <c r="AO816" i="1"/>
  <c r="AO89" i="9" s="1"/>
  <c r="AM816" i="1"/>
  <c r="AM89" i="9" s="1"/>
  <c r="AL816" i="1"/>
  <c r="AL89" i="9" s="1"/>
  <c r="AK816" i="1"/>
  <c r="AK89" i="9" s="1"/>
  <c r="AJ816" i="1"/>
  <c r="AJ89" i="9" s="1"/>
  <c r="AH816" i="1"/>
  <c r="AH89" i="9" s="1"/>
  <c r="AF816" i="1"/>
  <c r="AF89" i="9" s="1"/>
  <c r="AE816" i="1"/>
  <c r="AE89" i="9" s="1"/>
  <c r="AC816" i="1"/>
  <c r="AC89" i="9" s="1"/>
  <c r="AB816" i="1"/>
  <c r="AB89" i="9" s="1"/>
  <c r="AA816" i="1"/>
  <c r="AA89" i="9" s="1"/>
  <c r="X816" i="1"/>
  <c r="X89" i="9" s="1"/>
  <c r="W816" i="1"/>
  <c r="W89" i="9" s="1"/>
  <c r="V816" i="1"/>
  <c r="V89" i="9" s="1"/>
  <c r="U816" i="1"/>
  <c r="U89" i="9" s="1"/>
  <c r="T816" i="1"/>
  <c r="T89" i="9" s="1"/>
  <c r="S816" i="1"/>
  <c r="S89" i="9" s="1"/>
  <c r="R816" i="1"/>
  <c r="R89" i="9" s="1"/>
  <c r="Q816" i="1"/>
  <c r="Q89" i="9" s="1"/>
  <c r="P816" i="1"/>
  <c r="P89" i="9" s="1"/>
  <c r="N816" i="1"/>
  <c r="N89" i="9" s="1"/>
  <c r="M816" i="1"/>
  <c r="M89" i="9" s="1"/>
  <c r="L816" i="1"/>
  <c r="L89" i="9" s="1"/>
  <c r="K816" i="1"/>
  <c r="K89" i="9" s="1"/>
  <c r="H816" i="1"/>
  <c r="H89" i="9" s="1"/>
  <c r="G816" i="1"/>
  <c r="G89" i="9" s="1"/>
  <c r="F816" i="1"/>
  <c r="F89" i="9" s="1"/>
  <c r="E816" i="1"/>
  <c r="E89" i="9" s="1"/>
  <c r="D816" i="1"/>
  <c r="D89" i="9" s="1"/>
  <c r="C816" i="1"/>
  <c r="C89" i="9" s="1"/>
  <c r="BD814" i="1"/>
  <c r="BD95" i="9" s="1"/>
  <c r="AY814" i="1"/>
  <c r="AY95" i="9" s="1"/>
  <c r="AT814" i="1"/>
  <c r="AT95" i="9" s="1"/>
  <c r="AO814" i="1"/>
  <c r="AO95" i="9" s="1"/>
  <c r="AJ814" i="1"/>
  <c r="AJ95" i="9" s="1"/>
  <c r="AE814" i="1"/>
  <c r="AE95" i="9" s="1"/>
  <c r="Z814" i="1"/>
  <c r="Z95" i="9" s="1"/>
  <c r="U814" i="1"/>
  <c r="U95" i="9" s="1"/>
  <c r="AW813" i="1"/>
  <c r="AW83" i="9" s="1"/>
  <c r="AV813" i="1"/>
  <c r="AV83" i="9" s="1"/>
  <c r="AU813" i="1"/>
  <c r="AU83" i="9" s="1"/>
  <c r="AT813" i="1"/>
  <c r="AT83" i="9" s="1"/>
  <c r="AS813" i="1"/>
  <c r="AS83" i="9" s="1"/>
  <c r="AR813" i="1"/>
  <c r="AR83" i="9" s="1"/>
  <c r="AQ813" i="1"/>
  <c r="AQ83" i="9" s="1"/>
  <c r="AP813" i="1"/>
  <c r="AP83" i="9" s="1"/>
  <c r="AO813" i="1"/>
  <c r="AO83" i="9" s="1"/>
  <c r="AN813" i="1"/>
  <c r="AN83" i="9" s="1"/>
  <c r="AM813" i="1"/>
  <c r="AM83" i="9" s="1"/>
  <c r="AL813" i="1"/>
  <c r="AL83" i="9" s="1"/>
  <c r="AK813" i="1"/>
  <c r="AK83" i="9" s="1"/>
  <c r="AJ813" i="1"/>
  <c r="AJ83" i="9" s="1"/>
  <c r="AH813" i="1"/>
  <c r="AH83" i="9" s="1"/>
  <c r="AF813" i="1"/>
  <c r="AF83" i="9" s="1"/>
  <c r="AE813" i="1"/>
  <c r="AE83" i="9" s="1"/>
  <c r="AD813" i="1"/>
  <c r="AD83" i="9" s="1"/>
  <c r="AC813" i="1"/>
  <c r="AC83" i="9" s="1"/>
  <c r="AB813" i="1"/>
  <c r="AB83" i="9" s="1"/>
  <c r="AA813" i="1"/>
  <c r="AA83" i="9" s="1"/>
  <c r="Z813" i="1"/>
  <c r="Z83" i="9" s="1"/>
  <c r="Y813" i="1"/>
  <c r="Y83" i="9" s="1"/>
  <c r="X813" i="1"/>
  <c r="X83" i="9" s="1"/>
  <c r="W813" i="1"/>
  <c r="W83" i="9" s="1"/>
  <c r="V813" i="1"/>
  <c r="V83" i="9" s="1"/>
  <c r="U813" i="1"/>
  <c r="U83" i="9" s="1"/>
  <c r="T813" i="1"/>
  <c r="T83" i="9" s="1"/>
  <c r="S813" i="1"/>
  <c r="S83" i="9" s="1"/>
  <c r="R813" i="1"/>
  <c r="R83" i="9" s="1"/>
  <c r="Q813" i="1"/>
  <c r="Q83" i="9" s="1"/>
  <c r="P813" i="1"/>
  <c r="P83" i="9" s="1"/>
  <c r="O813" i="1"/>
  <c r="O83" i="9" s="1"/>
  <c r="N813" i="1"/>
  <c r="N83" i="9" s="1"/>
  <c r="M813" i="1"/>
  <c r="M83" i="9" s="1"/>
  <c r="L813" i="1"/>
  <c r="L83" i="9" s="1"/>
  <c r="K813" i="1"/>
  <c r="K83" i="9" s="1"/>
  <c r="J813" i="1"/>
  <c r="J83" i="9" s="1"/>
  <c r="I813" i="1"/>
  <c r="I83" i="9" s="1"/>
  <c r="H813" i="1"/>
  <c r="H83" i="9" s="1"/>
  <c r="G813" i="1"/>
  <c r="G83" i="9" s="1"/>
  <c r="F813" i="1"/>
  <c r="F83" i="9" s="1"/>
  <c r="E813" i="1"/>
  <c r="E83" i="9" s="1"/>
  <c r="D813" i="1"/>
  <c r="D83" i="9" s="1"/>
  <c r="C813" i="1"/>
  <c r="C83" i="9" s="1"/>
  <c r="BD812" i="1"/>
  <c r="BD86" i="9" s="1"/>
  <c r="AY812" i="1"/>
  <c r="AY86" i="9" s="1"/>
  <c r="AW812" i="1"/>
  <c r="AW86" i="9" s="1"/>
  <c r="AV812" i="1"/>
  <c r="AV86" i="9" s="1"/>
  <c r="AU812" i="1"/>
  <c r="AU86" i="9" s="1"/>
  <c r="AT812" i="1"/>
  <c r="AT86" i="9" s="1"/>
  <c r="AS812" i="1"/>
  <c r="AS86" i="9" s="1"/>
  <c r="AR812" i="1"/>
  <c r="AR86" i="9" s="1"/>
  <c r="AQ812" i="1"/>
  <c r="AQ86" i="9" s="1"/>
  <c r="AP812" i="1"/>
  <c r="AP86" i="9" s="1"/>
  <c r="AN812" i="1"/>
  <c r="AN86" i="9" s="1"/>
  <c r="AM812" i="1"/>
  <c r="AM86" i="9" s="1"/>
  <c r="AL812" i="1"/>
  <c r="AL86" i="9" s="1"/>
  <c r="AK812" i="1"/>
  <c r="AK86" i="9" s="1"/>
  <c r="AJ812" i="1"/>
  <c r="AJ86" i="9" s="1"/>
  <c r="AH812" i="1"/>
  <c r="AH86" i="9" s="1"/>
  <c r="AG812" i="1"/>
  <c r="AG86" i="9" s="1"/>
  <c r="AF812" i="1"/>
  <c r="AF86" i="9" s="1"/>
  <c r="AE812" i="1"/>
  <c r="AE86" i="9" s="1"/>
  <c r="AC812" i="1"/>
  <c r="AC86" i="9" s="1"/>
  <c r="AB812" i="1"/>
  <c r="AB86" i="9" s="1"/>
  <c r="AA812" i="1"/>
  <c r="AA86" i="9" s="1"/>
  <c r="Z812" i="1"/>
  <c r="Z86" i="9" s="1"/>
  <c r="X812" i="1"/>
  <c r="X86" i="9" s="1"/>
  <c r="W812" i="1"/>
  <c r="W86" i="9" s="1"/>
  <c r="V812" i="1"/>
  <c r="V86" i="9" s="1"/>
  <c r="U812" i="1"/>
  <c r="U86" i="9" s="1"/>
  <c r="S812" i="1"/>
  <c r="S86" i="9" s="1"/>
  <c r="R812" i="1"/>
  <c r="R86" i="9" s="1"/>
  <c r="Q812" i="1"/>
  <c r="Q86" i="9" s="1"/>
  <c r="P812" i="1"/>
  <c r="P86" i="9" s="1"/>
  <c r="O812" i="1"/>
  <c r="O86" i="9" s="1"/>
  <c r="N812" i="1"/>
  <c r="N86" i="9" s="1"/>
  <c r="M812" i="1"/>
  <c r="M86" i="9" s="1"/>
  <c r="L812" i="1"/>
  <c r="L86" i="9" s="1"/>
  <c r="K812" i="1"/>
  <c r="K86" i="9" s="1"/>
  <c r="J812" i="1"/>
  <c r="J86" i="9" s="1"/>
  <c r="I812" i="1"/>
  <c r="I86" i="9" s="1"/>
  <c r="H812" i="1"/>
  <c r="H86" i="9" s="1"/>
  <c r="G812" i="1"/>
  <c r="G86" i="9" s="1"/>
  <c r="F812" i="1"/>
  <c r="F86" i="9" s="1"/>
  <c r="E812" i="1"/>
  <c r="E86" i="9" s="1"/>
  <c r="D812" i="1"/>
  <c r="D86" i="9" s="1"/>
  <c r="C812" i="1"/>
  <c r="C86" i="9" s="1"/>
  <c r="AW811" i="1"/>
  <c r="AV811" i="1"/>
  <c r="AU811" i="1"/>
  <c r="AT811" i="1"/>
  <c r="AS811" i="1"/>
  <c r="AR811" i="1"/>
  <c r="AQ811" i="1"/>
  <c r="AP811" i="1"/>
  <c r="AO811" i="1"/>
  <c r="AN811" i="1"/>
  <c r="AM811" i="1"/>
  <c r="AL811" i="1"/>
  <c r="AK811" i="1"/>
  <c r="AI811" i="1"/>
  <c r="AH811" i="1"/>
  <c r="AG811" i="1"/>
  <c r="AF811" i="1"/>
  <c r="AE811" i="1"/>
  <c r="AD811" i="1"/>
  <c r="AC811" i="1"/>
  <c r="AB811" i="1"/>
  <c r="AA811" i="1"/>
  <c r="Z811" i="1"/>
  <c r="Y811" i="1"/>
  <c r="X811" i="1"/>
  <c r="W811" i="1"/>
  <c r="V811" i="1"/>
  <c r="U811" i="1"/>
  <c r="S811" i="1"/>
  <c r="R811" i="1"/>
  <c r="P811" i="1"/>
  <c r="N811" i="1"/>
  <c r="M811" i="1"/>
  <c r="L811" i="1"/>
  <c r="K811" i="1"/>
  <c r="J811" i="1"/>
  <c r="I811" i="1"/>
  <c r="H811" i="1"/>
  <c r="G811" i="1"/>
  <c r="F811" i="1"/>
  <c r="E811" i="1"/>
  <c r="D811" i="1"/>
  <c r="C811" i="1"/>
  <c r="A810" i="1"/>
  <c r="A1113" i="1" s="1"/>
  <c r="BG809" i="1"/>
  <c r="BF809" i="1"/>
  <c r="BE809" i="1"/>
  <c r="BC809" i="1"/>
  <c r="BB809" i="1"/>
  <c r="BA809" i="1"/>
  <c r="AZ809" i="1"/>
  <c r="AX809" i="1"/>
  <c r="AW809" i="1"/>
  <c r="AV809" i="1"/>
  <c r="AU809" i="1"/>
  <c r="AT809" i="1"/>
  <c r="AR809" i="1"/>
  <c r="AQ809" i="1"/>
  <c r="AP809" i="1"/>
  <c r="AO809" i="1"/>
  <c r="AM809" i="1"/>
  <c r="AL809" i="1"/>
  <c r="AK809" i="1"/>
  <c r="AJ809" i="1"/>
  <c r="AI809" i="1"/>
  <c r="AH809" i="1"/>
  <c r="AG809" i="1"/>
  <c r="AF809" i="1"/>
  <c r="AE809" i="1"/>
  <c r="AD809" i="1"/>
  <c r="AC809" i="1"/>
  <c r="AB809" i="1"/>
  <c r="AA809" i="1"/>
  <c r="Z809" i="1"/>
  <c r="Y809" i="1"/>
  <c r="W809" i="1"/>
  <c r="V809" i="1"/>
  <c r="U809" i="1"/>
  <c r="T809" i="1"/>
  <c r="S809" i="1"/>
  <c r="R809" i="1"/>
  <c r="Q809" i="1"/>
  <c r="P809" i="1"/>
  <c r="N809" i="1"/>
  <c r="M809" i="1"/>
  <c r="L809" i="1"/>
  <c r="K809" i="1"/>
  <c r="J809" i="1"/>
  <c r="I809" i="1"/>
  <c r="H809" i="1"/>
  <c r="G809" i="1"/>
  <c r="D809" i="1"/>
  <c r="C809" i="1"/>
  <c r="A808" i="1"/>
  <c r="A1112" i="1" s="1"/>
  <c r="X806" i="1"/>
  <c r="AW803" i="1"/>
  <c r="AW5" i="9" s="1"/>
  <c r="AV803" i="1"/>
  <c r="AV5" i="9" s="1"/>
  <c r="AT803" i="1"/>
  <c r="AT5" i="9" s="1"/>
  <c r="AS803" i="1"/>
  <c r="AS5" i="9" s="1"/>
  <c r="AR803" i="1"/>
  <c r="AR5" i="9" s="1"/>
  <c r="AQ803" i="1"/>
  <c r="AQ5" i="9" s="1"/>
  <c r="AO803" i="1"/>
  <c r="AO5" i="9" s="1"/>
  <c r="AN803" i="1"/>
  <c r="AN5" i="9" s="1"/>
  <c r="AM803" i="1"/>
  <c r="AM5" i="9" s="1"/>
  <c r="AL803" i="1"/>
  <c r="AL5" i="9" s="1"/>
  <c r="AK803" i="1"/>
  <c r="AK5" i="9" s="1"/>
  <c r="AJ803" i="1"/>
  <c r="AJ5" i="9" s="1"/>
  <c r="AI803" i="1"/>
  <c r="AI5" i="9" s="1"/>
  <c r="AH803" i="1"/>
  <c r="AH5" i="9" s="1"/>
  <c r="AG803" i="1"/>
  <c r="AG5" i="9" s="1"/>
  <c r="AF803" i="1"/>
  <c r="AF5" i="9" s="1"/>
  <c r="AE803" i="1"/>
  <c r="AE5" i="9" s="1"/>
  <c r="AD803" i="1"/>
  <c r="AD5" i="9" s="1"/>
  <c r="AC803" i="1"/>
  <c r="AC5" i="9" s="1"/>
  <c r="AB803" i="1"/>
  <c r="AB5" i="9" s="1"/>
  <c r="AA803" i="1"/>
  <c r="AA5" i="9" s="1"/>
  <c r="Z803" i="1"/>
  <c r="Z5" i="9" s="1"/>
  <c r="Y803" i="1"/>
  <c r="Y5" i="9" s="1"/>
  <c r="X803" i="1"/>
  <c r="X5" i="9" s="1"/>
  <c r="W803" i="1"/>
  <c r="W5" i="9" s="1"/>
  <c r="V803" i="1"/>
  <c r="V5" i="9" s="1"/>
  <c r="U803" i="1"/>
  <c r="U5" i="9" s="1"/>
  <c r="T803" i="1"/>
  <c r="T5" i="9" s="1"/>
  <c r="S803" i="1"/>
  <c r="S5" i="9" s="1"/>
  <c r="R803" i="1"/>
  <c r="R5" i="9" s="1"/>
  <c r="Q803" i="1"/>
  <c r="Q5" i="9" s="1"/>
  <c r="P803" i="1"/>
  <c r="P5" i="9" s="1"/>
  <c r="O803" i="1"/>
  <c r="O5" i="9" s="1"/>
  <c r="N803" i="1"/>
  <c r="N5" i="9" s="1"/>
  <c r="M803" i="1"/>
  <c r="M5" i="9" s="1"/>
  <c r="L803" i="1"/>
  <c r="L5" i="9" s="1"/>
  <c r="K803" i="1"/>
  <c r="K5" i="9" s="1"/>
  <c r="J803" i="1"/>
  <c r="J5" i="9" s="1"/>
  <c r="I803" i="1"/>
  <c r="I5" i="9" s="1"/>
  <c r="H803" i="1"/>
  <c r="H5" i="9" s="1"/>
  <c r="G803" i="1"/>
  <c r="G5" i="9" s="1"/>
  <c r="F803" i="1"/>
  <c r="F5" i="9" s="1"/>
  <c r="E803" i="1"/>
  <c r="E5" i="9" s="1"/>
  <c r="D803" i="1"/>
  <c r="D5" i="9" s="1"/>
  <c r="C803" i="1"/>
  <c r="C5" i="9" s="1"/>
  <c r="A799" i="1"/>
  <c r="A1111" i="1" s="1"/>
  <c r="BD789" i="1"/>
  <c r="AW789" i="1"/>
  <c r="AY789" i="1" s="1"/>
  <c r="AV789" i="1"/>
  <c r="AU789" i="1"/>
  <c r="AT789" i="1"/>
  <c r="AR789" i="1"/>
  <c r="AQ789" i="1"/>
  <c r="AP789" i="1"/>
  <c r="AO789" i="1"/>
  <c r="AM789" i="1"/>
  <c r="AL789" i="1"/>
  <c r="AK789" i="1"/>
  <c r="AJ789" i="1"/>
  <c r="AI789" i="1"/>
  <c r="AH789" i="1"/>
  <c r="AG789" i="1"/>
  <c r="AE789" i="1"/>
  <c r="AD789" i="1"/>
  <c r="AC789" i="1"/>
  <c r="AB789" i="1"/>
  <c r="Z789" i="1"/>
  <c r="Y789" i="1"/>
  <c r="W789" i="1"/>
  <c r="V789" i="1"/>
  <c r="U789" i="1"/>
  <c r="T789" i="1"/>
  <c r="S789" i="1"/>
  <c r="R789" i="1"/>
  <c r="Q789" i="1"/>
  <c r="O789" i="1"/>
  <c r="N789" i="1"/>
  <c r="M789" i="1"/>
  <c r="L789" i="1"/>
  <c r="J789" i="1"/>
  <c r="I789" i="1"/>
  <c r="G789" i="1"/>
  <c r="E789" i="1"/>
  <c r="D789" i="1"/>
  <c r="C789" i="1"/>
  <c r="BD787" i="1"/>
  <c r="AY787" i="1"/>
  <c r="BD785" i="1"/>
  <c r="BD64" i="9" s="1"/>
  <c r="AY785" i="1"/>
  <c r="AY64" i="9" s="1"/>
  <c r="BD784" i="1"/>
  <c r="BD63" i="9" s="1"/>
  <c r="AW784" i="1"/>
  <c r="AW63" i="9" s="1"/>
  <c r="AV784" i="1"/>
  <c r="AV63" i="9" s="1"/>
  <c r="AU784" i="1"/>
  <c r="AU63" i="9" s="1"/>
  <c r="AT784" i="1"/>
  <c r="AT63" i="9" s="1"/>
  <c r="AR784" i="1"/>
  <c r="AR63" i="9" s="1"/>
  <c r="AQ784" i="1"/>
  <c r="AQ63" i="9" s="1"/>
  <c r="AP784" i="1"/>
  <c r="AP63" i="9" s="1"/>
  <c r="AO784" i="1"/>
  <c r="AO63" i="9" s="1"/>
  <c r="AM784" i="1"/>
  <c r="AM63" i="9" s="1"/>
  <c r="AL784" i="1"/>
  <c r="AL63" i="9" s="1"/>
  <c r="AK784" i="1"/>
  <c r="AK63" i="9" s="1"/>
  <c r="AJ784" i="1"/>
  <c r="AJ63" i="9" s="1"/>
  <c r="AH784" i="1"/>
  <c r="AH63" i="9" s="1"/>
  <c r="AG784" i="1"/>
  <c r="AG63" i="9" s="1"/>
  <c r="AF784" i="1"/>
  <c r="AF63" i="9" s="1"/>
  <c r="AE784" i="1"/>
  <c r="AE63" i="9" s="1"/>
  <c r="AC784" i="1"/>
  <c r="AC63" i="9" s="1"/>
  <c r="AB784" i="1"/>
  <c r="AB63" i="9" s="1"/>
  <c r="AA784" i="1"/>
  <c r="AA63" i="9" s="1"/>
  <c r="Z784" i="1"/>
  <c r="Z63" i="9" s="1"/>
  <c r="X784" i="1"/>
  <c r="X63" i="9" s="1"/>
  <c r="W784" i="1"/>
  <c r="W63" i="9" s="1"/>
  <c r="V784" i="1"/>
  <c r="V63" i="9" s="1"/>
  <c r="U784" i="1"/>
  <c r="U63" i="9" s="1"/>
  <c r="S784" i="1"/>
  <c r="S63" i="9" s="1"/>
  <c r="R784" i="1"/>
  <c r="R63" i="9" s="1"/>
  <c r="Q784" i="1"/>
  <c r="Q63" i="9" s="1"/>
  <c r="P784" i="1"/>
  <c r="P63" i="9" s="1"/>
  <c r="N784" i="1"/>
  <c r="N63" i="9" s="1"/>
  <c r="M784" i="1"/>
  <c r="M63" i="9" s="1"/>
  <c r="L784" i="1"/>
  <c r="L63" i="9" s="1"/>
  <c r="K784" i="1"/>
  <c r="K63" i="9" s="1"/>
  <c r="J784" i="1"/>
  <c r="J63" i="9" s="1"/>
  <c r="I784" i="1"/>
  <c r="I63" i="9" s="1"/>
  <c r="H784" i="1"/>
  <c r="H63" i="9" s="1"/>
  <c r="G784" i="1"/>
  <c r="G63" i="9" s="1"/>
  <c r="F784" i="1"/>
  <c r="F63" i="9" s="1"/>
  <c r="E784" i="1"/>
  <c r="E63" i="9" s="1"/>
  <c r="D784" i="1"/>
  <c r="D63" i="9" s="1"/>
  <c r="C784" i="1"/>
  <c r="C63" i="9" s="1"/>
  <c r="BD783" i="1"/>
  <c r="BD62" i="9" s="1"/>
  <c r="AY783" i="1"/>
  <c r="AY62" i="9" s="1"/>
  <c r="AW783" i="1"/>
  <c r="AW62" i="9" s="1"/>
  <c r="AV783" i="1"/>
  <c r="AV62" i="9" s="1"/>
  <c r="AU783" i="1"/>
  <c r="AU62" i="9" s="1"/>
  <c r="AT783" i="1"/>
  <c r="AT62" i="9" s="1"/>
  <c r="AR783" i="1"/>
  <c r="AR62" i="9" s="1"/>
  <c r="AQ783" i="1"/>
  <c r="AQ62" i="9" s="1"/>
  <c r="AP783" i="1"/>
  <c r="AP62" i="9" s="1"/>
  <c r="AO783" i="1"/>
  <c r="AO62" i="9" s="1"/>
  <c r="AM783" i="1"/>
  <c r="AM62" i="9" s="1"/>
  <c r="AL783" i="1"/>
  <c r="AL62" i="9" s="1"/>
  <c r="AK783" i="1"/>
  <c r="AK62" i="9" s="1"/>
  <c r="AJ783" i="1"/>
  <c r="AJ62" i="9" s="1"/>
  <c r="AI783" i="1"/>
  <c r="AI62" i="9" s="1"/>
  <c r="AH783" i="1"/>
  <c r="AH62" i="9" s="1"/>
  <c r="AG783" i="1"/>
  <c r="AG62" i="9" s="1"/>
  <c r="AF783" i="1"/>
  <c r="AF62" i="9" s="1"/>
  <c r="AE783" i="1"/>
  <c r="AE62" i="9" s="1"/>
  <c r="AD783" i="1"/>
  <c r="AD62" i="9" s="1"/>
  <c r="AC783" i="1"/>
  <c r="AC62" i="9" s="1"/>
  <c r="AB783" i="1"/>
  <c r="AB62" i="9" s="1"/>
  <c r="AA783" i="1"/>
  <c r="AA62" i="9" s="1"/>
  <c r="Z783" i="1"/>
  <c r="Z62" i="9" s="1"/>
  <c r="Y783" i="1"/>
  <c r="Y62" i="9" s="1"/>
  <c r="X783" i="1"/>
  <c r="X62" i="9" s="1"/>
  <c r="W783" i="1"/>
  <c r="W62" i="9" s="1"/>
  <c r="V783" i="1"/>
  <c r="V62" i="9" s="1"/>
  <c r="U783" i="1"/>
  <c r="U62" i="9" s="1"/>
  <c r="T783" i="1"/>
  <c r="T62" i="9" s="1"/>
  <c r="S783" i="1"/>
  <c r="S62" i="9" s="1"/>
  <c r="R783" i="1"/>
  <c r="R62" i="9" s="1"/>
  <c r="Q783" i="1"/>
  <c r="Q62" i="9" s="1"/>
  <c r="P783" i="1"/>
  <c r="P62" i="9" s="1"/>
  <c r="O783" i="1"/>
  <c r="O62" i="9" s="1"/>
  <c r="N783" i="1"/>
  <c r="N62" i="9" s="1"/>
  <c r="M783" i="1"/>
  <c r="M62" i="9" s="1"/>
  <c r="L783" i="1"/>
  <c r="L62" i="9" s="1"/>
  <c r="K783" i="1"/>
  <c r="K62" i="9" s="1"/>
  <c r="J783" i="1"/>
  <c r="J62" i="9" s="1"/>
  <c r="I783" i="1"/>
  <c r="I62" i="9" s="1"/>
  <c r="H783" i="1"/>
  <c r="H62" i="9" s="1"/>
  <c r="G783" i="1"/>
  <c r="G62" i="9" s="1"/>
  <c r="F783" i="1"/>
  <c r="F62" i="9" s="1"/>
  <c r="E783" i="1"/>
  <c r="E62" i="9" s="1"/>
  <c r="D783" i="1"/>
  <c r="D62" i="9" s="1"/>
  <c r="C783" i="1"/>
  <c r="C62" i="9" s="1"/>
  <c r="AW781" i="1"/>
  <c r="AW780" i="1" s="1"/>
  <c r="AW61" i="9" s="1"/>
  <c r="AV781" i="1"/>
  <c r="AU781" i="1"/>
  <c r="AT781" i="1"/>
  <c r="AS781" i="1"/>
  <c r="AR781" i="1"/>
  <c r="AQ781" i="1"/>
  <c r="AQ780" i="1" s="1"/>
  <c r="AP781" i="1"/>
  <c r="AO781" i="1"/>
  <c r="AN781" i="1"/>
  <c r="AM781" i="1"/>
  <c r="AL781" i="1"/>
  <c r="AK781" i="1"/>
  <c r="AJ781" i="1"/>
  <c r="AI781" i="1"/>
  <c r="AH781" i="1"/>
  <c r="AG781" i="1"/>
  <c r="AF781" i="1"/>
  <c r="AE781" i="1"/>
  <c r="AD781" i="1"/>
  <c r="AC781" i="1"/>
  <c r="AB781" i="1"/>
  <c r="AA781" i="1"/>
  <c r="Z781" i="1"/>
  <c r="X781" i="1"/>
  <c r="W781" i="1"/>
  <c r="V781" i="1"/>
  <c r="V780" i="1" s="1"/>
  <c r="U781" i="1"/>
  <c r="T781" i="1"/>
  <c r="S781" i="1"/>
  <c r="R781" i="1"/>
  <c r="Q781" i="1"/>
  <c r="Q780" i="1" s="1"/>
  <c r="Q61" i="9" s="1"/>
  <c r="P781" i="1"/>
  <c r="O781" i="1"/>
  <c r="N781" i="1"/>
  <c r="M781" i="1"/>
  <c r="L781" i="1"/>
  <c r="K781" i="1"/>
  <c r="J781" i="1"/>
  <c r="I781" i="1"/>
  <c r="H781" i="1"/>
  <c r="G781" i="1"/>
  <c r="F781" i="1"/>
  <c r="E781" i="1"/>
  <c r="D781" i="1"/>
  <c r="C781" i="1"/>
  <c r="AV780" i="1"/>
  <c r="AV61" i="9" s="1"/>
  <c r="AU780" i="1"/>
  <c r="AP780" i="1"/>
  <c r="AP61" i="9" s="1"/>
  <c r="AO780" i="1"/>
  <c r="AM780" i="1"/>
  <c r="AK780" i="1"/>
  <c r="AJ780" i="1"/>
  <c r="AH780" i="1"/>
  <c r="AH61" i="9" s="1"/>
  <c r="AF780" i="1"/>
  <c r="AF61" i="9" s="1"/>
  <c r="AE780" i="1"/>
  <c r="AB780" i="1"/>
  <c r="Z780" i="1"/>
  <c r="Z61" i="9" s="1"/>
  <c r="W780" i="1"/>
  <c r="U780" i="1"/>
  <c r="R780" i="1"/>
  <c r="R61" i="9" s="1"/>
  <c r="P780" i="1"/>
  <c r="P61" i="9" s="1"/>
  <c r="N780" i="1"/>
  <c r="M780" i="1"/>
  <c r="L780" i="1"/>
  <c r="I780" i="1"/>
  <c r="G780" i="1"/>
  <c r="E780" i="1"/>
  <c r="D780" i="1"/>
  <c r="AX777" i="1"/>
  <c r="AW777" i="1"/>
  <c r="AV777" i="1"/>
  <c r="AU777" i="1"/>
  <c r="AY777" i="1" s="1"/>
  <c r="AT777" i="1"/>
  <c r="AR777" i="1"/>
  <c r="AQ777" i="1"/>
  <c r="AP777" i="1"/>
  <c r="AO777" i="1"/>
  <c r="AM777" i="1"/>
  <c r="AL777" i="1"/>
  <c r="AK777" i="1"/>
  <c r="AJ777" i="1"/>
  <c r="AI777" i="1"/>
  <c r="AH777" i="1"/>
  <c r="AG777" i="1"/>
  <c r="AF777" i="1"/>
  <c r="AE777" i="1"/>
  <c r="AC777" i="1"/>
  <c r="AB777" i="1"/>
  <c r="AA777" i="1"/>
  <c r="Z777" i="1"/>
  <c r="X777" i="1"/>
  <c r="W777" i="1"/>
  <c r="V777" i="1"/>
  <c r="U777" i="1"/>
  <c r="S777" i="1"/>
  <c r="R777" i="1"/>
  <c r="Q777" i="1"/>
  <c r="P777" i="1"/>
  <c r="N777" i="1"/>
  <c r="M777" i="1"/>
  <c r="L777" i="1"/>
  <c r="K777" i="1"/>
  <c r="I777" i="1"/>
  <c r="H777" i="1"/>
  <c r="G777" i="1"/>
  <c r="F777" i="1"/>
  <c r="E777" i="1"/>
  <c r="D777" i="1"/>
  <c r="C777" i="1"/>
  <c r="BG776" i="1"/>
  <c r="BF776" i="1"/>
  <c r="BE776" i="1"/>
  <c r="BD776" i="1"/>
  <c r="BC776" i="1"/>
  <c r="BB776" i="1"/>
  <c r="BA776" i="1"/>
  <c r="AZ776" i="1"/>
  <c r="AX776" i="1"/>
  <c r="AX59" i="9" s="1"/>
  <c r="AW776" i="1"/>
  <c r="AW59" i="9" s="1"/>
  <c r="AV776" i="1"/>
  <c r="AV59" i="9" s="1"/>
  <c r="AU776" i="1"/>
  <c r="AT776" i="1"/>
  <c r="AR776" i="1"/>
  <c r="AR59" i="9" s="1"/>
  <c r="AQ776" i="1"/>
  <c r="AQ59" i="9" s="1"/>
  <c r="AP776" i="1"/>
  <c r="AP59" i="9" s="1"/>
  <c r="AO776" i="1"/>
  <c r="AN776" i="1"/>
  <c r="AM776" i="1"/>
  <c r="AM59" i="9" s="1"/>
  <c r="AL776" i="1"/>
  <c r="AK776" i="1"/>
  <c r="AK59" i="9" s="1"/>
  <c r="AJ776" i="1"/>
  <c r="AH776" i="1"/>
  <c r="AH59" i="9" s="1"/>
  <c r="AG776" i="1"/>
  <c r="AG59" i="9" s="1"/>
  <c r="AF776" i="1"/>
  <c r="AF59" i="9" s="1"/>
  <c r="AE776" i="1"/>
  <c r="AE59" i="9" s="1"/>
  <c r="AC776" i="1"/>
  <c r="AC59" i="9" s="1"/>
  <c r="AB776" i="1"/>
  <c r="AB59" i="9" s="1"/>
  <c r="AA776" i="1"/>
  <c r="AA59" i="9" s="1"/>
  <c r="Z776" i="1"/>
  <c r="Z59" i="9" s="1"/>
  <c r="X776" i="1"/>
  <c r="W776" i="1"/>
  <c r="W59" i="9" s="1"/>
  <c r="V776" i="1"/>
  <c r="U776" i="1"/>
  <c r="U59" i="9" s="1"/>
  <c r="S776" i="1"/>
  <c r="R776" i="1"/>
  <c r="R59" i="9" s="1"/>
  <c r="Q776" i="1"/>
  <c r="P776" i="1"/>
  <c r="P59" i="9" s="1"/>
  <c r="O776" i="1"/>
  <c r="N776" i="1"/>
  <c r="M776" i="1"/>
  <c r="M59" i="9" s="1"/>
  <c r="L776" i="1"/>
  <c r="L59" i="9" s="1"/>
  <c r="K776" i="1"/>
  <c r="K59" i="9" s="1"/>
  <c r="I776" i="1"/>
  <c r="H776" i="1"/>
  <c r="G776" i="1"/>
  <c r="G59" i="9" s="1"/>
  <c r="F776" i="1"/>
  <c r="E776" i="1"/>
  <c r="E59" i="9" s="1"/>
  <c r="D776" i="1"/>
  <c r="D59" i="9" s="1"/>
  <c r="C776" i="1"/>
  <c r="AW775" i="1"/>
  <c r="AV775" i="1"/>
  <c r="AU775" i="1"/>
  <c r="AT775" i="1"/>
  <c r="AR775" i="1"/>
  <c r="AQ775" i="1"/>
  <c r="AP775" i="1"/>
  <c r="AO775" i="1"/>
  <c r="AM775" i="1"/>
  <c r="AL775" i="1"/>
  <c r="AK775" i="1"/>
  <c r="AJ775" i="1"/>
  <c r="AH775" i="1"/>
  <c r="AG775" i="1"/>
  <c r="AF775" i="1"/>
  <c r="AE775" i="1"/>
  <c r="AC775" i="1"/>
  <c r="AB775" i="1"/>
  <c r="AA775" i="1"/>
  <c r="Z775" i="1"/>
  <c r="Y775" i="1"/>
  <c r="X775" i="1"/>
  <c r="W775" i="1"/>
  <c r="V775" i="1"/>
  <c r="U775" i="1"/>
  <c r="S775" i="1"/>
  <c r="R775" i="1"/>
  <c r="Q775" i="1"/>
  <c r="P775" i="1"/>
  <c r="N775" i="1"/>
  <c r="M775" i="1"/>
  <c r="L775" i="1"/>
  <c r="K775" i="1"/>
  <c r="I775" i="1"/>
  <c r="H775" i="1"/>
  <c r="G775" i="1"/>
  <c r="F775" i="1"/>
  <c r="E775" i="1"/>
  <c r="D775" i="1"/>
  <c r="C775" i="1"/>
  <c r="AW774" i="1"/>
  <c r="AW58" i="9" s="1"/>
  <c r="AV774" i="1"/>
  <c r="AV58" i="9" s="1"/>
  <c r="AU774" i="1"/>
  <c r="AT774" i="1"/>
  <c r="AT58" i="9" s="1"/>
  <c r="AR774" i="1"/>
  <c r="AR58" i="9" s="1"/>
  <c r="AQ774" i="1"/>
  <c r="AQ58" i="9" s="1"/>
  <c r="AP774" i="1"/>
  <c r="AP58" i="9" s="1"/>
  <c r="AO774" i="1"/>
  <c r="AO58" i="9" s="1"/>
  <c r="AM774" i="1"/>
  <c r="AM58" i="9" s="1"/>
  <c r="AL774" i="1"/>
  <c r="AL58" i="9" s="1"/>
  <c r="AK774" i="1"/>
  <c r="AK58" i="9" s="1"/>
  <c r="AJ774" i="1"/>
  <c r="AJ58" i="9" s="1"/>
  <c r="AH774" i="1"/>
  <c r="AH58" i="9" s="1"/>
  <c r="AG774" i="1"/>
  <c r="AG58" i="9" s="1"/>
  <c r="AF774" i="1"/>
  <c r="AF58" i="9" s="1"/>
  <c r="AE774" i="1"/>
  <c r="AE58" i="9" s="1"/>
  <c r="AC774" i="1"/>
  <c r="AC58" i="9" s="1"/>
  <c r="AB774" i="1"/>
  <c r="AB58" i="9" s="1"/>
  <c r="AA774" i="1"/>
  <c r="AA58" i="9" s="1"/>
  <c r="Z774" i="1"/>
  <c r="Z58" i="9" s="1"/>
  <c r="X774" i="1"/>
  <c r="X58" i="9" s="1"/>
  <c r="W774" i="1"/>
  <c r="W58" i="9" s="1"/>
  <c r="V774" i="1"/>
  <c r="V58" i="9" s="1"/>
  <c r="U774" i="1"/>
  <c r="U58" i="9" s="1"/>
  <c r="S774" i="1"/>
  <c r="S58" i="9" s="1"/>
  <c r="R774" i="1"/>
  <c r="R58" i="9" s="1"/>
  <c r="Q774" i="1"/>
  <c r="Q58" i="9" s="1"/>
  <c r="P774" i="1"/>
  <c r="P58" i="9" s="1"/>
  <c r="N774" i="1"/>
  <c r="N58" i="9" s="1"/>
  <c r="M774" i="1"/>
  <c r="M58" i="9" s="1"/>
  <c r="L774" i="1"/>
  <c r="L58" i="9" s="1"/>
  <c r="K774" i="1"/>
  <c r="K58" i="9" s="1"/>
  <c r="I774" i="1"/>
  <c r="I58" i="9" s="1"/>
  <c r="H774" i="1"/>
  <c r="H58" i="9" s="1"/>
  <c r="G774" i="1"/>
  <c r="G58" i="9" s="1"/>
  <c r="F774" i="1"/>
  <c r="F58" i="9" s="1"/>
  <c r="E774" i="1"/>
  <c r="E58" i="9" s="1"/>
  <c r="D774" i="1"/>
  <c r="D58" i="9" s="1"/>
  <c r="C774" i="1"/>
  <c r="C58" i="9" s="1"/>
  <c r="BD771" i="1"/>
  <c r="BD55" i="9" s="1"/>
  <c r="AW771" i="1"/>
  <c r="AW55" i="9" s="1"/>
  <c r="AV771" i="1"/>
  <c r="AT771" i="1"/>
  <c r="AS771" i="1"/>
  <c r="AS55" i="9" s="1"/>
  <c r="AR771" i="1"/>
  <c r="AR55" i="9" s="1"/>
  <c r="AQ771" i="1"/>
  <c r="AP771" i="1"/>
  <c r="AP55" i="9" s="1"/>
  <c r="AO771" i="1"/>
  <c r="AN771" i="1"/>
  <c r="AN55" i="9" s="1"/>
  <c r="AM771" i="1"/>
  <c r="AM55" i="9" s="1"/>
  <c r="AL771" i="1"/>
  <c r="AL55" i="9" s="1"/>
  <c r="AK771" i="1"/>
  <c r="AK55" i="9" s="1"/>
  <c r="AJ771" i="1"/>
  <c r="AJ55" i="9" s="1"/>
  <c r="AI771" i="1"/>
  <c r="AI55" i="9" s="1"/>
  <c r="AH771" i="1"/>
  <c r="AH55" i="9" s="1"/>
  <c r="AG771" i="1"/>
  <c r="AG55" i="9" s="1"/>
  <c r="AF771" i="1"/>
  <c r="AE771" i="1"/>
  <c r="AE55" i="9" s="1"/>
  <c r="AD771" i="1"/>
  <c r="AD55" i="9" s="1"/>
  <c r="AC771" i="1"/>
  <c r="AC55" i="9" s="1"/>
  <c r="AB771" i="1"/>
  <c r="AB55" i="9" s="1"/>
  <c r="AA771" i="1"/>
  <c r="Z771" i="1"/>
  <c r="Z55" i="9" s="1"/>
  <c r="Y771" i="1"/>
  <c r="Y55" i="9" s="1"/>
  <c r="X771" i="1"/>
  <c r="X55" i="9" s="1"/>
  <c r="W771" i="1"/>
  <c r="W55" i="9" s="1"/>
  <c r="V771" i="1"/>
  <c r="V55" i="9" s="1"/>
  <c r="U771" i="1"/>
  <c r="U55" i="9" s="1"/>
  <c r="T771" i="1"/>
  <c r="T55" i="9" s="1"/>
  <c r="S771" i="1"/>
  <c r="R771" i="1"/>
  <c r="R55" i="9" s="1"/>
  <c r="Q771" i="1"/>
  <c r="Q55" i="9" s="1"/>
  <c r="P771" i="1"/>
  <c r="O771" i="1"/>
  <c r="O55" i="9" s="1"/>
  <c r="N771" i="1"/>
  <c r="M771" i="1"/>
  <c r="M55" i="9" s="1"/>
  <c r="L771" i="1"/>
  <c r="L55" i="9" s="1"/>
  <c r="K771" i="1"/>
  <c r="J771" i="1"/>
  <c r="J55" i="9" s="1"/>
  <c r="I771" i="1"/>
  <c r="I55" i="9" s="1"/>
  <c r="H771" i="1"/>
  <c r="H55" i="9" s="1"/>
  <c r="G771" i="1"/>
  <c r="G55" i="9" s="1"/>
  <c r="F771" i="1"/>
  <c r="F55" i="9" s="1"/>
  <c r="E771" i="1"/>
  <c r="E55" i="9" s="1"/>
  <c r="D771" i="1"/>
  <c r="D55" i="9" s="1"/>
  <c r="C771" i="1"/>
  <c r="C55" i="9" s="1"/>
  <c r="BG770" i="1"/>
  <c r="BG987" i="1" s="1"/>
  <c r="BF770" i="1"/>
  <c r="BF987" i="1" s="1"/>
  <c r="BE770" i="1"/>
  <c r="BE987" i="1" s="1"/>
  <c r="BC770" i="1"/>
  <c r="BC987" i="1" s="1"/>
  <c r="BB770" i="1"/>
  <c r="BB987" i="1" s="1"/>
  <c r="BA770" i="1"/>
  <c r="BA987" i="1" s="1"/>
  <c r="AZ770" i="1"/>
  <c r="AZ987" i="1" s="1"/>
  <c r="AX770" i="1"/>
  <c r="AX987" i="1" s="1"/>
  <c r="AW770" i="1"/>
  <c r="AW987" i="1" s="1"/>
  <c r="AO770" i="1"/>
  <c r="AO987" i="1" s="1"/>
  <c r="AM770" i="1"/>
  <c r="AM987" i="1" s="1"/>
  <c r="AL770" i="1"/>
  <c r="AL987" i="1" s="1"/>
  <c r="AK770" i="1"/>
  <c r="AJ770" i="1"/>
  <c r="AJ987" i="1" s="1"/>
  <c r="AJ993" i="1" s="1"/>
  <c r="AH770" i="1"/>
  <c r="AH987" i="1" s="1"/>
  <c r="AG770" i="1"/>
  <c r="AG987" i="1" s="1"/>
  <c r="AM769" i="1"/>
  <c r="AJ769" i="1"/>
  <c r="AH769" i="1"/>
  <c r="AF769" i="1"/>
  <c r="AE769" i="1"/>
  <c r="AC769" i="1"/>
  <c r="AB769" i="1"/>
  <c r="AA769" i="1"/>
  <c r="Z769" i="1"/>
  <c r="Y769" i="1"/>
  <c r="X769" i="1"/>
  <c r="W769" i="1"/>
  <c r="W690" i="1" s="1"/>
  <c r="V769" i="1"/>
  <c r="U769" i="1"/>
  <c r="S769" i="1"/>
  <c r="R769" i="1"/>
  <c r="Q769" i="1"/>
  <c r="P769" i="1"/>
  <c r="N769" i="1"/>
  <c r="M769" i="1"/>
  <c r="L769" i="1"/>
  <c r="K769" i="1"/>
  <c r="J769" i="1"/>
  <c r="I769" i="1"/>
  <c r="H769" i="1"/>
  <c r="G769" i="1"/>
  <c r="F769" i="1"/>
  <c r="E769" i="1"/>
  <c r="D769" i="1"/>
  <c r="C769" i="1"/>
  <c r="AW764" i="1"/>
  <c r="AR764" i="1"/>
  <c r="AR53" i="9" s="1"/>
  <c r="AP764" i="1"/>
  <c r="AP53" i="9" s="1"/>
  <c r="AM764" i="1"/>
  <c r="AM53" i="9" s="1"/>
  <c r="AL764" i="1"/>
  <c r="AL53" i="9" s="1"/>
  <c r="AJ764" i="1"/>
  <c r="AH764" i="1"/>
  <c r="AH53" i="9" s="1"/>
  <c r="AG764" i="1"/>
  <c r="AG53" i="9" s="1"/>
  <c r="AE764" i="1"/>
  <c r="AE53" i="9" s="1"/>
  <c r="AC764" i="1"/>
  <c r="AC53" i="9" s="1"/>
  <c r="Z764" i="1"/>
  <c r="Z53" i="9" s="1"/>
  <c r="X764" i="1"/>
  <c r="X53" i="9" s="1"/>
  <c r="W764" i="1"/>
  <c r="W53" i="9" s="1"/>
  <c r="U764" i="1"/>
  <c r="U53" i="9" s="1"/>
  <c r="R764" i="1"/>
  <c r="R53" i="9" s="1"/>
  <c r="Q764" i="1"/>
  <c r="Q53" i="9" s="1"/>
  <c r="M764" i="1"/>
  <c r="M53" i="9" s="1"/>
  <c r="L764" i="1"/>
  <c r="L53" i="9" s="1"/>
  <c r="AV762" i="1"/>
  <c r="AQ762" i="1"/>
  <c r="AP762" i="1"/>
  <c r="AF762" i="1"/>
  <c r="P762" i="1"/>
  <c r="H762" i="1"/>
  <c r="E762" i="1"/>
  <c r="AW761" i="1"/>
  <c r="AW52" i="9" s="1"/>
  <c r="AV761" i="1"/>
  <c r="AV52" i="9" s="1"/>
  <c r="AU761" i="1"/>
  <c r="AU52" i="9" s="1"/>
  <c r="AT761" i="1"/>
  <c r="AT52" i="9" s="1"/>
  <c r="AR761" i="1"/>
  <c r="AR52" i="9" s="1"/>
  <c r="AQ761" i="1"/>
  <c r="AQ52" i="9" s="1"/>
  <c r="AP761" i="1"/>
  <c r="AP52" i="9" s="1"/>
  <c r="AO761" i="1"/>
  <c r="AO52" i="9" s="1"/>
  <c r="AM761" i="1"/>
  <c r="AM52" i="9" s="1"/>
  <c r="AL761" i="1"/>
  <c r="AL52" i="9" s="1"/>
  <c r="AK761" i="1"/>
  <c r="AK52" i="9" s="1"/>
  <c r="AJ761" i="1"/>
  <c r="AJ52" i="9" s="1"/>
  <c r="AH761" i="1"/>
  <c r="AH52" i="9" s="1"/>
  <c r="AG761" i="1"/>
  <c r="AG52" i="9" s="1"/>
  <c r="AF761" i="1"/>
  <c r="AF52" i="9" s="1"/>
  <c r="AE761" i="1"/>
  <c r="AC761" i="1"/>
  <c r="AC52" i="9" s="1"/>
  <c r="AB761" i="1"/>
  <c r="AB52" i="9" s="1"/>
  <c r="AA761" i="1"/>
  <c r="AA52" i="9" s="1"/>
  <c r="Z761" i="1"/>
  <c r="Z52" i="9" s="1"/>
  <c r="X761" i="1"/>
  <c r="X52" i="9" s="1"/>
  <c r="W761" i="1"/>
  <c r="W52" i="9" s="1"/>
  <c r="V761" i="1"/>
  <c r="V52" i="9" s="1"/>
  <c r="U761" i="1"/>
  <c r="U52" i="9" s="1"/>
  <c r="T761" i="1"/>
  <c r="T52" i="9" s="1"/>
  <c r="S761" i="1"/>
  <c r="S52" i="9" s="1"/>
  <c r="R761" i="1"/>
  <c r="R52" i="9" s="1"/>
  <c r="Q761" i="1"/>
  <c r="Q52" i="9" s="1"/>
  <c r="P761" i="1"/>
  <c r="P52" i="9" s="1"/>
  <c r="N761" i="1"/>
  <c r="N52" i="9" s="1"/>
  <c r="M761" i="1"/>
  <c r="M52" i="9" s="1"/>
  <c r="L761" i="1"/>
  <c r="L52" i="9" s="1"/>
  <c r="K761" i="1"/>
  <c r="K52" i="9" s="1"/>
  <c r="A759" i="1"/>
  <c r="A1109" i="1" s="1"/>
  <c r="AW758" i="1"/>
  <c r="AV758" i="1"/>
  <c r="AU758" i="1"/>
  <c r="AT758" i="1"/>
  <c r="AT705" i="1" s="1"/>
  <c r="AS758" i="1"/>
  <c r="AQ758" i="1"/>
  <c r="AP758" i="1"/>
  <c r="AF758" i="1"/>
  <c r="AB758" i="1"/>
  <c r="X758" i="1"/>
  <c r="P758" i="1"/>
  <c r="N758" i="1"/>
  <c r="L758" i="1"/>
  <c r="I758" i="1"/>
  <c r="H758" i="1"/>
  <c r="H51" i="9" s="1"/>
  <c r="G758" i="1"/>
  <c r="G51" i="9" s="1"/>
  <c r="F758" i="1"/>
  <c r="E758" i="1"/>
  <c r="D758" i="1"/>
  <c r="C758" i="1"/>
  <c r="AW755" i="1"/>
  <c r="AV755" i="1"/>
  <c r="AU755" i="1"/>
  <c r="AT755" i="1"/>
  <c r="AS755" i="1"/>
  <c r="AQ755" i="1"/>
  <c r="AP755" i="1"/>
  <c r="AO755" i="1"/>
  <c r="AO1073" i="1" s="1"/>
  <c r="AN755" i="1"/>
  <c r="AM755" i="1"/>
  <c r="AL755" i="1"/>
  <c r="AK755" i="1"/>
  <c r="AJ755" i="1"/>
  <c r="AI755" i="1"/>
  <c r="AF755" i="1"/>
  <c r="AE755" i="1"/>
  <c r="AD755" i="1"/>
  <c r="AC755" i="1"/>
  <c r="AB755" i="1"/>
  <c r="AA755" i="1"/>
  <c r="Z755" i="1"/>
  <c r="Y755" i="1"/>
  <c r="X755" i="1"/>
  <c r="W755" i="1"/>
  <c r="V755" i="1"/>
  <c r="U755" i="1"/>
  <c r="S755" i="1"/>
  <c r="R755" i="1"/>
  <c r="Q755" i="1"/>
  <c r="P755" i="1"/>
  <c r="O755" i="1"/>
  <c r="N755" i="1"/>
  <c r="M755" i="1"/>
  <c r="L755" i="1"/>
  <c r="J755" i="1"/>
  <c r="I755" i="1"/>
  <c r="H755" i="1"/>
  <c r="G755" i="1"/>
  <c r="F755" i="1"/>
  <c r="E755" i="1"/>
  <c r="D755" i="1"/>
  <c r="C755" i="1"/>
  <c r="AT739" i="1"/>
  <c r="BG736" i="1"/>
  <c r="BF736" i="1"/>
  <c r="BE736" i="1"/>
  <c r="BD736" i="1"/>
  <c r="BC736" i="1"/>
  <c r="BB736" i="1"/>
  <c r="BA736" i="1"/>
  <c r="AZ736" i="1"/>
  <c r="AY736" i="1"/>
  <c r="AX736" i="1"/>
  <c r="L736" i="1"/>
  <c r="D736" i="1"/>
  <c r="BC734" i="1"/>
  <c r="AN733" i="1"/>
  <c r="AS732" i="1"/>
  <c r="AS784" i="1" s="1"/>
  <c r="AS63" i="9" s="1"/>
  <c r="AN732" i="1"/>
  <c r="AN784" i="1" s="1"/>
  <c r="AN63" i="9" s="1"/>
  <c r="AI732" i="1"/>
  <c r="AI784" i="1" s="1"/>
  <c r="AI63" i="9" s="1"/>
  <c r="AD732" i="1"/>
  <c r="AD784" i="1" s="1"/>
  <c r="AD63" i="9" s="1"/>
  <c r="Y732" i="1"/>
  <c r="Y784" i="1" s="1"/>
  <c r="Y63" i="9" s="1"/>
  <c r="T732" i="1"/>
  <c r="T784" i="1" s="1"/>
  <c r="T63" i="9" s="1"/>
  <c r="O732" i="1"/>
  <c r="O784" i="1" s="1"/>
  <c r="O63" i="9" s="1"/>
  <c r="J732" i="1"/>
  <c r="AU731" i="1"/>
  <c r="AU734" i="1" s="1"/>
  <c r="E731" i="1"/>
  <c r="E734" i="1" s="1"/>
  <c r="D731" i="1"/>
  <c r="D734" i="1" s="1"/>
  <c r="C731" i="1"/>
  <c r="C734" i="1" s="1"/>
  <c r="AS730" i="1"/>
  <c r="AS783" i="1" s="1"/>
  <c r="AS62" i="9" s="1"/>
  <c r="AN730" i="1"/>
  <c r="AU729" i="1"/>
  <c r="AU736" i="1" s="1"/>
  <c r="AT729" i="1"/>
  <c r="AH729" i="1"/>
  <c r="AF729" i="1"/>
  <c r="R729" i="1"/>
  <c r="H729" i="1"/>
  <c r="F729" i="1"/>
  <c r="D729" i="1"/>
  <c r="AS728" i="1"/>
  <c r="AS780" i="1" s="1"/>
  <c r="AN728" i="1"/>
  <c r="AN780" i="1" s="1"/>
  <c r="AI728" i="1"/>
  <c r="AI780" i="1" s="1"/>
  <c r="AD728" i="1"/>
  <c r="AD780" i="1" s="1"/>
  <c r="Y728" i="1"/>
  <c r="Y780" i="1" s="1"/>
  <c r="T728" i="1"/>
  <c r="T780" i="1" s="1"/>
  <c r="O728" i="1"/>
  <c r="O780" i="1" s="1"/>
  <c r="J728" i="1"/>
  <c r="J780" i="1" s="1"/>
  <c r="BC727" i="1"/>
  <c r="BC729" i="1" s="1"/>
  <c r="BC731" i="1" s="1"/>
  <c r="BA727" i="1"/>
  <c r="BA729" i="1" s="1"/>
  <c r="BA731" i="1" s="1"/>
  <c r="BA734" i="1" s="1"/>
  <c r="AY727" i="1"/>
  <c r="AY729" i="1" s="1"/>
  <c r="AY731" i="1" s="1"/>
  <c r="AY734" i="1" s="1"/>
  <c r="AW727" i="1"/>
  <c r="AW729" i="1" s="1"/>
  <c r="AU727" i="1"/>
  <c r="AQ727" i="1"/>
  <c r="AQ729" i="1" s="1"/>
  <c r="AO727" i="1"/>
  <c r="AO729" i="1" s="1"/>
  <c r="AK727" i="1"/>
  <c r="AK729" i="1" s="1"/>
  <c r="AK736" i="1" s="1"/>
  <c r="AG727" i="1"/>
  <c r="AG729" i="1" s="1"/>
  <c r="U727" i="1"/>
  <c r="U729" i="1" s="1"/>
  <c r="U736" i="1" s="1"/>
  <c r="S727" i="1"/>
  <c r="S729" i="1" s="1"/>
  <c r="S736" i="1" s="1"/>
  <c r="Q727" i="1"/>
  <c r="Q729" i="1" s="1"/>
  <c r="K727" i="1"/>
  <c r="K729" i="1" s="1"/>
  <c r="I727" i="1"/>
  <c r="I729" i="1" s="1"/>
  <c r="H727" i="1"/>
  <c r="G727" i="1"/>
  <c r="G729" i="1" s="1"/>
  <c r="G736" i="1" s="1"/>
  <c r="F727" i="1"/>
  <c r="E727" i="1"/>
  <c r="E729" i="1" s="1"/>
  <c r="E736" i="1" s="1"/>
  <c r="D727" i="1"/>
  <c r="C727" i="1"/>
  <c r="C729" i="1" s="1"/>
  <c r="C736" i="1" s="1"/>
  <c r="AS726" i="1"/>
  <c r="AS774" i="1" s="1"/>
  <c r="AS58" i="9" s="1"/>
  <c r="AN726" i="1"/>
  <c r="AN774" i="1" s="1"/>
  <c r="AN58" i="9" s="1"/>
  <c r="AI726" i="1"/>
  <c r="AI774" i="1" s="1"/>
  <c r="AI58" i="9" s="1"/>
  <c r="AD726" i="1"/>
  <c r="AD774" i="1" s="1"/>
  <c r="AD58" i="9" s="1"/>
  <c r="Y726" i="1"/>
  <c r="Y774" i="1" s="1"/>
  <c r="Y58" i="9" s="1"/>
  <c r="T726" i="1"/>
  <c r="T774" i="1" s="1"/>
  <c r="T58" i="9" s="1"/>
  <c r="O726" i="1"/>
  <c r="O774" i="1" s="1"/>
  <c r="O58" i="9" s="1"/>
  <c r="J726" i="1"/>
  <c r="J774" i="1" s="1"/>
  <c r="J58" i="9" s="1"/>
  <c r="AS725" i="1"/>
  <c r="AS775" i="1" s="1"/>
  <c r="AN725" i="1"/>
  <c r="AN775" i="1" s="1"/>
  <c r="AI725" i="1"/>
  <c r="AI775" i="1" s="1"/>
  <c r="AD725" i="1"/>
  <c r="AD775" i="1" s="1"/>
  <c r="Y725" i="1"/>
  <c r="T725" i="1"/>
  <c r="T775" i="1" s="1"/>
  <c r="O725" i="1"/>
  <c r="O775" i="1" s="1"/>
  <c r="J725" i="1"/>
  <c r="J775" i="1" s="1"/>
  <c r="AS724" i="1"/>
  <c r="AS776" i="1" s="1"/>
  <c r="AS59" i="9" s="1"/>
  <c r="AN724" i="1"/>
  <c r="AI724" i="1"/>
  <c r="AI776" i="1" s="1"/>
  <c r="AI59" i="9" s="1"/>
  <c r="AD724" i="1"/>
  <c r="AD776" i="1" s="1"/>
  <c r="Y724" i="1"/>
  <c r="Y776" i="1" s="1"/>
  <c r="T724" i="1"/>
  <c r="T776" i="1" s="1"/>
  <c r="O724" i="1"/>
  <c r="J724" i="1"/>
  <c r="J776" i="1" s="1"/>
  <c r="J59" i="9" s="1"/>
  <c r="AS723" i="1"/>
  <c r="AS777" i="1" s="1"/>
  <c r="AN723" i="1"/>
  <c r="AN777" i="1" s="1"/>
  <c r="AI723" i="1"/>
  <c r="AD723" i="1"/>
  <c r="AD777" i="1" s="1"/>
  <c r="Y723" i="1"/>
  <c r="Y777" i="1" s="1"/>
  <c r="T723" i="1"/>
  <c r="T777" i="1" s="1"/>
  <c r="O723" i="1"/>
  <c r="O777" i="1" s="1"/>
  <c r="J723" i="1"/>
  <c r="J777" i="1" s="1"/>
  <c r="BG722" i="1"/>
  <c r="BG727" i="1" s="1"/>
  <c r="BG729" i="1" s="1"/>
  <c r="BG731" i="1" s="1"/>
  <c r="BG734" i="1" s="1"/>
  <c r="BF722" i="1"/>
  <c r="BE722" i="1"/>
  <c r="BD722" i="1"/>
  <c r="BC722" i="1"/>
  <c r="BB722" i="1"/>
  <c r="BA722" i="1"/>
  <c r="AZ722" i="1"/>
  <c r="AZ727" i="1" s="1"/>
  <c r="AZ729" i="1" s="1"/>
  <c r="AZ731" i="1" s="1"/>
  <c r="AZ734" i="1" s="1"/>
  <c r="AY722" i="1"/>
  <c r="AX722" i="1"/>
  <c r="AW722" i="1"/>
  <c r="AV722" i="1"/>
  <c r="AU722" i="1"/>
  <c r="AT722" i="1"/>
  <c r="AT727" i="1" s="1"/>
  <c r="AR722" i="1"/>
  <c r="AQ722" i="1"/>
  <c r="AP722" i="1"/>
  <c r="AO722" i="1"/>
  <c r="AM722" i="1"/>
  <c r="AL722" i="1"/>
  <c r="AK722" i="1"/>
  <c r="AJ722" i="1"/>
  <c r="AH722" i="1"/>
  <c r="AH727" i="1" s="1"/>
  <c r="AG722" i="1"/>
  <c r="AF722" i="1"/>
  <c r="AF727" i="1" s="1"/>
  <c r="AE722" i="1"/>
  <c r="AD722" i="1"/>
  <c r="AC722" i="1"/>
  <c r="AB722" i="1"/>
  <c r="AA722" i="1"/>
  <c r="AA727" i="1" s="1"/>
  <c r="AA729" i="1" s="1"/>
  <c r="Z722" i="1"/>
  <c r="X722" i="1"/>
  <c r="W722" i="1"/>
  <c r="V722" i="1"/>
  <c r="U722" i="1"/>
  <c r="S722" i="1"/>
  <c r="R722" i="1"/>
  <c r="R727" i="1" s="1"/>
  <c r="Q722" i="1"/>
  <c r="P722" i="1"/>
  <c r="P727" i="1" s="1"/>
  <c r="P729" i="1" s="1"/>
  <c r="N722" i="1"/>
  <c r="M722" i="1"/>
  <c r="L722" i="1"/>
  <c r="K722" i="1"/>
  <c r="J722" i="1"/>
  <c r="J764" i="1" s="1"/>
  <c r="AS721" i="1"/>
  <c r="AN721" i="1"/>
  <c r="AI721" i="1"/>
  <c r="AD721" i="1"/>
  <c r="AD769" i="1" s="1"/>
  <c r="Y721" i="1"/>
  <c r="T721" i="1"/>
  <c r="T769" i="1" s="1"/>
  <c r="O721" i="1"/>
  <c r="O769" i="1" s="1"/>
  <c r="AS720" i="1"/>
  <c r="AS764" i="1" s="1"/>
  <c r="AN720" i="1"/>
  <c r="AN764" i="1" s="1"/>
  <c r="AN53" i="9" s="1"/>
  <c r="AI720" i="1"/>
  <c r="AI764" i="1" s="1"/>
  <c r="AD720" i="1"/>
  <c r="AD764" i="1" s="1"/>
  <c r="AD53" i="9" s="1"/>
  <c r="Y720" i="1"/>
  <c r="Y764" i="1" s="1"/>
  <c r="Y53" i="9" s="1"/>
  <c r="T720" i="1"/>
  <c r="T764" i="1" s="1"/>
  <c r="O720" i="1"/>
  <c r="O764" i="1" s="1"/>
  <c r="AS719" i="1"/>
  <c r="AN719" i="1"/>
  <c r="AN761" i="1" s="1"/>
  <c r="AI719" i="1"/>
  <c r="AD719" i="1"/>
  <c r="AD761" i="1" s="1"/>
  <c r="Y719" i="1"/>
  <c r="T719" i="1"/>
  <c r="O719" i="1"/>
  <c r="AS718" i="1"/>
  <c r="AN718" i="1"/>
  <c r="AI718" i="1"/>
  <c r="AD718" i="1"/>
  <c r="Y718" i="1"/>
  <c r="T718" i="1"/>
  <c r="O718" i="1"/>
  <c r="O722" i="1" s="1"/>
  <c r="BG717" i="1"/>
  <c r="BF717" i="1"/>
  <c r="BF727" i="1" s="1"/>
  <c r="BF729" i="1" s="1"/>
  <c r="BF731" i="1" s="1"/>
  <c r="BF734" i="1" s="1"/>
  <c r="BE717" i="1"/>
  <c r="BE727" i="1" s="1"/>
  <c r="BE729" i="1" s="1"/>
  <c r="BE731" i="1" s="1"/>
  <c r="BE734" i="1" s="1"/>
  <c r="BD717" i="1"/>
  <c r="BC717" i="1"/>
  <c r="BB717" i="1"/>
  <c r="BB727" i="1" s="1"/>
  <c r="BB729" i="1" s="1"/>
  <c r="BB731" i="1" s="1"/>
  <c r="BB734" i="1" s="1"/>
  <c r="BA717" i="1"/>
  <c r="AZ717" i="1"/>
  <c r="AY717" i="1"/>
  <c r="AX717" i="1"/>
  <c r="AW717" i="1"/>
  <c r="AV717" i="1"/>
  <c r="AV727" i="1" s="1"/>
  <c r="AV729" i="1" s="1"/>
  <c r="AU717" i="1"/>
  <c r="AR717" i="1"/>
  <c r="AP717" i="1"/>
  <c r="AP727" i="1" s="1"/>
  <c r="AP729" i="1" s="1"/>
  <c r="AO717" i="1"/>
  <c r="AO758" i="1" s="1"/>
  <c r="AM717" i="1"/>
  <c r="AM758" i="1" s="1"/>
  <c r="AM709" i="1" s="1"/>
  <c r="AM1072" i="1" s="1"/>
  <c r="AL717" i="1"/>
  <c r="AK717" i="1"/>
  <c r="AK758" i="1" s="1"/>
  <c r="AJ717" i="1"/>
  <c r="AH717" i="1"/>
  <c r="AH758" i="1" s="1"/>
  <c r="AG717" i="1"/>
  <c r="AG758" i="1" s="1"/>
  <c r="AF717" i="1"/>
  <c r="AE717" i="1"/>
  <c r="AE758" i="1" s="1"/>
  <c r="AC717" i="1"/>
  <c r="AC727" i="1" s="1"/>
  <c r="AC729" i="1" s="1"/>
  <c r="AC731" i="1" s="1"/>
  <c r="AC734" i="1" s="1"/>
  <c r="AB717" i="1"/>
  <c r="AB727" i="1" s="1"/>
  <c r="AB729" i="1" s="1"/>
  <c r="AA717" i="1"/>
  <c r="AA758" i="1" s="1"/>
  <c r="Z717" i="1"/>
  <c r="Z758" i="1" s="1"/>
  <c r="Y717" i="1"/>
  <c r="X717" i="1"/>
  <c r="X727" i="1" s="1"/>
  <c r="X729" i="1" s="1"/>
  <c r="W717" i="1"/>
  <c r="W758" i="1" s="1"/>
  <c r="V717" i="1"/>
  <c r="U717" i="1"/>
  <c r="U758" i="1" s="1"/>
  <c r="S717" i="1"/>
  <c r="S758" i="1" s="1"/>
  <c r="R717" i="1"/>
  <c r="R758" i="1" s="1"/>
  <c r="Q717" i="1"/>
  <c r="Q758" i="1" s="1"/>
  <c r="P717" i="1"/>
  <c r="O717" i="1"/>
  <c r="O758" i="1" s="1"/>
  <c r="N717" i="1"/>
  <c r="N727" i="1" s="1"/>
  <c r="N729" i="1" s="1"/>
  <c r="M717" i="1"/>
  <c r="L717" i="1"/>
  <c r="L727" i="1" s="1"/>
  <c r="L729" i="1" s="1"/>
  <c r="L731" i="1" s="1"/>
  <c r="L734" i="1" s="1"/>
  <c r="K717" i="1"/>
  <c r="J717" i="1" s="1"/>
  <c r="AS716" i="1"/>
  <c r="AN716" i="1"/>
  <c r="AN717" i="1" s="1"/>
  <c r="AI716" i="1"/>
  <c r="AI717" i="1" s="1"/>
  <c r="AD716" i="1"/>
  <c r="Y716" i="1"/>
  <c r="T716" i="1"/>
  <c r="O716" i="1"/>
  <c r="AS715" i="1"/>
  <c r="AN715" i="1"/>
  <c r="AI715" i="1"/>
  <c r="AD715" i="1"/>
  <c r="Y715" i="1"/>
  <c r="T715" i="1"/>
  <c r="O715" i="1"/>
  <c r="AH709" i="1"/>
  <c r="AH1072" i="1" s="1"/>
  <c r="Z709" i="1"/>
  <c r="Z1072" i="1" s="1"/>
  <c r="X709" i="1"/>
  <c r="X1072" i="1" s="1"/>
  <c r="W709" i="1"/>
  <c r="W1072" i="1" s="1"/>
  <c r="R709" i="1"/>
  <c r="R1072" i="1" s="1"/>
  <c r="L709" i="1"/>
  <c r="L1072" i="1" s="1"/>
  <c r="AQ706" i="1"/>
  <c r="AH706" i="1"/>
  <c r="AW705" i="1"/>
  <c r="AV705" i="1"/>
  <c r="AQ705" i="1"/>
  <c r="AP705" i="1"/>
  <c r="AH705" i="1"/>
  <c r="AG705" i="1"/>
  <c r="AG706" i="1" s="1"/>
  <c r="AF705" i="1"/>
  <c r="AF706" i="1" s="1"/>
  <c r="AB705" i="1"/>
  <c r="U705" i="1"/>
  <c r="R705" i="1"/>
  <c r="R706" i="1" s="1"/>
  <c r="L705" i="1"/>
  <c r="AJ702" i="1"/>
  <c r="AH702" i="1"/>
  <c r="AG702" i="1"/>
  <c r="AF702" i="1"/>
  <c r="AE702" i="1"/>
  <c r="AD702" i="1"/>
  <c r="AC702" i="1"/>
  <c r="AB702" i="1"/>
  <c r="AA702" i="1"/>
  <c r="Z702" i="1"/>
  <c r="X702" i="1"/>
  <c r="W702" i="1"/>
  <c r="V702" i="1"/>
  <c r="U702" i="1"/>
  <c r="S702" i="1"/>
  <c r="R702" i="1"/>
  <c r="Q702" i="1"/>
  <c r="P702" i="1"/>
  <c r="N702" i="1"/>
  <c r="M702" i="1"/>
  <c r="L702" i="1"/>
  <c r="K702" i="1"/>
  <c r="I702" i="1"/>
  <c r="H702" i="1"/>
  <c r="G702" i="1"/>
  <c r="F702" i="1"/>
  <c r="E702" i="1"/>
  <c r="D702" i="1"/>
  <c r="C702" i="1"/>
  <c r="AI701" i="1"/>
  <c r="AI702" i="1" s="1"/>
  <c r="AD701" i="1"/>
  <c r="Y701" i="1"/>
  <c r="Y702" i="1" s="1"/>
  <c r="T701" i="1"/>
  <c r="T702" i="1" s="1"/>
  <c r="O701" i="1"/>
  <c r="O702" i="1" s="1"/>
  <c r="J701" i="1"/>
  <c r="J702" i="1" s="1"/>
  <c r="AI698" i="1"/>
  <c r="AD698" i="1"/>
  <c r="Y698" i="1"/>
  <c r="T698" i="1"/>
  <c r="O698" i="1"/>
  <c r="J698" i="1"/>
  <c r="AI697" i="1"/>
  <c r="AD697" i="1"/>
  <c r="Y697" i="1"/>
  <c r="T697" i="1"/>
  <c r="O697" i="1"/>
  <c r="J697" i="1"/>
  <c r="AI696" i="1"/>
  <c r="AD696" i="1"/>
  <c r="Y696" i="1"/>
  <c r="T696" i="1"/>
  <c r="O696" i="1"/>
  <c r="J696" i="1"/>
  <c r="AI695" i="1"/>
  <c r="AD695" i="1"/>
  <c r="Y695" i="1"/>
  <c r="T695" i="1"/>
  <c r="O695" i="1"/>
  <c r="J695" i="1"/>
  <c r="AI694" i="1"/>
  <c r="AD694" i="1"/>
  <c r="Y694" i="1"/>
  <c r="T694" i="1"/>
  <c r="O694" i="1"/>
  <c r="J694" i="1"/>
  <c r="AI693" i="1"/>
  <c r="AD693" i="1"/>
  <c r="Y693" i="1"/>
  <c r="T693" i="1"/>
  <c r="O693" i="1"/>
  <c r="J693" i="1"/>
  <c r="AI692" i="1"/>
  <c r="AD692" i="1"/>
  <c r="Y692" i="1"/>
  <c r="T692" i="1"/>
  <c r="O692" i="1"/>
  <c r="J692" i="1"/>
  <c r="AI691" i="1"/>
  <c r="AD691" i="1"/>
  <c r="Y691" i="1"/>
  <c r="T691" i="1"/>
  <c r="O691" i="1"/>
  <c r="J691" i="1"/>
  <c r="AJ690" i="1"/>
  <c r="AJ689" i="1" s="1"/>
  <c r="AH690" i="1"/>
  <c r="AF690" i="1"/>
  <c r="AE690" i="1"/>
  <c r="AE1066" i="1" s="1"/>
  <c r="AB690" i="1"/>
  <c r="AA690" i="1"/>
  <c r="AA1066" i="1" s="1"/>
  <c r="Z690" i="1"/>
  <c r="Z1066" i="1" s="1"/>
  <c r="X690" i="1"/>
  <c r="X1066" i="1" s="1"/>
  <c r="V690" i="1"/>
  <c r="V1066" i="1" s="1"/>
  <c r="U690" i="1"/>
  <c r="T690" i="1"/>
  <c r="S690" i="1"/>
  <c r="S1066" i="1" s="1"/>
  <c r="Q690" i="1"/>
  <c r="Q1066" i="1" s="1"/>
  <c r="P690" i="1"/>
  <c r="P1066" i="1" s="1"/>
  <c r="N690" i="1"/>
  <c r="N1066" i="1" s="1"/>
  <c r="L690" i="1"/>
  <c r="K690" i="1"/>
  <c r="K1066" i="1" s="1"/>
  <c r="AH689" i="1"/>
  <c r="AF689" i="1"/>
  <c r="AE689" i="1"/>
  <c r="AA689" i="1"/>
  <c r="X689" i="1"/>
  <c r="V689" i="1"/>
  <c r="S689" i="1"/>
  <c r="Q689" i="1"/>
  <c r="N689" i="1"/>
  <c r="AJ685" i="1"/>
  <c r="AH685" i="1"/>
  <c r="AG685" i="1"/>
  <c r="AF685" i="1"/>
  <c r="AE685" i="1"/>
  <c r="AD685" i="1"/>
  <c r="AC685" i="1"/>
  <c r="AB685" i="1"/>
  <c r="AA685" i="1"/>
  <c r="Z685" i="1"/>
  <c r="X685" i="1"/>
  <c r="W685" i="1"/>
  <c r="V685" i="1"/>
  <c r="U685" i="1"/>
  <c r="S685" i="1"/>
  <c r="R685" i="1"/>
  <c r="Q685" i="1"/>
  <c r="P685" i="1"/>
  <c r="O685" i="1"/>
  <c r="N685" i="1"/>
  <c r="M685" i="1"/>
  <c r="L685" i="1"/>
  <c r="K685" i="1"/>
  <c r="J685" i="1"/>
  <c r="I685" i="1"/>
  <c r="H685" i="1"/>
  <c r="G685" i="1"/>
  <c r="F685" i="1"/>
  <c r="E685" i="1"/>
  <c r="D685" i="1"/>
  <c r="C685" i="1"/>
  <c r="AI684" i="1"/>
  <c r="AI685" i="1" s="1"/>
  <c r="AD684" i="1"/>
  <c r="Y684" i="1"/>
  <c r="Y685" i="1" s="1"/>
  <c r="T684" i="1"/>
  <c r="T685" i="1" s="1"/>
  <c r="P684" i="1"/>
  <c r="O684" i="1"/>
  <c r="N684" i="1"/>
  <c r="M684" i="1"/>
  <c r="K684" i="1"/>
  <c r="J684" i="1"/>
  <c r="I684" i="1"/>
  <c r="H684" i="1"/>
  <c r="G684" i="1"/>
  <c r="F684" i="1"/>
  <c r="E684" i="1"/>
  <c r="D684" i="1"/>
  <c r="C684" i="1"/>
  <c r="AH682" i="1"/>
  <c r="AG682" i="1"/>
  <c r="N682" i="1"/>
  <c r="K682" i="1"/>
  <c r="G682" i="1"/>
  <c r="AH681" i="1"/>
  <c r="AC681" i="1"/>
  <c r="AA681" i="1"/>
  <c r="W681" i="1"/>
  <c r="S681" i="1"/>
  <c r="Q681" i="1"/>
  <c r="K681" i="1"/>
  <c r="I681" i="1"/>
  <c r="H681" i="1"/>
  <c r="G681" i="1"/>
  <c r="AH680" i="1"/>
  <c r="AB680" i="1"/>
  <c r="W680" i="1"/>
  <c r="V680" i="1"/>
  <c r="Q680" i="1"/>
  <c r="K680" i="1"/>
  <c r="I680" i="1"/>
  <c r="G680" i="1"/>
  <c r="C680" i="1"/>
  <c r="AB678" i="1"/>
  <c r="AB682" i="1" s="1"/>
  <c r="X678" i="1"/>
  <c r="X682" i="1" s="1"/>
  <c r="W678" i="1"/>
  <c r="W682" i="1" s="1"/>
  <c r="S678" i="1"/>
  <c r="S682" i="1" s="1"/>
  <c r="Q678" i="1"/>
  <c r="Q682" i="1" s="1"/>
  <c r="N678" i="1"/>
  <c r="L678" i="1"/>
  <c r="L682" i="1" s="1"/>
  <c r="K678" i="1"/>
  <c r="I678" i="1"/>
  <c r="I682" i="1" s="1"/>
  <c r="G678" i="1"/>
  <c r="F678" i="1"/>
  <c r="F682" i="1" s="1"/>
  <c r="E678" i="1"/>
  <c r="E682" i="1" s="1"/>
  <c r="C678" i="1"/>
  <c r="C682" i="1" s="1"/>
  <c r="AI677" i="1"/>
  <c r="AD677" i="1"/>
  <c r="Y677" i="1"/>
  <c r="T677" i="1"/>
  <c r="O677" i="1"/>
  <c r="J677" i="1"/>
  <c r="C677" i="1"/>
  <c r="AI676" i="1"/>
  <c r="AD676" i="1"/>
  <c r="Y676" i="1"/>
  <c r="T676" i="1"/>
  <c r="P676" i="1"/>
  <c r="O676" i="1"/>
  <c r="N676" i="1"/>
  <c r="M676" i="1"/>
  <c r="L676" i="1"/>
  <c r="K676" i="1"/>
  <c r="J676" i="1"/>
  <c r="I676" i="1"/>
  <c r="H676" i="1"/>
  <c r="G676" i="1"/>
  <c r="F676" i="1"/>
  <c r="E676" i="1"/>
  <c r="D676" i="1"/>
  <c r="C676" i="1"/>
  <c r="AI675" i="1"/>
  <c r="AD675" i="1"/>
  <c r="Y675" i="1"/>
  <c r="T675" i="1"/>
  <c r="P675" i="1"/>
  <c r="O675" i="1"/>
  <c r="N675" i="1"/>
  <c r="M675" i="1"/>
  <c r="L675" i="1"/>
  <c r="K675" i="1"/>
  <c r="J675" i="1"/>
  <c r="I675" i="1"/>
  <c r="H675" i="1"/>
  <c r="G675" i="1"/>
  <c r="F675" i="1"/>
  <c r="E675" i="1"/>
  <c r="D675" i="1"/>
  <c r="C675" i="1"/>
  <c r="AI674" i="1"/>
  <c r="AI680" i="1" s="1"/>
  <c r="AD674" i="1"/>
  <c r="Y674" i="1"/>
  <c r="T674" i="1"/>
  <c r="P674" i="1"/>
  <c r="O674" i="1"/>
  <c r="N674" i="1"/>
  <c r="M674" i="1"/>
  <c r="L674" i="1"/>
  <c r="K674" i="1"/>
  <c r="J674" i="1"/>
  <c r="I674" i="1"/>
  <c r="H674" i="1"/>
  <c r="G674" i="1"/>
  <c r="F674" i="1"/>
  <c r="E674" i="1"/>
  <c r="D674" i="1"/>
  <c r="C674" i="1"/>
  <c r="AJ673" i="1"/>
  <c r="AH673" i="1"/>
  <c r="AH678" i="1" s="1"/>
  <c r="AG673" i="1"/>
  <c r="AG678" i="1" s="1"/>
  <c r="AF673" i="1"/>
  <c r="AE673" i="1"/>
  <c r="AC673" i="1"/>
  <c r="AC678" i="1" s="1"/>
  <c r="AC682" i="1" s="1"/>
  <c r="AB673" i="1"/>
  <c r="AB681" i="1" s="1"/>
  <c r="AA673" i="1"/>
  <c r="AA678" i="1" s="1"/>
  <c r="AA682" i="1" s="1"/>
  <c r="Z673" i="1"/>
  <c r="Z678" i="1" s="1"/>
  <c r="Z682" i="1" s="1"/>
  <c r="X673" i="1"/>
  <c r="X680" i="1" s="1"/>
  <c r="W673" i="1"/>
  <c r="V673" i="1"/>
  <c r="V681" i="1" s="1"/>
  <c r="U673" i="1"/>
  <c r="U680" i="1" s="1"/>
  <c r="T673" i="1"/>
  <c r="S673" i="1"/>
  <c r="S680" i="1" s="1"/>
  <c r="R673" i="1"/>
  <c r="R678" i="1" s="1"/>
  <c r="R682" i="1" s="1"/>
  <c r="Q673" i="1"/>
  <c r="P673" i="1"/>
  <c r="O673" i="1"/>
  <c r="N673" i="1"/>
  <c r="M673" i="1"/>
  <c r="M678" i="1" s="1"/>
  <c r="M682" i="1" s="1"/>
  <c r="L673" i="1"/>
  <c r="L681" i="1" s="1"/>
  <c r="K673" i="1"/>
  <c r="I673" i="1"/>
  <c r="H673" i="1"/>
  <c r="H680" i="1" s="1"/>
  <c r="G673" i="1"/>
  <c r="F673" i="1"/>
  <c r="F681" i="1" s="1"/>
  <c r="E673" i="1"/>
  <c r="E681" i="1" s="1"/>
  <c r="D673" i="1"/>
  <c r="D680" i="1" s="1"/>
  <c r="C673" i="1"/>
  <c r="C681" i="1" s="1"/>
  <c r="AI672" i="1"/>
  <c r="AD672" i="1"/>
  <c r="Y672" i="1"/>
  <c r="T672" i="1"/>
  <c r="P672" i="1"/>
  <c r="O672" i="1"/>
  <c r="N672" i="1"/>
  <c r="M672" i="1"/>
  <c r="L672" i="1"/>
  <c r="K672" i="1"/>
  <c r="J672" i="1"/>
  <c r="J673" i="1" s="1"/>
  <c r="I672" i="1"/>
  <c r="H672" i="1"/>
  <c r="G672" i="1"/>
  <c r="F672" i="1"/>
  <c r="E672" i="1"/>
  <c r="D672" i="1"/>
  <c r="C672" i="1"/>
  <c r="AI671" i="1"/>
  <c r="AI673" i="1" s="1"/>
  <c r="AD671" i="1"/>
  <c r="AD673" i="1" s="1"/>
  <c r="Y671" i="1"/>
  <c r="T671" i="1"/>
  <c r="P671" i="1"/>
  <c r="O671" i="1"/>
  <c r="N671" i="1"/>
  <c r="M671" i="1"/>
  <c r="L671" i="1"/>
  <c r="K671" i="1"/>
  <c r="J671" i="1"/>
  <c r="I671" i="1"/>
  <c r="H671" i="1"/>
  <c r="G671" i="1"/>
  <c r="F671" i="1"/>
  <c r="E671" i="1"/>
  <c r="D671" i="1"/>
  <c r="C671" i="1"/>
  <c r="AJ668" i="1"/>
  <c r="AI668" i="1"/>
  <c r="AH668" i="1"/>
  <c r="AG668" i="1"/>
  <c r="AF668" i="1"/>
  <c r="AE668" i="1"/>
  <c r="AD668" i="1"/>
  <c r="AC668" i="1"/>
  <c r="AB668" i="1"/>
  <c r="AA668" i="1"/>
  <c r="Z668" i="1"/>
  <c r="X668" i="1"/>
  <c r="W668" i="1"/>
  <c r="V668" i="1"/>
  <c r="U668" i="1"/>
  <c r="T668" i="1"/>
  <c r="S668" i="1"/>
  <c r="R668" i="1"/>
  <c r="Q668" i="1"/>
  <c r="P668" i="1"/>
  <c r="N668" i="1"/>
  <c r="M668" i="1"/>
  <c r="L668" i="1"/>
  <c r="K668" i="1"/>
  <c r="J668" i="1"/>
  <c r="I668" i="1"/>
  <c r="H668" i="1"/>
  <c r="G668" i="1"/>
  <c r="F668" i="1"/>
  <c r="E668" i="1"/>
  <c r="D668" i="1"/>
  <c r="C668" i="1"/>
  <c r="AI667" i="1"/>
  <c r="AD667" i="1"/>
  <c r="Y667" i="1"/>
  <c r="Y668" i="1" s="1"/>
  <c r="T667" i="1"/>
  <c r="O667" i="1"/>
  <c r="O668" i="1" s="1"/>
  <c r="J667" i="1"/>
  <c r="AE665" i="1"/>
  <c r="N665" i="1"/>
  <c r="AJ664" i="1"/>
  <c r="AG664" i="1"/>
  <c r="AF664" i="1"/>
  <c r="AE664" i="1"/>
  <c r="Z664" i="1"/>
  <c r="T664" i="1"/>
  <c r="Q664" i="1"/>
  <c r="P664" i="1"/>
  <c r="D664" i="1"/>
  <c r="AJ663" i="1"/>
  <c r="AH663" i="1"/>
  <c r="AG663" i="1"/>
  <c r="AE663" i="1"/>
  <c r="AA663" i="1"/>
  <c r="Z663" i="1"/>
  <c r="V663" i="1"/>
  <c r="S663" i="1"/>
  <c r="R663" i="1"/>
  <c r="Q663" i="1"/>
  <c r="K663" i="1"/>
  <c r="F663" i="1"/>
  <c r="D663" i="1"/>
  <c r="C663" i="1"/>
  <c r="AJ661" i="1"/>
  <c r="AJ665" i="1" s="1"/>
  <c r="AI661" i="1"/>
  <c r="AI665" i="1" s="1"/>
  <c r="AG661" i="1"/>
  <c r="AG665" i="1" s="1"/>
  <c r="AE661" i="1"/>
  <c r="Z661" i="1"/>
  <c r="Z665" i="1" s="1"/>
  <c r="X661" i="1"/>
  <c r="X665" i="1" s="1"/>
  <c r="T661" i="1"/>
  <c r="T665" i="1" s="1"/>
  <c r="S661" i="1"/>
  <c r="S665" i="1" s="1"/>
  <c r="Q661" i="1"/>
  <c r="Q665" i="1" s="1"/>
  <c r="N661" i="1"/>
  <c r="I661" i="1"/>
  <c r="I665" i="1" s="1"/>
  <c r="D661" i="1"/>
  <c r="D665" i="1" s="1"/>
  <c r="C661" i="1"/>
  <c r="C665" i="1" s="1"/>
  <c r="AI659" i="1"/>
  <c r="AD659" i="1"/>
  <c r="Y659" i="1"/>
  <c r="T659" i="1"/>
  <c r="O659" i="1"/>
  <c r="J659" i="1"/>
  <c r="AI658" i="1"/>
  <c r="AI664" i="1" s="1"/>
  <c r="AD658" i="1"/>
  <c r="Y658" i="1"/>
  <c r="T658" i="1"/>
  <c r="O658" i="1"/>
  <c r="J658" i="1"/>
  <c r="AI657" i="1"/>
  <c r="AD657" i="1"/>
  <c r="Y657" i="1"/>
  <c r="T657" i="1"/>
  <c r="T663" i="1" s="1"/>
  <c r="O657" i="1"/>
  <c r="J657" i="1"/>
  <c r="AJ656" i="1"/>
  <c r="AH656" i="1"/>
  <c r="AH661" i="1" s="1"/>
  <c r="AH665" i="1" s="1"/>
  <c r="AG656" i="1"/>
  <c r="AF656" i="1"/>
  <c r="AF663" i="1" s="1"/>
  <c r="AE656" i="1"/>
  <c r="AC656" i="1"/>
  <c r="AC664" i="1" s="1"/>
  <c r="AB656" i="1"/>
  <c r="AA656" i="1"/>
  <c r="AA664" i="1" s="1"/>
  <c r="Z656" i="1"/>
  <c r="X656" i="1"/>
  <c r="W656" i="1"/>
  <c r="V656" i="1"/>
  <c r="V664" i="1" s="1"/>
  <c r="U656" i="1"/>
  <c r="U664" i="1" s="1"/>
  <c r="S656" i="1"/>
  <c r="S664" i="1" s="1"/>
  <c r="R656" i="1"/>
  <c r="R661" i="1" s="1"/>
  <c r="R665" i="1" s="1"/>
  <c r="Q656" i="1"/>
  <c r="P656" i="1"/>
  <c r="P663" i="1" s="1"/>
  <c r="N656" i="1"/>
  <c r="N664" i="1" s="1"/>
  <c r="M656" i="1"/>
  <c r="M664" i="1" s="1"/>
  <c r="L656" i="1"/>
  <c r="K656" i="1"/>
  <c r="K664" i="1" s="1"/>
  <c r="I656" i="1"/>
  <c r="I664" i="1" s="1"/>
  <c r="H656" i="1"/>
  <c r="H661" i="1" s="1"/>
  <c r="H665" i="1" s="1"/>
  <c r="G656" i="1"/>
  <c r="F656" i="1"/>
  <c r="F664" i="1" s="1"/>
  <c r="E656" i="1"/>
  <c r="E664" i="1" s="1"/>
  <c r="D656" i="1"/>
  <c r="C656" i="1"/>
  <c r="C664" i="1" s="1"/>
  <c r="AI655" i="1"/>
  <c r="AD655" i="1"/>
  <c r="Y655" i="1"/>
  <c r="T655" i="1"/>
  <c r="O655" i="1"/>
  <c r="J655" i="1"/>
  <c r="AI654" i="1"/>
  <c r="AD654" i="1"/>
  <c r="Y654" i="1"/>
  <c r="Y656" i="1" s="1"/>
  <c r="Y661" i="1" s="1"/>
  <c r="Y665" i="1" s="1"/>
  <c r="T654" i="1"/>
  <c r="O654" i="1"/>
  <c r="J654" i="1"/>
  <c r="J656" i="1" s="1"/>
  <c r="AI653" i="1"/>
  <c r="AI656" i="1" s="1"/>
  <c r="AD653" i="1"/>
  <c r="AD656" i="1" s="1"/>
  <c r="Y653" i="1"/>
  <c r="T653" i="1"/>
  <c r="T656" i="1" s="1"/>
  <c r="O653" i="1"/>
  <c r="J653" i="1"/>
  <c r="AI650" i="1"/>
  <c r="AD650" i="1"/>
  <c r="Y650" i="1"/>
  <c r="T650" i="1"/>
  <c r="O650" i="1"/>
  <c r="J650" i="1"/>
  <c r="AI649" i="1"/>
  <c r="AD649" i="1"/>
  <c r="Y649" i="1"/>
  <c r="T649" i="1"/>
  <c r="O649" i="1"/>
  <c r="J649" i="1"/>
  <c r="AI648" i="1"/>
  <c r="AD648" i="1"/>
  <c r="Y648" i="1"/>
  <c r="T648" i="1"/>
  <c r="O648" i="1"/>
  <c r="J648" i="1"/>
  <c r="AI643" i="1"/>
  <c r="AD643" i="1"/>
  <c r="Y643" i="1"/>
  <c r="T643" i="1"/>
  <c r="O643" i="1"/>
  <c r="J643" i="1"/>
  <c r="AI642" i="1"/>
  <c r="AD642" i="1"/>
  <c r="Y642" i="1"/>
  <c r="T642" i="1"/>
  <c r="O642" i="1"/>
  <c r="J642" i="1"/>
  <c r="AI641" i="1"/>
  <c r="AD641" i="1"/>
  <c r="Y641" i="1"/>
  <c r="T641" i="1"/>
  <c r="O641" i="1"/>
  <c r="J641" i="1"/>
  <c r="AF635" i="1"/>
  <c r="AE635" i="1"/>
  <c r="AC635" i="1"/>
  <c r="U635" i="1"/>
  <c r="T635" i="1"/>
  <c r="P635" i="1"/>
  <c r="M635" i="1"/>
  <c r="E635" i="1"/>
  <c r="AJ634" i="1"/>
  <c r="AI634" i="1"/>
  <c r="AH634" i="1"/>
  <c r="AG634" i="1"/>
  <c r="AF634" i="1"/>
  <c r="AE634" i="1"/>
  <c r="AC634" i="1"/>
  <c r="AB634" i="1"/>
  <c r="AA634" i="1"/>
  <c r="AA635" i="1" s="1"/>
  <c r="Z634" i="1"/>
  <c r="Z635" i="1" s="1"/>
  <c r="X634" i="1"/>
  <c r="W634" i="1"/>
  <c r="V634" i="1"/>
  <c r="V635" i="1" s="1"/>
  <c r="U634" i="1"/>
  <c r="T634" i="1"/>
  <c r="S634" i="1"/>
  <c r="R634" i="1"/>
  <c r="Q634" i="1"/>
  <c r="P634" i="1"/>
  <c r="O634" i="1"/>
  <c r="N634" i="1"/>
  <c r="M634" i="1"/>
  <c r="L634" i="1"/>
  <c r="K634" i="1"/>
  <c r="K635" i="1" s="1"/>
  <c r="J634" i="1"/>
  <c r="J635" i="1" s="1"/>
  <c r="I634" i="1"/>
  <c r="H634" i="1"/>
  <c r="G634" i="1"/>
  <c r="F634" i="1"/>
  <c r="F635" i="1" s="1"/>
  <c r="E634" i="1"/>
  <c r="D634" i="1"/>
  <c r="C634" i="1"/>
  <c r="AJ633" i="1"/>
  <c r="AJ635" i="1" s="1"/>
  <c r="AI633" i="1"/>
  <c r="AI635" i="1" s="1"/>
  <c r="AH633" i="1"/>
  <c r="AH635" i="1" s="1"/>
  <c r="AG633" i="1"/>
  <c r="AG635" i="1" s="1"/>
  <c r="AF633" i="1"/>
  <c r="AE633" i="1"/>
  <c r="AC633" i="1"/>
  <c r="AB633" i="1"/>
  <c r="AB635" i="1" s="1"/>
  <c r="AA633" i="1"/>
  <c r="Z633" i="1"/>
  <c r="X633" i="1"/>
  <c r="X635" i="1" s="1"/>
  <c r="W633" i="1"/>
  <c r="W635" i="1" s="1"/>
  <c r="V633" i="1"/>
  <c r="U633" i="1"/>
  <c r="T633" i="1"/>
  <c r="S633" i="1"/>
  <c r="S635" i="1" s="1"/>
  <c r="R633" i="1"/>
  <c r="R635" i="1" s="1"/>
  <c r="Q633" i="1"/>
  <c r="Q635" i="1" s="1"/>
  <c r="P633" i="1"/>
  <c r="N633" i="1"/>
  <c r="N635" i="1" s="1"/>
  <c r="M633" i="1"/>
  <c r="L633" i="1"/>
  <c r="L635" i="1" s="1"/>
  <c r="K633" i="1"/>
  <c r="J633" i="1"/>
  <c r="I633" i="1"/>
  <c r="I635" i="1" s="1"/>
  <c r="H633" i="1"/>
  <c r="H635" i="1" s="1"/>
  <c r="G633" i="1"/>
  <c r="G635" i="1" s="1"/>
  <c r="F633" i="1"/>
  <c r="E633" i="1"/>
  <c r="D633" i="1"/>
  <c r="D635" i="1" s="1"/>
  <c r="C633" i="1"/>
  <c r="C635" i="1" s="1"/>
  <c r="AJ632" i="1"/>
  <c r="AI632" i="1"/>
  <c r="AH632" i="1"/>
  <c r="AG632" i="1"/>
  <c r="AF632" i="1"/>
  <c r="AE632" i="1"/>
  <c r="AC632" i="1"/>
  <c r="AB632" i="1"/>
  <c r="AA632" i="1"/>
  <c r="Z632" i="1"/>
  <c r="X632" i="1"/>
  <c r="W632" i="1"/>
  <c r="V632" i="1"/>
  <c r="U632" i="1"/>
  <c r="T632" i="1"/>
  <c r="S632" i="1"/>
  <c r="R632" i="1"/>
  <c r="Q632" i="1"/>
  <c r="P632" i="1"/>
  <c r="N632" i="1"/>
  <c r="M632" i="1"/>
  <c r="L632" i="1"/>
  <c r="K632" i="1"/>
  <c r="J632" i="1"/>
  <c r="I632" i="1"/>
  <c r="H632" i="1"/>
  <c r="G632" i="1"/>
  <c r="F632" i="1"/>
  <c r="E632" i="1"/>
  <c r="D632" i="1"/>
  <c r="C632" i="1"/>
  <c r="AI631" i="1"/>
  <c r="AD631" i="1"/>
  <c r="AD634" i="1" s="1"/>
  <c r="Y631" i="1"/>
  <c r="Y634" i="1" s="1"/>
  <c r="T631" i="1"/>
  <c r="O631" i="1"/>
  <c r="J631" i="1"/>
  <c r="AI630" i="1"/>
  <c r="AD630" i="1"/>
  <c r="AD633" i="1" s="1"/>
  <c r="Y630" i="1"/>
  <c r="T630" i="1"/>
  <c r="O630" i="1"/>
  <c r="O633" i="1" s="1"/>
  <c r="O635" i="1" s="1"/>
  <c r="J630" i="1"/>
  <c r="AF627" i="1"/>
  <c r="AE627" i="1"/>
  <c r="AA627" i="1"/>
  <c r="Z627" i="1"/>
  <c r="W627" i="1"/>
  <c r="V627" i="1"/>
  <c r="U627" i="1"/>
  <c r="P627" i="1"/>
  <c r="K627" i="1"/>
  <c r="J627" i="1"/>
  <c r="G627" i="1"/>
  <c r="F627" i="1"/>
  <c r="E627" i="1"/>
  <c r="AH626" i="1"/>
  <c r="AF626" i="1"/>
  <c r="AC626" i="1"/>
  <c r="AB626" i="1"/>
  <c r="AA626" i="1"/>
  <c r="X626" i="1"/>
  <c r="W626" i="1"/>
  <c r="V626" i="1"/>
  <c r="U626" i="1"/>
  <c r="R626" i="1"/>
  <c r="P626" i="1"/>
  <c r="M626" i="1"/>
  <c r="L626" i="1"/>
  <c r="K626" i="1"/>
  <c r="G626" i="1"/>
  <c r="F626" i="1"/>
  <c r="E626" i="1"/>
  <c r="AH624" i="1"/>
  <c r="AH628" i="1" s="1"/>
  <c r="AF624" i="1"/>
  <c r="AF628" i="1" s="1"/>
  <c r="AE624" i="1"/>
  <c r="AE628" i="1" s="1"/>
  <c r="AA624" i="1"/>
  <c r="AA628" i="1" s="1"/>
  <c r="Z624" i="1"/>
  <c r="Z628" i="1" s="1"/>
  <c r="Y624" i="1"/>
  <c r="Y628" i="1" s="1"/>
  <c r="W624" i="1"/>
  <c r="W628" i="1" s="1"/>
  <c r="R624" i="1"/>
  <c r="R628" i="1" s="1"/>
  <c r="P624" i="1"/>
  <c r="P628" i="1" s="1"/>
  <c r="N624" i="1"/>
  <c r="N628" i="1" s="1"/>
  <c r="K624" i="1"/>
  <c r="K628" i="1" s="1"/>
  <c r="J624" i="1"/>
  <c r="J628" i="1" s="1"/>
  <c r="I624" i="1"/>
  <c r="I628" i="1" s="1"/>
  <c r="G624" i="1"/>
  <c r="G628" i="1" s="1"/>
  <c r="AI623" i="1"/>
  <c r="AD623" i="1"/>
  <c r="Y623" i="1"/>
  <c r="T623" i="1"/>
  <c r="O623" i="1"/>
  <c r="J623" i="1"/>
  <c r="AI622" i="1"/>
  <c r="AD622" i="1"/>
  <c r="Y622" i="1"/>
  <c r="T622" i="1"/>
  <c r="O622" i="1"/>
  <c r="J622" i="1"/>
  <c r="AI621" i="1"/>
  <c r="AD621" i="1"/>
  <c r="Y621" i="1"/>
  <c r="Y627" i="1" s="1"/>
  <c r="T621" i="1"/>
  <c r="O621" i="1"/>
  <c r="O627" i="1" s="1"/>
  <c r="J621" i="1"/>
  <c r="AI620" i="1"/>
  <c r="AD620" i="1"/>
  <c r="Y620" i="1"/>
  <c r="Y626" i="1" s="1"/>
  <c r="T620" i="1"/>
  <c r="O620" i="1"/>
  <c r="O626" i="1" s="1"/>
  <c r="J620" i="1"/>
  <c r="AJ619" i="1"/>
  <c r="AI619" i="1"/>
  <c r="AH619" i="1"/>
  <c r="AH627" i="1" s="1"/>
  <c r="AG619" i="1"/>
  <c r="AG627" i="1" s="1"/>
  <c r="AF619" i="1"/>
  <c r="AE619" i="1"/>
  <c r="AE626" i="1" s="1"/>
  <c r="AC619" i="1"/>
  <c r="AC627" i="1" s="1"/>
  <c r="AB619" i="1"/>
  <c r="AB627" i="1" s="1"/>
  <c r="AA619" i="1"/>
  <c r="Z619" i="1"/>
  <c r="Z626" i="1" s="1"/>
  <c r="Y619" i="1"/>
  <c r="X619" i="1"/>
  <c r="W619" i="1"/>
  <c r="V619" i="1"/>
  <c r="V624" i="1" s="1"/>
  <c r="V628" i="1" s="1"/>
  <c r="U619" i="1"/>
  <c r="U624" i="1" s="1"/>
  <c r="U628" i="1" s="1"/>
  <c r="T619" i="1"/>
  <c r="S619" i="1"/>
  <c r="R619" i="1"/>
  <c r="R627" i="1" s="1"/>
  <c r="Q619" i="1"/>
  <c r="Q627" i="1" s="1"/>
  <c r="P619" i="1"/>
  <c r="N619" i="1"/>
  <c r="N627" i="1" s="1"/>
  <c r="M619" i="1"/>
  <c r="M627" i="1" s="1"/>
  <c r="L619" i="1"/>
  <c r="L627" i="1" s="1"/>
  <c r="K619" i="1"/>
  <c r="J619" i="1"/>
  <c r="J626" i="1" s="1"/>
  <c r="I619" i="1"/>
  <c r="I627" i="1" s="1"/>
  <c r="H619" i="1"/>
  <c r="G619" i="1"/>
  <c r="F619" i="1"/>
  <c r="F624" i="1" s="1"/>
  <c r="F628" i="1" s="1"/>
  <c r="E619" i="1"/>
  <c r="E624" i="1" s="1"/>
  <c r="E628" i="1" s="1"/>
  <c r="D619" i="1"/>
  <c r="C619" i="1"/>
  <c r="AI618" i="1"/>
  <c r="AD618" i="1"/>
  <c r="AD619" i="1" s="1"/>
  <c r="AD627" i="1" s="1"/>
  <c r="Y618" i="1"/>
  <c r="T618" i="1"/>
  <c r="O618" i="1"/>
  <c r="J618" i="1"/>
  <c r="AI617" i="1"/>
  <c r="AD617" i="1"/>
  <c r="Y617" i="1"/>
  <c r="T617" i="1"/>
  <c r="O617" i="1"/>
  <c r="O619" i="1" s="1"/>
  <c r="O624" i="1" s="1"/>
  <c r="O628" i="1" s="1"/>
  <c r="J617" i="1"/>
  <c r="AJ614" i="1"/>
  <c r="AH614" i="1"/>
  <c r="AG614" i="1"/>
  <c r="AF614" i="1"/>
  <c r="AE614" i="1"/>
  <c r="AC614" i="1"/>
  <c r="AB614" i="1"/>
  <c r="AA614" i="1"/>
  <c r="Z614" i="1"/>
  <c r="X614" i="1"/>
  <c r="W614" i="1"/>
  <c r="V614" i="1"/>
  <c r="U614" i="1"/>
  <c r="S614" i="1"/>
  <c r="R614" i="1"/>
  <c r="Q614" i="1"/>
  <c r="P614" i="1"/>
  <c r="N614" i="1"/>
  <c r="M614" i="1"/>
  <c r="L614" i="1"/>
  <c r="K614" i="1"/>
  <c r="I614" i="1"/>
  <c r="H614" i="1"/>
  <c r="G614" i="1"/>
  <c r="F614" i="1"/>
  <c r="E614" i="1"/>
  <c r="D614" i="1"/>
  <c r="C614" i="1"/>
  <c r="AI613" i="1"/>
  <c r="AD613" i="1"/>
  <c r="Y613" i="1"/>
  <c r="T613" i="1"/>
  <c r="T614" i="1" s="1"/>
  <c r="O613" i="1"/>
  <c r="J613" i="1"/>
  <c r="AI612" i="1"/>
  <c r="AD612" i="1"/>
  <c r="Y612" i="1"/>
  <c r="T612" i="1"/>
  <c r="O612" i="1"/>
  <c r="J612" i="1"/>
  <c r="AI611" i="1"/>
  <c r="AD611" i="1"/>
  <c r="Y611" i="1"/>
  <c r="Y614" i="1" s="1"/>
  <c r="T611" i="1"/>
  <c r="O611" i="1"/>
  <c r="O614" i="1" s="1"/>
  <c r="J611" i="1"/>
  <c r="J614" i="1" s="1"/>
  <c r="AJ609" i="1"/>
  <c r="AH609" i="1"/>
  <c r="AG609" i="1"/>
  <c r="AF609" i="1"/>
  <c r="AE609" i="1"/>
  <c r="AC609" i="1"/>
  <c r="AB609" i="1"/>
  <c r="AA609" i="1"/>
  <c r="Z609" i="1"/>
  <c r="X609" i="1"/>
  <c r="W609" i="1"/>
  <c r="V609" i="1"/>
  <c r="U609" i="1"/>
  <c r="S609" i="1"/>
  <c r="R609" i="1"/>
  <c r="Q609" i="1"/>
  <c r="P609" i="1"/>
  <c r="N609" i="1"/>
  <c r="M609" i="1"/>
  <c r="L609" i="1"/>
  <c r="K609" i="1"/>
  <c r="J609" i="1"/>
  <c r="I609" i="1"/>
  <c r="H609" i="1"/>
  <c r="G609" i="1"/>
  <c r="F609" i="1"/>
  <c r="E609" i="1"/>
  <c r="D609" i="1"/>
  <c r="C609" i="1"/>
  <c r="AI608" i="1"/>
  <c r="AD608" i="1"/>
  <c r="Y608" i="1"/>
  <c r="T608" i="1"/>
  <c r="O608" i="1"/>
  <c r="J608" i="1"/>
  <c r="AI607" i="1"/>
  <c r="AD607" i="1"/>
  <c r="Y607" i="1"/>
  <c r="T607" i="1"/>
  <c r="O607" i="1"/>
  <c r="O609" i="1" s="1"/>
  <c r="J607" i="1"/>
  <c r="AI606" i="1"/>
  <c r="AI609" i="1" s="1"/>
  <c r="AD606" i="1"/>
  <c r="AD609" i="1" s="1"/>
  <c r="Y606" i="1"/>
  <c r="T606" i="1"/>
  <c r="T609" i="1" s="1"/>
  <c r="O606" i="1"/>
  <c r="J606" i="1"/>
  <c r="AE603" i="1"/>
  <c r="AD603" i="1"/>
  <c r="Z603" i="1"/>
  <c r="W603" i="1"/>
  <c r="N603" i="1"/>
  <c r="N1065" i="1" s="1"/>
  <c r="I603" i="1"/>
  <c r="I1065" i="1" s="1"/>
  <c r="G603" i="1"/>
  <c r="AJ602" i="1"/>
  <c r="AJ603" i="1" s="1"/>
  <c r="AH602" i="1"/>
  <c r="AG602" i="1"/>
  <c r="AF602" i="1"/>
  <c r="AF603" i="1" s="1"/>
  <c r="AE602" i="1"/>
  <c r="AD602" i="1"/>
  <c r="AC602" i="1"/>
  <c r="AB602" i="1"/>
  <c r="AA602" i="1"/>
  <c r="Z602" i="1"/>
  <c r="X602" i="1"/>
  <c r="W602" i="1"/>
  <c r="V602" i="1"/>
  <c r="U602" i="1"/>
  <c r="U603" i="1" s="1"/>
  <c r="U1065" i="1" s="1"/>
  <c r="S602" i="1"/>
  <c r="R602" i="1"/>
  <c r="Q602" i="1"/>
  <c r="P602" i="1"/>
  <c r="P603" i="1" s="1"/>
  <c r="N602" i="1"/>
  <c r="M602" i="1"/>
  <c r="L602" i="1"/>
  <c r="K602" i="1"/>
  <c r="I602" i="1"/>
  <c r="H602" i="1"/>
  <c r="G602" i="1"/>
  <c r="F602" i="1"/>
  <c r="E602" i="1"/>
  <c r="E603" i="1" s="1"/>
  <c r="D602" i="1"/>
  <c r="D603" i="1" s="1"/>
  <c r="C602" i="1"/>
  <c r="AJ601" i="1"/>
  <c r="AI601" i="1"/>
  <c r="AI603" i="1" s="1"/>
  <c r="AH601" i="1"/>
  <c r="AH603" i="1" s="1"/>
  <c r="AG601" i="1"/>
  <c r="AG603" i="1" s="1"/>
  <c r="AF601" i="1"/>
  <c r="AE601" i="1"/>
  <c r="AD601" i="1"/>
  <c r="AC601" i="1"/>
  <c r="AC603" i="1" s="1"/>
  <c r="AC1065" i="1" s="1"/>
  <c r="AB601" i="1"/>
  <c r="AA601" i="1"/>
  <c r="AA603" i="1" s="1"/>
  <c r="AA1065" i="1" s="1"/>
  <c r="Z601" i="1"/>
  <c r="X601" i="1"/>
  <c r="X603" i="1" s="1"/>
  <c r="W601" i="1"/>
  <c r="V601" i="1"/>
  <c r="V603" i="1" s="1"/>
  <c r="V1065" i="1" s="1"/>
  <c r="U601" i="1"/>
  <c r="T601" i="1"/>
  <c r="S601" i="1"/>
  <c r="S603" i="1" s="1"/>
  <c r="S1065" i="1" s="1"/>
  <c r="R601" i="1"/>
  <c r="R603" i="1" s="1"/>
  <c r="R1065" i="1" s="1"/>
  <c r="Q601" i="1"/>
  <c r="Q603" i="1" s="1"/>
  <c r="Q1065" i="1" s="1"/>
  <c r="P601" i="1"/>
  <c r="N601" i="1"/>
  <c r="M601" i="1"/>
  <c r="M603" i="1" s="1"/>
  <c r="M1065" i="1" s="1"/>
  <c r="L601" i="1"/>
  <c r="L603" i="1" s="1"/>
  <c r="L1065" i="1" s="1"/>
  <c r="K601" i="1"/>
  <c r="K603" i="1" s="1"/>
  <c r="I601" i="1"/>
  <c r="H601" i="1"/>
  <c r="H603" i="1" s="1"/>
  <c r="G601" i="1"/>
  <c r="F601" i="1"/>
  <c r="F603" i="1" s="1"/>
  <c r="E601" i="1"/>
  <c r="D601" i="1"/>
  <c r="C601" i="1"/>
  <c r="C603" i="1" s="1"/>
  <c r="C1065" i="1" s="1"/>
  <c r="AJ600" i="1"/>
  <c r="AH600" i="1"/>
  <c r="AG600" i="1"/>
  <c r="AF600" i="1"/>
  <c r="AE600" i="1"/>
  <c r="AD600" i="1"/>
  <c r="AC600" i="1"/>
  <c r="AB600" i="1"/>
  <c r="AA600" i="1"/>
  <c r="Z600" i="1"/>
  <c r="X600" i="1"/>
  <c r="W600" i="1"/>
  <c r="V600" i="1"/>
  <c r="U600" i="1"/>
  <c r="S600" i="1"/>
  <c r="R600" i="1"/>
  <c r="Q600" i="1"/>
  <c r="P600" i="1"/>
  <c r="O600" i="1"/>
  <c r="N600" i="1"/>
  <c r="M600" i="1"/>
  <c r="L600" i="1"/>
  <c r="K600" i="1"/>
  <c r="I600" i="1"/>
  <c r="H600" i="1"/>
  <c r="G600" i="1"/>
  <c r="F600" i="1"/>
  <c r="E600" i="1"/>
  <c r="D600" i="1"/>
  <c r="C600" i="1"/>
  <c r="AI599" i="1"/>
  <c r="AI602" i="1" s="1"/>
  <c r="AD599" i="1"/>
  <c r="Y599" i="1"/>
  <c r="Y602" i="1" s="1"/>
  <c r="Y603" i="1" s="1"/>
  <c r="T599" i="1"/>
  <c r="T602" i="1" s="1"/>
  <c r="T603" i="1" s="1"/>
  <c r="T1065" i="1" s="1"/>
  <c r="O599" i="1"/>
  <c r="O602" i="1" s="1"/>
  <c r="J599" i="1"/>
  <c r="AI598" i="1"/>
  <c r="AD598" i="1"/>
  <c r="Y598" i="1"/>
  <c r="Y601" i="1" s="1"/>
  <c r="T598" i="1"/>
  <c r="O598" i="1"/>
  <c r="O601" i="1" s="1"/>
  <c r="J598" i="1"/>
  <c r="J601" i="1" s="1"/>
  <c r="AJ595" i="1"/>
  <c r="AG595" i="1"/>
  <c r="AF595" i="1"/>
  <c r="AE595" i="1"/>
  <c r="Z595" i="1"/>
  <c r="U595" i="1"/>
  <c r="Q595" i="1"/>
  <c r="P595" i="1"/>
  <c r="M595" i="1"/>
  <c r="I595" i="1"/>
  <c r="E595" i="1"/>
  <c r="D595" i="1"/>
  <c r="AH594" i="1"/>
  <c r="AG594" i="1"/>
  <c r="AF594" i="1"/>
  <c r="AE594" i="1"/>
  <c r="AB594" i="1"/>
  <c r="Z594" i="1"/>
  <c r="W594" i="1"/>
  <c r="V594" i="1"/>
  <c r="Q594" i="1"/>
  <c r="P594" i="1"/>
  <c r="L594" i="1"/>
  <c r="G594" i="1"/>
  <c r="F594" i="1"/>
  <c r="AJ592" i="1"/>
  <c r="AG592" i="1"/>
  <c r="AB592" i="1"/>
  <c r="AB596" i="1" s="1"/>
  <c r="Z592" i="1"/>
  <c r="Z596" i="1" s="1"/>
  <c r="X592" i="1"/>
  <c r="U592" i="1"/>
  <c r="Q592" i="1"/>
  <c r="L592" i="1"/>
  <c r="L596" i="1" s="1"/>
  <c r="I592" i="1"/>
  <c r="H592" i="1"/>
  <c r="E592" i="1"/>
  <c r="D592" i="1"/>
  <c r="AI591" i="1"/>
  <c r="AD591" i="1"/>
  <c r="Y591" i="1"/>
  <c r="T591" i="1"/>
  <c r="O591" i="1"/>
  <c r="J591" i="1"/>
  <c r="AI590" i="1"/>
  <c r="AD590" i="1"/>
  <c r="Y590" i="1"/>
  <c r="T590" i="1"/>
  <c r="O590" i="1"/>
  <c r="J590" i="1"/>
  <c r="AI589" i="1"/>
  <c r="AI595" i="1" s="1"/>
  <c r="AD589" i="1"/>
  <c r="Y589" i="1"/>
  <c r="Y595" i="1" s="1"/>
  <c r="T589" i="1"/>
  <c r="T592" i="1" s="1"/>
  <c r="O589" i="1"/>
  <c r="J589" i="1"/>
  <c r="AI588" i="1"/>
  <c r="AD588" i="1"/>
  <c r="Y588" i="1"/>
  <c r="T588" i="1"/>
  <c r="O588" i="1"/>
  <c r="J588" i="1"/>
  <c r="AJ587" i="1"/>
  <c r="AJ594" i="1" s="1"/>
  <c r="AH587" i="1"/>
  <c r="AG587" i="1"/>
  <c r="AF587" i="1"/>
  <c r="AF592" i="1" s="1"/>
  <c r="AE587" i="1"/>
  <c r="AE592" i="1" s="1"/>
  <c r="AC587" i="1"/>
  <c r="AC595" i="1" s="1"/>
  <c r="AB587" i="1"/>
  <c r="AB595" i="1" s="1"/>
  <c r="AA587" i="1"/>
  <c r="Z587" i="1"/>
  <c r="X587" i="1"/>
  <c r="X595" i="1" s="1"/>
  <c r="W587" i="1"/>
  <c r="W595" i="1" s="1"/>
  <c r="V587" i="1"/>
  <c r="V595" i="1" s="1"/>
  <c r="U587" i="1"/>
  <c r="U594" i="1" s="1"/>
  <c r="T587" i="1"/>
  <c r="T594" i="1" s="1"/>
  <c r="S587" i="1"/>
  <c r="R587" i="1"/>
  <c r="Q587" i="1"/>
  <c r="P587" i="1"/>
  <c r="P592" i="1" s="1"/>
  <c r="N587" i="1"/>
  <c r="M587" i="1"/>
  <c r="L587" i="1"/>
  <c r="L595" i="1" s="1"/>
  <c r="K587" i="1"/>
  <c r="I587" i="1"/>
  <c r="I594" i="1" s="1"/>
  <c r="H587" i="1"/>
  <c r="H595" i="1" s="1"/>
  <c r="G587" i="1"/>
  <c r="G595" i="1" s="1"/>
  <c r="F587" i="1"/>
  <c r="F595" i="1" s="1"/>
  <c r="E587" i="1"/>
  <c r="E594" i="1" s="1"/>
  <c r="D587" i="1"/>
  <c r="D594" i="1" s="1"/>
  <c r="C587" i="1"/>
  <c r="AI586" i="1"/>
  <c r="AI587" i="1" s="1"/>
  <c r="AD586" i="1"/>
  <c r="Y586" i="1"/>
  <c r="T586" i="1"/>
  <c r="O586" i="1"/>
  <c r="J586" i="1"/>
  <c r="AI585" i="1"/>
  <c r="AD585" i="1"/>
  <c r="AD587" i="1" s="1"/>
  <c r="Y585" i="1"/>
  <c r="Y587" i="1" s="1"/>
  <c r="Y592" i="1" s="1"/>
  <c r="Y596" i="1" s="1"/>
  <c r="T585" i="1"/>
  <c r="O585" i="1"/>
  <c r="J585" i="1"/>
  <c r="AL582" i="1"/>
  <c r="AM581" i="1" s="1"/>
  <c r="AL579" i="1"/>
  <c r="AL575" i="1"/>
  <c r="AL568" i="1"/>
  <c r="AL567" i="1"/>
  <c r="AW556" i="1"/>
  <c r="AV556" i="1"/>
  <c r="AU556" i="1"/>
  <c r="AT556" i="1"/>
  <c r="AR556" i="1"/>
  <c r="AO556" i="1"/>
  <c r="AM556" i="1"/>
  <c r="AK556" i="1"/>
  <c r="AJ556" i="1"/>
  <c r="AG556" i="1"/>
  <c r="AE556" i="1"/>
  <c r="AB556" i="1"/>
  <c r="Y556" i="1"/>
  <c r="W556" i="1"/>
  <c r="U556" i="1"/>
  <c r="T556" i="1"/>
  <c r="Q556" i="1"/>
  <c r="O556" i="1"/>
  <c r="N556" i="1"/>
  <c r="L556" i="1"/>
  <c r="I556" i="1"/>
  <c r="G556" i="1"/>
  <c r="E556" i="1"/>
  <c r="D556" i="1"/>
  <c r="AS555" i="1"/>
  <c r="AN555" i="1"/>
  <c r="AS554" i="1"/>
  <c r="AN554" i="1"/>
  <c r="AS553" i="1"/>
  <c r="AS556" i="1" s="1"/>
  <c r="AR553" i="1"/>
  <c r="AQ553" i="1"/>
  <c r="AQ556" i="1" s="1"/>
  <c r="AP553" i="1"/>
  <c r="AP556" i="1" s="1"/>
  <c r="AO553" i="1"/>
  <c r="AN553" i="1"/>
  <c r="AN556" i="1" s="1"/>
  <c r="AM553" i="1"/>
  <c r="AL553" i="1"/>
  <c r="AL556" i="1" s="1"/>
  <c r="AK553" i="1"/>
  <c r="AJ553" i="1"/>
  <c r="AI553" i="1"/>
  <c r="AI556" i="1" s="1"/>
  <c r="AH553" i="1"/>
  <c r="AH556" i="1" s="1"/>
  <c r="AG553" i="1"/>
  <c r="AF553" i="1"/>
  <c r="AF556" i="1" s="1"/>
  <c r="AE553" i="1"/>
  <c r="AD553" i="1"/>
  <c r="AD556" i="1" s="1"/>
  <c r="AC553" i="1"/>
  <c r="AC556" i="1" s="1"/>
  <c r="AB553" i="1"/>
  <c r="AA553" i="1"/>
  <c r="AA556" i="1" s="1"/>
  <c r="Z553" i="1"/>
  <c r="Z556" i="1" s="1"/>
  <c r="Y553" i="1"/>
  <c r="X553" i="1"/>
  <c r="X556" i="1" s="1"/>
  <c r="W553" i="1"/>
  <c r="V553" i="1"/>
  <c r="V556" i="1" s="1"/>
  <c r="U553" i="1"/>
  <c r="T553" i="1"/>
  <c r="S553" i="1"/>
  <c r="S556" i="1" s="1"/>
  <c r="R553" i="1"/>
  <c r="R556" i="1" s="1"/>
  <c r="Q553" i="1"/>
  <c r="P553" i="1"/>
  <c r="P556" i="1" s="1"/>
  <c r="O553" i="1"/>
  <c r="N553" i="1"/>
  <c r="M553" i="1"/>
  <c r="M556" i="1" s="1"/>
  <c r="L553" i="1"/>
  <c r="K553" i="1"/>
  <c r="K556" i="1" s="1"/>
  <c r="J553" i="1"/>
  <c r="J556" i="1" s="1"/>
  <c r="I553" i="1"/>
  <c r="H553" i="1"/>
  <c r="H556" i="1" s="1"/>
  <c r="G553" i="1"/>
  <c r="F553" i="1"/>
  <c r="F556" i="1" s="1"/>
  <c r="E553" i="1"/>
  <c r="D553" i="1"/>
  <c r="C553" i="1"/>
  <c r="C556" i="1" s="1"/>
  <c r="AN552" i="1"/>
  <c r="AN551" i="1"/>
  <c r="BD548" i="1"/>
  <c r="AW548" i="1"/>
  <c r="AV548" i="1"/>
  <c r="AT548" i="1"/>
  <c r="AS548" i="1"/>
  <c r="AR548" i="1"/>
  <c r="AQ548" i="1"/>
  <c r="AP548" i="1"/>
  <c r="AM548" i="1"/>
  <c r="AL548" i="1"/>
  <c r="AK548" i="1"/>
  <c r="AH548" i="1"/>
  <c r="AG548" i="1"/>
  <c r="AF548" i="1"/>
  <c r="AS547" i="1"/>
  <c r="AN547" i="1"/>
  <c r="AN548" i="1" s="1"/>
  <c r="AI547" i="1"/>
  <c r="AI548" i="1" s="1"/>
  <c r="BG545" i="1"/>
  <c r="BG531" i="1" s="1"/>
  <c r="BF545" i="1"/>
  <c r="BE545" i="1"/>
  <c r="BC545" i="1"/>
  <c r="BB545" i="1"/>
  <c r="BA545" i="1"/>
  <c r="BA531" i="1" s="1"/>
  <c r="AZ545" i="1"/>
  <c r="AX545" i="1"/>
  <c r="AX531" i="1" s="1"/>
  <c r="AY531" i="1" s="1"/>
  <c r="AW545" i="1"/>
  <c r="AV545" i="1"/>
  <c r="AU545" i="1"/>
  <c r="AT545" i="1"/>
  <c r="AR545" i="1"/>
  <c r="AQ545" i="1"/>
  <c r="AP545" i="1"/>
  <c r="AM545" i="1"/>
  <c r="AK545" i="1"/>
  <c r="BD544" i="1"/>
  <c r="AY544" i="1"/>
  <c r="AY497" i="1" s="1"/>
  <c r="AS544" i="1"/>
  <c r="AS497" i="1" s="1"/>
  <c r="AN544" i="1"/>
  <c r="AL544" i="1"/>
  <c r="BD543" i="1"/>
  <c r="AY543" i="1"/>
  <c r="AO543" i="1"/>
  <c r="AL543" i="1"/>
  <c r="AL545" i="1" s="1"/>
  <c r="BD542" i="1"/>
  <c r="BD545" i="1" s="1"/>
  <c r="AY542" i="1"/>
  <c r="AN542" i="1"/>
  <c r="AW539" i="1"/>
  <c r="AV539" i="1"/>
  <c r="AU539" i="1"/>
  <c r="AT539" i="1"/>
  <c r="AS539" i="1"/>
  <c r="AR539" i="1"/>
  <c r="AQ539" i="1"/>
  <c r="AP539" i="1"/>
  <c r="AO539" i="1"/>
  <c r="AN539" i="1"/>
  <c r="AM539" i="1"/>
  <c r="AL539" i="1"/>
  <c r="AK539" i="1"/>
  <c r="AJ539" i="1"/>
  <c r="AI539" i="1"/>
  <c r="AH539" i="1"/>
  <c r="AG539" i="1"/>
  <c r="AF539" i="1"/>
  <c r="AE539" i="1"/>
  <c r="Z539" i="1"/>
  <c r="AW538" i="1"/>
  <c r="AV538" i="1"/>
  <c r="AU538" i="1"/>
  <c r="AT538" i="1"/>
  <c r="AS538" i="1"/>
  <c r="AR538" i="1"/>
  <c r="AQ538" i="1"/>
  <c r="AP538" i="1"/>
  <c r="AO538" i="1"/>
  <c r="AN538" i="1"/>
  <c r="AM538" i="1"/>
  <c r="AL538" i="1"/>
  <c r="AK538" i="1"/>
  <c r="AJ538" i="1"/>
  <c r="AI538" i="1"/>
  <c r="AH538" i="1"/>
  <c r="AG538" i="1"/>
  <c r="AF538" i="1"/>
  <c r="AE538" i="1"/>
  <c r="Z538" i="1"/>
  <c r="BG537" i="1"/>
  <c r="BF537" i="1"/>
  <c r="BE537" i="1"/>
  <c r="BC537" i="1"/>
  <c r="BB537" i="1"/>
  <c r="BA537" i="1"/>
  <c r="AZ537" i="1"/>
  <c r="AY537" i="1"/>
  <c r="AX537" i="1"/>
  <c r="AW537" i="1"/>
  <c r="AV537" i="1"/>
  <c r="AU537" i="1"/>
  <c r="AT537" i="1"/>
  <c r="AS537" i="1"/>
  <c r="AR537" i="1"/>
  <c r="AQ537" i="1"/>
  <c r="AP537" i="1"/>
  <c r="AO537" i="1"/>
  <c r="AN537" i="1"/>
  <c r="AM537" i="1"/>
  <c r="AL537" i="1"/>
  <c r="AK537" i="1"/>
  <c r="AJ537" i="1"/>
  <c r="AI537" i="1"/>
  <c r="AH537" i="1"/>
  <c r="AG537" i="1"/>
  <c r="AF537" i="1"/>
  <c r="AE537" i="1"/>
  <c r="Z537" i="1"/>
  <c r="BG536" i="1"/>
  <c r="BC536" i="1"/>
  <c r="BA536" i="1"/>
  <c r="AX536" i="1"/>
  <c r="AW536" i="1"/>
  <c r="AV536" i="1"/>
  <c r="AU536" i="1"/>
  <c r="AT536" i="1"/>
  <c r="AS536" i="1"/>
  <c r="AR536" i="1"/>
  <c r="AQ536" i="1"/>
  <c r="AP536" i="1"/>
  <c r="AO536" i="1"/>
  <c r="AN536" i="1"/>
  <c r="AM536" i="1"/>
  <c r="AL536" i="1"/>
  <c r="AK536" i="1"/>
  <c r="AJ536" i="1"/>
  <c r="AI536" i="1"/>
  <c r="AH536" i="1"/>
  <c r="AG536" i="1"/>
  <c r="AF536" i="1"/>
  <c r="AE536" i="1"/>
  <c r="Z536" i="1"/>
  <c r="AN533" i="1"/>
  <c r="AN532" i="1"/>
  <c r="BF531" i="1"/>
  <c r="BE531" i="1"/>
  <c r="BC531" i="1"/>
  <c r="BB531" i="1"/>
  <c r="AZ531" i="1"/>
  <c r="BD529" i="1"/>
  <c r="BD537" i="1" s="1"/>
  <c r="AY529" i="1"/>
  <c r="BG528" i="1"/>
  <c r="BG777" i="1" s="1"/>
  <c r="BF528" i="1"/>
  <c r="BF777" i="1" s="1"/>
  <c r="BE528" i="1"/>
  <c r="BC528" i="1"/>
  <c r="BC777" i="1" s="1"/>
  <c r="BB528" i="1"/>
  <c r="BB536" i="1" s="1"/>
  <c r="BA528" i="1"/>
  <c r="BA777" i="1" s="1"/>
  <c r="AZ528" i="1"/>
  <c r="AZ777" i="1" s="1"/>
  <c r="AY528" i="1"/>
  <c r="AY536" i="1" s="1"/>
  <c r="BG527" i="1"/>
  <c r="BF527" i="1"/>
  <c r="BE527" i="1"/>
  <c r="BC527" i="1"/>
  <c r="BB527" i="1"/>
  <c r="BA527" i="1"/>
  <c r="AZ527" i="1"/>
  <c r="AX527" i="1"/>
  <c r="BD526" i="1"/>
  <c r="BD492" i="1" s="1"/>
  <c r="AY526" i="1"/>
  <c r="AY492" i="1" s="1"/>
  <c r="AS526" i="1"/>
  <c r="AS492" i="1" s="1"/>
  <c r="AN526" i="1"/>
  <c r="AI526" i="1"/>
  <c r="BD525" i="1"/>
  <c r="AW525" i="1"/>
  <c r="AW486" i="1" s="1"/>
  <c r="AV525" i="1"/>
  <c r="AU525" i="1"/>
  <c r="AT525" i="1"/>
  <c r="AS525" i="1"/>
  <c r="AS486" i="1" s="1"/>
  <c r="AR525" i="1"/>
  <c r="AQ525" i="1"/>
  <c r="AP525" i="1"/>
  <c r="AO525" i="1"/>
  <c r="AN525" i="1"/>
  <c r="AM525" i="1"/>
  <c r="AL525" i="1"/>
  <c r="AK525" i="1"/>
  <c r="AJ525" i="1"/>
  <c r="AH525" i="1"/>
  <c r="AG525" i="1"/>
  <c r="AI525" i="1" s="1"/>
  <c r="AF525" i="1"/>
  <c r="AS521" i="1"/>
  <c r="AR521" i="1"/>
  <c r="AQ521" i="1"/>
  <c r="AP521" i="1"/>
  <c r="AO521" i="1"/>
  <c r="AM521" i="1"/>
  <c r="AL521" i="1"/>
  <c r="AK521" i="1"/>
  <c r="AJ521" i="1"/>
  <c r="AJ516" i="1" s="1"/>
  <c r="AG521" i="1"/>
  <c r="AG524" i="1" s="1"/>
  <c r="AG535" i="1" s="1"/>
  <c r="AE521" i="1"/>
  <c r="Z521" i="1"/>
  <c r="AT520" i="1"/>
  <c r="AN520" i="1"/>
  <c r="AK520" i="1"/>
  <c r="AT519" i="1"/>
  <c r="AN519" i="1"/>
  <c r="AK519" i="1"/>
  <c r="AT518" i="1"/>
  <c r="AT521" i="1" s="1"/>
  <c r="AK518" i="1"/>
  <c r="AN518" i="1" s="1"/>
  <c r="AN521" i="1" s="1"/>
  <c r="AS516" i="1"/>
  <c r="AP516" i="1"/>
  <c r="AM516" i="1"/>
  <c r="AT514" i="1"/>
  <c r="AS514" i="1"/>
  <c r="AR514" i="1"/>
  <c r="AM514" i="1"/>
  <c r="AL514" i="1"/>
  <c r="AS513" i="1"/>
  <c r="AN513" i="1"/>
  <c r="AS512" i="1"/>
  <c r="AN512" i="1"/>
  <c r="AS511" i="1"/>
  <c r="AR511" i="1"/>
  <c r="AQ511" i="1"/>
  <c r="AQ514" i="1" s="1"/>
  <c r="AP511" i="1"/>
  <c r="AP514" i="1" s="1"/>
  <c r="AO511" i="1"/>
  <c r="AO514" i="1" s="1"/>
  <c r="AM511" i="1"/>
  <c r="AL511" i="1"/>
  <c r="AK511" i="1"/>
  <c r="AK514" i="1" s="1"/>
  <c r="AN509" i="1"/>
  <c r="AN511" i="1" s="1"/>
  <c r="AN514" i="1" s="1"/>
  <c r="AT507" i="1"/>
  <c r="AR507" i="1"/>
  <c r="AQ507" i="1"/>
  <c r="AP507" i="1"/>
  <c r="AO507" i="1"/>
  <c r="AN507" i="1"/>
  <c r="AM507" i="1"/>
  <c r="AL507" i="1"/>
  <c r="AK507" i="1"/>
  <c r="AJ507" i="1"/>
  <c r="AH507" i="1"/>
  <c r="AG507" i="1"/>
  <c r="AF507" i="1"/>
  <c r="AS506" i="1"/>
  <c r="AS507" i="1" s="1"/>
  <c r="AN506" i="1"/>
  <c r="AI506" i="1"/>
  <c r="AI507" i="1" s="1"/>
  <c r="AS505" i="1"/>
  <c r="AN505" i="1"/>
  <c r="AS503" i="1"/>
  <c r="AR503" i="1"/>
  <c r="AR516" i="1" s="1"/>
  <c r="AQ503" i="1"/>
  <c r="AP503" i="1"/>
  <c r="AO503" i="1"/>
  <c r="AO516" i="1" s="1"/>
  <c r="AN503" i="1"/>
  <c r="AL503" i="1"/>
  <c r="AK503" i="1"/>
  <c r="AJ503" i="1"/>
  <c r="AG503" i="1"/>
  <c r="AF503" i="1"/>
  <c r="AE503" i="1"/>
  <c r="Z503" i="1"/>
  <c r="AT502" i="1"/>
  <c r="AN502" i="1"/>
  <c r="AT501" i="1"/>
  <c r="AT503" i="1" s="1"/>
  <c r="AN501" i="1"/>
  <c r="AT500" i="1"/>
  <c r="AN500" i="1"/>
  <c r="BA498" i="1"/>
  <c r="BA774" i="1" s="1"/>
  <c r="AZ498" i="1"/>
  <c r="AZ774" i="1" s="1"/>
  <c r="AW498" i="1"/>
  <c r="AV498" i="1"/>
  <c r="AU498" i="1"/>
  <c r="AT498" i="1"/>
  <c r="AS498" i="1"/>
  <c r="AR498" i="1"/>
  <c r="AQ498" i="1"/>
  <c r="AP498" i="1"/>
  <c r="BG497" i="1"/>
  <c r="BF497" i="1"/>
  <c r="BE497" i="1"/>
  <c r="BD497" i="1"/>
  <c r="BC497" i="1"/>
  <c r="BB497" i="1"/>
  <c r="BA497" i="1"/>
  <c r="AZ497" i="1"/>
  <c r="AX497" i="1"/>
  <c r="AW497" i="1"/>
  <c r="AV497" i="1"/>
  <c r="AU497" i="1"/>
  <c r="AT497" i="1"/>
  <c r="AR497" i="1"/>
  <c r="AQ497" i="1"/>
  <c r="AP497" i="1"/>
  <c r="AS496" i="1"/>
  <c r="AT494" i="1"/>
  <c r="AS494" i="1"/>
  <c r="AR494" i="1"/>
  <c r="AQ494" i="1"/>
  <c r="AP494" i="1"/>
  <c r="BG492" i="1"/>
  <c r="BF492" i="1"/>
  <c r="BE492" i="1"/>
  <c r="BC492" i="1"/>
  <c r="BB492" i="1"/>
  <c r="BA492" i="1"/>
  <c r="AZ492" i="1"/>
  <c r="AX492" i="1"/>
  <c r="AW492" i="1"/>
  <c r="AV492" i="1"/>
  <c r="AU492" i="1"/>
  <c r="AT492" i="1"/>
  <c r="AR492" i="1"/>
  <c r="AQ492" i="1"/>
  <c r="AP492" i="1"/>
  <c r="BG491" i="1"/>
  <c r="BF491" i="1"/>
  <c r="BE491" i="1"/>
  <c r="BD491" i="1"/>
  <c r="BC491" i="1"/>
  <c r="BB491" i="1"/>
  <c r="BA491" i="1"/>
  <c r="AZ491" i="1"/>
  <c r="AY491" i="1"/>
  <c r="AX491" i="1"/>
  <c r="AW491" i="1"/>
  <c r="AV491" i="1"/>
  <c r="AU491" i="1"/>
  <c r="AT491" i="1"/>
  <c r="AR491" i="1"/>
  <c r="AQ491" i="1"/>
  <c r="AP491" i="1"/>
  <c r="AW488" i="1"/>
  <c r="AV488" i="1"/>
  <c r="AU488" i="1"/>
  <c r="AT488" i="1"/>
  <c r="AS488" i="1"/>
  <c r="AR488" i="1"/>
  <c r="AQ488" i="1"/>
  <c r="AP488" i="1"/>
  <c r="BG486" i="1"/>
  <c r="BF486" i="1"/>
  <c r="BE486" i="1"/>
  <c r="BC486" i="1"/>
  <c r="BB486" i="1"/>
  <c r="BA486" i="1"/>
  <c r="AZ486" i="1"/>
  <c r="AX486" i="1"/>
  <c r="AV486" i="1"/>
  <c r="AU486" i="1"/>
  <c r="AT486" i="1"/>
  <c r="AR486" i="1"/>
  <c r="AQ486" i="1"/>
  <c r="AP486" i="1"/>
  <c r="AW483" i="1"/>
  <c r="AV483" i="1"/>
  <c r="AU483" i="1"/>
  <c r="AT483" i="1"/>
  <c r="AS483" i="1"/>
  <c r="AR483" i="1"/>
  <c r="AQ483" i="1"/>
  <c r="AP483" i="1"/>
  <c r="BG481" i="1"/>
  <c r="BF481" i="1"/>
  <c r="BE481" i="1"/>
  <c r="BC481" i="1"/>
  <c r="BB481" i="1"/>
  <c r="BA481" i="1"/>
  <c r="AZ481" i="1"/>
  <c r="AX481" i="1"/>
  <c r="AW481" i="1"/>
  <c r="AV481" i="1"/>
  <c r="AU481" i="1"/>
  <c r="AS481" i="1"/>
  <c r="AR481" i="1"/>
  <c r="AQ481" i="1"/>
  <c r="AP481" i="1"/>
  <c r="BG480" i="1"/>
  <c r="BF480" i="1"/>
  <c r="BE480" i="1"/>
  <c r="BC480" i="1"/>
  <c r="BB480" i="1"/>
  <c r="BA480" i="1"/>
  <c r="AZ480" i="1"/>
  <c r="BD480" i="1" s="1"/>
  <c r="AX480" i="1"/>
  <c r="AW480" i="1"/>
  <c r="AV480" i="1"/>
  <c r="AU480" i="1"/>
  <c r="AY480" i="1" s="1"/>
  <c r="AT480" i="1"/>
  <c r="AR480" i="1"/>
  <c r="AQ480" i="1"/>
  <c r="AP480" i="1"/>
  <c r="AT476" i="1"/>
  <c r="AR476" i="1"/>
  <c r="AQ476" i="1"/>
  <c r="AO476" i="1"/>
  <c r="AM476" i="1"/>
  <c r="AL476" i="1"/>
  <c r="AK476" i="1"/>
  <c r="AJ476" i="1"/>
  <c r="AH476" i="1"/>
  <c r="AG476" i="1"/>
  <c r="AF476" i="1"/>
  <c r="AE476" i="1"/>
  <c r="Z476" i="1"/>
  <c r="AS475" i="1"/>
  <c r="AN475" i="1"/>
  <c r="AI475" i="1"/>
  <c r="AS474" i="1"/>
  <c r="AS473" i="1"/>
  <c r="AN473" i="1"/>
  <c r="AI473" i="1"/>
  <c r="AS472" i="1"/>
  <c r="AS476" i="1" s="1"/>
  <c r="AN472" i="1"/>
  <c r="AI472" i="1"/>
  <c r="AI476" i="1" s="1"/>
  <c r="AT470" i="1"/>
  <c r="AS470" i="1"/>
  <c r="AR470" i="1"/>
  <c r="AQ470" i="1"/>
  <c r="AP470" i="1"/>
  <c r="AM470" i="1"/>
  <c r="AK470" i="1"/>
  <c r="AS469" i="1"/>
  <c r="AN469" i="1"/>
  <c r="AS468" i="1"/>
  <c r="AN468" i="1"/>
  <c r="AS467" i="1"/>
  <c r="AR467" i="1"/>
  <c r="AQ467" i="1"/>
  <c r="AP467" i="1"/>
  <c r="AO467" i="1"/>
  <c r="AO470" i="1" s="1"/>
  <c r="AM467" i="1"/>
  <c r="AL467" i="1"/>
  <c r="AL470" i="1" s="1"/>
  <c r="AK467" i="1"/>
  <c r="AN466" i="1"/>
  <c r="AN467" i="1" s="1"/>
  <c r="AN470" i="1" s="1"/>
  <c r="AN465" i="1"/>
  <c r="AT463" i="1"/>
  <c r="AR463" i="1"/>
  <c r="AQ463" i="1"/>
  <c r="AP463" i="1"/>
  <c r="AO463" i="1"/>
  <c r="AM463" i="1"/>
  <c r="AL463" i="1"/>
  <c r="AK463" i="1"/>
  <c r="AJ463" i="1"/>
  <c r="AH463" i="1"/>
  <c r="AG463" i="1"/>
  <c r="AF463" i="1"/>
  <c r="AE463" i="1"/>
  <c r="Z463" i="1"/>
  <c r="AS462" i="1"/>
  <c r="AI462" i="1"/>
  <c r="AS461" i="1"/>
  <c r="AN461" i="1"/>
  <c r="AI461" i="1"/>
  <c r="AS460" i="1"/>
  <c r="AN460" i="1"/>
  <c r="AI460" i="1"/>
  <c r="AS459" i="1"/>
  <c r="AN459" i="1"/>
  <c r="AI459" i="1"/>
  <c r="AS458" i="1"/>
  <c r="AI458" i="1"/>
  <c r="AS457" i="1"/>
  <c r="AN457" i="1"/>
  <c r="AI457" i="1"/>
  <c r="AS456" i="1"/>
  <c r="AS463" i="1" s="1"/>
  <c r="AN456" i="1"/>
  <c r="AI456" i="1"/>
  <c r="AI463" i="1" s="1"/>
  <c r="AT453" i="1"/>
  <c r="AR453" i="1"/>
  <c r="AQ453" i="1"/>
  <c r="AP453" i="1"/>
  <c r="AM453" i="1"/>
  <c r="AL453" i="1"/>
  <c r="AK453" i="1"/>
  <c r="AH453" i="1"/>
  <c r="AG453" i="1"/>
  <c r="AF453" i="1"/>
  <c r="AS452" i="1"/>
  <c r="AS453" i="1" s="1"/>
  <c r="AN452" i="1"/>
  <c r="AN453" i="1" s="1"/>
  <c r="AI452" i="1"/>
  <c r="AI453" i="1" s="1"/>
  <c r="AT450" i="1"/>
  <c r="AR450" i="1"/>
  <c r="AQ450" i="1"/>
  <c r="AP450" i="1"/>
  <c r="AO450" i="1"/>
  <c r="AM450" i="1"/>
  <c r="AL450" i="1"/>
  <c r="AK450" i="1"/>
  <c r="AJ450" i="1"/>
  <c r="AH450" i="1"/>
  <c r="AG450" i="1"/>
  <c r="AF450" i="1"/>
  <c r="AS449" i="1"/>
  <c r="AN449" i="1"/>
  <c r="AN450" i="1" s="1"/>
  <c r="AI449" i="1"/>
  <c r="AS448" i="1"/>
  <c r="AS450" i="1" s="1"/>
  <c r="AN448" i="1"/>
  <c r="AI448" i="1"/>
  <c r="AI450" i="1" s="1"/>
  <c r="AR446" i="1"/>
  <c r="AK446" i="1"/>
  <c r="AJ446" i="1"/>
  <c r="AT445" i="1"/>
  <c r="AP445" i="1"/>
  <c r="AL445" i="1"/>
  <c r="AK445" i="1"/>
  <c r="AJ445" i="1"/>
  <c r="AE445" i="1"/>
  <c r="Z445" i="1"/>
  <c r="AT444" i="1"/>
  <c r="AM444" i="1"/>
  <c r="AL444" i="1"/>
  <c r="AK444" i="1"/>
  <c r="AF444" i="1"/>
  <c r="AE444" i="1"/>
  <c r="Z444" i="1"/>
  <c r="AN442" i="1"/>
  <c r="AL442" i="1"/>
  <c r="AN441" i="1"/>
  <c r="AL441" i="1"/>
  <c r="AS440" i="1"/>
  <c r="AN440" i="1"/>
  <c r="AL440" i="1"/>
  <c r="AR439" i="1"/>
  <c r="AQ439" i="1"/>
  <c r="AO439" i="1"/>
  <c r="AM439" i="1"/>
  <c r="AK439" i="1"/>
  <c r="AS438" i="1"/>
  <c r="AN438" i="1"/>
  <c r="AL438" i="1"/>
  <c r="AS437" i="1"/>
  <c r="AN437" i="1"/>
  <c r="AL437" i="1"/>
  <c r="AL439" i="1" s="1"/>
  <c r="AS436" i="1"/>
  <c r="AN436" i="1"/>
  <c r="AN439" i="1" s="1"/>
  <c r="AL436" i="1"/>
  <c r="AT435" i="1"/>
  <c r="AT446" i="1" s="1"/>
  <c r="AR435" i="1"/>
  <c r="AP435" i="1"/>
  <c r="AP446" i="1" s="1"/>
  <c r="AL435" i="1"/>
  <c r="AL446" i="1" s="1"/>
  <c r="AF435" i="1"/>
  <c r="Z435" i="1"/>
  <c r="AS434" i="1"/>
  <c r="AN434" i="1"/>
  <c r="AI434" i="1"/>
  <c r="AS433" i="1"/>
  <c r="AN433" i="1"/>
  <c r="AI433" i="1"/>
  <c r="AS432" i="1"/>
  <c r="AN432" i="1"/>
  <c r="AI432" i="1"/>
  <c r="AS431" i="1"/>
  <c r="AN431" i="1"/>
  <c r="AI431" i="1"/>
  <c r="AT430" i="1"/>
  <c r="AR430" i="1"/>
  <c r="AR445" i="1" s="1"/>
  <c r="AQ430" i="1"/>
  <c r="AP430" i="1"/>
  <c r="AP444" i="1" s="1"/>
  <c r="AO430" i="1"/>
  <c r="AO445" i="1" s="1"/>
  <c r="AN430" i="1"/>
  <c r="AN435" i="1" s="1"/>
  <c r="AN446" i="1" s="1"/>
  <c r="AM430" i="1"/>
  <c r="AM445" i="1" s="1"/>
  <c r="AL430" i="1"/>
  <c r="AK430" i="1"/>
  <c r="AK435" i="1" s="1"/>
  <c r="AJ430" i="1"/>
  <c r="AJ435" i="1" s="1"/>
  <c r="AH430" i="1"/>
  <c r="AM425" i="1" s="1"/>
  <c r="AG430" i="1"/>
  <c r="AG444" i="1" s="1"/>
  <c r="AF430" i="1"/>
  <c r="AF445" i="1" s="1"/>
  <c r="AE430" i="1"/>
  <c r="AE435" i="1" s="1"/>
  <c r="AD430" i="1"/>
  <c r="AC430" i="1"/>
  <c r="AB430" i="1"/>
  <c r="AA430" i="1"/>
  <c r="Z430" i="1"/>
  <c r="AS429" i="1"/>
  <c r="AS428" i="1"/>
  <c r="AS424" i="1" s="1"/>
  <c r="AN428" i="1"/>
  <c r="AN424" i="1" s="1"/>
  <c r="AI428" i="1"/>
  <c r="AS427" i="1"/>
  <c r="AN427" i="1"/>
  <c r="AI427" i="1"/>
  <c r="AN423" i="1" s="1"/>
  <c r="AR425" i="1"/>
  <c r="AJ425" i="1"/>
  <c r="AE425" i="1"/>
  <c r="AT424" i="1"/>
  <c r="AR424" i="1"/>
  <c r="AQ424" i="1"/>
  <c r="AP424" i="1"/>
  <c r="AO424" i="1"/>
  <c r="AM424" i="1"/>
  <c r="AL424" i="1"/>
  <c r="AK424" i="1"/>
  <c r="AJ424" i="1"/>
  <c r="AE424" i="1"/>
  <c r="AT423" i="1"/>
  <c r="AS423" i="1"/>
  <c r="AR423" i="1"/>
  <c r="AQ423" i="1"/>
  <c r="AP423" i="1"/>
  <c r="AO423" i="1"/>
  <c r="AM423" i="1"/>
  <c r="AL423" i="1"/>
  <c r="AK423" i="1"/>
  <c r="AJ423" i="1"/>
  <c r="AE423" i="1"/>
  <c r="AT420" i="1"/>
  <c r="AQ420" i="1"/>
  <c r="AO420" i="1"/>
  <c r="AM420" i="1"/>
  <c r="AS419" i="1"/>
  <c r="AN419" i="1"/>
  <c r="AS418" i="1"/>
  <c r="AN418" i="1"/>
  <c r="AS417" i="1"/>
  <c r="AS420" i="1" s="1"/>
  <c r="AR417" i="1"/>
  <c r="AR420" i="1" s="1"/>
  <c r="AQ417" i="1"/>
  <c r="AP417" i="1"/>
  <c r="AP420" i="1" s="1"/>
  <c r="AO417" i="1"/>
  <c r="AM417" i="1"/>
  <c r="AL417" i="1"/>
  <c r="AL420" i="1" s="1"/>
  <c r="AK417" i="1"/>
  <c r="AK420" i="1" s="1"/>
  <c r="AN416" i="1"/>
  <c r="AN417" i="1" s="1"/>
  <c r="AN420" i="1" s="1"/>
  <c r="AN415" i="1"/>
  <c r="AT412" i="1"/>
  <c r="AR412" i="1"/>
  <c r="AQ412" i="1"/>
  <c r="AP412" i="1"/>
  <c r="AN412" i="1"/>
  <c r="AM412" i="1"/>
  <c r="AL412" i="1"/>
  <c r="AK412" i="1"/>
  <c r="AH412" i="1"/>
  <c r="AG412" i="1"/>
  <c r="AF412" i="1"/>
  <c r="AS411" i="1"/>
  <c r="AS412" i="1" s="1"/>
  <c r="AN411" i="1"/>
  <c r="AI411" i="1"/>
  <c r="AI412" i="1" s="1"/>
  <c r="AT409" i="1"/>
  <c r="AR409" i="1"/>
  <c r="AQ409" i="1"/>
  <c r="AP409" i="1"/>
  <c r="AO409" i="1"/>
  <c r="AM409" i="1"/>
  <c r="AL409" i="1"/>
  <c r="AK409" i="1"/>
  <c r="AJ409" i="1"/>
  <c r="AH409" i="1"/>
  <c r="AG409" i="1"/>
  <c r="AF409" i="1"/>
  <c r="AS408" i="1"/>
  <c r="AN408" i="1"/>
  <c r="AI408" i="1"/>
  <c r="AS407" i="1"/>
  <c r="AS409" i="1" s="1"/>
  <c r="AN407" i="1"/>
  <c r="AN409" i="1" s="1"/>
  <c r="AI407" i="1"/>
  <c r="AI409" i="1" s="1"/>
  <c r="AQ405" i="1"/>
  <c r="AM405" i="1"/>
  <c r="AG405" i="1"/>
  <c r="AF405" i="1"/>
  <c r="AR404" i="1"/>
  <c r="AM404" i="1"/>
  <c r="AL404" i="1"/>
  <c r="AH404" i="1"/>
  <c r="AG404" i="1"/>
  <c r="AF404" i="1"/>
  <c r="AE404" i="1"/>
  <c r="AQ403" i="1"/>
  <c r="AM403" i="1"/>
  <c r="AH403" i="1"/>
  <c r="AG403" i="1"/>
  <c r="AS401" i="1"/>
  <c r="AN401" i="1"/>
  <c r="AL401" i="1"/>
  <c r="AL316" i="1" s="1"/>
  <c r="AR400" i="1"/>
  <c r="AQ400" i="1"/>
  <c r="AO400" i="1"/>
  <c r="AM400" i="1"/>
  <c r="AK400" i="1"/>
  <c r="AS399" i="1"/>
  <c r="AN399" i="1"/>
  <c r="AL399" i="1"/>
  <c r="AL314" i="1" s="1"/>
  <c r="AS398" i="1"/>
  <c r="AN398" i="1"/>
  <c r="AL398" i="1"/>
  <c r="AQ397" i="1"/>
  <c r="AM397" i="1"/>
  <c r="AH397" i="1"/>
  <c r="AH405" i="1" s="1"/>
  <c r="AG397" i="1"/>
  <c r="AE397" i="1"/>
  <c r="AS396" i="1"/>
  <c r="AS395" i="1"/>
  <c r="AN395" i="1"/>
  <c r="AI395" i="1"/>
  <c r="AS394" i="1"/>
  <c r="AN394" i="1"/>
  <c r="AI394" i="1"/>
  <c r="AI404" i="1" s="1"/>
  <c r="AS393" i="1"/>
  <c r="AN393" i="1"/>
  <c r="AI393" i="1"/>
  <c r="AI403" i="1" s="1"/>
  <c r="AT392" i="1"/>
  <c r="AR392" i="1"/>
  <c r="AR403" i="1" s="1"/>
  <c r="AQ392" i="1"/>
  <c r="AQ404" i="1" s="1"/>
  <c r="AP392" i="1"/>
  <c r="AL392" i="1"/>
  <c r="AL385" i="1" s="1"/>
  <c r="AK392" i="1"/>
  <c r="AK397" i="1" s="1"/>
  <c r="AK405" i="1" s="1"/>
  <c r="AJ392" i="1"/>
  <c r="AJ397" i="1" s="1"/>
  <c r="AJ405" i="1" s="1"/>
  <c r="AF392" i="1"/>
  <c r="AF397" i="1" s="1"/>
  <c r="AE392" i="1"/>
  <c r="AE403" i="1" s="1"/>
  <c r="Z392" i="1"/>
  <c r="Z404" i="1" s="1"/>
  <c r="AS391" i="1"/>
  <c r="AN391" i="1"/>
  <c r="AI391" i="1"/>
  <c r="AS390" i="1"/>
  <c r="AS383" i="1" s="1"/>
  <c r="AN390" i="1"/>
  <c r="AN383" i="1" s="1"/>
  <c r="AI390" i="1"/>
  <c r="AS389" i="1"/>
  <c r="AO389" i="1"/>
  <c r="AI389" i="1"/>
  <c r="AS388" i="1"/>
  <c r="AN388" i="1"/>
  <c r="AS381" i="1" s="1"/>
  <c r="AI388" i="1"/>
  <c r="AS387" i="1"/>
  <c r="AS380" i="1" s="1"/>
  <c r="AN387" i="1"/>
  <c r="AI387" i="1"/>
  <c r="AN380" i="1" s="1"/>
  <c r="AR385" i="1"/>
  <c r="AQ385" i="1"/>
  <c r="AM385" i="1"/>
  <c r="AE385" i="1"/>
  <c r="AT384" i="1"/>
  <c r="AS384" i="1"/>
  <c r="AR384" i="1"/>
  <c r="AQ384" i="1"/>
  <c r="AP384" i="1"/>
  <c r="AO384" i="1"/>
  <c r="AN384" i="1"/>
  <c r="AM384" i="1"/>
  <c r="AL384" i="1"/>
  <c r="AK384" i="1"/>
  <c r="AT383" i="1"/>
  <c r="AR383" i="1"/>
  <c r="AQ383" i="1"/>
  <c r="AP383" i="1"/>
  <c r="AO383" i="1"/>
  <c r="AM383" i="1"/>
  <c r="AL383" i="1"/>
  <c r="AK383" i="1"/>
  <c r="AR382" i="1"/>
  <c r="AQ382" i="1"/>
  <c r="AP382" i="1"/>
  <c r="AM382" i="1"/>
  <c r="AL382" i="1"/>
  <c r="AK382" i="1"/>
  <c r="AJ382" i="1"/>
  <c r="AE382" i="1"/>
  <c r="AT381" i="1"/>
  <c r="AR381" i="1"/>
  <c r="AQ381" i="1"/>
  <c r="AP381" i="1"/>
  <c r="AO381" i="1"/>
  <c r="AN381" i="1"/>
  <c r="AM381" i="1"/>
  <c r="AL381" i="1"/>
  <c r="AK381" i="1"/>
  <c r="AJ381" i="1"/>
  <c r="AE381" i="1"/>
  <c r="AT380" i="1"/>
  <c r="AR380" i="1"/>
  <c r="AQ380" i="1"/>
  <c r="AP380" i="1"/>
  <c r="AO380" i="1"/>
  <c r="AM380" i="1"/>
  <c r="AL380" i="1"/>
  <c r="AK380" i="1"/>
  <c r="AJ380" i="1"/>
  <c r="AE380" i="1"/>
  <c r="AT356" i="1"/>
  <c r="AQ356" i="1"/>
  <c r="AM356" i="1"/>
  <c r="AK356" i="1"/>
  <c r="AF356" i="1"/>
  <c r="AE356" i="1"/>
  <c r="Z356" i="1"/>
  <c r="AS355" i="1"/>
  <c r="AN355" i="1"/>
  <c r="AI355" i="1"/>
  <c r="AT354" i="1"/>
  <c r="AR354" i="1"/>
  <c r="AR356" i="1" s="1"/>
  <c r="AQ354" i="1"/>
  <c r="AP354" i="1"/>
  <c r="AP356" i="1" s="1"/>
  <c r="AO354" i="1"/>
  <c r="AO356" i="1" s="1"/>
  <c r="AM354" i="1"/>
  <c r="AL354" i="1"/>
  <c r="AL356" i="1" s="1"/>
  <c r="AK354" i="1"/>
  <c r="AJ354" i="1"/>
  <c r="AJ356" i="1" s="1"/>
  <c r="AH354" i="1"/>
  <c r="AH356" i="1" s="1"/>
  <c r="AG354" i="1"/>
  <c r="AF354" i="1"/>
  <c r="AE354" i="1"/>
  <c r="Z354" i="1"/>
  <c r="AS353" i="1"/>
  <c r="AN353" i="1"/>
  <c r="AI353" i="1"/>
  <c r="AS352" i="1"/>
  <c r="AS354" i="1" s="1"/>
  <c r="AS356" i="1" s="1"/>
  <c r="AN352" i="1"/>
  <c r="AN354" i="1" s="1"/>
  <c r="AN356" i="1" s="1"/>
  <c r="AI352" i="1"/>
  <c r="AI354" i="1" s="1"/>
  <c r="AI356" i="1" s="1"/>
  <c r="AT349" i="1"/>
  <c r="AM349" i="1"/>
  <c r="AL349" i="1"/>
  <c r="AS348" i="1"/>
  <c r="AN348" i="1"/>
  <c r="AS347" i="1"/>
  <c r="AN347" i="1"/>
  <c r="AR346" i="1"/>
  <c r="AR349" i="1" s="1"/>
  <c r="AQ346" i="1"/>
  <c r="AS346" i="1" s="1"/>
  <c r="AP346" i="1"/>
  <c r="AP349" i="1" s="1"/>
  <c r="AO346" i="1"/>
  <c r="AO349" i="1" s="1"/>
  <c r="AM346" i="1"/>
  <c r="AL346" i="1"/>
  <c r="AK346" i="1"/>
  <c r="AK349" i="1" s="1"/>
  <c r="AN345" i="1"/>
  <c r="AN344" i="1"/>
  <c r="AN346" i="1" s="1"/>
  <c r="AN349" i="1" s="1"/>
  <c r="AT341" i="1"/>
  <c r="AR341" i="1"/>
  <c r="AQ341" i="1"/>
  <c r="AP341" i="1"/>
  <c r="AO341" i="1"/>
  <c r="AM341" i="1"/>
  <c r="AL341" i="1"/>
  <c r="AK341" i="1"/>
  <c r="AJ341" i="1"/>
  <c r="AH341" i="1"/>
  <c r="AF341" i="1"/>
  <c r="AE341" i="1"/>
  <c r="Z341" i="1"/>
  <c r="AS340" i="1"/>
  <c r="AN340" i="1"/>
  <c r="AI340" i="1"/>
  <c r="AS339" i="1"/>
  <c r="AN339" i="1"/>
  <c r="AN341" i="1" s="1"/>
  <c r="AI339" i="1"/>
  <c r="AS337" i="1"/>
  <c r="AN337" i="1"/>
  <c r="AI337" i="1"/>
  <c r="AS336" i="1"/>
  <c r="AN336" i="1"/>
  <c r="AI336" i="1"/>
  <c r="AS335" i="1"/>
  <c r="AN335" i="1"/>
  <c r="AI335" i="1"/>
  <c r="AS334" i="1"/>
  <c r="AN334" i="1"/>
  <c r="AI334" i="1"/>
  <c r="AI341" i="1" s="1"/>
  <c r="AS331" i="1"/>
  <c r="AS221" i="1" s="1"/>
  <c r="AR331" i="1"/>
  <c r="AR221" i="1" s="1"/>
  <c r="AQ331" i="1"/>
  <c r="AQ221" i="1" s="1"/>
  <c r="AP331" i="1"/>
  <c r="AP221" i="1" s="1"/>
  <c r="AN331" i="1"/>
  <c r="AN221" i="1" s="1"/>
  <c r="AM331" i="1"/>
  <c r="AL331" i="1"/>
  <c r="AK331" i="1"/>
  <c r="AI331" i="1"/>
  <c r="AH331" i="1"/>
  <c r="AG331" i="1"/>
  <c r="AG221" i="1" s="1"/>
  <c r="AF331" i="1"/>
  <c r="AT330" i="1"/>
  <c r="AT331" i="1" s="1"/>
  <c r="AT221" i="1" s="1"/>
  <c r="AN330" i="1"/>
  <c r="AI330" i="1"/>
  <c r="AS329" i="1"/>
  <c r="AN329" i="1"/>
  <c r="AI329" i="1"/>
  <c r="AS328" i="1"/>
  <c r="AN328" i="1"/>
  <c r="AI328" i="1"/>
  <c r="AP326" i="1"/>
  <c r="AO326" i="1"/>
  <c r="AJ326" i="1"/>
  <c r="AI326" i="1"/>
  <c r="AG326" i="1"/>
  <c r="AF326" i="1"/>
  <c r="AS325" i="1"/>
  <c r="AN325" i="1"/>
  <c r="AI325" i="1"/>
  <c r="AI770" i="1" s="1"/>
  <c r="AI987" i="1" s="1"/>
  <c r="AT324" i="1"/>
  <c r="AT326" i="1" s="1"/>
  <c r="AR324" i="1"/>
  <c r="AR326" i="1" s="1"/>
  <c r="AQ324" i="1"/>
  <c r="AQ326" i="1" s="1"/>
  <c r="AP324" i="1"/>
  <c r="AO324" i="1"/>
  <c r="AM324" i="1"/>
  <c r="AM326" i="1" s="1"/>
  <c r="AL324" i="1"/>
  <c r="AK324" i="1"/>
  <c r="AJ324" i="1"/>
  <c r="AJ216" i="1" s="1"/>
  <c r="AI324" i="1"/>
  <c r="AI216" i="1" s="1"/>
  <c r="AH324" i="1"/>
  <c r="AH326" i="1" s="1"/>
  <c r="AG324" i="1"/>
  <c r="AF324" i="1"/>
  <c r="AS323" i="1"/>
  <c r="AN323" i="1"/>
  <c r="AI323" i="1"/>
  <c r="AS322" i="1"/>
  <c r="AS324" i="1" s="1"/>
  <c r="AN322" i="1"/>
  <c r="AN324" i="1" s="1"/>
  <c r="AI322" i="1"/>
  <c r="AQ320" i="1"/>
  <c r="AG320" i="1"/>
  <c r="AQ319" i="1"/>
  <c r="AH319" i="1"/>
  <c r="AG319" i="1"/>
  <c r="AS318" i="1"/>
  <c r="AQ318" i="1"/>
  <c r="AI318" i="1"/>
  <c r="AH318" i="1"/>
  <c r="AG318" i="1"/>
  <c r="AR316" i="1"/>
  <c r="AS316" i="1" s="1"/>
  <c r="AQ316" i="1"/>
  <c r="AP316" i="1"/>
  <c r="AO316" i="1"/>
  <c r="AM316" i="1"/>
  <c r="AK316" i="1"/>
  <c r="AJ316" i="1"/>
  <c r="AT315" i="1"/>
  <c r="AM315" i="1"/>
  <c r="AK315" i="1"/>
  <c r="AJ315" i="1"/>
  <c r="AS314" i="1"/>
  <c r="AR314" i="1"/>
  <c r="AQ314" i="1"/>
  <c r="AP314" i="1"/>
  <c r="AO314" i="1"/>
  <c r="AM314" i="1"/>
  <c r="AK314" i="1"/>
  <c r="AJ314" i="1"/>
  <c r="AR313" i="1"/>
  <c r="AR315" i="1" s="1"/>
  <c r="AQ313" i="1"/>
  <c r="AQ315" i="1" s="1"/>
  <c r="AP313" i="1"/>
  <c r="AP315" i="1" s="1"/>
  <c r="AO313" i="1"/>
  <c r="AO315" i="1" s="1"/>
  <c r="AM313" i="1"/>
  <c r="AK313" i="1"/>
  <c r="AJ313" i="1"/>
  <c r="AQ312" i="1"/>
  <c r="AM312" i="1"/>
  <c r="AK312" i="1"/>
  <c r="AK320" i="1" s="1"/>
  <c r="AI312" i="1"/>
  <c r="AI320" i="1" s="1"/>
  <c r="AH312" i="1"/>
  <c r="AH320" i="1" s="1"/>
  <c r="AG312" i="1"/>
  <c r="AS311" i="1"/>
  <c r="AN311" i="1"/>
  <c r="AI311" i="1"/>
  <c r="AS310" i="1"/>
  <c r="AN310" i="1"/>
  <c r="AI310" i="1"/>
  <c r="AS309" i="1"/>
  <c r="AS319" i="1" s="1"/>
  <c r="AN309" i="1"/>
  <c r="AI309" i="1"/>
  <c r="AI319" i="1" s="1"/>
  <c r="AS308" i="1"/>
  <c r="AS312" i="1" s="1"/>
  <c r="AN308" i="1"/>
  <c r="AI308" i="1"/>
  <c r="AQ307" i="1"/>
  <c r="AM307" i="1"/>
  <c r="AM319" i="1" s="1"/>
  <c r="AK307" i="1"/>
  <c r="AF307" i="1"/>
  <c r="AE307" i="1"/>
  <c r="Z307" i="1"/>
  <c r="Z312" i="1" s="1"/>
  <c r="Z320" i="1" s="1"/>
  <c r="AS306" i="1"/>
  <c r="AS300" i="1" s="1"/>
  <c r="AN306" i="1"/>
  <c r="AN300" i="1" s="1"/>
  <c r="AI306" i="1"/>
  <c r="AT305" i="1"/>
  <c r="AR305" i="1"/>
  <c r="AR307" i="1" s="1"/>
  <c r="AR318" i="1" s="1"/>
  <c r="AQ305" i="1"/>
  <c r="AP305" i="1"/>
  <c r="AP307" i="1" s="1"/>
  <c r="AP301" i="1" s="1"/>
  <c r="AO305" i="1"/>
  <c r="AO307" i="1" s="1"/>
  <c r="AM305" i="1"/>
  <c r="AL305" i="1"/>
  <c r="AL307" i="1" s="1"/>
  <c r="AK305" i="1"/>
  <c r="AJ305" i="1"/>
  <c r="AJ307" i="1" s="1"/>
  <c r="AI305" i="1"/>
  <c r="AH305" i="1"/>
  <c r="AG305" i="1"/>
  <c r="AF305" i="1"/>
  <c r="AE305" i="1"/>
  <c r="Z305" i="1"/>
  <c r="AS304" i="1"/>
  <c r="AN304" i="1"/>
  <c r="AI304" i="1"/>
  <c r="AS303" i="1"/>
  <c r="AS305" i="1" s="1"/>
  <c r="AN303" i="1"/>
  <c r="AS298" i="1" s="1"/>
  <c r="AI303" i="1"/>
  <c r="AQ301" i="1"/>
  <c r="AM301" i="1"/>
  <c r="AT300" i="1"/>
  <c r="AR300" i="1"/>
  <c r="AQ300" i="1"/>
  <c r="AP300" i="1"/>
  <c r="AO300" i="1"/>
  <c r="AM300" i="1"/>
  <c r="AL300" i="1"/>
  <c r="AK300" i="1"/>
  <c r="AJ300" i="1"/>
  <c r="AE300" i="1"/>
  <c r="AT299" i="1"/>
  <c r="AS299" i="1"/>
  <c r="AR299" i="1"/>
  <c r="AQ299" i="1"/>
  <c r="AP299" i="1"/>
  <c r="AO299" i="1"/>
  <c r="AN299" i="1"/>
  <c r="AM299" i="1"/>
  <c r="AL299" i="1"/>
  <c r="AK299" i="1"/>
  <c r="AJ299" i="1"/>
  <c r="AE299" i="1"/>
  <c r="AT298" i="1"/>
  <c r="AR298" i="1"/>
  <c r="AQ298" i="1"/>
  <c r="AP298" i="1"/>
  <c r="AO298" i="1"/>
  <c r="AM298" i="1"/>
  <c r="AL298" i="1"/>
  <c r="AK298" i="1"/>
  <c r="AJ298" i="1"/>
  <c r="AE298" i="1"/>
  <c r="AT295" i="1"/>
  <c r="AR295" i="1"/>
  <c r="AQ295" i="1"/>
  <c r="AP295" i="1"/>
  <c r="AO295" i="1"/>
  <c r="AN295" i="1"/>
  <c r="AM295" i="1"/>
  <c r="AL295" i="1"/>
  <c r="AK295" i="1"/>
  <c r="AJ295" i="1"/>
  <c r="AH295" i="1"/>
  <c r="AG295" i="1"/>
  <c r="AF295" i="1"/>
  <c r="AE295" i="1"/>
  <c r="Z295" i="1"/>
  <c r="AS294" i="1"/>
  <c r="AN294" i="1"/>
  <c r="AI294" i="1"/>
  <c r="AS293" i="1"/>
  <c r="AN293" i="1"/>
  <c r="AI293" i="1"/>
  <c r="AS292" i="1"/>
  <c r="AN292" i="1"/>
  <c r="AI292" i="1"/>
  <c r="AT290" i="1"/>
  <c r="AQ290" i="1"/>
  <c r="AP290" i="1"/>
  <c r="AO290" i="1"/>
  <c r="AK290" i="1"/>
  <c r="AS289" i="1"/>
  <c r="AN289" i="1"/>
  <c r="AS288" i="1"/>
  <c r="AN288" i="1"/>
  <c r="AS287" i="1"/>
  <c r="AR287" i="1"/>
  <c r="AR290" i="1" s="1"/>
  <c r="AQ287" i="1"/>
  <c r="AP287" i="1"/>
  <c r="AO287" i="1"/>
  <c r="AN287" i="1"/>
  <c r="AN290" i="1" s="1"/>
  <c r="AM287" i="1"/>
  <c r="AM290" i="1" s="1"/>
  <c r="AL287" i="1"/>
  <c r="AL290" i="1" s="1"/>
  <c r="AK287" i="1"/>
  <c r="AN286" i="1"/>
  <c r="AN285" i="1"/>
  <c r="AT283" i="1"/>
  <c r="AS283" i="1"/>
  <c r="AR283" i="1"/>
  <c r="AQ283" i="1"/>
  <c r="AO283" i="1"/>
  <c r="AM283" i="1"/>
  <c r="AL283" i="1"/>
  <c r="AK283" i="1"/>
  <c r="AJ283" i="1"/>
  <c r="AH283" i="1"/>
  <c r="AG283" i="1"/>
  <c r="AF283" i="1"/>
  <c r="AE283" i="1"/>
  <c r="Z283" i="1"/>
  <c r="AS282" i="1"/>
  <c r="AN282" i="1"/>
  <c r="AI282" i="1"/>
  <c r="AS281" i="1"/>
  <c r="AN281" i="1"/>
  <c r="AI281" i="1"/>
  <c r="AS280" i="1"/>
  <c r="AN280" i="1"/>
  <c r="AI280" i="1"/>
  <c r="AS279" i="1"/>
  <c r="AN279" i="1"/>
  <c r="AI279" i="1"/>
  <c r="AI283" i="1" s="1"/>
  <c r="AT276" i="1"/>
  <c r="AR276" i="1"/>
  <c r="AQ276" i="1"/>
  <c r="AP276" i="1"/>
  <c r="AP155" i="1" s="1"/>
  <c r="AN276" i="1"/>
  <c r="AM276" i="1"/>
  <c r="AL276" i="1"/>
  <c r="AK276" i="1"/>
  <c r="AH276" i="1"/>
  <c r="AG276" i="1"/>
  <c r="AF276" i="1"/>
  <c r="AT275" i="1"/>
  <c r="AS275" i="1"/>
  <c r="AN275" i="1"/>
  <c r="AI275" i="1"/>
  <c r="AI276" i="1" s="1"/>
  <c r="AS274" i="1"/>
  <c r="AN274" i="1"/>
  <c r="AI274" i="1"/>
  <c r="AS273" i="1"/>
  <c r="AN273" i="1"/>
  <c r="AI273" i="1"/>
  <c r="AT271" i="1"/>
  <c r="AR271" i="1"/>
  <c r="AL271" i="1"/>
  <c r="AK271" i="1"/>
  <c r="AS270" i="1"/>
  <c r="AF270" i="1"/>
  <c r="AT269" i="1"/>
  <c r="AR269" i="1"/>
  <c r="AQ269" i="1"/>
  <c r="AQ271" i="1" s="1"/>
  <c r="AP269" i="1"/>
  <c r="AP271" i="1" s="1"/>
  <c r="AO269" i="1"/>
  <c r="AO271" i="1" s="1"/>
  <c r="AM269" i="1"/>
  <c r="AM271" i="1" s="1"/>
  <c r="AL269" i="1"/>
  <c r="AK269" i="1"/>
  <c r="AJ269" i="1"/>
  <c r="AJ271" i="1" s="1"/>
  <c r="AH269" i="1"/>
  <c r="AH271" i="1" s="1"/>
  <c r="AG269" i="1"/>
  <c r="AG271" i="1" s="1"/>
  <c r="AS268" i="1"/>
  <c r="AS269" i="1" s="1"/>
  <c r="AN268" i="1"/>
  <c r="AN269" i="1" s="1"/>
  <c r="AN271" i="1" s="1"/>
  <c r="AI268" i="1"/>
  <c r="AF268" i="1" s="1"/>
  <c r="AS267" i="1"/>
  <c r="AN267" i="1"/>
  <c r="AI267" i="1"/>
  <c r="AI269" i="1" s="1"/>
  <c r="AI271" i="1" s="1"/>
  <c r="AF267" i="1"/>
  <c r="AT265" i="1"/>
  <c r="AQ265" i="1"/>
  <c r="AO265" i="1"/>
  <c r="AM265" i="1"/>
  <c r="AI265" i="1"/>
  <c r="AH265" i="1"/>
  <c r="Z265" i="1"/>
  <c r="AQ264" i="1"/>
  <c r="AP264" i="1"/>
  <c r="AO264" i="1"/>
  <c r="AM264" i="1"/>
  <c r="AH264" i="1"/>
  <c r="AF264" i="1"/>
  <c r="AE264" i="1"/>
  <c r="Z264" i="1"/>
  <c r="AQ263" i="1"/>
  <c r="AP263" i="1"/>
  <c r="AO263" i="1"/>
  <c r="AM263" i="1"/>
  <c r="AH263" i="1"/>
  <c r="AF263" i="1"/>
  <c r="AE263" i="1"/>
  <c r="AS261" i="1"/>
  <c r="AN261" i="1"/>
  <c r="AL261" i="1"/>
  <c r="AS260" i="1"/>
  <c r="AN260" i="1"/>
  <c r="AN316" i="1" s="1"/>
  <c r="AL260" i="1"/>
  <c r="AR259" i="1"/>
  <c r="AQ259" i="1"/>
  <c r="AP259" i="1"/>
  <c r="AO259" i="1"/>
  <c r="AM259" i="1"/>
  <c r="AL259" i="1"/>
  <c r="AK259" i="1"/>
  <c r="AS258" i="1"/>
  <c r="AS543" i="1" s="1"/>
  <c r="AS480" i="1" s="1"/>
  <c r="AN258" i="1"/>
  <c r="AL258" i="1"/>
  <c r="AS257" i="1"/>
  <c r="AN257" i="1"/>
  <c r="AL257" i="1"/>
  <c r="AL313" i="1" s="1"/>
  <c r="AR256" i="1"/>
  <c r="AR265" i="1" s="1"/>
  <c r="AQ256" i="1"/>
  <c r="AO256" i="1"/>
  <c r="AF256" i="1"/>
  <c r="AF265" i="1" s="1"/>
  <c r="Z256" i="1"/>
  <c r="AS255" i="1"/>
  <c r="AN255" i="1"/>
  <c r="AI255" i="1"/>
  <c r="AS254" i="1"/>
  <c r="AN254" i="1"/>
  <c r="AI254" i="1"/>
  <c r="AH254" i="1"/>
  <c r="AS253" i="1"/>
  <c r="AN253" i="1"/>
  <c r="AI253" i="1"/>
  <c r="AI264" i="1" s="1"/>
  <c r="AS252" i="1"/>
  <c r="AN252" i="1"/>
  <c r="AI252" i="1"/>
  <c r="AI263" i="1" s="1"/>
  <c r="AT251" i="1"/>
  <c r="AT264" i="1" s="1"/>
  <c r="AR251" i="1"/>
  <c r="AR264" i="1" s="1"/>
  <c r="AP251" i="1"/>
  <c r="AP256" i="1" s="1"/>
  <c r="AN251" i="1"/>
  <c r="AL251" i="1"/>
  <c r="AK251" i="1"/>
  <c r="AK264" i="1" s="1"/>
  <c r="AJ251" i="1"/>
  <c r="AJ264" i="1" s="1"/>
  <c r="AG251" i="1"/>
  <c r="AG265" i="1" s="1"/>
  <c r="AF251" i="1"/>
  <c r="AE251" i="1"/>
  <c r="AE256" i="1" s="1"/>
  <c r="AE265" i="1" s="1"/>
  <c r="Z251" i="1"/>
  <c r="Z263" i="1" s="1"/>
  <c r="AS250" i="1"/>
  <c r="AN250" i="1"/>
  <c r="AI250" i="1"/>
  <c r="AS249" i="1"/>
  <c r="AS245" i="1" s="1"/>
  <c r="AN249" i="1"/>
  <c r="AI249" i="1"/>
  <c r="AR247" i="1"/>
  <c r="AP247" i="1"/>
  <c r="AO247" i="1"/>
  <c r="AM247" i="1"/>
  <c r="AE247" i="1"/>
  <c r="AT246" i="1"/>
  <c r="AS246" i="1"/>
  <c r="AR246" i="1"/>
  <c r="AQ246" i="1"/>
  <c r="AP246" i="1"/>
  <c r="AO246" i="1"/>
  <c r="AN246" i="1"/>
  <c r="AM246" i="1"/>
  <c r="AL246" i="1"/>
  <c r="AK246" i="1"/>
  <c r="AJ246" i="1"/>
  <c r="AE246" i="1"/>
  <c r="AT245" i="1"/>
  <c r="AR245" i="1"/>
  <c r="AQ245" i="1"/>
  <c r="AP245" i="1"/>
  <c r="AO245" i="1"/>
  <c r="AN245" i="1"/>
  <c r="AM245" i="1"/>
  <c r="AL245" i="1"/>
  <c r="AK245" i="1"/>
  <c r="AJ245" i="1"/>
  <c r="AE245" i="1"/>
  <c r="AW241" i="1"/>
  <c r="AV241" i="1"/>
  <c r="AU241" i="1"/>
  <c r="AS241" i="1"/>
  <c r="AR241" i="1"/>
  <c r="AQ241" i="1"/>
  <c r="AP241" i="1"/>
  <c r="AO241" i="1"/>
  <c r="AN241" i="1"/>
  <c r="AM241" i="1"/>
  <c r="AL241" i="1"/>
  <c r="AK241" i="1"/>
  <c r="AJ241" i="1"/>
  <c r="AI241" i="1"/>
  <c r="AH241" i="1"/>
  <c r="AG241" i="1"/>
  <c r="AF241" i="1"/>
  <c r="AE241" i="1"/>
  <c r="Z241" i="1"/>
  <c r="AS240" i="1"/>
  <c r="AN240" i="1"/>
  <c r="AI240" i="1"/>
  <c r="AS239" i="1"/>
  <c r="AN239" i="1"/>
  <c r="AI239" i="1"/>
  <c r="AS238" i="1"/>
  <c r="AN238" i="1"/>
  <c r="AI238" i="1"/>
  <c r="AS237" i="1"/>
  <c r="AN237" i="1"/>
  <c r="AI237" i="1"/>
  <c r="AW235" i="1"/>
  <c r="AV235" i="1"/>
  <c r="AU235" i="1"/>
  <c r="AT235" i="1"/>
  <c r="AR235" i="1"/>
  <c r="AQ235" i="1"/>
  <c r="AP235" i="1"/>
  <c r="AO235" i="1"/>
  <c r="AN235" i="1"/>
  <c r="AM235" i="1"/>
  <c r="AL235" i="1"/>
  <c r="AK235" i="1"/>
  <c r="AJ235" i="1"/>
  <c r="AI235" i="1"/>
  <c r="AH235" i="1"/>
  <c r="AG235" i="1"/>
  <c r="AF235" i="1"/>
  <c r="AE235" i="1"/>
  <c r="Z235" i="1"/>
  <c r="AW234" i="1"/>
  <c r="AV234" i="1"/>
  <c r="AU234" i="1"/>
  <c r="AT234" i="1"/>
  <c r="AR234" i="1"/>
  <c r="AQ234" i="1"/>
  <c r="AP234" i="1"/>
  <c r="AO234" i="1"/>
  <c r="AM234" i="1"/>
  <c r="AL234" i="1"/>
  <c r="AK234" i="1"/>
  <c r="AJ234" i="1"/>
  <c r="AI234" i="1"/>
  <c r="AH234" i="1"/>
  <c r="AG234" i="1"/>
  <c r="AF234" i="1"/>
  <c r="AE234" i="1"/>
  <c r="Z234" i="1"/>
  <c r="AW233" i="1"/>
  <c r="AV233" i="1"/>
  <c r="AU233" i="1"/>
  <c r="AT233" i="1"/>
  <c r="AR233" i="1"/>
  <c r="AQ233" i="1"/>
  <c r="AP233" i="1"/>
  <c r="AO233" i="1"/>
  <c r="AM233" i="1"/>
  <c r="AL233" i="1"/>
  <c r="AK233" i="1"/>
  <c r="AJ233" i="1"/>
  <c r="AH233" i="1"/>
  <c r="AG233" i="1"/>
  <c r="AF233" i="1"/>
  <c r="AE233" i="1"/>
  <c r="Z233" i="1"/>
  <c r="AW231" i="1"/>
  <c r="AV231" i="1"/>
  <c r="AU231" i="1"/>
  <c r="AT231" i="1"/>
  <c r="AR231" i="1"/>
  <c r="AQ231" i="1"/>
  <c r="AP231" i="1"/>
  <c r="AO231" i="1"/>
  <c r="AM231" i="1"/>
  <c r="AL231" i="1"/>
  <c r="AK231" i="1"/>
  <c r="AJ231" i="1"/>
  <c r="AH231" i="1"/>
  <c r="AG231" i="1"/>
  <c r="AF231" i="1"/>
  <c r="AE231" i="1"/>
  <c r="Z231" i="1"/>
  <c r="AT230" i="1"/>
  <c r="AS230" i="1"/>
  <c r="AS235" i="1" s="1"/>
  <c r="AO230" i="1"/>
  <c r="AN230" i="1"/>
  <c r="AM230" i="1"/>
  <c r="AL230" i="1"/>
  <c r="AK230" i="1"/>
  <c r="AJ230" i="1"/>
  <c r="AI230" i="1"/>
  <c r="AH230" i="1"/>
  <c r="AG230" i="1"/>
  <c r="AF230" i="1"/>
  <c r="AE230" i="1"/>
  <c r="Z230" i="1"/>
  <c r="AS229" i="1"/>
  <c r="AS234" i="1" s="1"/>
  <c r="AN229" i="1"/>
  <c r="AN234" i="1" s="1"/>
  <c r="AI229" i="1"/>
  <c r="AI231" i="1" s="1"/>
  <c r="AS228" i="1"/>
  <c r="AN228" i="1"/>
  <c r="AN233" i="1" s="1"/>
  <c r="AI228" i="1"/>
  <c r="AI233" i="1" s="1"/>
  <c r="AW226" i="1"/>
  <c r="AV226" i="1"/>
  <c r="AU226" i="1"/>
  <c r="AT226" i="1"/>
  <c r="AR226" i="1"/>
  <c r="AQ226" i="1"/>
  <c r="AP226" i="1"/>
  <c r="AO226" i="1"/>
  <c r="AM226" i="1"/>
  <c r="AL226" i="1"/>
  <c r="AK226" i="1"/>
  <c r="AJ226" i="1"/>
  <c r="AI226" i="1"/>
  <c r="AH226" i="1"/>
  <c r="AG226" i="1"/>
  <c r="AF226" i="1"/>
  <c r="AE226" i="1"/>
  <c r="Z226" i="1"/>
  <c r="AT225" i="1"/>
  <c r="AS225" i="1"/>
  <c r="AO225" i="1"/>
  <c r="AN225" i="1"/>
  <c r="AM225" i="1"/>
  <c r="AL225" i="1"/>
  <c r="AK225" i="1"/>
  <c r="AJ225" i="1"/>
  <c r="AI225" i="1"/>
  <c r="AH225" i="1"/>
  <c r="AG225" i="1"/>
  <c r="AF225" i="1"/>
  <c r="AE225" i="1"/>
  <c r="Z225" i="1"/>
  <c r="AS224" i="1"/>
  <c r="AN224" i="1"/>
  <c r="AI224" i="1"/>
  <c r="AS223" i="1"/>
  <c r="AS226" i="1" s="1"/>
  <c r="AN223" i="1"/>
  <c r="AN226" i="1" s="1"/>
  <c r="AI223" i="1"/>
  <c r="BD221" i="1"/>
  <c r="AV221" i="1"/>
  <c r="AW221" i="1" s="1"/>
  <c r="AO221" i="1"/>
  <c r="AM221" i="1"/>
  <c r="AL221" i="1"/>
  <c r="AK221" i="1"/>
  <c r="AJ221" i="1"/>
  <c r="AI221" i="1"/>
  <c r="AH221" i="1"/>
  <c r="AF221" i="1"/>
  <c r="AE221" i="1"/>
  <c r="Z221" i="1"/>
  <c r="BG219" i="1"/>
  <c r="BF219" i="1"/>
  <c r="BE219" i="1"/>
  <c r="BC219" i="1"/>
  <c r="BB219" i="1"/>
  <c r="BA219" i="1"/>
  <c r="AZ219" i="1"/>
  <c r="AY219" i="1"/>
  <c r="AX219" i="1"/>
  <c r="AW219" i="1"/>
  <c r="AV219" i="1"/>
  <c r="AU219" i="1"/>
  <c r="AT219" i="1"/>
  <c r="AS219" i="1"/>
  <c r="AR219" i="1"/>
  <c r="AQ219" i="1"/>
  <c r="AP219" i="1"/>
  <c r="AP218" i="1" s="1"/>
  <c r="AO219" i="1"/>
  <c r="AM219" i="1"/>
  <c r="AL219" i="1"/>
  <c r="AK219" i="1"/>
  <c r="AJ219" i="1"/>
  <c r="AI219" i="1"/>
  <c r="AI218" i="1" s="1"/>
  <c r="AH219" i="1"/>
  <c r="AG219" i="1"/>
  <c r="AF219" i="1"/>
  <c r="AE219" i="1"/>
  <c r="Z219" i="1"/>
  <c r="AT218" i="1"/>
  <c r="AE218" i="1"/>
  <c r="Z218" i="1"/>
  <c r="BD217" i="1"/>
  <c r="AY217" i="1"/>
  <c r="AT217" i="1"/>
  <c r="AS217" i="1"/>
  <c r="AR217" i="1"/>
  <c r="AQ217" i="1"/>
  <c r="AP217" i="1"/>
  <c r="AO217" i="1"/>
  <c r="AO218" i="1" s="1"/>
  <c r="AN217" i="1"/>
  <c r="AM217" i="1"/>
  <c r="AM218" i="1" s="1"/>
  <c r="AL217" i="1"/>
  <c r="AK217" i="1"/>
  <c r="AJ217" i="1"/>
  <c r="AI217" i="1"/>
  <c r="AH217" i="1"/>
  <c r="AG217" i="1"/>
  <c r="BG216" i="1"/>
  <c r="BF216" i="1"/>
  <c r="BE216" i="1"/>
  <c r="BC216" i="1"/>
  <c r="BB216" i="1"/>
  <c r="BA216" i="1"/>
  <c r="AZ216" i="1"/>
  <c r="AY216" i="1"/>
  <c r="AX216" i="1"/>
  <c r="AT216" i="1"/>
  <c r="AQ216" i="1"/>
  <c r="AP216" i="1"/>
  <c r="AO216" i="1"/>
  <c r="AM216" i="1"/>
  <c r="AG216" i="1"/>
  <c r="AM214" i="1"/>
  <c r="AL214" i="1"/>
  <c r="AS213" i="1"/>
  <c r="AR213" i="1"/>
  <c r="AQ213" i="1"/>
  <c r="AP213" i="1"/>
  <c r="AO213" i="1"/>
  <c r="AW210" i="1"/>
  <c r="AV210" i="1"/>
  <c r="AS210" i="1"/>
  <c r="AS214" i="1" s="1"/>
  <c r="AM210" i="1"/>
  <c r="AL210" i="1"/>
  <c r="AG210" i="1"/>
  <c r="AG214" i="1" s="1"/>
  <c r="AF210" i="1"/>
  <c r="AF214" i="1" s="1"/>
  <c r="Z210" i="1"/>
  <c r="Z214" i="1" s="1"/>
  <c r="BD209" i="1"/>
  <c r="AY209" i="1"/>
  <c r="AT209" i="1"/>
  <c r="AN209" i="1"/>
  <c r="AI209" i="1"/>
  <c r="BD208" i="1"/>
  <c r="BD219" i="1" s="1"/>
  <c r="BD216" i="1" s="1"/>
  <c r="AY208" i="1"/>
  <c r="AT208" i="1"/>
  <c r="AN208" i="1"/>
  <c r="AN219" i="1" s="1"/>
  <c r="AI208" i="1"/>
  <c r="AT207" i="1"/>
  <c r="AN207" i="1"/>
  <c r="AN213" i="1" s="1"/>
  <c r="AI207" i="1"/>
  <c r="BA206" i="1"/>
  <c r="AT206" i="1"/>
  <c r="AT241" i="1" s="1"/>
  <c r="AN206" i="1"/>
  <c r="AI206" i="1"/>
  <c r="AW205" i="1"/>
  <c r="AW212" i="1" s="1"/>
  <c r="AV205" i="1"/>
  <c r="AU205" i="1"/>
  <c r="AU210" i="1" s="1"/>
  <c r="AU214" i="1" s="1"/>
  <c r="AS205" i="1"/>
  <c r="AS212" i="1" s="1"/>
  <c r="AR205" i="1"/>
  <c r="AR210" i="1" s="1"/>
  <c r="AQ205" i="1"/>
  <c r="AQ210" i="1" s="1"/>
  <c r="AQ214" i="1" s="1"/>
  <c r="AP205" i="1"/>
  <c r="AP210" i="1" s="1"/>
  <c r="AP214" i="1" s="1"/>
  <c r="AO205" i="1"/>
  <c r="AO210" i="1" s="1"/>
  <c r="AO214" i="1" s="1"/>
  <c r="AN205" i="1"/>
  <c r="AM205" i="1"/>
  <c r="AM213" i="1" s="1"/>
  <c r="AL205" i="1"/>
  <c r="AL213" i="1" s="1"/>
  <c r="AK205" i="1"/>
  <c r="AK213" i="1" s="1"/>
  <c r="AJ205" i="1"/>
  <c r="AJ213" i="1" s="1"/>
  <c r="AH205" i="1"/>
  <c r="AG205" i="1"/>
  <c r="AG212" i="1" s="1"/>
  <c r="AF205" i="1"/>
  <c r="AK27" i="1" s="1"/>
  <c r="AE205" i="1"/>
  <c r="AE210" i="1" s="1"/>
  <c r="AE214" i="1" s="1"/>
  <c r="Z205" i="1"/>
  <c r="Z212" i="1" s="1"/>
  <c r="BC204" i="1"/>
  <c r="BB204" i="1"/>
  <c r="BA204" i="1"/>
  <c r="AZ204" i="1"/>
  <c r="AY204" i="1"/>
  <c r="AX204" i="1"/>
  <c r="AT204" i="1"/>
  <c r="AN204" i="1"/>
  <c r="AI204" i="1"/>
  <c r="BB203" i="1"/>
  <c r="BA203" i="1"/>
  <c r="AZ203" i="1"/>
  <c r="BD203" i="1" s="1"/>
  <c r="BE203" i="1" s="1"/>
  <c r="BF203" i="1" s="1"/>
  <c r="BG203" i="1" s="1"/>
  <c r="AY203" i="1"/>
  <c r="AX203" i="1"/>
  <c r="BC203" i="1" s="1"/>
  <c r="AT203" i="1"/>
  <c r="AO203" i="1"/>
  <c r="AN203" i="1"/>
  <c r="AM203" i="1"/>
  <c r="AL203" i="1"/>
  <c r="AK203" i="1"/>
  <c r="AJ203" i="1"/>
  <c r="AI203" i="1"/>
  <c r="AH203" i="1"/>
  <c r="AG203" i="1"/>
  <c r="AF203" i="1"/>
  <c r="AE203" i="1"/>
  <c r="Z203" i="1"/>
  <c r="BB202" i="1"/>
  <c r="BA202" i="1"/>
  <c r="AZ202" i="1"/>
  <c r="AX202" i="1"/>
  <c r="AT202" i="1"/>
  <c r="AN202" i="1"/>
  <c r="AI202" i="1"/>
  <c r="BC201" i="1"/>
  <c r="BD201" i="1" s="1"/>
  <c r="BE201" i="1" s="1"/>
  <c r="BF201" i="1" s="1"/>
  <c r="BG201" i="1" s="1"/>
  <c r="BB201" i="1"/>
  <c r="BA201" i="1"/>
  <c r="AZ201" i="1"/>
  <c r="AX201" i="1"/>
  <c r="AY201" i="1" s="1"/>
  <c r="AT201" i="1"/>
  <c r="AN201" i="1"/>
  <c r="AI201" i="1"/>
  <c r="BB200" i="1"/>
  <c r="BA200" i="1"/>
  <c r="BA205" i="1" s="1"/>
  <c r="AZ200" i="1"/>
  <c r="AY200" i="1"/>
  <c r="AX200" i="1"/>
  <c r="BC200" i="1" s="1"/>
  <c r="AT200" i="1"/>
  <c r="AN200" i="1"/>
  <c r="AI200" i="1"/>
  <c r="AI205" i="1" s="1"/>
  <c r="AN197" i="1"/>
  <c r="BD196" i="1"/>
  <c r="AL196" i="1"/>
  <c r="AW193" i="1"/>
  <c r="AK193" i="1"/>
  <c r="AK192" i="1" s="1"/>
  <c r="AV191" i="1"/>
  <c r="AZ190" i="1"/>
  <c r="AZ191" i="1" s="1"/>
  <c r="AX190" i="1"/>
  <c r="AW190" i="1"/>
  <c r="AW191" i="1" s="1"/>
  <c r="AV190" i="1"/>
  <c r="AU190" i="1"/>
  <c r="AT190" i="1"/>
  <c r="AR190" i="1"/>
  <c r="AR191" i="1" s="1"/>
  <c r="AQ190" i="1"/>
  <c r="AQ191" i="1" s="1"/>
  <c r="AP190" i="1"/>
  <c r="AP191" i="1" s="1"/>
  <c r="AN190" i="1"/>
  <c r="AM190" i="1"/>
  <c r="AL190" i="1"/>
  <c r="AK190" i="1"/>
  <c r="AW188" i="1"/>
  <c r="AW195" i="1" s="1"/>
  <c r="AV188" i="1"/>
  <c r="AU188" i="1"/>
  <c r="AU193" i="1" s="1"/>
  <c r="AU192" i="1" s="1"/>
  <c r="AR188" i="1"/>
  <c r="AQ188" i="1"/>
  <c r="AP188" i="1"/>
  <c r="AN188" i="1"/>
  <c r="AO188" i="1" s="1"/>
  <c r="AM188" i="1"/>
  <c r="AM195" i="1" s="1"/>
  <c r="AM196" i="1" s="1"/>
  <c r="AL188" i="1"/>
  <c r="AL193" i="1" s="1"/>
  <c r="AL192" i="1" s="1"/>
  <c r="AK188" i="1"/>
  <c r="AW187" i="1"/>
  <c r="AV187" i="1"/>
  <c r="AU187" i="1"/>
  <c r="AT187" i="1"/>
  <c r="AS187" i="1"/>
  <c r="AR187" i="1"/>
  <c r="AQ187" i="1"/>
  <c r="AP187" i="1"/>
  <c r="AW186" i="1"/>
  <c r="AV186" i="1"/>
  <c r="AU186" i="1"/>
  <c r="AS186" i="1"/>
  <c r="AR186" i="1"/>
  <c r="AQ186" i="1"/>
  <c r="AP186" i="1"/>
  <c r="AN186" i="1"/>
  <c r="AM186" i="1"/>
  <c r="AL186" i="1"/>
  <c r="AX185" i="1"/>
  <c r="AZ185" i="1" s="1"/>
  <c r="AY184" i="1"/>
  <c r="AX184" i="1"/>
  <c r="AW184" i="1"/>
  <c r="AV184" i="1"/>
  <c r="AU184" i="1"/>
  <c r="AR184" i="1"/>
  <c r="AQ184" i="1"/>
  <c r="AP184" i="1"/>
  <c r="AW183" i="1"/>
  <c r="AV183" i="1"/>
  <c r="AR183" i="1"/>
  <c r="AQ183" i="1"/>
  <c r="AP183" i="1"/>
  <c r="AN183" i="1"/>
  <c r="AM183" i="1"/>
  <c r="AL183" i="1"/>
  <c r="AZ182" i="1"/>
  <c r="AY182" i="1"/>
  <c r="AX182" i="1"/>
  <c r="AS182" i="1"/>
  <c r="AS184" i="1" s="1"/>
  <c r="AO182" i="1"/>
  <c r="AT184" i="1" s="1"/>
  <c r="AW180" i="1"/>
  <c r="AV180" i="1"/>
  <c r="AU180" i="1"/>
  <c r="AS180" i="1"/>
  <c r="AR180" i="1"/>
  <c r="AQ180" i="1"/>
  <c r="AQ195" i="1" s="1"/>
  <c r="AP180" i="1"/>
  <c r="AN180" i="1"/>
  <c r="AM180" i="1"/>
  <c r="AL180" i="1"/>
  <c r="AK180" i="1"/>
  <c r="AW179" i="1"/>
  <c r="AV179" i="1"/>
  <c r="AU179" i="1"/>
  <c r="AT179" i="1"/>
  <c r="AS179" i="1"/>
  <c r="AR179" i="1"/>
  <c r="AQ179" i="1"/>
  <c r="AP179" i="1"/>
  <c r="AW178" i="1"/>
  <c r="AV178" i="1"/>
  <c r="AU178" i="1"/>
  <c r="AS178" i="1"/>
  <c r="AR178" i="1"/>
  <c r="AQ178" i="1"/>
  <c r="AP178" i="1"/>
  <c r="AN178" i="1"/>
  <c r="AM178" i="1"/>
  <c r="AL178" i="1"/>
  <c r="AX177" i="1"/>
  <c r="AZ177" i="1" s="1"/>
  <c r="AX176" i="1"/>
  <c r="AW176" i="1"/>
  <c r="AV176" i="1"/>
  <c r="AU176" i="1"/>
  <c r="AT176" i="1"/>
  <c r="AR176" i="1"/>
  <c r="AQ176" i="1"/>
  <c r="AP176" i="1"/>
  <c r="AW175" i="1"/>
  <c r="AV175" i="1"/>
  <c r="AU175" i="1"/>
  <c r="AS175" i="1"/>
  <c r="AR175" i="1"/>
  <c r="AQ175" i="1"/>
  <c r="AP175" i="1"/>
  <c r="AN175" i="1"/>
  <c r="AM175" i="1"/>
  <c r="AL175" i="1"/>
  <c r="AZ174" i="1"/>
  <c r="BA174" i="1" s="1"/>
  <c r="AY174" i="1"/>
  <c r="AX174" i="1"/>
  <c r="AS174" i="1"/>
  <c r="AS176" i="1" s="1"/>
  <c r="AO174" i="1"/>
  <c r="AO190" i="1" s="1"/>
  <c r="AW172" i="1"/>
  <c r="AV172" i="1"/>
  <c r="AU172" i="1"/>
  <c r="AR172" i="1"/>
  <c r="AQ172" i="1"/>
  <c r="AP172" i="1"/>
  <c r="AT172" i="1" s="1"/>
  <c r="AN172" i="1"/>
  <c r="AM172" i="1"/>
  <c r="AL172" i="1"/>
  <c r="AL195" i="1" s="1"/>
  <c r="AK172" i="1"/>
  <c r="AK195" i="1" s="1"/>
  <c r="AX171" i="1"/>
  <c r="AW171" i="1"/>
  <c r="AV171" i="1"/>
  <c r="AU171" i="1"/>
  <c r="AT171" i="1"/>
  <c r="AS171" i="1"/>
  <c r="AR171" i="1"/>
  <c r="AQ171" i="1"/>
  <c r="AP171" i="1"/>
  <c r="AW170" i="1"/>
  <c r="AV170" i="1"/>
  <c r="AU170" i="1"/>
  <c r="AS170" i="1"/>
  <c r="AR170" i="1"/>
  <c r="AQ170" i="1"/>
  <c r="AP170" i="1"/>
  <c r="AN170" i="1"/>
  <c r="AM170" i="1"/>
  <c r="AL170" i="1"/>
  <c r="AX169" i="1"/>
  <c r="AZ169" i="1" s="1"/>
  <c r="AW168" i="1"/>
  <c r="AV168" i="1"/>
  <c r="AU168" i="1"/>
  <c r="AT168" i="1"/>
  <c r="AS168" i="1"/>
  <c r="AR168" i="1"/>
  <c r="AQ168" i="1"/>
  <c r="AP168" i="1"/>
  <c r="AW167" i="1"/>
  <c r="AV167" i="1"/>
  <c r="AU167" i="1"/>
  <c r="AS167" i="1"/>
  <c r="AR167" i="1"/>
  <c r="AQ167" i="1"/>
  <c r="AP167" i="1"/>
  <c r="AN167" i="1"/>
  <c r="AM167" i="1"/>
  <c r="AL167" i="1"/>
  <c r="AX166" i="1"/>
  <c r="AS166" i="1"/>
  <c r="AS172" i="1" s="1"/>
  <c r="AO166" i="1"/>
  <c r="AW164" i="1"/>
  <c r="AV164" i="1"/>
  <c r="AU164" i="1"/>
  <c r="AT164" i="1"/>
  <c r="AR164" i="1"/>
  <c r="AQ164" i="1"/>
  <c r="AP164" i="1"/>
  <c r="BA163" i="1"/>
  <c r="AW162" i="1"/>
  <c r="AV162" i="1"/>
  <c r="AU162" i="1"/>
  <c r="AS162" i="1"/>
  <c r="AR162" i="1"/>
  <c r="AQ162" i="1"/>
  <c r="BC161" i="1"/>
  <c r="BB161" i="1"/>
  <c r="BA161" i="1"/>
  <c r="AZ161" i="1"/>
  <c r="AX161" i="1"/>
  <c r="AY161" i="1" s="1"/>
  <c r="AY163" i="1" s="1"/>
  <c r="AW160" i="1"/>
  <c r="AV160" i="1"/>
  <c r="AU160" i="1"/>
  <c r="AW159" i="1"/>
  <c r="AV159" i="1"/>
  <c r="AU159" i="1"/>
  <c r="AS159" i="1"/>
  <c r="AR159" i="1"/>
  <c r="AQ159" i="1"/>
  <c r="AX158" i="1"/>
  <c r="AS158" i="1"/>
  <c r="AS164" i="1" s="1"/>
  <c r="BD155" i="1"/>
  <c r="AW155" i="1"/>
  <c r="AY155" i="1" s="1"/>
  <c r="AV155" i="1"/>
  <c r="AT155" i="1"/>
  <c r="AR155" i="1"/>
  <c r="AQ155" i="1"/>
  <c r="BG153" i="1"/>
  <c r="BG150" i="1" s="1"/>
  <c r="BB153" i="1"/>
  <c r="BA153" i="1"/>
  <c r="AZ153" i="1"/>
  <c r="AZ150" i="1" s="1"/>
  <c r="AX153" i="1"/>
  <c r="AX150" i="1" s="1"/>
  <c r="BD151" i="1"/>
  <c r="BD770" i="1" s="1"/>
  <c r="AT151" i="1"/>
  <c r="AS151" i="1"/>
  <c r="AR151" i="1"/>
  <c r="AR770" i="1" s="1"/>
  <c r="AQ151" i="1"/>
  <c r="AQ770" i="1" s="1"/>
  <c r="AP151" i="1"/>
  <c r="AP770" i="1" s="1"/>
  <c r="BB150" i="1"/>
  <c r="BA150" i="1"/>
  <c r="AT150" i="1"/>
  <c r="AR150" i="1"/>
  <c r="AQ150" i="1"/>
  <c r="AP150" i="1"/>
  <c r="BG145" i="1"/>
  <c r="BG496" i="1" s="1"/>
  <c r="BG498" i="1" s="1"/>
  <c r="BG774" i="1" s="1"/>
  <c r="BF145" i="1"/>
  <c r="BF496" i="1" s="1"/>
  <c r="BF498" i="1" s="1"/>
  <c r="BF774" i="1" s="1"/>
  <c r="BE145" i="1"/>
  <c r="BE496" i="1" s="1"/>
  <c r="BE498" i="1" s="1"/>
  <c r="BE774" i="1" s="1"/>
  <c r="BD145" i="1"/>
  <c r="BD496" i="1" s="1"/>
  <c r="BD498" i="1" s="1"/>
  <c r="BC145" i="1"/>
  <c r="BC496" i="1" s="1"/>
  <c r="BC498" i="1" s="1"/>
  <c r="BC774" i="1" s="1"/>
  <c r="BB145" i="1"/>
  <c r="BB496" i="1" s="1"/>
  <c r="BA145" i="1"/>
  <c r="BA496" i="1" s="1"/>
  <c r="AZ145" i="1"/>
  <c r="AZ496" i="1" s="1"/>
  <c r="AX145" i="1"/>
  <c r="AX496" i="1" s="1"/>
  <c r="AX498" i="1" s="1"/>
  <c r="AX774" i="1" s="1"/>
  <c r="AW145" i="1"/>
  <c r="AW496" i="1" s="1"/>
  <c r="AV145" i="1"/>
  <c r="AV496" i="1" s="1"/>
  <c r="AU145" i="1"/>
  <c r="AT145" i="1"/>
  <c r="AT496" i="1" s="1"/>
  <c r="AS145" i="1"/>
  <c r="AR145" i="1"/>
  <c r="AR496" i="1" s="1"/>
  <c r="AQ145" i="1"/>
  <c r="AQ496" i="1" s="1"/>
  <c r="AP145" i="1"/>
  <c r="AP496" i="1" s="1"/>
  <c r="BG144" i="1"/>
  <c r="BG490" i="1" s="1"/>
  <c r="BG494" i="1" s="1"/>
  <c r="BF144" i="1"/>
  <c r="BF153" i="1" s="1"/>
  <c r="BF150" i="1" s="1"/>
  <c r="BE144" i="1"/>
  <c r="BD144" i="1"/>
  <c r="BC144" i="1"/>
  <c r="BC490" i="1" s="1"/>
  <c r="BC494" i="1" s="1"/>
  <c r="BB144" i="1"/>
  <c r="BB490" i="1" s="1"/>
  <c r="BB494" i="1" s="1"/>
  <c r="BA144" i="1"/>
  <c r="BA490" i="1" s="1"/>
  <c r="BA494" i="1" s="1"/>
  <c r="AZ144" i="1"/>
  <c r="AZ490" i="1" s="1"/>
  <c r="AZ494" i="1" s="1"/>
  <c r="AX144" i="1"/>
  <c r="AX490" i="1" s="1"/>
  <c r="AX494" i="1" s="1"/>
  <c r="AW144" i="1"/>
  <c r="AV144" i="1"/>
  <c r="AU144" i="1"/>
  <c r="AU490" i="1" s="1"/>
  <c r="AU494" i="1" s="1"/>
  <c r="AS144" i="1"/>
  <c r="AS490" i="1" s="1"/>
  <c r="AR144" i="1"/>
  <c r="AR490" i="1" s="1"/>
  <c r="AQ144" i="1"/>
  <c r="AQ490" i="1" s="1"/>
  <c r="AP144" i="1"/>
  <c r="AW143" i="1"/>
  <c r="AW485" i="1" s="1"/>
  <c r="AV143" i="1"/>
  <c r="AV485" i="1" s="1"/>
  <c r="AU143" i="1"/>
  <c r="AU485" i="1" s="1"/>
  <c r="AS143" i="1"/>
  <c r="AS485" i="1" s="1"/>
  <c r="AR143" i="1"/>
  <c r="AR485" i="1" s="1"/>
  <c r="AQ143" i="1"/>
  <c r="AQ485" i="1" s="1"/>
  <c r="AQ487" i="1" s="1"/>
  <c r="AP143" i="1"/>
  <c r="AP485" i="1" s="1"/>
  <c r="AP487" i="1" s="1"/>
  <c r="AW142" i="1"/>
  <c r="AW479" i="1" s="1"/>
  <c r="AV142" i="1"/>
  <c r="AV479" i="1" s="1"/>
  <c r="AU142" i="1"/>
  <c r="AT142" i="1"/>
  <c r="AS142" i="1"/>
  <c r="AS479" i="1" s="1"/>
  <c r="AS482" i="1" s="1"/>
  <c r="AR142" i="1"/>
  <c r="AR479" i="1" s="1"/>
  <c r="AR482" i="1" s="1"/>
  <c r="AQ142" i="1"/>
  <c r="AQ479" i="1" s="1"/>
  <c r="AP142" i="1"/>
  <c r="AP479" i="1" s="1"/>
  <c r="AP482" i="1" s="1"/>
  <c r="BD140" i="1"/>
  <c r="AY140" i="1"/>
  <c r="AT140" i="1"/>
  <c r="AT481" i="1" s="1"/>
  <c r="AS139" i="1"/>
  <c r="AR139" i="1"/>
  <c r="AV138" i="1"/>
  <c r="AQ138" i="1"/>
  <c r="AS137" i="1"/>
  <c r="AR135" i="1"/>
  <c r="AW134" i="1"/>
  <c r="AS134" i="1"/>
  <c r="AU133" i="1"/>
  <c r="AW131" i="1"/>
  <c r="AW135" i="1" s="1"/>
  <c r="AS131" i="1"/>
  <c r="AS135" i="1" s="1"/>
  <c r="AR131" i="1"/>
  <c r="BD130" i="1"/>
  <c r="AY130" i="1"/>
  <c r="AT130" i="1"/>
  <c r="BD129" i="1"/>
  <c r="AY129" i="1"/>
  <c r="AT129" i="1"/>
  <c r="AT128" i="1"/>
  <c r="AT134" i="1" s="1"/>
  <c r="AT127" i="1"/>
  <c r="AT133" i="1" s="1"/>
  <c r="AW126" i="1"/>
  <c r="AW139" i="1" s="1"/>
  <c r="AV126" i="1"/>
  <c r="AU126" i="1"/>
  <c r="AS126" i="1"/>
  <c r="AS133" i="1" s="1"/>
  <c r="AR126" i="1"/>
  <c r="AR134" i="1" s="1"/>
  <c r="AQ126" i="1"/>
  <c r="AQ133" i="1" s="1"/>
  <c r="AP126" i="1"/>
  <c r="AP139" i="1" s="1"/>
  <c r="BD125" i="1"/>
  <c r="AY125" i="1"/>
  <c r="AT125" i="1"/>
  <c r="BC124" i="1"/>
  <c r="BB124" i="1"/>
  <c r="BA124" i="1"/>
  <c r="AZ124" i="1"/>
  <c r="AY124" i="1"/>
  <c r="AX124" i="1"/>
  <c r="AT124" i="1"/>
  <c r="BB123" i="1"/>
  <c r="BA123" i="1"/>
  <c r="AZ123" i="1"/>
  <c r="BD123" i="1" s="1"/>
  <c r="BE123" i="1" s="1"/>
  <c r="BF123" i="1" s="1"/>
  <c r="BG123" i="1" s="1"/>
  <c r="AY123" i="1"/>
  <c r="AX123" i="1"/>
  <c r="BC123" i="1" s="1"/>
  <c r="AT123" i="1"/>
  <c r="BC122" i="1"/>
  <c r="BB122" i="1"/>
  <c r="BB126" i="1" s="1"/>
  <c r="BA122" i="1"/>
  <c r="AZ122" i="1"/>
  <c r="BD122" i="1" s="1"/>
  <c r="AX122" i="1"/>
  <c r="AY122" i="1" s="1"/>
  <c r="AT122" i="1"/>
  <c r="AT126" i="1" s="1"/>
  <c r="AT131" i="1" s="1"/>
  <c r="AT135" i="1" s="1"/>
  <c r="AV120" i="1"/>
  <c r="AV119" i="1"/>
  <c r="AU119" i="1"/>
  <c r="AQ119" i="1"/>
  <c r="AV116" i="1"/>
  <c r="AU116" i="1"/>
  <c r="AU120" i="1" s="1"/>
  <c r="AR116" i="1"/>
  <c r="AR120" i="1" s="1"/>
  <c r="AQ116" i="1"/>
  <c r="AQ120" i="1" s="1"/>
  <c r="BD115" i="1"/>
  <c r="AY115" i="1"/>
  <c r="AT115" i="1"/>
  <c r="BD114" i="1"/>
  <c r="AY114" i="1"/>
  <c r="AT114" i="1"/>
  <c r="AT113" i="1"/>
  <c r="AT112" i="1"/>
  <c r="AT118" i="1" s="1"/>
  <c r="AW111" i="1"/>
  <c r="AW138" i="1" s="1"/>
  <c r="AV111" i="1"/>
  <c r="AV197" i="1" s="1"/>
  <c r="AU111" i="1"/>
  <c r="AU197" i="1" s="1"/>
  <c r="AS111" i="1"/>
  <c r="AS197" i="1" s="1"/>
  <c r="AR111" i="1"/>
  <c r="AR138" i="1" s="1"/>
  <c r="AQ111" i="1"/>
  <c r="AQ197" i="1" s="1"/>
  <c r="AP111" i="1"/>
  <c r="AP118" i="1" s="1"/>
  <c r="AT110" i="1"/>
  <c r="AT111" i="1" s="1"/>
  <c r="AT109" i="1"/>
  <c r="AT108" i="1"/>
  <c r="AW106" i="1"/>
  <c r="AV106" i="1"/>
  <c r="AU106" i="1"/>
  <c r="AT106" i="1"/>
  <c r="AS106" i="1"/>
  <c r="AR106" i="1"/>
  <c r="AQ106" i="1"/>
  <c r="AP106" i="1"/>
  <c r="AW105" i="1"/>
  <c r="AV105" i="1"/>
  <c r="AU105" i="1"/>
  <c r="AT105" i="1"/>
  <c r="AS105" i="1"/>
  <c r="AR105" i="1"/>
  <c r="AQ105" i="1"/>
  <c r="AP105" i="1"/>
  <c r="AW103" i="1"/>
  <c r="AV103" i="1"/>
  <c r="AU103" i="1"/>
  <c r="AR103" i="1"/>
  <c r="AQ103" i="1"/>
  <c r="AP103" i="1"/>
  <c r="AW98" i="1"/>
  <c r="AV98" i="1"/>
  <c r="AU98" i="1"/>
  <c r="AS98" i="1"/>
  <c r="AR98" i="1"/>
  <c r="AQ98" i="1"/>
  <c r="AP98" i="1"/>
  <c r="BD89" i="1"/>
  <c r="AY89" i="1"/>
  <c r="AT89" i="1"/>
  <c r="BD88" i="1"/>
  <c r="AY88" i="1"/>
  <c r="AT88" i="1"/>
  <c r="AT87" i="1"/>
  <c r="BC86" i="1"/>
  <c r="AT86" i="1"/>
  <c r="AX85" i="1"/>
  <c r="AS85" i="1"/>
  <c r="AS92" i="1" s="1"/>
  <c r="BD84" i="1"/>
  <c r="AY84" i="1"/>
  <c r="AT84" i="1"/>
  <c r="BC83" i="1"/>
  <c r="AX83" i="1"/>
  <c r="AQ83" i="1"/>
  <c r="AP83" i="1"/>
  <c r="AW81" i="1"/>
  <c r="AW83" i="1" s="1"/>
  <c r="AV81" i="1"/>
  <c r="AV83" i="1" s="1"/>
  <c r="AU81" i="1"/>
  <c r="AR81" i="1"/>
  <c r="AQ81" i="1"/>
  <c r="AP81" i="1"/>
  <c r="AX78" i="1"/>
  <c r="BC78" i="1" s="1"/>
  <c r="BC85" i="1" s="1"/>
  <c r="AW78" i="1"/>
  <c r="AW9" i="1" s="1"/>
  <c r="AW15" i="9" s="1"/>
  <c r="AV78" i="1"/>
  <c r="BA78" i="1" s="1"/>
  <c r="AU78" i="1"/>
  <c r="AT78" i="1"/>
  <c r="AR78" i="1"/>
  <c r="AQ78" i="1"/>
  <c r="AQ85" i="1" s="1"/>
  <c r="AP78" i="1"/>
  <c r="AP85" i="1" s="1"/>
  <c r="AW73" i="1"/>
  <c r="AV73" i="1"/>
  <c r="AU73" i="1"/>
  <c r="AT73" i="1"/>
  <c r="AO73" i="1"/>
  <c r="AL73" i="1"/>
  <c r="AJ73" i="1"/>
  <c r="AR72" i="1"/>
  <c r="AQ72" i="1"/>
  <c r="AS72" i="1" s="1"/>
  <c r="AP72" i="1"/>
  <c r="AM72" i="1"/>
  <c r="AL72" i="1"/>
  <c r="AK72" i="1"/>
  <c r="AH72" i="1"/>
  <c r="AG72" i="1"/>
  <c r="AF72" i="1"/>
  <c r="AR71" i="1"/>
  <c r="AQ71" i="1"/>
  <c r="AP71" i="1"/>
  <c r="AS71" i="1" s="1"/>
  <c r="AN71" i="1"/>
  <c r="AM71" i="1"/>
  <c r="AL71" i="1"/>
  <c r="AK71" i="1"/>
  <c r="AH71" i="1"/>
  <c r="AI71" i="1" s="1"/>
  <c r="AG71" i="1"/>
  <c r="AF71" i="1"/>
  <c r="AR70" i="1"/>
  <c r="AQ70" i="1"/>
  <c r="AS70" i="1" s="1"/>
  <c r="AP70" i="1"/>
  <c r="AN70" i="1"/>
  <c r="AI70" i="1"/>
  <c r="AR69" i="1"/>
  <c r="AS69" i="1" s="1"/>
  <c r="AQ69" i="1"/>
  <c r="AP69" i="1"/>
  <c r="AN69" i="1"/>
  <c r="AM69" i="1"/>
  <c r="AL69" i="1"/>
  <c r="AK69" i="1"/>
  <c r="AH69" i="1"/>
  <c r="AG69" i="1"/>
  <c r="AF69" i="1"/>
  <c r="AI69" i="1" s="1"/>
  <c r="AS68" i="1"/>
  <c r="AR68" i="1"/>
  <c r="AQ68" i="1"/>
  <c r="AP68" i="1"/>
  <c r="AN68" i="1"/>
  <c r="AM68" i="1"/>
  <c r="AL68" i="1"/>
  <c r="AK68" i="1"/>
  <c r="AH68" i="1"/>
  <c r="AG68" i="1"/>
  <c r="AF68" i="1"/>
  <c r="AI68" i="1" s="1"/>
  <c r="AR67" i="1"/>
  <c r="AQ67" i="1"/>
  <c r="AP67" i="1"/>
  <c r="AS67" i="1" s="1"/>
  <c r="AM67" i="1"/>
  <c r="AL67" i="1"/>
  <c r="AK67" i="1"/>
  <c r="AH67" i="1"/>
  <c r="AI67" i="1" s="1"/>
  <c r="AG67" i="1"/>
  <c r="AF67" i="1"/>
  <c r="AR66" i="1"/>
  <c r="AQ66" i="1"/>
  <c r="AP66" i="1"/>
  <c r="AS66" i="1" s="1"/>
  <c r="AN66" i="1"/>
  <c r="AM66" i="1"/>
  <c r="AL66" i="1"/>
  <c r="AK66" i="1"/>
  <c r="AK73" i="1" s="1"/>
  <c r="AI66" i="1"/>
  <c r="AH66" i="1"/>
  <c r="AG66" i="1"/>
  <c r="AF66" i="1"/>
  <c r="AR65" i="1"/>
  <c r="AS65" i="1" s="1"/>
  <c r="AQ65" i="1"/>
  <c r="AP65" i="1"/>
  <c r="AN65" i="1"/>
  <c r="AM65" i="1"/>
  <c r="AL65" i="1"/>
  <c r="AK65" i="1"/>
  <c r="AH65" i="1"/>
  <c r="AG65" i="1"/>
  <c r="AF65" i="1"/>
  <c r="AI65" i="1" s="1"/>
  <c r="AS64" i="1"/>
  <c r="AR64" i="1"/>
  <c r="AQ64" i="1"/>
  <c r="AP64" i="1"/>
  <c r="AN64" i="1"/>
  <c r="AM64" i="1"/>
  <c r="AL64" i="1"/>
  <c r="AK64" i="1"/>
  <c r="AH64" i="1"/>
  <c r="AG64" i="1"/>
  <c r="AF64" i="1"/>
  <c r="AF73" i="1" s="1"/>
  <c r="AS63" i="1"/>
  <c r="AR63" i="1"/>
  <c r="AQ63" i="1"/>
  <c r="AP63" i="1"/>
  <c r="AN63" i="1"/>
  <c r="AM63" i="1"/>
  <c r="AL63" i="1"/>
  <c r="AK63" i="1"/>
  <c r="AH63" i="1"/>
  <c r="AI63" i="1" s="1"/>
  <c r="AG63" i="1"/>
  <c r="AF63" i="1"/>
  <c r="AS62" i="1"/>
  <c r="AR62" i="1"/>
  <c r="AR73" i="1" s="1"/>
  <c r="AQ62" i="1"/>
  <c r="AQ73" i="1" s="1"/>
  <c r="AP62" i="1"/>
  <c r="AP73" i="1" s="1"/>
  <c r="AN62" i="1"/>
  <c r="AM62" i="1"/>
  <c r="AM73" i="1" s="1"/>
  <c r="AL62" i="1"/>
  <c r="AK62" i="1"/>
  <c r="AI62" i="1"/>
  <c r="AH62" i="1"/>
  <c r="AG62" i="1"/>
  <c r="AF62" i="1"/>
  <c r="AT59" i="1"/>
  <c r="AS59" i="1"/>
  <c r="AR59" i="1"/>
  <c r="AQ59" i="1"/>
  <c r="AP59" i="1"/>
  <c r="AO59" i="1"/>
  <c r="AN59" i="1"/>
  <c r="AM59" i="1"/>
  <c r="AL59" i="1"/>
  <c r="AK59" i="1"/>
  <c r="AJ59" i="1"/>
  <c r="AI59" i="1"/>
  <c r="AH59" i="1"/>
  <c r="AG59" i="1"/>
  <c r="AF59" i="1"/>
  <c r="AE59" i="1"/>
  <c r="Z59" i="1"/>
  <c r="AT58" i="1"/>
  <c r="AS58" i="1"/>
  <c r="AR58" i="1"/>
  <c r="AQ58" i="1"/>
  <c r="AP58" i="1"/>
  <c r="AO58" i="1"/>
  <c r="AN58" i="1"/>
  <c r="AM58" i="1"/>
  <c r="AL58" i="1"/>
  <c r="AK58" i="1"/>
  <c r="AJ58" i="1"/>
  <c r="AI58" i="1"/>
  <c r="AH58" i="1"/>
  <c r="AG58" i="1"/>
  <c r="AF58" i="1"/>
  <c r="AE58" i="1"/>
  <c r="Z58" i="1"/>
  <c r="AT57" i="1"/>
  <c r="AR57" i="1"/>
  <c r="AP57" i="1"/>
  <c r="AN57" i="1"/>
  <c r="AM57" i="1"/>
  <c r="AL57" i="1"/>
  <c r="AK57" i="1"/>
  <c r="AJ57" i="1"/>
  <c r="AI57" i="1"/>
  <c r="AH57" i="1"/>
  <c r="AH60" i="1" s="1"/>
  <c r="AG57" i="1"/>
  <c r="AF57" i="1"/>
  <c r="AE57" i="1"/>
  <c r="Z57" i="1"/>
  <c r="AQ56" i="1"/>
  <c r="AM56" i="1"/>
  <c r="AK56" i="1"/>
  <c r="AJ56" i="1"/>
  <c r="AH56" i="1"/>
  <c r="AG56" i="1"/>
  <c r="AF56" i="1"/>
  <c r="AQ55" i="1"/>
  <c r="AK55" i="1"/>
  <c r="AI55" i="1"/>
  <c r="AH55" i="1"/>
  <c r="AG55" i="1"/>
  <c r="Z55" i="1"/>
  <c r="AT54" i="1"/>
  <c r="AR54" i="1"/>
  <c r="AQ54" i="1"/>
  <c r="AP54" i="1"/>
  <c r="AO54" i="1"/>
  <c r="AM54" i="1"/>
  <c r="AI54" i="1"/>
  <c r="AH54" i="1"/>
  <c r="AG54" i="1"/>
  <c r="AF54" i="1"/>
  <c r="AE54" i="1"/>
  <c r="Z54" i="1"/>
  <c r="AW53" i="1"/>
  <c r="AV53" i="1"/>
  <c r="AU53" i="1"/>
  <c r="AS53" i="1"/>
  <c r="AQ53" i="1"/>
  <c r="AP53" i="1"/>
  <c r="BA49" i="1"/>
  <c r="AW49" i="1"/>
  <c r="AV49" i="1"/>
  <c r="AU49" i="1"/>
  <c r="AS49" i="1"/>
  <c r="AR49" i="1"/>
  <c r="AQ49" i="1"/>
  <c r="AP49" i="1"/>
  <c r="AV45" i="1"/>
  <c r="AV48" i="9" s="1"/>
  <c r="AU45" i="1"/>
  <c r="AU48" i="9" s="1"/>
  <c r="AT45" i="1"/>
  <c r="AT48" i="9" s="1"/>
  <c r="AP45" i="1"/>
  <c r="AP48" i="9" s="1"/>
  <c r="AM45" i="1"/>
  <c r="AM48" i="9" s="1"/>
  <c r="AK45" i="1"/>
  <c r="AK48" i="9" s="1"/>
  <c r="AG45" i="1"/>
  <c r="AG48" i="9" s="1"/>
  <c r="AF45" i="1"/>
  <c r="AF48" i="9" s="1"/>
  <c r="AE45" i="1"/>
  <c r="AE48" i="9" s="1"/>
  <c r="AB45" i="1"/>
  <c r="AB48" i="9" s="1"/>
  <c r="Z45" i="1"/>
  <c r="Z48" i="9" s="1"/>
  <c r="X45" i="1"/>
  <c r="X48" i="9" s="1"/>
  <c r="W45" i="1"/>
  <c r="W48" i="9" s="1"/>
  <c r="U45" i="1"/>
  <c r="U48" i="9" s="1"/>
  <c r="S45" i="1"/>
  <c r="S48" i="9" s="1"/>
  <c r="Q45" i="1"/>
  <c r="Q48" i="9" s="1"/>
  <c r="N45" i="1"/>
  <c r="N48" i="9" s="1"/>
  <c r="L45" i="1"/>
  <c r="L48" i="9" s="1"/>
  <c r="F45" i="1"/>
  <c r="F48" i="9" s="1"/>
  <c r="E45" i="1"/>
  <c r="E48" i="9" s="1"/>
  <c r="D45" i="1"/>
  <c r="D48" i="9" s="1"/>
  <c r="AT43" i="1"/>
  <c r="AT47" i="9" s="1"/>
  <c r="AR43" i="1"/>
  <c r="AR47" i="9" s="1"/>
  <c r="AQ43" i="1"/>
  <c r="AQ47" i="9" s="1"/>
  <c r="AP43" i="1"/>
  <c r="AP47" i="9" s="1"/>
  <c r="AO43" i="1"/>
  <c r="AO47" i="9" s="1"/>
  <c r="AM43" i="1"/>
  <c r="AM47" i="9" s="1"/>
  <c r="AL43" i="1"/>
  <c r="AL47" i="9" s="1"/>
  <c r="AK43" i="1"/>
  <c r="AK47" i="9" s="1"/>
  <c r="AJ43" i="1"/>
  <c r="AJ47" i="9" s="1"/>
  <c r="AE43" i="1"/>
  <c r="AE47" i="9" s="1"/>
  <c r="AT42" i="1"/>
  <c r="AT46" i="9" s="1"/>
  <c r="AS42" i="1"/>
  <c r="AS46" i="9" s="1"/>
  <c r="AR42" i="1"/>
  <c r="AR46" i="9" s="1"/>
  <c r="AQ42" i="1"/>
  <c r="AQ46" i="9" s="1"/>
  <c r="AP42" i="1"/>
  <c r="AP46" i="9" s="1"/>
  <c r="AO42" i="1"/>
  <c r="AO46" i="9" s="1"/>
  <c r="AN42" i="1"/>
  <c r="AN46" i="9" s="1"/>
  <c r="AM42" i="1"/>
  <c r="AM46" i="9" s="1"/>
  <c r="AL42" i="1"/>
  <c r="AL46" i="9" s="1"/>
  <c r="AK42" i="1"/>
  <c r="AK46" i="9" s="1"/>
  <c r="AJ42" i="1"/>
  <c r="AJ46" i="9" s="1"/>
  <c r="AE42" i="1"/>
  <c r="AE46" i="9" s="1"/>
  <c r="AT41" i="1"/>
  <c r="AT45" i="9" s="1"/>
  <c r="AS41" i="1"/>
  <c r="AS45" i="9" s="1"/>
  <c r="AR41" i="1"/>
  <c r="AR45" i="9" s="1"/>
  <c r="AQ41" i="1"/>
  <c r="AQ45" i="9" s="1"/>
  <c r="AP41" i="1"/>
  <c r="AP45" i="9" s="1"/>
  <c r="AO41" i="1"/>
  <c r="AO45" i="9" s="1"/>
  <c r="AN41" i="1"/>
  <c r="AN45" i="9" s="1"/>
  <c r="AM41" i="1"/>
  <c r="AM45" i="9" s="1"/>
  <c r="AL41" i="1"/>
  <c r="AL45" i="9" s="1"/>
  <c r="AK41" i="1"/>
  <c r="AK45" i="9" s="1"/>
  <c r="AJ41" i="1"/>
  <c r="AJ45" i="9" s="1"/>
  <c r="AE41" i="1"/>
  <c r="AE45" i="9" s="1"/>
  <c r="AR40" i="1"/>
  <c r="AR44" i="9" s="1"/>
  <c r="AQ40" i="1"/>
  <c r="AQ44" i="9" s="1"/>
  <c r="AP40" i="1"/>
  <c r="AP44" i="9" s="1"/>
  <c r="AM40" i="1"/>
  <c r="AM44" i="9" s="1"/>
  <c r="AL40" i="1"/>
  <c r="AL44" i="9" s="1"/>
  <c r="AK40" i="1"/>
  <c r="AK44" i="9" s="1"/>
  <c r="AJ40" i="1"/>
  <c r="AJ44" i="9" s="1"/>
  <c r="AE40" i="1"/>
  <c r="AE44" i="9" s="1"/>
  <c r="AT39" i="1"/>
  <c r="AS39" i="1"/>
  <c r="AR39" i="1"/>
  <c r="AQ39" i="1"/>
  <c r="AP39" i="1"/>
  <c r="AO39" i="1"/>
  <c r="AN39" i="1"/>
  <c r="AM39" i="1"/>
  <c r="AL39" i="1"/>
  <c r="AK39" i="1"/>
  <c r="AT38" i="1"/>
  <c r="AS38" i="1"/>
  <c r="AR38" i="1"/>
  <c r="AQ38" i="1"/>
  <c r="AP38" i="1"/>
  <c r="AO38" i="1"/>
  <c r="AN38" i="1"/>
  <c r="AM38" i="1"/>
  <c r="AL38" i="1"/>
  <c r="AK38" i="1"/>
  <c r="AT37" i="1"/>
  <c r="AT43" i="9" s="1"/>
  <c r="AR37" i="1"/>
  <c r="AR43" i="9" s="1"/>
  <c r="AQ37" i="1"/>
  <c r="AQ43" i="9" s="1"/>
  <c r="AP37" i="1"/>
  <c r="AP43" i="9" s="1"/>
  <c r="AO37" i="1"/>
  <c r="AO43" i="9" s="1"/>
  <c r="AM37" i="1"/>
  <c r="AM43" i="9" s="1"/>
  <c r="AL37" i="1"/>
  <c r="AL43" i="9" s="1"/>
  <c r="AK37" i="1"/>
  <c r="AK43" i="9" s="1"/>
  <c r="AJ37" i="1"/>
  <c r="AJ43" i="9" s="1"/>
  <c r="AE37" i="1"/>
  <c r="AE43" i="9" s="1"/>
  <c r="AT36" i="1"/>
  <c r="AT42" i="9" s="1"/>
  <c r="AS36" i="1"/>
  <c r="AS42" i="9" s="1"/>
  <c r="AR36" i="1"/>
  <c r="AR42" i="9" s="1"/>
  <c r="AQ36" i="1"/>
  <c r="AQ42" i="9" s="1"/>
  <c r="AP36" i="1"/>
  <c r="AP42" i="9" s="1"/>
  <c r="AO36" i="1"/>
  <c r="AO42" i="9" s="1"/>
  <c r="AN36" i="1"/>
  <c r="AN42" i="9" s="1"/>
  <c r="AM36" i="1"/>
  <c r="AM42" i="9" s="1"/>
  <c r="AL36" i="1"/>
  <c r="AL42" i="9" s="1"/>
  <c r="AK36" i="1"/>
  <c r="AK42" i="9" s="1"/>
  <c r="AJ36" i="1"/>
  <c r="AJ42" i="9" s="1"/>
  <c r="AE36" i="1"/>
  <c r="AE42" i="9" s="1"/>
  <c r="AT35" i="1"/>
  <c r="AT41" i="9" s="1"/>
  <c r="AS35" i="1"/>
  <c r="AS41" i="9" s="1"/>
  <c r="AR35" i="1"/>
  <c r="AR41" i="9" s="1"/>
  <c r="AQ35" i="1"/>
  <c r="AQ41" i="9" s="1"/>
  <c r="AP35" i="1"/>
  <c r="AP41" i="9" s="1"/>
  <c r="AO35" i="1"/>
  <c r="AO41" i="9" s="1"/>
  <c r="AN35" i="1"/>
  <c r="AN41" i="9" s="1"/>
  <c r="AM35" i="1"/>
  <c r="AM41" i="9" s="1"/>
  <c r="AL35" i="1"/>
  <c r="AL41" i="9" s="1"/>
  <c r="AK35" i="1"/>
  <c r="AK41" i="9" s="1"/>
  <c r="AJ35" i="1"/>
  <c r="AJ41" i="9" s="1"/>
  <c r="AE35" i="1"/>
  <c r="AE41" i="9" s="1"/>
  <c r="AR34" i="1"/>
  <c r="AR40" i="9" s="1"/>
  <c r="AQ34" i="1"/>
  <c r="AQ40" i="9" s="1"/>
  <c r="AP34" i="1"/>
  <c r="AP40" i="9" s="1"/>
  <c r="AM34" i="1"/>
  <c r="AM40" i="9" s="1"/>
  <c r="AL34" i="1"/>
  <c r="AL40" i="9" s="1"/>
  <c r="AK34" i="1"/>
  <c r="AK40" i="9" s="1"/>
  <c r="AJ34" i="1"/>
  <c r="AJ40" i="9" s="1"/>
  <c r="AE34" i="1"/>
  <c r="AE40" i="9" s="1"/>
  <c r="AT33" i="1"/>
  <c r="AT39" i="9" s="1"/>
  <c r="AS33" i="1"/>
  <c r="AS39" i="9" s="1"/>
  <c r="AR33" i="1"/>
  <c r="AR39" i="9" s="1"/>
  <c r="AQ33" i="1"/>
  <c r="AQ39" i="9" s="1"/>
  <c r="AP33" i="1"/>
  <c r="AP39" i="9" s="1"/>
  <c r="AO33" i="1"/>
  <c r="AO39" i="9" s="1"/>
  <c r="AN33" i="1"/>
  <c r="AN39" i="9" s="1"/>
  <c r="AM33" i="1"/>
  <c r="AM39" i="9" s="1"/>
  <c r="AL33" i="1"/>
  <c r="AL39" i="9" s="1"/>
  <c r="AK33" i="1"/>
  <c r="AK39" i="9" s="1"/>
  <c r="AJ33" i="1"/>
  <c r="AJ39" i="9" s="1"/>
  <c r="AE33" i="1"/>
  <c r="AE39" i="9" s="1"/>
  <c r="AT32" i="1"/>
  <c r="AT38" i="9" s="1"/>
  <c r="AS32" i="1"/>
  <c r="AS38" i="9" s="1"/>
  <c r="AR32" i="1"/>
  <c r="AR38" i="9" s="1"/>
  <c r="AQ32" i="1"/>
  <c r="AQ38" i="9" s="1"/>
  <c r="AP32" i="1"/>
  <c r="AP38" i="9" s="1"/>
  <c r="AO32" i="1"/>
  <c r="AO38" i="9" s="1"/>
  <c r="AN32" i="1"/>
  <c r="AN38" i="9" s="1"/>
  <c r="AM32" i="1"/>
  <c r="AM38" i="9" s="1"/>
  <c r="AL32" i="1"/>
  <c r="AL38" i="9" s="1"/>
  <c r="AK32" i="1"/>
  <c r="AK38" i="9" s="1"/>
  <c r="AJ32" i="1"/>
  <c r="AJ38" i="9" s="1"/>
  <c r="AE32" i="1"/>
  <c r="AE38" i="9" s="1"/>
  <c r="AT31" i="1"/>
  <c r="AT37" i="9" s="1"/>
  <c r="AS31" i="1"/>
  <c r="AS37" i="9" s="1"/>
  <c r="AR31" i="1"/>
  <c r="AR37" i="9" s="1"/>
  <c r="AQ31" i="1"/>
  <c r="AQ37" i="9" s="1"/>
  <c r="AP31" i="1"/>
  <c r="AP37" i="9" s="1"/>
  <c r="AO31" i="1"/>
  <c r="AO37" i="9" s="1"/>
  <c r="AN31" i="1"/>
  <c r="AN37" i="9" s="1"/>
  <c r="AM31" i="1"/>
  <c r="AM37" i="9" s="1"/>
  <c r="AL31" i="1"/>
  <c r="AL37" i="9" s="1"/>
  <c r="AK31" i="1"/>
  <c r="AK37" i="9" s="1"/>
  <c r="AJ31" i="1"/>
  <c r="AJ37" i="9" s="1"/>
  <c r="AE31" i="1"/>
  <c r="AE37" i="9" s="1"/>
  <c r="AT30" i="1"/>
  <c r="AT36" i="9" s="1"/>
  <c r="AR30" i="1"/>
  <c r="AR36" i="9" s="1"/>
  <c r="AQ30" i="1"/>
  <c r="AQ36" i="9" s="1"/>
  <c r="AP30" i="1"/>
  <c r="AP36" i="9" s="1"/>
  <c r="AO30" i="1"/>
  <c r="AO36" i="9" s="1"/>
  <c r="AN30" i="1"/>
  <c r="AN36" i="9" s="1"/>
  <c r="AM30" i="1"/>
  <c r="AM36" i="9" s="1"/>
  <c r="AL30" i="1"/>
  <c r="AL36" i="9" s="1"/>
  <c r="AK30" i="1"/>
  <c r="AK36" i="9" s="1"/>
  <c r="AJ30" i="1"/>
  <c r="AJ36" i="9" s="1"/>
  <c r="AE30" i="1"/>
  <c r="AE36" i="9" s="1"/>
  <c r="AT29" i="1"/>
  <c r="AT35" i="9" s="1"/>
  <c r="AS29" i="1"/>
  <c r="AS35" i="9" s="1"/>
  <c r="AR29" i="1"/>
  <c r="AR35" i="9" s="1"/>
  <c r="AQ29" i="1"/>
  <c r="AQ35" i="9" s="1"/>
  <c r="AP29" i="1"/>
  <c r="AP35" i="9" s="1"/>
  <c r="AO29" i="1"/>
  <c r="AO35" i="9" s="1"/>
  <c r="AN29" i="1"/>
  <c r="AN35" i="9" s="1"/>
  <c r="AM29" i="1"/>
  <c r="AM35" i="9" s="1"/>
  <c r="AL29" i="1"/>
  <c r="AL35" i="9" s="1"/>
  <c r="AK29" i="1"/>
  <c r="AK35" i="9" s="1"/>
  <c r="AJ29" i="1"/>
  <c r="AJ35" i="9" s="1"/>
  <c r="AE29" i="1"/>
  <c r="AE35" i="9" s="1"/>
  <c r="AT28" i="1"/>
  <c r="AT34" i="9" s="1"/>
  <c r="AS28" i="1"/>
  <c r="AS34" i="9" s="1"/>
  <c r="AR28" i="1"/>
  <c r="AR34" i="9" s="1"/>
  <c r="AQ28" i="1"/>
  <c r="AQ34" i="9" s="1"/>
  <c r="AP28" i="1"/>
  <c r="AP34" i="9" s="1"/>
  <c r="AO28" i="1"/>
  <c r="AO34" i="9" s="1"/>
  <c r="AN28" i="1"/>
  <c r="AN34" i="9" s="1"/>
  <c r="AM28" i="1"/>
  <c r="AM34" i="9" s="1"/>
  <c r="AL28" i="1"/>
  <c r="AL34" i="9" s="1"/>
  <c r="AK28" i="1"/>
  <c r="AK34" i="9" s="1"/>
  <c r="AJ28" i="1"/>
  <c r="AJ34" i="9" s="1"/>
  <c r="AE28" i="1"/>
  <c r="AE34" i="9" s="1"/>
  <c r="BA27" i="1"/>
  <c r="BA33" i="9" s="1"/>
  <c r="AW27" i="1"/>
  <c r="AW33" i="9" s="1"/>
  <c r="AV27" i="1"/>
  <c r="AV33" i="9" s="1"/>
  <c r="AU27" i="1"/>
  <c r="AU33" i="9" s="1"/>
  <c r="AS27" i="1"/>
  <c r="AR27" i="1"/>
  <c r="AQ27" i="1"/>
  <c r="AP27" i="1"/>
  <c r="AO27" i="1"/>
  <c r="AM27" i="1"/>
  <c r="AL27" i="1"/>
  <c r="AJ27" i="1"/>
  <c r="AE27" i="1"/>
  <c r="AY26" i="1"/>
  <c r="AY32" i="9" s="1"/>
  <c r="AW26" i="1"/>
  <c r="AW32" i="9" s="1"/>
  <c r="AV26" i="1"/>
  <c r="AV32" i="9" s="1"/>
  <c r="AU26" i="1"/>
  <c r="AU32" i="9" s="1"/>
  <c r="AT26" i="1"/>
  <c r="AS26" i="1"/>
  <c r="AR26" i="1"/>
  <c r="AQ26" i="1"/>
  <c r="AP26" i="1"/>
  <c r="AO26" i="1"/>
  <c r="AN26" i="1"/>
  <c r="AM26" i="1"/>
  <c r="AL26" i="1"/>
  <c r="AK26" i="1"/>
  <c r="AJ26" i="1"/>
  <c r="AE26" i="1"/>
  <c r="BD25" i="1"/>
  <c r="BD31" i="9" s="1"/>
  <c r="AY25" i="1"/>
  <c r="AY31" i="9" s="1"/>
  <c r="AW25" i="1"/>
  <c r="AW31" i="9" s="1"/>
  <c r="AV25" i="1"/>
  <c r="AV31" i="9" s="1"/>
  <c r="AU25" i="1"/>
  <c r="AU31" i="9" s="1"/>
  <c r="AT25" i="1"/>
  <c r="AS25" i="1"/>
  <c r="AR25" i="1"/>
  <c r="AQ25" i="1"/>
  <c r="AP25" i="1"/>
  <c r="AO25" i="1"/>
  <c r="AN25" i="1"/>
  <c r="AM25" i="1"/>
  <c r="AL25" i="1"/>
  <c r="AK25" i="1"/>
  <c r="AJ25" i="1"/>
  <c r="AE25" i="1"/>
  <c r="AW24" i="1"/>
  <c r="AW30" i="9" s="1"/>
  <c r="AV24" i="1"/>
  <c r="AV30" i="9" s="1"/>
  <c r="AU24" i="1"/>
  <c r="AU30" i="9" s="1"/>
  <c r="AT24" i="1"/>
  <c r="AS24" i="1"/>
  <c r="AR24" i="1"/>
  <c r="AQ24" i="1"/>
  <c r="AP24" i="1"/>
  <c r="AO24" i="1"/>
  <c r="AN24" i="1"/>
  <c r="AM24" i="1"/>
  <c r="AL24" i="1"/>
  <c r="AK24" i="1"/>
  <c r="AJ24" i="1"/>
  <c r="AE24" i="1"/>
  <c r="BD23" i="1"/>
  <c r="BD29" i="9" s="1"/>
  <c r="AY23" i="1"/>
  <c r="AY29" i="9" s="1"/>
  <c r="AW23" i="1"/>
  <c r="AW29" i="9" s="1"/>
  <c r="AV23" i="1"/>
  <c r="AV29" i="9" s="1"/>
  <c r="AU23" i="1"/>
  <c r="AU29" i="9" s="1"/>
  <c r="AT23" i="1"/>
  <c r="AS23" i="1"/>
  <c r="AR23" i="1"/>
  <c r="AQ23" i="1"/>
  <c r="AP23" i="1"/>
  <c r="AO23" i="1"/>
  <c r="AN23" i="1"/>
  <c r="AM23" i="1"/>
  <c r="AL23" i="1"/>
  <c r="AK23" i="1"/>
  <c r="AJ23" i="1"/>
  <c r="AE23" i="1"/>
  <c r="AY22" i="1"/>
  <c r="AY28" i="9" s="1"/>
  <c r="AW22" i="1"/>
  <c r="AW28" i="9" s="1"/>
  <c r="AV22" i="1"/>
  <c r="AV28" i="9" s="1"/>
  <c r="AU22" i="1"/>
  <c r="AU28" i="9" s="1"/>
  <c r="AT22" i="1"/>
  <c r="AS22" i="1"/>
  <c r="AR22" i="1"/>
  <c r="AQ22" i="1"/>
  <c r="AP22" i="1"/>
  <c r="AO22" i="1"/>
  <c r="AN22" i="1"/>
  <c r="AM22" i="1"/>
  <c r="AL22" i="1"/>
  <c r="AK22" i="1"/>
  <c r="AJ22" i="1"/>
  <c r="AE22" i="1"/>
  <c r="AW20" i="1"/>
  <c r="AW26" i="9" s="1"/>
  <c r="AY19" i="1"/>
  <c r="AY25" i="9" s="1"/>
  <c r="AW19" i="1"/>
  <c r="AW25" i="9" s="1"/>
  <c r="AV19" i="1"/>
  <c r="AV25" i="9" s="1"/>
  <c r="AU19" i="1"/>
  <c r="AU25" i="9" s="1"/>
  <c r="BD18" i="1"/>
  <c r="BD24" i="9" s="1"/>
  <c r="AY18" i="1"/>
  <c r="AY24" i="9" s="1"/>
  <c r="AW18" i="1"/>
  <c r="AW24" i="9" s="1"/>
  <c r="AV18" i="1"/>
  <c r="AV24" i="9" s="1"/>
  <c r="AU18" i="1"/>
  <c r="AU24" i="9" s="1"/>
  <c r="AW17" i="1"/>
  <c r="AW23" i="9" s="1"/>
  <c r="AV17" i="1"/>
  <c r="AV23" i="9" s="1"/>
  <c r="AU17" i="1"/>
  <c r="AU23" i="9" s="1"/>
  <c r="AW16" i="1"/>
  <c r="AW22" i="9" s="1"/>
  <c r="AV16" i="1"/>
  <c r="AV22" i="9" s="1"/>
  <c r="AX15" i="1"/>
  <c r="AX21" i="9" s="1"/>
  <c r="AW13" i="1"/>
  <c r="AW19" i="9" s="1"/>
  <c r="AV13" i="1"/>
  <c r="AV19" i="9" s="1"/>
  <c r="AU13" i="1"/>
  <c r="AU19" i="9" s="1"/>
  <c r="AV12" i="1"/>
  <c r="AV18" i="9" s="1"/>
  <c r="AW11" i="1"/>
  <c r="AW17" i="9" s="1"/>
  <c r="AV11" i="1"/>
  <c r="AV17" i="9" s="1"/>
  <c r="AU11" i="1"/>
  <c r="AU17" i="9" s="1"/>
  <c r="AW10" i="1"/>
  <c r="AW16" i="9" s="1"/>
  <c r="AV10" i="1"/>
  <c r="AV16" i="9" s="1"/>
  <c r="AU10" i="1"/>
  <c r="AU16" i="9" s="1"/>
  <c r="AV9" i="1"/>
  <c r="AV15" i="9" s="1"/>
  <c r="AW8" i="1"/>
  <c r="AW14" i="9" s="1"/>
  <c r="AV8" i="1"/>
  <c r="AV14" i="9" s="1"/>
  <c r="AU8" i="1"/>
  <c r="AU14" i="9" s="1"/>
  <c r="AW7" i="1"/>
  <c r="AW13" i="9" s="1"/>
  <c r="AV7" i="1"/>
  <c r="AV13" i="9" s="1"/>
  <c r="AU7" i="1"/>
  <c r="AU13" i="9" s="1"/>
  <c r="E5" i="1"/>
  <c r="E2" i="9" s="1"/>
  <c r="D5" i="1"/>
  <c r="D2" i="9" s="1"/>
  <c r="A5" i="1"/>
  <c r="D4" i="1"/>
  <c r="A4" i="1"/>
  <c r="C2" i="1"/>
  <c r="C3" i="1" s="1"/>
  <c r="C1117" i="1" s="1"/>
  <c r="H13" i="7"/>
  <c r="H11" i="7"/>
  <c r="H9" i="7"/>
  <c r="C1138" i="1"/>
  <c r="C1131" i="1"/>
  <c r="C1124" i="1"/>
  <c r="AP92" i="1" l="1"/>
  <c r="AP90" i="1"/>
  <c r="AP94" i="1" s="1"/>
  <c r="AP93" i="1"/>
  <c r="AR195" i="1"/>
  <c r="AR193" i="1"/>
  <c r="AR192" i="1" s="1"/>
  <c r="B1162" i="1"/>
  <c r="AI72" i="1"/>
  <c r="AQ92" i="1"/>
  <c r="AQ90" i="1"/>
  <c r="AQ94" i="1" s="1"/>
  <c r="AQ93" i="1"/>
  <c r="AQ137" i="1"/>
  <c r="AM320" i="1"/>
  <c r="AM55" i="1"/>
  <c r="AM60" i="1" s="1"/>
  <c r="AT85" i="1"/>
  <c r="AU9" i="1"/>
  <c r="AU15" i="9" s="1"/>
  <c r="AZ78" i="1"/>
  <c r="AY78" i="1"/>
  <c r="AU85" i="1"/>
  <c r="AU134" i="1"/>
  <c r="AU20" i="1"/>
  <c r="AU26" i="9" s="1"/>
  <c r="AU139" i="1"/>
  <c r="AU131" i="1"/>
  <c r="AU135" i="1" s="1"/>
  <c r="BA769" i="1"/>
  <c r="D1" i="9"/>
  <c r="D3" i="1"/>
  <c r="D1117" i="1" s="1"/>
  <c r="E4" i="1"/>
  <c r="AS73" i="1"/>
  <c r="AV139" i="1"/>
  <c r="AV134" i="1"/>
  <c r="AV20" i="1"/>
  <c r="AV26" i="9" s="1"/>
  <c r="AV131" i="1"/>
  <c r="AV135" i="1" s="1"/>
  <c r="BB1066" i="1"/>
  <c r="BB769" i="1"/>
  <c r="AW192" i="1"/>
  <c r="AO301" i="1"/>
  <c r="AO319" i="1"/>
  <c r="AO318" i="1"/>
  <c r="AO312" i="1"/>
  <c r="AO34" i="1"/>
  <c r="AO40" i="9" s="1"/>
  <c r="AS320" i="1"/>
  <c r="AS55" i="1"/>
  <c r="AG73" i="1"/>
  <c r="BB163" i="1"/>
  <c r="BD200" i="1"/>
  <c r="AZ205" i="1"/>
  <c r="BC87" i="1"/>
  <c r="BC15" i="1"/>
  <c r="BC21" i="9" s="1"/>
  <c r="BC90" i="1"/>
  <c r="BC94" i="1" s="1"/>
  <c r="BC137" i="1"/>
  <c r="AX86" i="1"/>
  <c r="AX137" i="1"/>
  <c r="AX87" i="1"/>
  <c r="AX90" i="1"/>
  <c r="AX94" i="1" s="1"/>
  <c r="BC163" i="1"/>
  <c r="BD161" i="1"/>
  <c r="C1130" i="1"/>
  <c r="C1123" i="1"/>
  <c r="C1128" i="1"/>
  <c r="C1126" i="1" s="1"/>
  <c r="C856" i="1" s="1"/>
  <c r="C1121" i="1"/>
  <c r="C1119" i="1" s="1"/>
  <c r="C855" i="1" s="1"/>
  <c r="C1137" i="1"/>
  <c r="C1135" i="1"/>
  <c r="A1133" i="1" s="1"/>
  <c r="AT197" i="1"/>
  <c r="AT116" i="1"/>
  <c r="AT120" i="1" s="1"/>
  <c r="AT119" i="1"/>
  <c r="AV133" i="1"/>
  <c r="AN313" i="1"/>
  <c r="AN259" i="1"/>
  <c r="AP197" i="1"/>
  <c r="AU16" i="1"/>
  <c r="AU22" i="9" s="1"/>
  <c r="AP119" i="1"/>
  <c r="AP138" i="1"/>
  <c r="AP116" i="1"/>
  <c r="AP120" i="1" s="1"/>
  <c r="AY126" i="1"/>
  <c r="AY17" i="1"/>
  <c r="AY23" i="9" s="1"/>
  <c r="BD124" i="1"/>
  <c r="AT180" i="1"/>
  <c r="AP195" i="1"/>
  <c r="AP193" i="1"/>
  <c r="AP192" i="1" s="1"/>
  <c r="AR214" i="1"/>
  <c r="AR53" i="1"/>
  <c r="AT53" i="1" s="1"/>
  <c r="AS259" i="1"/>
  <c r="AS542" i="1"/>
  <c r="O664" i="1"/>
  <c r="C627" i="1"/>
  <c r="C626" i="1"/>
  <c r="C624" i="1"/>
  <c r="C628" i="1" s="1"/>
  <c r="T627" i="1"/>
  <c r="T624" i="1"/>
  <c r="T628" i="1" s="1"/>
  <c r="BG1066" i="1"/>
  <c r="BG769" i="1"/>
  <c r="AQ196" i="1"/>
  <c r="AU83" i="1"/>
  <c r="AU12" i="1"/>
  <c r="AU18" i="9" s="1"/>
  <c r="BA126" i="1"/>
  <c r="AG60" i="1"/>
  <c r="AV14" i="1"/>
  <c r="AV20" i="9" s="1"/>
  <c r="BA83" i="1"/>
  <c r="BA85" i="1" s="1"/>
  <c r="AT93" i="1"/>
  <c r="BB139" i="1"/>
  <c r="BB127" i="1"/>
  <c r="BB131" i="1" s="1"/>
  <c r="BB135" i="1" s="1"/>
  <c r="BB20" i="1"/>
  <c r="BB26" i="9" s="1"/>
  <c r="BB128" i="1"/>
  <c r="AW12" i="1"/>
  <c r="AW18" i="9" s="1"/>
  <c r="AR83" i="1"/>
  <c r="AR85" i="1" s="1"/>
  <c r="AI210" i="1"/>
  <c r="AI214" i="1" s="1"/>
  <c r="AI212" i="1"/>
  <c r="AN27" i="1"/>
  <c r="BB83" i="1"/>
  <c r="BC126" i="1"/>
  <c r="AO193" i="1"/>
  <c r="AO192" i="1" s="1"/>
  <c r="AY202" i="1"/>
  <c r="BC202" i="1"/>
  <c r="AX205" i="1"/>
  <c r="BD126" i="1"/>
  <c r="BE122" i="1"/>
  <c r="BD17" i="1"/>
  <c r="BD23" i="9" s="1"/>
  <c r="AT83" i="1"/>
  <c r="AP137" i="1"/>
  <c r="BD202" i="1"/>
  <c r="AE405" i="1"/>
  <c r="AE56" i="1"/>
  <c r="T596" i="1"/>
  <c r="AH73" i="1"/>
  <c r="AR119" i="1"/>
  <c r="AR133" i="1"/>
  <c r="AT143" i="1"/>
  <c r="AT485" i="1" s="1"/>
  <c r="AT487" i="1" s="1"/>
  <c r="AW490" i="1"/>
  <c r="AW494" i="1" s="1"/>
  <c r="AW153" i="1"/>
  <c r="AW152" i="1" s="1"/>
  <c r="AY190" i="1"/>
  <c r="AY191" i="1" s="1"/>
  <c r="AY176" i="1"/>
  <c r="AJ312" i="1"/>
  <c r="AJ301" i="1"/>
  <c r="AJ319" i="1"/>
  <c r="AJ318" i="1"/>
  <c r="AS326" i="1"/>
  <c r="AS216" i="1"/>
  <c r="BF490" i="1"/>
  <c r="BF494" i="1" s="1"/>
  <c r="AI758" i="1"/>
  <c r="AK973" i="1" s="1"/>
  <c r="Y758" i="1"/>
  <c r="AS61" i="9"/>
  <c r="F5" i="1"/>
  <c r="AV85" i="1"/>
  <c r="AS119" i="1"/>
  <c r="AX1066" i="1"/>
  <c r="AX769" i="1"/>
  <c r="AQ153" i="1"/>
  <c r="AQ152" i="1" s="1"/>
  <c r="BB174" i="1"/>
  <c r="BA176" i="1"/>
  <c r="AO180" i="1"/>
  <c r="AM193" i="1"/>
  <c r="AM192" i="1" s="1"/>
  <c r="AT188" i="1"/>
  <c r="AT193" i="1" s="1"/>
  <c r="AT192" i="1" s="1"/>
  <c r="AT191" i="1"/>
  <c r="AT205" i="1"/>
  <c r="AS341" i="1"/>
  <c r="AZ58" i="9"/>
  <c r="AZ924" i="1"/>
  <c r="BD774" i="1"/>
  <c r="AZ539" i="1"/>
  <c r="Z688" i="1"/>
  <c r="AW85" i="1"/>
  <c r="AX58" i="9"/>
  <c r="AX924" i="1"/>
  <c r="AX539" i="1"/>
  <c r="AR153" i="1"/>
  <c r="AR152" i="1" s="1"/>
  <c r="AX160" i="1"/>
  <c r="AZ158" i="1"/>
  <c r="AY158" i="1"/>
  <c r="AY160" i="1" s="1"/>
  <c r="AO172" i="1"/>
  <c r="BA182" i="1"/>
  <c r="AZ184" i="1"/>
  <c r="AQ193" i="1"/>
  <c r="AQ192" i="1" s="1"/>
  <c r="BC205" i="1"/>
  <c r="BD204" i="1"/>
  <c r="AI213" i="1"/>
  <c r="AL315" i="1"/>
  <c r="AS271" i="1"/>
  <c r="AS150" i="1"/>
  <c r="AL301" i="1"/>
  <c r="AL319" i="1"/>
  <c r="AL318" i="1"/>
  <c r="AL312" i="1"/>
  <c r="AS439" i="1"/>
  <c r="BA58" i="9"/>
  <c r="BA924" i="1"/>
  <c r="BA539" i="1"/>
  <c r="AS116" i="1"/>
  <c r="AS120" i="1" s="1"/>
  <c r="AQ118" i="1"/>
  <c r="AW119" i="1"/>
  <c r="AW133" i="1"/>
  <c r="AQ139" i="1"/>
  <c r="AT139" i="1" s="1"/>
  <c r="AU479" i="1"/>
  <c r="BB498" i="1"/>
  <c r="BB774" i="1" s="1"/>
  <c r="BA169" i="1"/>
  <c r="AZ171" i="1"/>
  <c r="BA185" i="1"/>
  <c r="AZ188" i="1"/>
  <c r="AZ187" i="1"/>
  <c r="AV193" i="1"/>
  <c r="AV192" i="1" s="1"/>
  <c r="BA207" i="1"/>
  <c r="BA210" i="1" s="1"/>
  <c r="AQ218" i="1"/>
  <c r="AP319" i="1"/>
  <c r="AP318" i="1"/>
  <c r="AT307" i="1"/>
  <c r="AP312" i="1"/>
  <c r="AS349" i="1"/>
  <c r="AP403" i="1"/>
  <c r="AP404" i="1"/>
  <c r="AP397" i="1"/>
  <c r="AP385" i="1"/>
  <c r="D627" i="1"/>
  <c r="D626" i="1"/>
  <c r="D624" i="1"/>
  <c r="AR118" i="1"/>
  <c r="AX126" i="1"/>
  <c r="BD490" i="1"/>
  <c r="BD494" i="1" s="1"/>
  <c r="BD153" i="1"/>
  <c r="BD150" i="1" s="1"/>
  <c r="BC58" i="9"/>
  <c r="BC924" i="1"/>
  <c r="BC539" i="1"/>
  <c r="BB205" i="1"/>
  <c r="AV212" i="1"/>
  <c r="AV213" i="1"/>
  <c r="AF217" i="1"/>
  <c r="AG218" i="1"/>
  <c r="AN319" i="1"/>
  <c r="H596" i="1"/>
  <c r="AR312" i="1"/>
  <c r="AR301" i="1"/>
  <c r="Z446" i="1"/>
  <c r="AD595" i="1"/>
  <c r="AD592" i="1"/>
  <c r="I596" i="1"/>
  <c r="I688" i="1"/>
  <c r="I699" i="1" s="1"/>
  <c r="AS218" i="1"/>
  <c r="AS93" i="1"/>
  <c r="AZ126" i="1"/>
  <c r="AP134" i="1"/>
  <c r="AS138" i="1"/>
  <c r="AS141" i="1" s="1"/>
  <c r="BE58" i="9"/>
  <c r="BE924" i="1"/>
  <c r="BE539" i="1"/>
  <c r="AQ987" i="1"/>
  <c r="AQ769" i="1"/>
  <c r="AV214" i="1"/>
  <c r="AJ218" i="1"/>
  <c r="AQ425" i="1"/>
  <c r="AQ445" i="1"/>
  <c r="AQ435" i="1"/>
  <c r="AQ444" i="1"/>
  <c r="AF524" i="1"/>
  <c r="AF535" i="1" s="1"/>
  <c r="AF446" i="1"/>
  <c r="AF596" i="1"/>
  <c r="L664" i="1"/>
  <c r="L663" i="1"/>
  <c r="L661" i="1"/>
  <c r="L665" i="1" s="1"/>
  <c r="AW116" i="1"/>
  <c r="AW120" i="1" s="1"/>
  <c r="AU118" i="1"/>
  <c r="AQ134" i="1"/>
  <c r="AP490" i="1"/>
  <c r="AP493" i="1" s="1"/>
  <c r="AP153" i="1"/>
  <c r="AP152" i="1" s="1"/>
  <c r="BF58" i="9"/>
  <c r="BF924" i="1"/>
  <c r="BF539" i="1"/>
  <c r="AU191" i="1"/>
  <c r="AH213" i="1"/>
  <c r="AH210" i="1"/>
  <c r="AH214" i="1" s="1"/>
  <c r="AN218" i="1"/>
  <c r="AW214" i="1"/>
  <c r="AI295" i="1"/>
  <c r="AS315" i="1"/>
  <c r="AK216" i="1"/>
  <c r="AK218" i="1" s="1"/>
  <c r="AK326" i="1"/>
  <c r="AK516" i="1"/>
  <c r="N595" i="1"/>
  <c r="N594" i="1"/>
  <c r="N592" i="1"/>
  <c r="AP987" i="1"/>
  <c r="AP769" i="1"/>
  <c r="AV118" i="1"/>
  <c r="AU138" i="1"/>
  <c r="AS770" i="1"/>
  <c r="AR197" i="1"/>
  <c r="AH212" i="1"/>
  <c r="AS231" i="1"/>
  <c r="AS276" i="1"/>
  <c r="AS155" i="1" s="1"/>
  <c r="AR319" i="1"/>
  <c r="AL216" i="1"/>
  <c r="AL326" i="1"/>
  <c r="AR487" i="1"/>
  <c r="AL516" i="1"/>
  <c r="P596" i="1"/>
  <c r="BA177" i="1"/>
  <c r="AZ180" i="1"/>
  <c r="AI64" i="1"/>
  <c r="AI73" i="1" s="1"/>
  <c r="BB78" i="1"/>
  <c r="BB85" i="1" s="1"/>
  <c r="AW118" i="1"/>
  <c r="AW197" i="1"/>
  <c r="AW196" i="1" s="1"/>
  <c r="AL218" i="1"/>
  <c r="AL264" i="1"/>
  <c r="AL263" i="1"/>
  <c r="AL247" i="1"/>
  <c r="AL256" i="1"/>
  <c r="AS295" i="1"/>
  <c r="AS487" i="1"/>
  <c r="Y633" i="1"/>
  <c r="Y635" i="1" s="1"/>
  <c r="Y1065" i="1" s="1"/>
  <c r="Y632" i="1"/>
  <c r="BE490" i="1"/>
  <c r="BE494" i="1" s="1"/>
  <c r="BE153" i="1"/>
  <c r="BE150" i="1" s="1"/>
  <c r="B2" i="9"/>
  <c r="AS90" i="1"/>
  <c r="AP131" i="1"/>
  <c r="AP135" i="1" s="1"/>
  <c r="AZ163" i="1"/>
  <c r="AN264" i="1"/>
  <c r="AN263" i="1"/>
  <c r="AN247" i="1"/>
  <c r="AN256" i="1"/>
  <c r="AF269" i="1"/>
  <c r="AF271" i="1" s="1"/>
  <c r="AN283" i="1"/>
  <c r="AS330" i="1"/>
  <c r="AS118" i="1"/>
  <c r="AF212" i="1"/>
  <c r="AF213" i="1"/>
  <c r="AQ131" i="1"/>
  <c r="AQ135" i="1" s="1"/>
  <c r="AT144" i="1"/>
  <c r="AQ247" i="1"/>
  <c r="AS256" i="1"/>
  <c r="AP265" i="1"/>
  <c r="AE312" i="1"/>
  <c r="AE301" i="1"/>
  <c r="AE319" i="1"/>
  <c r="AE318" i="1"/>
  <c r="AE524" i="1"/>
  <c r="AE535" i="1" s="1"/>
  <c r="AP133" i="1"/>
  <c r="AK196" i="1"/>
  <c r="AO196" i="1" s="1"/>
  <c r="AO195" i="1"/>
  <c r="AZ179" i="1"/>
  <c r="AF312" i="1"/>
  <c r="AF319" i="1"/>
  <c r="AF318" i="1"/>
  <c r="AT516" i="1"/>
  <c r="AI594" i="1"/>
  <c r="AI592" i="1"/>
  <c r="AV490" i="1"/>
  <c r="AV494" i="1" s="1"/>
  <c r="AV153" i="1"/>
  <c r="AV151" i="1" s="1"/>
  <c r="AV770" i="1" s="1"/>
  <c r="AY144" i="1"/>
  <c r="AU496" i="1"/>
  <c r="AY145" i="1"/>
  <c r="AY496" i="1" s="1"/>
  <c r="AY498" i="1" s="1"/>
  <c r="AZ166" i="1"/>
  <c r="AY166" i="1"/>
  <c r="AY168" i="1" s="1"/>
  <c r="AX168" i="1"/>
  <c r="AN195" i="1"/>
  <c r="AN196" i="1" s="1"/>
  <c r="AN193" i="1"/>
  <c r="AN192" i="1" s="1"/>
  <c r="AN210" i="1"/>
  <c r="AN214" i="1" s="1"/>
  <c r="AN212" i="1"/>
  <c r="AY221" i="1"/>
  <c r="AS290" i="1"/>
  <c r="AK301" i="1"/>
  <c r="AN216" i="1"/>
  <c r="AN326" i="1"/>
  <c r="X736" i="1"/>
  <c r="X731" i="1"/>
  <c r="X734" i="1" s="1"/>
  <c r="AR758" i="1"/>
  <c r="AR727" i="1"/>
  <c r="AR729" i="1" s="1"/>
  <c r="Y761" i="1"/>
  <c r="Y722" i="1"/>
  <c r="Y727" i="1" s="1"/>
  <c r="Y729" i="1" s="1"/>
  <c r="AI53" i="9"/>
  <c r="BG58" i="9"/>
  <c r="BG924" i="1"/>
  <c r="BG539" i="1"/>
  <c r="BC153" i="1"/>
  <c r="BC150" i="1" s="1"/>
  <c r="AS188" i="1"/>
  <c r="AU195" i="1"/>
  <c r="AJ212" i="1"/>
  <c r="Z213" i="1"/>
  <c r="AR216" i="1"/>
  <c r="AR218" i="1" s="1"/>
  <c r="AR263" i="1"/>
  <c r="AS313" i="1"/>
  <c r="Z318" i="1"/>
  <c r="AO382" i="1"/>
  <c r="AO392" i="1"/>
  <c r="AN389" i="1"/>
  <c r="AT382" i="1"/>
  <c r="AK425" i="1"/>
  <c r="AS430" i="1"/>
  <c r="AH592" i="1"/>
  <c r="AH595" i="1"/>
  <c r="O1066" i="1"/>
  <c r="D1065" i="1"/>
  <c r="T626" i="1"/>
  <c r="AD635" i="1"/>
  <c r="AN758" i="1"/>
  <c r="AV731" i="1"/>
  <c r="AV734" i="1" s="1"/>
  <c r="AV736" i="1"/>
  <c r="AZ176" i="1"/>
  <c r="AX187" i="1"/>
  <c r="AV195" i="1"/>
  <c r="AV196" i="1" s="1"/>
  <c r="AK212" i="1"/>
  <c r="AE213" i="1"/>
  <c r="AU213" i="1"/>
  <c r="AS233" i="1"/>
  <c r="AT247" i="1"/>
  <c r="Z319" i="1"/>
  <c r="AI397" i="1"/>
  <c r="BD531" i="1"/>
  <c r="R592" i="1"/>
  <c r="R595" i="1"/>
  <c r="T1066" i="1"/>
  <c r="Q596" i="1"/>
  <c r="T600" i="1"/>
  <c r="E1065" i="1"/>
  <c r="AD624" i="1"/>
  <c r="AD628" i="1" s="1"/>
  <c r="J678" i="1"/>
  <c r="J682" i="1" s="1"/>
  <c r="J680" i="1"/>
  <c r="AO736" i="1"/>
  <c r="AO731" i="1"/>
  <c r="AO734" i="1" s="1"/>
  <c r="AX179" i="1"/>
  <c r="AS183" i="1"/>
  <c r="AJ210" i="1"/>
  <c r="AJ214" i="1" s="1"/>
  <c r="AL212" i="1"/>
  <c r="AS251" i="1"/>
  <c r="AT263" i="1"/>
  <c r="AS392" i="1"/>
  <c r="AO425" i="1"/>
  <c r="AO435" i="1"/>
  <c r="AE446" i="1"/>
  <c r="AN516" i="1"/>
  <c r="S595" i="1"/>
  <c r="S594" i="1"/>
  <c r="Y690" i="1"/>
  <c r="Y1066" i="1" s="1"/>
  <c r="S592" i="1"/>
  <c r="R594" i="1"/>
  <c r="T595" i="1"/>
  <c r="Z1065" i="1"/>
  <c r="X624" i="1"/>
  <c r="X628" i="1" s="1"/>
  <c r="X627" i="1"/>
  <c r="AD626" i="1"/>
  <c r="AQ736" i="1"/>
  <c r="AQ731" i="1"/>
  <c r="AQ734" i="1" s="1"/>
  <c r="M56" i="9"/>
  <c r="M997" i="1"/>
  <c r="M981" i="1"/>
  <c r="M690" i="1"/>
  <c r="F57" i="9"/>
  <c r="F836" i="1"/>
  <c r="F837" i="1" s="1"/>
  <c r="Y57" i="9"/>
  <c r="Y836" i="1"/>
  <c r="BB777" i="1"/>
  <c r="AU183" i="1"/>
  <c r="AK210" i="1"/>
  <c r="AK214" i="1" s="1"/>
  <c r="AM212" i="1"/>
  <c r="AG213" i="1"/>
  <c r="AW213" i="1"/>
  <c r="AN305" i="1"/>
  <c r="AN307" i="1" s="1"/>
  <c r="AN318" i="1" s="1"/>
  <c r="AK385" i="1"/>
  <c r="AT404" i="1"/>
  <c r="AT403" i="1"/>
  <c r="AT397" i="1"/>
  <c r="AT385" i="1"/>
  <c r="AN444" i="1"/>
  <c r="AQ493" i="1"/>
  <c r="AQ516" i="1"/>
  <c r="AQ524" i="1"/>
  <c r="AQ535" i="1" s="1"/>
  <c r="AY525" i="1"/>
  <c r="AY548" i="1"/>
  <c r="AD1065" i="1"/>
  <c r="H624" i="1"/>
  <c r="H628" i="1" s="1"/>
  <c r="H627" i="1"/>
  <c r="AI626" i="1"/>
  <c r="J663" i="1"/>
  <c r="J681" i="1"/>
  <c r="AJ256" i="1"/>
  <c r="AJ524" i="1" s="1"/>
  <c r="AJ535" i="1" s="1"/>
  <c r="AM524" i="1"/>
  <c r="AM535" i="1" s="1"/>
  <c r="AL425" i="1"/>
  <c r="AG446" i="1"/>
  <c r="AG445" i="1"/>
  <c r="AO444" i="1"/>
  <c r="AR493" i="1"/>
  <c r="C595" i="1"/>
  <c r="C594" i="1"/>
  <c r="U706" i="1"/>
  <c r="AF731" i="1"/>
  <c r="AF734" i="1" s="1"/>
  <c r="AF736" i="1"/>
  <c r="AW53" i="9"/>
  <c r="AW709" i="1"/>
  <c r="AX188" i="1"/>
  <c r="AO212" i="1"/>
  <c r="AK256" i="1"/>
  <c r="AG263" i="1"/>
  <c r="AT425" i="1"/>
  <c r="AH446" i="1"/>
  <c r="AH445" i="1"/>
  <c r="AH444" i="1"/>
  <c r="AQ482" i="1"/>
  <c r="X596" i="1"/>
  <c r="H1065" i="1"/>
  <c r="AE678" i="1"/>
  <c r="AE682" i="1" s="1"/>
  <c r="AE680" i="1"/>
  <c r="AE681" i="1"/>
  <c r="N731" i="1"/>
  <c r="N734" i="1" s="1"/>
  <c r="N736" i="1"/>
  <c r="AH731" i="1"/>
  <c r="AH734" i="1" s="1"/>
  <c r="AH736" i="1"/>
  <c r="AR987" i="1"/>
  <c r="AR769" i="1"/>
  <c r="AS153" i="1"/>
  <c r="AS152" i="1" s="1"/>
  <c r="AX180" i="1"/>
  <c r="AY180" i="1" s="1"/>
  <c r="AY185" i="1"/>
  <c r="AY187" i="1" s="1"/>
  <c r="AY188" i="1"/>
  <c r="AP212" i="1"/>
  <c r="AH216" i="1"/>
  <c r="AH218" i="1" s="1"/>
  <c r="AG264" i="1"/>
  <c r="AI430" i="1"/>
  <c r="AN425" i="1" s="1"/>
  <c r="AM446" i="1"/>
  <c r="BD486" i="1"/>
  <c r="BD527" i="1"/>
  <c r="Y594" i="1"/>
  <c r="O603" i="1"/>
  <c r="AB603" i="1"/>
  <c r="AB1065" i="1" s="1"/>
  <c r="O656" i="1"/>
  <c r="Y663" i="1"/>
  <c r="AF680" i="1"/>
  <c r="AF678" i="1"/>
  <c r="AF682" i="1" s="1"/>
  <c r="AF681" i="1"/>
  <c r="O680" i="1"/>
  <c r="AA736" i="1"/>
  <c r="AA731" i="1"/>
  <c r="AA734" i="1" s="1"/>
  <c r="AZ1066" i="1"/>
  <c r="AZ769" i="1"/>
  <c r="AX172" i="1"/>
  <c r="AY172" i="1" s="1"/>
  <c r="AY177" i="1"/>
  <c r="AY179" i="1" s="1"/>
  <c r="AS190" i="1"/>
  <c r="AQ212" i="1"/>
  <c r="AJ247" i="1"/>
  <c r="AK318" i="1"/>
  <c r="AF403" i="1"/>
  <c r="AN476" i="1"/>
  <c r="AY481" i="1"/>
  <c r="AD594" i="1"/>
  <c r="K1065" i="1"/>
  <c r="AD663" i="1"/>
  <c r="Y673" i="1"/>
  <c r="O678" i="1"/>
  <c r="O682" i="1" s="1"/>
  <c r="O681" i="1"/>
  <c r="AT770" i="1"/>
  <c r="AU153" i="1"/>
  <c r="AU151" i="1" s="1"/>
  <c r="AX164" i="1"/>
  <c r="AY164" i="1" s="1"/>
  <c r="AY169" i="1"/>
  <c r="AY171" i="1" s="1"/>
  <c r="AR212" i="1"/>
  <c r="AN231" i="1"/>
  <c r="AK247" i="1"/>
  <c r="AJ263" i="1"/>
  <c r="AN298" i="1"/>
  <c r="AK319" i="1"/>
  <c r="AI989" i="1"/>
  <c r="AQ349" i="1"/>
  <c r="AH524" i="1"/>
  <c r="AH535" i="1" s="1"/>
  <c r="J587" i="1"/>
  <c r="Y609" i="1"/>
  <c r="AD614" i="1"/>
  <c r="H626" i="1"/>
  <c r="W664" i="1"/>
  <c r="W663" i="1"/>
  <c r="W661" i="1"/>
  <c r="W665" i="1" s="1"/>
  <c r="AI663" i="1"/>
  <c r="AD678" i="1"/>
  <c r="AD682" i="1" s="1"/>
  <c r="P680" i="1"/>
  <c r="P678" i="1"/>
  <c r="P682" i="1" s="1"/>
  <c r="P681" i="1"/>
  <c r="AN52" i="9"/>
  <c r="AN705" i="1"/>
  <c r="J53" i="9"/>
  <c r="AX163" i="1"/>
  <c r="AK263" i="1"/>
  <c r="AM318" i="1"/>
  <c r="AN770" i="1"/>
  <c r="AN987" i="1" s="1"/>
  <c r="AS404" i="1"/>
  <c r="AL400" i="1"/>
  <c r="BD528" i="1"/>
  <c r="BD536" i="1" s="1"/>
  <c r="AN543" i="1"/>
  <c r="AN314" i="1" s="1"/>
  <c r="AO545" i="1"/>
  <c r="O587" i="1"/>
  <c r="AA595" i="1"/>
  <c r="AA594" i="1"/>
  <c r="AA592" i="1"/>
  <c r="AG596" i="1"/>
  <c r="AI614" i="1"/>
  <c r="AD664" i="1"/>
  <c r="AD661" i="1"/>
  <c r="AD665" i="1" s="1"/>
  <c r="X664" i="1"/>
  <c r="X663" i="1"/>
  <c r="AI678" i="1"/>
  <c r="AI682" i="1" s="1"/>
  <c r="AI681" i="1"/>
  <c r="AJ678" i="1"/>
  <c r="AJ682" i="1" s="1"/>
  <c r="AJ680" i="1"/>
  <c r="AJ681" i="1"/>
  <c r="Y680" i="1"/>
  <c r="BC769" i="1"/>
  <c r="AT212" i="1"/>
  <c r="AN400" i="1"/>
  <c r="BE777" i="1"/>
  <c r="BE536" i="1"/>
  <c r="P1065" i="1"/>
  <c r="T681" i="1"/>
  <c r="AN57" i="9"/>
  <c r="AN836" i="1"/>
  <c r="I736" i="1"/>
  <c r="I731" i="1"/>
  <c r="I734" i="1" s="1"/>
  <c r="W1066" i="1"/>
  <c r="W689" i="1"/>
  <c r="AE212" i="1"/>
  <c r="AU212" i="1"/>
  <c r="AJ385" i="1"/>
  <c r="AJ404" i="1"/>
  <c r="AJ403" i="1"/>
  <c r="AS400" i="1"/>
  <c r="BD481" i="1"/>
  <c r="K595" i="1"/>
  <c r="K594" i="1"/>
  <c r="K592" i="1"/>
  <c r="AC594" i="1"/>
  <c r="AC592" i="1"/>
  <c r="C592" i="1"/>
  <c r="AJ596" i="1"/>
  <c r="J602" i="1"/>
  <c r="J603" i="1" s="1"/>
  <c r="J1065" i="1" s="1"/>
  <c r="J600" i="1"/>
  <c r="J664" i="1"/>
  <c r="J661" i="1"/>
  <c r="J665" i="1" s="1"/>
  <c r="G664" i="1"/>
  <c r="G663" i="1"/>
  <c r="G661" i="1"/>
  <c r="G665" i="1" s="1"/>
  <c r="AV706" i="1"/>
  <c r="U51" i="9"/>
  <c r="U972" i="1"/>
  <c r="U971" i="1"/>
  <c r="U975" i="1" s="1"/>
  <c r="U973" i="1"/>
  <c r="U709" i="1"/>
  <c r="U1072" i="1" s="1"/>
  <c r="U762" i="1"/>
  <c r="U765" i="1" s="1"/>
  <c r="AS57" i="9"/>
  <c r="AS836" i="1"/>
  <c r="K736" i="1"/>
  <c r="K731" i="1"/>
  <c r="K734" i="1" s="1"/>
  <c r="AE52" i="9"/>
  <c r="AE74" i="9" s="1"/>
  <c r="AE705" i="1"/>
  <c r="AK404" i="1"/>
  <c r="AK403" i="1"/>
  <c r="AG540" i="1"/>
  <c r="D596" i="1"/>
  <c r="AI627" i="1"/>
  <c r="AI624" i="1"/>
  <c r="AI628" i="1" s="1"/>
  <c r="H664" i="1"/>
  <c r="H663" i="1"/>
  <c r="AB664" i="1"/>
  <c r="AB663" i="1"/>
  <c r="AB661" i="1"/>
  <c r="AB665" i="1" s="1"/>
  <c r="Y664" i="1"/>
  <c r="T680" i="1"/>
  <c r="T678" i="1"/>
  <c r="T682" i="1" s="1"/>
  <c r="T689" i="1"/>
  <c r="AW706" i="1"/>
  <c r="AN445" i="1"/>
  <c r="AN462" i="1"/>
  <c r="AN72" i="1" s="1"/>
  <c r="AT479" i="1"/>
  <c r="AT482" i="1" s="1"/>
  <c r="M594" i="1"/>
  <c r="M592" i="1"/>
  <c r="AE688" i="1"/>
  <c r="AE596" i="1"/>
  <c r="S627" i="1"/>
  <c r="S626" i="1"/>
  <c r="S624" i="1"/>
  <c r="S628" i="1" s="1"/>
  <c r="AJ627" i="1"/>
  <c r="AJ626" i="1"/>
  <c r="AJ624" i="1"/>
  <c r="D681" i="1"/>
  <c r="D678" i="1"/>
  <c r="D682" i="1" s="1"/>
  <c r="AP736" i="1"/>
  <c r="AP731" i="1"/>
  <c r="AP734" i="1" s="1"/>
  <c r="P731" i="1"/>
  <c r="P734" i="1" s="1"/>
  <c r="P736" i="1"/>
  <c r="AL397" i="1"/>
  <c r="AZ536" i="1"/>
  <c r="E688" i="1"/>
  <c r="E699" i="1" s="1"/>
  <c r="I626" i="1"/>
  <c r="E661" i="1"/>
  <c r="E665" i="1" s="1"/>
  <c r="U661" i="1"/>
  <c r="U665" i="1" s="1"/>
  <c r="E680" i="1"/>
  <c r="Z689" i="1"/>
  <c r="U1066" i="1"/>
  <c r="U689" i="1"/>
  <c r="Y689" i="1"/>
  <c r="Z51" i="9"/>
  <c r="Z972" i="1"/>
  <c r="Z976" i="1" s="1"/>
  <c r="Z973" i="1"/>
  <c r="Z971" i="1"/>
  <c r="Z975" i="1" s="1"/>
  <c r="Z762" i="1"/>
  <c r="Z765" i="1" s="1"/>
  <c r="O727" i="1"/>
  <c r="O729" i="1" s="1"/>
  <c r="O731" i="1" s="1"/>
  <c r="O734" i="1" s="1"/>
  <c r="AK731" i="1"/>
  <c r="AK734" i="1" s="1"/>
  <c r="D51" i="9"/>
  <c r="D972" i="1"/>
  <c r="D971" i="1"/>
  <c r="D973" i="1"/>
  <c r="D762" i="1"/>
  <c r="D765" i="1" s="1"/>
  <c r="O761" i="1"/>
  <c r="K55" i="9"/>
  <c r="K764" i="1"/>
  <c r="AA55" i="9"/>
  <c r="AA764" i="1"/>
  <c r="AQ55" i="9"/>
  <c r="AQ764" i="1"/>
  <c r="Y895" i="1"/>
  <c r="Y942" i="1"/>
  <c r="Y812" i="1" s="1"/>
  <c r="Y86" i="9" s="1"/>
  <c r="O959" i="1"/>
  <c r="O963" i="1" s="1"/>
  <c r="O816" i="1"/>
  <c r="O89" i="9" s="1"/>
  <c r="F592" i="1"/>
  <c r="V592" i="1"/>
  <c r="L624" i="1"/>
  <c r="L628" i="1" s="1"/>
  <c r="AB624" i="1"/>
  <c r="AB628" i="1" s="1"/>
  <c r="F661" i="1"/>
  <c r="F665" i="1" s="1"/>
  <c r="V661" i="1"/>
  <c r="V665" i="1" s="1"/>
  <c r="R664" i="1"/>
  <c r="AH664" i="1"/>
  <c r="U678" i="1"/>
  <c r="U682" i="1" s="1"/>
  <c r="F680" i="1"/>
  <c r="Z680" i="1"/>
  <c r="X705" i="1"/>
  <c r="J758" i="1"/>
  <c r="J727" i="1"/>
  <c r="J729" i="1" s="1"/>
  <c r="AA51" i="9"/>
  <c r="AA973" i="1"/>
  <c r="AA705" i="1"/>
  <c r="AA762" i="1"/>
  <c r="AA765" i="1" s="1"/>
  <c r="AI722" i="1"/>
  <c r="AI727" i="1" s="1"/>
  <c r="AI729" i="1" s="1"/>
  <c r="AI761" i="1"/>
  <c r="AS53" i="9"/>
  <c r="AS709" i="1"/>
  <c r="F736" i="1"/>
  <c r="F731" i="1"/>
  <c r="F734" i="1" s="1"/>
  <c r="G731" i="1"/>
  <c r="G734" i="1" s="1"/>
  <c r="H765" i="1"/>
  <c r="H780" i="1"/>
  <c r="X780" i="1"/>
  <c r="AL403" i="1"/>
  <c r="AJ444" i="1"/>
  <c r="G592" i="1"/>
  <c r="W592" i="1"/>
  <c r="AI600" i="1"/>
  <c r="M624" i="1"/>
  <c r="M628" i="1" s="1"/>
  <c r="AC624" i="1"/>
  <c r="AC628" i="1" s="1"/>
  <c r="E663" i="1"/>
  <c r="U663" i="1"/>
  <c r="V678" i="1"/>
  <c r="V682" i="1" s="1"/>
  <c r="AA680" i="1"/>
  <c r="M681" i="1"/>
  <c r="AG681" i="1"/>
  <c r="Z705" i="1"/>
  <c r="AB736" i="1"/>
  <c r="AB731" i="1"/>
  <c r="AB734" i="1" s="1"/>
  <c r="O56" i="9"/>
  <c r="O997" i="1"/>
  <c r="O981" i="1"/>
  <c r="O690" i="1"/>
  <c r="O689" i="1" s="1"/>
  <c r="T722" i="1"/>
  <c r="Q731" i="1"/>
  <c r="Q734" i="1" s="1"/>
  <c r="Q736" i="1"/>
  <c r="AW731" i="1"/>
  <c r="AW734" i="1" s="1"/>
  <c r="AW736" i="1"/>
  <c r="H736" i="1"/>
  <c r="H731" i="1"/>
  <c r="H734" i="1" s="1"/>
  <c r="F51" i="9"/>
  <c r="F973" i="1"/>
  <c r="F971" i="1"/>
  <c r="F972" i="1"/>
  <c r="F762" i="1"/>
  <c r="AP51" i="9"/>
  <c r="AM1066" i="1"/>
  <c r="AM56" i="9"/>
  <c r="AM997" i="1"/>
  <c r="AM981" i="1"/>
  <c r="K57" i="9"/>
  <c r="K836" i="1"/>
  <c r="K837" i="1" s="1"/>
  <c r="AC57" i="9"/>
  <c r="AC836" i="1"/>
  <c r="AB706" i="1"/>
  <c r="O736" i="1"/>
  <c r="M727" i="1"/>
  <c r="M729" i="1" s="1"/>
  <c r="M758" i="1"/>
  <c r="AX727" i="1"/>
  <c r="AX729" i="1" s="1"/>
  <c r="AX731" i="1" s="1"/>
  <c r="AX734" i="1" s="1"/>
  <c r="AS761" i="1"/>
  <c r="AS722" i="1"/>
  <c r="AS727" i="1" s="1"/>
  <c r="AS729" i="1" s="1"/>
  <c r="AS731" i="1" s="1"/>
  <c r="AS734" i="1" s="1"/>
  <c r="T56" i="9"/>
  <c r="T997" i="1"/>
  <c r="T981" i="1"/>
  <c r="AC736" i="1"/>
  <c r="P765" i="1"/>
  <c r="R56" i="9"/>
  <c r="R997" i="1"/>
  <c r="R981" i="1"/>
  <c r="R690" i="1"/>
  <c r="AN59" i="9"/>
  <c r="BF59" i="9"/>
  <c r="AE1065" i="1"/>
  <c r="AD680" i="1"/>
  <c r="AC680" i="1"/>
  <c r="AE51" i="9"/>
  <c r="AE971" i="1"/>
  <c r="AE975" i="1" s="1"/>
  <c r="AE972" i="1"/>
  <c r="AE976" i="1" s="1"/>
  <c r="AE973" i="1"/>
  <c r="AE977" i="1" s="1"/>
  <c r="AE762" i="1"/>
  <c r="AE765" i="1" s="1"/>
  <c r="AE709" i="1"/>
  <c r="AE1072" i="1" s="1"/>
  <c r="AD59" i="9"/>
  <c r="AT736" i="1"/>
  <c r="AT731" i="1"/>
  <c r="AT734" i="1" s="1"/>
  <c r="X762" i="1"/>
  <c r="X765" i="1" s="1"/>
  <c r="AY545" i="1"/>
  <c r="H594" i="1"/>
  <c r="X594" i="1"/>
  <c r="N626" i="1"/>
  <c r="O51" i="9"/>
  <c r="O973" i="1"/>
  <c r="O972" i="1"/>
  <c r="O971" i="1"/>
  <c r="AN722" i="1"/>
  <c r="AN727" i="1" s="1"/>
  <c r="AN729" i="1" s="1"/>
  <c r="W727" i="1"/>
  <c r="W729" i="1" s="1"/>
  <c r="AT706" i="1"/>
  <c r="AJ61" i="9"/>
  <c r="M7" i="9"/>
  <c r="M1062" i="1"/>
  <c r="M830" i="1"/>
  <c r="AC7" i="9"/>
  <c r="AC1062" i="1"/>
  <c r="AC830" i="1"/>
  <c r="AS7" i="9"/>
  <c r="AS1062" i="1"/>
  <c r="AS830" i="1"/>
  <c r="AR397" i="1"/>
  <c r="BF536" i="1"/>
  <c r="AD1066" i="1"/>
  <c r="E596" i="1"/>
  <c r="U596" i="1"/>
  <c r="Q624" i="1"/>
  <c r="Q628" i="1" s="1"/>
  <c r="AG624" i="1"/>
  <c r="AG628" i="1" s="1"/>
  <c r="K661" i="1"/>
  <c r="K665" i="1" s="1"/>
  <c r="AA661" i="1"/>
  <c r="AA665" i="1" s="1"/>
  <c r="I663" i="1"/>
  <c r="AD681" i="1"/>
  <c r="H678" i="1"/>
  <c r="H682" i="1" s="1"/>
  <c r="L680" i="1"/>
  <c r="AG680" i="1"/>
  <c r="R681" i="1"/>
  <c r="AD717" i="1"/>
  <c r="AG51" i="9"/>
  <c r="AG762" i="1"/>
  <c r="AG765" i="1" s="1"/>
  <c r="AG709" i="1"/>
  <c r="S731" i="1"/>
  <c r="S734" i="1" s="1"/>
  <c r="K758" i="1"/>
  <c r="AU51" i="9"/>
  <c r="AU972" i="1"/>
  <c r="AU973" i="1"/>
  <c r="AU971" i="1"/>
  <c r="AU705" i="1"/>
  <c r="AU762" i="1"/>
  <c r="AU58" i="9"/>
  <c r="AY774" i="1"/>
  <c r="AT780" i="1"/>
  <c r="AD632" i="1"/>
  <c r="M680" i="1"/>
  <c r="L688" i="1"/>
  <c r="L699" i="1" s="1"/>
  <c r="AB1066" i="1"/>
  <c r="AB689" i="1"/>
  <c r="Q51" i="9"/>
  <c r="Q973" i="1"/>
  <c r="Q972" i="1"/>
  <c r="Q971" i="1"/>
  <c r="Q762" i="1"/>
  <c r="Q765" i="1" s="1"/>
  <c r="Q709" i="1"/>
  <c r="Q1072" i="1" s="1"/>
  <c r="AD52" i="9"/>
  <c r="R731" i="1"/>
  <c r="R734" i="1" s="1"/>
  <c r="R736" i="1"/>
  <c r="L51" i="9"/>
  <c r="L762" i="1"/>
  <c r="L765" i="1" s="1"/>
  <c r="AV51" i="9"/>
  <c r="AV972" i="1"/>
  <c r="AV973" i="1"/>
  <c r="AV971" i="1"/>
  <c r="AP765" i="1"/>
  <c r="W56" i="9"/>
  <c r="W997" i="1"/>
  <c r="W981" i="1"/>
  <c r="Z397" i="1"/>
  <c r="Y600" i="1"/>
  <c r="Q626" i="1"/>
  <c r="AG626" i="1"/>
  <c r="O632" i="1"/>
  <c r="M661" i="1"/>
  <c r="M665" i="1" s="1"/>
  <c r="AC661" i="1"/>
  <c r="AC665" i="1" s="1"/>
  <c r="AD690" i="1"/>
  <c r="AD689" i="1" s="1"/>
  <c r="AP709" i="1"/>
  <c r="AP1072" i="1" s="1"/>
  <c r="J57" i="9"/>
  <c r="J836" i="1"/>
  <c r="AE727" i="1"/>
  <c r="AE729" i="1" s="1"/>
  <c r="U731" i="1"/>
  <c r="U734" i="1" s="1"/>
  <c r="AP74" i="9"/>
  <c r="S55" i="9"/>
  <c r="S764" i="1"/>
  <c r="U681" i="1"/>
  <c r="P689" i="1"/>
  <c r="L706" i="1"/>
  <c r="S51" i="9"/>
  <c r="S973" i="1"/>
  <c r="S972" i="1"/>
  <c r="S971" i="1"/>
  <c r="S762" i="1"/>
  <c r="AJ758" i="1"/>
  <c r="AJ727" i="1"/>
  <c r="AJ729" i="1" s="1"/>
  <c r="BD727" i="1"/>
  <c r="BD729" i="1" s="1"/>
  <c r="BD731" i="1" s="1"/>
  <c r="BD734" i="1" s="1"/>
  <c r="O61" i="9"/>
  <c r="P51" i="9"/>
  <c r="P972" i="1"/>
  <c r="P973" i="1"/>
  <c r="P971" i="1"/>
  <c r="AJ53" i="9"/>
  <c r="G56" i="9"/>
  <c r="G997" i="1"/>
  <c r="G981" i="1"/>
  <c r="G764" i="1"/>
  <c r="S57" i="9"/>
  <c r="S836" i="1"/>
  <c r="AL57" i="9"/>
  <c r="AL836" i="1"/>
  <c r="L61" i="9"/>
  <c r="Z403" i="1"/>
  <c r="AP425" i="1"/>
  <c r="AR444" i="1"/>
  <c r="BD777" i="1"/>
  <c r="M663" i="1"/>
  <c r="AC663" i="1"/>
  <c r="R680" i="1"/>
  <c r="L1066" i="1"/>
  <c r="L689" i="1"/>
  <c r="P705" i="1"/>
  <c r="T717" i="1"/>
  <c r="AK51" i="9"/>
  <c r="AK762" i="1"/>
  <c r="AK765" i="1" s="1"/>
  <c r="AK705" i="1"/>
  <c r="T57" i="9"/>
  <c r="T836" i="1"/>
  <c r="AG731" i="1"/>
  <c r="AG734" i="1" s="1"/>
  <c r="AG736" i="1"/>
  <c r="T61" i="9"/>
  <c r="AK987" i="1"/>
  <c r="AK769" i="1"/>
  <c r="M61" i="9"/>
  <c r="P661" i="1"/>
  <c r="AF661" i="1"/>
  <c r="N663" i="1"/>
  <c r="X681" i="1"/>
  <c r="Q705" i="1"/>
  <c r="AP706" i="1"/>
  <c r="AL758" i="1"/>
  <c r="AP972" i="1" s="1"/>
  <c r="AL727" i="1"/>
  <c r="AL729" i="1" s="1"/>
  <c r="O53" i="9"/>
  <c r="O709" i="1"/>
  <c r="Y61" i="9"/>
  <c r="X51" i="9"/>
  <c r="G1065" i="1"/>
  <c r="W1065" i="1"/>
  <c r="V758" i="1"/>
  <c r="V727" i="1"/>
  <c r="V729" i="1" s="1"/>
  <c r="AM51" i="9"/>
  <c r="AM762" i="1"/>
  <c r="AM765" i="1" s="1"/>
  <c r="AM705" i="1"/>
  <c r="T53" i="9"/>
  <c r="AD57" i="9"/>
  <c r="AD836" i="1"/>
  <c r="AD61" i="9"/>
  <c r="AP75" i="9"/>
  <c r="N681" i="1"/>
  <c r="N680" i="1"/>
  <c r="Z681" i="1"/>
  <c r="S705" i="1"/>
  <c r="W51" i="9"/>
  <c r="W75" i="9" s="1"/>
  <c r="W762" i="1"/>
  <c r="W765" i="1" s="1"/>
  <c r="W705" i="1"/>
  <c r="AO51" i="9"/>
  <c r="AO972" i="1"/>
  <c r="AO971" i="1"/>
  <c r="AO973" i="1"/>
  <c r="AO762" i="1"/>
  <c r="AO765" i="1" s="1"/>
  <c r="AO705" i="1"/>
  <c r="AI57" i="9"/>
  <c r="AI836" i="1"/>
  <c r="AM727" i="1"/>
  <c r="AM729" i="1" s="1"/>
  <c r="AI61" i="9"/>
  <c r="AC758" i="1"/>
  <c r="L75" i="9"/>
  <c r="AC56" i="9"/>
  <c r="AC997" i="1"/>
  <c r="AC981" i="1"/>
  <c r="AC690" i="1"/>
  <c r="AN61" i="9"/>
  <c r="AW51" i="9"/>
  <c r="AW972" i="1"/>
  <c r="AW973" i="1"/>
  <c r="AW971" i="1"/>
  <c r="AW762" i="1"/>
  <c r="AW765" i="1" s="1"/>
  <c r="Q74" i="9"/>
  <c r="AG74" i="9"/>
  <c r="AK764" i="1"/>
  <c r="D56" i="9"/>
  <c r="D997" i="1"/>
  <c r="D981" i="1"/>
  <c r="AO769" i="1"/>
  <c r="C57" i="9"/>
  <c r="C836" i="1"/>
  <c r="V57" i="9"/>
  <c r="V836" i="1"/>
  <c r="N61" i="9"/>
  <c r="AK61" i="9"/>
  <c r="AA780" i="1"/>
  <c r="AQ61" i="9"/>
  <c r="BF1048" i="1"/>
  <c r="BE863" i="1"/>
  <c r="N51" i="9"/>
  <c r="N973" i="1"/>
  <c r="AF51" i="9"/>
  <c r="AT762" i="1"/>
  <c r="AT765" i="1" s="1"/>
  <c r="AO993" i="1"/>
  <c r="AO995" i="1"/>
  <c r="X59" i="9"/>
  <c r="AM61" i="9"/>
  <c r="K780" i="1"/>
  <c r="S117" i="9"/>
  <c r="S102" i="9"/>
  <c r="AI117" i="9"/>
  <c r="AI102" i="9"/>
  <c r="O57" i="9"/>
  <c r="O836" i="1"/>
  <c r="AT1073" i="1"/>
  <c r="S74" i="9"/>
  <c r="Q75" i="9"/>
  <c r="AM75" i="9"/>
  <c r="X57" i="9"/>
  <c r="X836" i="1"/>
  <c r="AO57" i="9"/>
  <c r="AO836" i="1"/>
  <c r="AO837" i="1" s="1"/>
  <c r="H59" i="9"/>
  <c r="AO61" i="9"/>
  <c r="X80" i="9"/>
  <c r="X807" i="1"/>
  <c r="AC85" i="9"/>
  <c r="AC1075" i="1"/>
  <c r="AT85" i="9"/>
  <c r="AT1075" i="1"/>
  <c r="J117" i="9"/>
  <c r="J118" i="9" s="1"/>
  <c r="J102" i="9"/>
  <c r="I959" i="1"/>
  <c r="I816" i="1"/>
  <c r="I89" i="9" s="1"/>
  <c r="H56" i="9"/>
  <c r="H981" i="1"/>
  <c r="H997" i="1"/>
  <c r="H764" i="1"/>
  <c r="X56" i="9"/>
  <c r="X981" i="1"/>
  <c r="X997" i="1"/>
  <c r="AQ57" i="9"/>
  <c r="AQ836" i="1"/>
  <c r="AU59" i="9"/>
  <c r="AY776" i="1"/>
  <c r="AY59" i="9" s="1"/>
  <c r="AR780" i="1"/>
  <c r="K85" i="9"/>
  <c r="K1082" i="1"/>
  <c r="K1075" i="1"/>
  <c r="AD85" i="9"/>
  <c r="AD1075" i="1"/>
  <c r="AV806" i="1"/>
  <c r="AV938" i="1"/>
  <c r="E1071" i="1"/>
  <c r="E946" i="1"/>
  <c r="E809" i="1"/>
  <c r="X1071" i="1"/>
  <c r="X946" i="1"/>
  <c r="X809" i="1"/>
  <c r="X820" i="1" s="1"/>
  <c r="X821" i="1" s="1"/>
  <c r="X822" i="1" s="1"/>
  <c r="X823" i="1" s="1"/>
  <c r="J959" i="1"/>
  <c r="J816" i="1"/>
  <c r="J89" i="9" s="1"/>
  <c r="U75" i="9"/>
  <c r="I56" i="9"/>
  <c r="I997" i="1"/>
  <c r="I981" i="1"/>
  <c r="I764" i="1"/>
  <c r="Y56" i="9"/>
  <c r="Y997" i="1"/>
  <c r="Y981" i="1"/>
  <c r="AO55" i="9"/>
  <c r="AO764" i="1"/>
  <c r="H57" i="9"/>
  <c r="H836" i="1"/>
  <c r="AA57" i="9"/>
  <c r="AA836" i="1"/>
  <c r="U61" i="9"/>
  <c r="BA81" i="9"/>
  <c r="BA1065" i="1"/>
  <c r="BA998" i="1"/>
  <c r="BA941" i="1"/>
  <c r="O1072" i="1"/>
  <c r="C51" i="9"/>
  <c r="C971" i="1"/>
  <c r="C973" i="1"/>
  <c r="C972" i="1"/>
  <c r="W74" i="9"/>
  <c r="AM74" i="9"/>
  <c r="C762" i="1"/>
  <c r="V764" i="1"/>
  <c r="J56" i="9"/>
  <c r="J981" i="1"/>
  <c r="J997" i="1"/>
  <c r="Z56" i="9"/>
  <c r="Z981" i="1"/>
  <c r="Z992" i="1" s="1"/>
  <c r="Z997" i="1"/>
  <c r="I57" i="9"/>
  <c r="I836" i="1"/>
  <c r="W61" i="9"/>
  <c r="AI81" i="9"/>
  <c r="AI998" i="1"/>
  <c r="X117" i="9"/>
  <c r="X102" i="9"/>
  <c r="AN117" i="9"/>
  <c r="AU931" i="1"/>
  <c r="AE938" i="1"/>
  <c r="AE806" i="1"/>
  <c r="AU61" i="9"/>
  <c r="S81" i="9"/>
  <c r="S998" i="1"/>
  <c r="Z727" i="1"/>
  <c r="Z729" i="1" s="1"/>
  <c r="E51" i="9"/>
  <c r="E972" i="1"/>
  <c r="E976" i="1" s="1"/>
  <c r="E971" i="1"/>
  <c r="E975" i="1" s="1"/>
  <c r="E973" i="1"/>
  <c r="E977" i="1" s="1"/>
  <c r="AO74" i="9"/>
  <c r="BD987" i="1"/>
  <c r="M57" i="9"/>
  <c r="M836" i="1"/>
  <c r="M837" i="1" s="1"/>
  <c r="AF57" i="9"/>
  <c r="AF836" i="1"/>
  <c r="AV57" i="9"/>
  <c r="AV836" i="1"/>
  <c r="O59" i="9"/>
  <c r="AB61" i="9"/>
  <c r="C780" i="1"/>
  <c r="S780" i="1"/>
  <c r="K689" i="1"/>
  <c r="J61" i="9"/>
  <c r="AQ51" i="9"/>
  <c r="AQ973" i="1"/>
  <c r="AQ972" i="1"/>
  <c r="AQ971" i="1"/>
  <c r="AA74" i="9"/>
  <c r="D764" i="1"/>
  <c r="AB764" i="1"/>
  <c r="AE56" i="9"/>
  <c r="AE997" i="1"/>
  <c r="AE981" i="1"/>
  <c r="N55" i="9"/>
  <c r="N764" i="1"/>
  <c r="AT55" i="9"/>
  <c r="AT764" i="1"/>
  <c r="AG57" i="9"/>
  <c r="AG836" i="1"/>
  <c r="AW57" i="9"/>
  <c r="AW836" i="1"/>
  <c r="D61" i="9"/>
  <c r="AC780" i="1"/>
  <c r="N705" i="1"/>
  <c r="AD56" i="9"/>
  <c r="AD981" i="1"/>
  <c r="AD997" i="1"/>
  <c r="T59" i="9"/>
  <c r="AN783" i="1"/>
  <c r="AN62" i="9" s="1"/>
  <c r="L74" i="9"/>
  <c r="E764" i="1"/>
  <c r="E765" i="1" s="1"/>
  <c r="AF56" i="9"/>
  <c r="AF1066" i="1"/>
  <c r="AF997" i="1"/>
  <c r="AF981" i="1"/>
  <c r="AV55" i="9"/>
  <c r="AV764" i="1"/>
  <c r="P57" i="9"/>
  <c r="P836" i="1"/>
  <c r="P837" i="1" s="1"/>
  <c r="AH57" i="9"/>
  <c r="AH836" i="1"/>
  <c r="Q59" i="9"/>
  <c r="BC59" i="9"/>
  <c r="E61" i="9"/>
  <c r="AL780" i="1"/>
  <c r="AS1072" i="1"/>
  <c r="R51" i="9"/>
  <c r="R74" i="9" s="1"/>
  <c r="R972" i="1"/>
  <c r="R971" i="1"/>
  <c r="R973" i="1"/>
  <c r="R762" i="1"/>
  <c r="R765" i="1" s="1"/>
  <c r="AH51" i="9"/>
  <c r="AH762" i="1"/>
  <c r="AH765" i="1" s="1"/>
  <c r="AI769" i="1"/>
  <c r="Y59" i="9"/>
  <c r="AS736" i="1"/>
  <c r="I51" i="9"/>
  <c r="I762" i="1"/>
  <c r="I765" i="1" s="1"/>
  <c r="AS51" i="9"/>
  <c r="AS972" i="1"/>
  <c r="AS973" i="1"/>
  <c r="AS971" i="1"/>
  <c r="F764" i="1"/>
  <c r="AE75" i="9"/>
  <c r="P56" i="9"/>
  <c r="P981" i="1"/>
  <c r="P997" i="1"/>
  <c r="AH56" i="9"/>
  <c r="AH1066" i="1"/>
  <c r="AH997" i="1"/>
  <c r="AH981" i="1"/>
  <c r="P55" i="9"/>
  <c r="P764" i="1"/>
  <c r="AF55" i="9"/>
  <c r="AF764" i="1"/>
  <c r="AF765" i="1" s="1"/>
  <c r="Q57" i="9"/>
  <c r="Q836" i="1"/>
  <c r="BD59" i="9"/>
  <c r="G61" i="9"/>
  <c r="AE61" i="9"/>
  <c r="F780" i="1"/>
  <c r="V61" i="9"/>
  <c r="O938" i="1"/>
  <c r="O806" i="1"/>
  <c r="AB51" i="9"/>
  <c r="AB762" i="1"/>
  <c r="AB765" i="1" s="1"/>
  <c r="AT51" i="9"/>
  <c r="AT973" i="1"/>
  <c r="AT977" i="1" s="1"/>
  <c r="AT972" i="1"/>
  <c r="AT976" i="1" s="1"/>
  <c r="AT971" i="1"/>
  <c r="AT975" i="1" s="1"/>
  <c r="AU74" i="9"/>
  <c r="N762" i="1"/>
  <c r="AG75" i="9"/>
  <c r="AJ56" i="9"/>
  <c r="AJ1066" i="1"/>
  <c r="AJ997" i="1"/>
  <c r="AJ981" i="1"/>
  <c r="AJ992" i="1" s="1"/>
  <c r="R57" i="9"/>
  <c r="R836" i="1"/>
  <c r="R837" i="1" s="1"/>
  <c r="I61" i="9"/>
  <c r="P931" i="1"/>
  <c r="AY927" i="1"/>
  <c r="AU771" i="1"/>
  <c r="X75" i="9"/>
  <c r="K56" i="9"/>
  <c r="K981" i="1"/>
  <c r="K997" i="1"/>
  <c r="AA56" i="9"/>
  <c r="AA981" i="1"/>
  <c r="AA997" i="1"/>
  <c r="D57" i="9"/>
  <c r="D836" i="1"/>
  <c r="D837" i="1" s="1"/>
  <c r="AJ57" i="9"/>
  <c r="AJ836" i="1"/>
  <c r="AJ837" i="1" s="1"/>
  <c r="C59" i="9"/>
  <c r="S59" i="9"/>
  <c r="C81" i="9"/>
  <c r="C998" i="1"/>
  <c r="U81" i="9"/>
  <c r="U998" i="1"/>
  <c r="AK81" i="9"/>
  <c r="AK1065" i="1"/>
  <c r="AK998" i="1"/>
  <c r="AV85" i="9"/>
  <c r="AV1075" i="1"/>
  <c r="J8" i="9"/>
  <c r="J1063" i="1"/>
  <c r="Z8" i="9"/>
  <c r="Z1063" i="1"/>
  <c r="AP8" i="9"/>
  <c r="AP1063" i="1"/>
  <c r="Q117" i="9"/>
  <c r="Q102" i="9"/>
  <c r="AD880" i="1"/>
  <c r="AD887" i="1" s="1"/>
  <c r="H912" i="1"/>
  <c r="AA912" i="1"/>
  <c r="Y959" i="1"/>
  <c r="Y816" i="1"/>
  <c r="Y89" i="9" s="1"/>
  <c r="C912" i="1"/>
  <c r="C915" i="1" s="1"/>
  <c r="D914" i="1" s="1"/>
  <c r="AD87" i="9"/>
  <c r="F1071" i="1"/>
  <c r="F946" i="1"/>
  <c r="F809" i="1"/>
  <c r="AQ74" i="9"/>
  <c r="L56" i="9"/>
  <c r="L981" i="1"/>
  <c r="L997" i="1"/>
  <c r="AB56" i="9"/>
  <c r="AB981" i="1"/>
  <c r="AB997" i="1"/>
  <c r="E57" i="9"/>
  <c r="E836" i="1"/>
  <c r="E837" i="1" s="1"/>
  <c r="U57" i="9"/>
  <c r="U836" i="1"/>
  <c r="U837" i="1" s="1"/>
  <c r="AK57" i="9"/>
  <c r="AK836" i="1"/>
  <c r="AJ59" i="9"/>
  <c r="AZ59" i="9"/>
  <c r="AG780" i="1"/>
  <c r="F789" i="1"/>
  <c r="BC81" i="9"/>
  <c r="BC1065" i="1"/>
  <c r="BC998" i="1"/>
  <c r="BC941" i="1"/>
  <c r="M85" i="9"/>
  <c r="M1075" i="1"/>
  <c r="AF85" i="9"/>
  <c r="AF1075" i="1"/>
  <c r="O7" i="9"/>
  <c r="O1062" i="1"/>
  <c r="O830" i="1"/>
  <c r="AE7" i="9"/>
  <c r="AE1062" i="1"/>
  <c r="AE830" i="1"/>
  <c r="AU7" i="9"/>
  <c r="AU1062" i="1"/>
  <c r="AU830" i="1"/>
  <c r="K117" i="9"/>
  <c r="K102" i="9"/>
  <c r="AA117" i="9"/>
  <c r="AA102" i="9"/>
  <c r="AQ117" i="9"/>
  <c r="AQ102" i="9"/>
  <c r="AE87" i="9"/>
  <c r="BA59" i="9"/>
  <c r="W81" i="9"/>
  <c r="W998" i="1"/>
  <c r="AM81" i="9"/>
  <c r="AM1065" i="1"/>
  <c r="AM998" i="1"/>
  <c r="N85" i="9"/>
  <c r="N1075" i="1"/>
  <c r="L8" i="9"/>
  <c r="L1063" i="1"/>
  <c r="L830" i="1"/>
  <c r="AB8" i="9"/>
  <c r="AB1063" i="1"/>
  <c r="AB830" i="1"/>
  <c r="AR8" i="9"/>
  <c r="AR1063" i="1"/>
  <c r="AR830" i="1"/>
  <c r="O1071" i="1"/>
  <c r="O946" i="1"/>
  <c r="O809" i="1"/>
  <c r="AC912" i="1"/>
  <c r="AU912" i="1"/>
  <c r="AP912" i="1"/>
  <c r="M87" i="9"/>
  <c r="N56" i="9"/>
  <c r="N981" i="1"/>
  <c r="N997" i="1"/>
  <c r="G57" i="9"/>
  <c r="G836" i="1"/>
  <c r="W57" i="9"/>
  <c r="W836" i="1"/>
  <c r="AM57" i="9"/>
  <c r="AM836" i="1"/>
  <c r="F59" i="9"/>
  <c r="V59" i="9"/>
  <c r="AL59" i="9"/>
  <c r="BB59" i="9"/>
  <c r="H789" i="1"/>
  <c r="X789" i="1"/>
  <c r="AN789" i="1"/>
  <c r="G81" i="9"/>
  <c r="G998" i="1"/>
  <c r="P85" i="9"/>
  <c r="P1082" i="1"/>
  <c r="P1075" i="1"/>
  <c r="AH85" i="9"/>
  <c r="AH1075" i="1"/>
  <c r="Y117" i="9"/>
  <c r="Y102" i="9"/>
  <c r="AS880" i="1"/>
  <c r="AS887" i="1" s="1"/>
  <c r="AE912" i="1"/>
  <c r="AE915" i="1" s="1"/>
  <c r="AF914" i="1" s="1"/>
  <c r="Q85" i="9"/>
  <c r="Q1075" i="1"/>
  <c r="AJ811" i="1"/>
  <c r="AJ946" i="1"/>
  <c r="H81" i="9"/>
  <c r="H998" i="1"/>
  <c r="BF81" i="9"/>
  <c r="BF1065" i="1"/>
  <c r="BF998" i="1"/>
  <c r="BF941" i="1"/>
  <c r="R85" i="9"/>
  <c r="R1075" i="1"/>
  <c r="AX827" i="1"/>
  <c r="AX1033" i="1" s="1"/>
  <c r="AY1033" i="1" s="1"/>
  <c r="AY827" i="1" s="1"/>
  <c r="Z117" i="9"/>
  <c r="Z102" i="9"/>
  <c r="T931" i="1"/>
  <c r="AS959" i="1"/>
  <c r="AY937" i="1"/>
  <c r="Z81" i="9"/>
  <c r="Z998" i="1"/>
  <c r="AP81" i="9"/>
  <c r="AP1065" i="1"/>
  <c r="AP998" i="1"/>
  <c r="C7" i="9"/>
  <c r="C1062" i="1"/>
  <c r="S7" i="9"/>
  <c r="S1062" i="1"/>
  <c r="AI7" i="9"/>
  <c r="AI1062" i="1"/>
  <c r="AY1039" i="1"/>
  <c r="Y931" i="1"/>
  <c r="AF806" i="1"/>
  <c r="AF938" i="1"/>
  <c r="AO946" i="1"/>
  <c r="AO812" i="1"/>
  <c r="AO86" i="9" s="1"/>
  <c r="X963" i="1"/>
  <c r="P74" i="9"/>
  <c r="AF74" i="9"/>
  <c r="AV74" i="9"/>
  <c r="G762" i="1"/>
  <c r="G765" i="1" s="1"/>
  <c r="Q56" i="9"/>
  <c r="Q981" i="1"/>
  <c r="Q997" i="1"/>
  <c r="AG769" i="1"/>
  <c r="AW769" i="1"/>
  <c r="Z57" i="9"/>
  <c r="Z836" i="1"/>
  <c r="Z837" i="1" s="1"/>
  <c r="AP57" i="9"/>
  <c r="AP836" i="1"/>
  <c r="I59" i="9"/>
  <c r="AO59" i="9"/>
  <c r="BE59" i="9"/>
  <c r="AY784" i="1"/>
  <c r="AY63" i="9" s="1"/>
  <c r="K789" i="1"/>
  <c r="AA789" i="1"/>
  <c r="J81" i="9"/>
  <c r="J998" i="1"/>
  <c r="AA81" i="9"/>
  <c r="AA998" i="1"/>
  <c r="AQ81" i="9"/>
  <c r="AQ1065" i="1"/>
  <c r="AQ998" i="1"/>
  <c r="AL85" i="9"/>
  <c r="AL1075" i="1"/>
  <c r="P102" i="9"/>
  <c r="P117" i="9"/>
  <c r="AF117" i="9"/>
  <c r="AF102" i="9"/>
  <c r="AV102" i="9"/>
  <c r="AV117" i="9"/>
  <c r="AG117" i="9"/>
  <c r="AG102" i="9"/>
  <c r="O9" i="9"/>
  <c r="AD931" i="1"/>
  <c r="O85" i="9"/>
  <c r="O1075" i="1"/>
  <c r="AS90" i="9"/>
  <c r="AZ912" i="1"/>
  <c r="AI908" i="1"/>
  <c r="AI912" i="1" s="1"/>
  <c r="AI951" i="1"/>
  <c r="AI816" i="1" s="1"/>
  <c r="AI89" i="9" s="1"/>
  <c r="I912" i="1"/>
  <c r="K81" i="9"/>
  <c r="K998" i="1"/>
  <c r="AB81" i="9"/>
  <c r="AB998" i="1"/>
  <c r="AR81" i="9"/>
  <c r="AR1065" i="1"/>
  <c r="AR998" i="1"/>
  <c r="V85" i="9"/>
  <c r="V1075" i="1"/>
  <c r="E7" i="9"/>
  <c r="E1062" i="1"/>
  <c r="U7" i="9"/>
  <c r="U1062" i="1"/>
  <c r="AK7" i="9"/>
  <c r="AK1062" i="1"/>
  <c r="T85" i="9"/>
  <c r="T1075" i="1"/>
  <c r="AN951" i="1"/>
  <c r="AN908" i="1"/>
  <c r="J908" i="1"/>
  <c r="Z1081" i="1"/>
  <c r="T989" i="1"/>
  <c r="M980" i="1"/>
  <c r="C56" i="9"/>
  <c r="C997" i="1"/>
  <c r="S56" i="9"/>
  <c r="S981" i="1"/>
  <c r="S997" i="1"/>
  <c r="L57" i="9"/>
  <c r="L836" i="1"/>
  <c r="L837" i="1" s="1"/>
  <c r="AB57" i="9"/>
  <c r="AB836" i="1"/>
  <c r="AR57" i="9"/>
  <c r="AR836" i="1"/>
  <c r="BG59" i="9"/>
  <c r="AS789" i="1"/>
  <c r="L81" i="9"/>
  <c r="L998" i="1"/>
  <c r="W85" i="9"/>
  <c r="W1075" i="1"/>
  <c r="AN85" i="9"/>
  <c r="F7" i="9"/>
  <c r="F1062" i="1"/>
  <c r="V7" i="9"/>
  <c r="V1062" i="1"/>
  <c r="AL7" i="9"/>
  <c r="AL1062" i="1"/>
  <c r="R8" i="9"/>
  <c r="R1063" i="1"/>
  <c r="R830" i="1"/>
  <c r="AH8" i="9"/>
  <c r="AH1063" i="1"/>
  <c r="AH830" i="1"/>
  <c r="AX8" i="9"/>
  <c r="AX1063" i="1"/>
  <c r="AN931" i="1"/>
  <c r="J87" i="9"/>
  <c r="AS946" i="1"/>
  <c r="AS809" i="1"/>
  <c r="AJ912" i="1"/>
  <c r="AW912" i="1"/>
  <c r="X85" i="9"/>
  <c r="X1075" i="1"/>
  <c r="AO85" i="9"/>
  <c r="C8" i="9"/>
  <c r="C1063" i="1"/>
  <c r="S8" i="9"/>
  <c r="S1063" i="1"/>
  <c r="AI8" i="9"/>
  <c r="AI1063" i="1"/>
  <c r="AO117" i="9"/>
  <c r="AO102" i="9"/>
  <c r="AS931" i="1"/>
  <c r="AX895" i="1"/>
  <c r="AX912" i="1" s="1"/>
  <c r="BD912" i="1"/>
  <c r="AH75" i="9"/>
  <c r="E56" i="9"/>
  <c r="E997" i="1"/>
  <c r="E981" i="1"/>
  <c r="U56" i="9"/>
  <c r="U997" i="1"/>
  <c r="U981" i="1"/>
  <c r="U992" i="1" s="1"/>
  <c r="N57" i="9"/>
  <c r="N836" i="1"/>
  <c r="AT57" i="9"/>
  <c r="AT836" i="1"/>
  <c r="AT837" i="1" s="1"/>
  <c r="AV81" i="9"/>
  <c r="AV998" i="1"/>
  <c r="AV1065" i="1"/>
  <c r="F85" i="9"/>
  <c r="F1075" i="1"/>
  <c r="Y85" i="9"/>
  <c r="Y1075" i="1"/>
  <c r="AP830" i="1"/>
  <c r="T87" i="9"/>
  <c r="BC895" i="1"/>
  <c r="BC912" i="1" s="1"/>
  <c r="L129" i="9"/>
  <c r="U74" i="9"/>
  <c r="AK74" i="9"/>
  <c r="C764" i="1"/>
  <c r="F56" i="9"/>
  <c r="F981" i="1"/>
  <c r="F997" i="1"/>
  <c r="V56" i="9"/>
  <c r="V981" i="1"/>
  <c r="V997" i="1"/>
  <c r="AL769" i="1"/>
  <c r="AE57" i="9"/>
  <c r="AE836" i="1"/>
  <c r="AE837" i="1" s="1"/>
  <c r="AU57" i="9"/>
  <c r="AU836" i="1"/>
  <c r="N59" i="9"/>
  <c r="AT59" i="9"/>
  <c r="P789" i="1"/>
  <c r="AF789" i="1"/>
  <c r="P81" i="9"/>
  <c r="P998" i="1"/>
  <c r="AF81" i="9"/>
  <c r="AF1065" i="1"/>
  <c r="AF998" i="1"/>
  <c r="AW81" i="9"/>
  <c r="AW1065" i="1"/>
  <c r="AW998" i="1"/>
  <c r="G85" i="9"/>
  <c r="G1075" i="1"/>
  <c r="AQ85" i="9"/>
  <c r="AQ1075" i="1"/>
  <c r="C830" i="1"/>
  <c r="BC887" i="1"/>
  <c r="O887" i="1"/>
  <c r="AG912" i="1"/>
  <c r="Z983" i="1"/>
  <c r="AA980" i="1"/>
  <c r="AE980" i="1"/>
  <c r="F995" i="1"/>
  <c r="F989" i="1"/>
  <c r="Q81" i="9"/>
  <c r="Q998" i="1"/>
  <c r="AG81" i="9"/>
  <c r="AG1065" i="1"/>
  <c r="AG998" i="1"/>
  <c r="AX81" i="9"/>
  <c r="AX1065" i="1"/>
  <c r="AX941" i="1"/>
  <c r="AX998" i="1"/>
  <c r="H85" i="9"/>
  <c r="H1075" i="1"/>
  <c r="AA85" i="9"/>
  <c r="AA1075" i="1"/>
  <c r="AW117" i="9"/>
  <c r="AW102" i="9"/>
  <c r="J920" i="1"/>
  <c r="J931" i="1" s="1"/>
  <c r="J880" i="1"/>
  <c r="J887" i="1" s="1"/>
  <c r="D915" i="1"/>
  <c r="E914" i="1" s="1"/>
  <c r="E915" i="1" s="1"/>
  <c r="F914" i="1" s="1"/>
  <c r="F915" i="1" s="1"/>
  <c r="G914" i="1" s="1"/>
  <c r="H914" i="1" s="1"/>
  <c r="I914" i="1" s="1"/>
  <c r="J914" i="1" s="1"/>
  <c r="K914" i="1" s="1"/>
  <c r="K915" i="1" s="1"/>
  <c r="L914" i="1" s="1"/>
  <c r="BG912" i="1"/>
  <c r="Z959" i="1"/>
  <c r="Z816" i="1"/>
  <c r="Z89" i="9" s="1"/>
  <c r="AC983" i="1"/>
  <c r="R81" i="9"/>
  <c r="R998" i="1"/>
  <c r="AH81" i="9"/>
  <c r="AH998" i="1"/>
  <c r="I85" i="9"/>
  <c r="I1075" i="1"/>
  <c r="AS85" i="9"/>
  <c r="AN816" i="1"/>
  <c r="AN89" i="9" s="1"/>
  <c r="Q912" i="1"/>
  <c r="AM85" i="9"/>
  <c r="AM1075" i="1"/>
  <c r="D7" i="9"/>
  <c r="D1062" i="1"/>
  <c r="T7" i="9"/>
  <c r="T1062" i="1"/>
  <c r="AJ7" i="9"/>
  <c r="AJ1062" i="1"/>
  <c r="Q8" i="9"/>
  <c r="Q1063" i="1"/>
  <c r="AG8" i="9"/>
  <c r="AG1063" i="1"/>
  <c r="AW8" i="9"/>
  <c r="AW1063" i="1"/>
  <c r="F9" i="9"/>
  <c r="V9" i="9"/>
  <c r="AL9" i="9"/>
  <c r="BB9" i="9"/>
  <c r="T880" i="1"/>
  <c r="T887" i="1" s="1"/>
  <c r="T895" i="1"/>
  <c r="N931" i="1"/>
  <c r="AT931" i="1"/>
  <c r="L87" i="9"/>
  <c r="AU87" i="9"/>
  <c r="V1071" i="1"/>
  <c r="V946" i="1"/>
  <c r="AN941" i="1"/>
  <c r="AE90" i="9"/>
  <c r="AH989" i="1"/>
  <c r="L1045" i="1"/>
  <c r="D81" i="9"/>
  <c r="D998" i="1"/>
  <c r="T81" i="9"/>
  <c r="T998" i="1"/>
  <c r="AJ81" i="9"/>
  <c r="AJ998" i="1"/>
  <c r="AZ81" i="9"/>
  <c r="AZ1065" i="1"/>
  <c r="AZ998" i="1"/>
  <c r="AZ941" i="1"/>
  <c r="J85" i="9"/>
  <c r="J1075" i="1"/>
  <c r="Z85" i="9"/>
  <c r="Z1075" i="1"/>
  <c r="Z1082" i="1"/>
  <c r="AP85" i="9"/>
  <c r="AP1075" i="1"/>
  <c r="G7" i="9"/>
  <c r="G1062" i="1"/>
  <c r="W7" i="9"/>
  <c r="W1062" i="1"/>
  <c r="AM7" i="9"/>
  <c r="AM1062" i="1"/>
  <c r="D8" i="9"/>
  <c r="D1063" i="1"/>
  <c r="T8" i="9"/>
  <c r="T1063" i="1"/>
  <c r="AJ8" i="9"/>
  <c r="AJ1063" i="1"/>
  <c r="AO9" i="9"/>
  <c r="BE9" i="9"/>
  <c r="Q931" i="1"/>
  <c r="AG931" i="1"/>
  <c r="AW931" i="1"/>
  <c r="AQ1071" i="1"/>
  <c r="AQ946" i="1"/>
  <c r="AT1080" i="1" s="1"/>
  <c r="AB959" i="1"/>
  <c r="AY949" i="1"/>
  <c r="U994" i="1"/>
  <c r="R1028" i="1"/>
  <c r="R1029" i="1" s="1"/>
  <c r="R984" i="1"/>
  <c r="H7" i="9"/>
  <c r="H1062" i="1"/>
  <c r="X7" i="9"/>
  <c r="X1062" i="1"/>
  <c r="AN7" i="9"/>
  <c r="AN1062" i="1"/>
  <c r="E8" i="9"/>
  <c r="E1063" i="1"/>
  <c r="U8" i="9"/>
  <c r="U1063" i="1"/>
  <c r="AK8" i="9"/>
  <c r="AK1063" i="1"/>
  <c r="AN880" i="1"/>
  <c r="AN887" i="1" s="1"/>
  <c r="BA1049" i="1"/>
  <c r="BB1049" i="1" s="1"/>
  <c r="BC1049" i="1" s="1"/>
  <c r="BD1049" i="1" s="1"/>
  <c r="BE1049" i="1" s="1"/>
  <c r="BF1049" i="1" s="1"/>
  <c r="BG1049" i="1" s="1"/>
  <c r="R931" i="1"/>
  <c r="AH931" i="1"/>
  <c r="P87" i="9"/>
  <c r="H1071" i="1"/>
  <c r="H946" i="1"/>
  <c r="AA1071" i="1"/>
  <c r="AA946" i="1"/>
  <c r="L959" i="1"/>
  <c r="G983" i="1"/>
  <c r="J1028" i="1"/>
  <c r="J984" i="1"/>
  <c r="J983" i="1" s="1"/>
  <c r="T1028" i="1"/>
  <c r="T984" i="1"/>
  <c r="T983" i="1" s="1"/>
  <c r="AL1028" i="1"/>
  <c r="AL1029" i="1" s="1"/>
  <c r="AL984" i="1"/>
  <c r="V81" i="9"/>
  <c r="V998" i="1"/>
  <c r="AL81" i="9"/>
  <c r="AL1065" i="1"/>
  <c r="AL998" i="1"/>
  <c r="BB81" i="9"/>
  <c r="BB1065" i="1"/>
  <c r="BB998" i="1"/>
  <c r="L85" i="9"/>
  <c r="L1075" i="1"/>
  <c r="AB85" i="9"/>
  <c r="AB1075" i="1"/>
  <c r="AR85" i="9"/>
  <c r="AR1075" i="1"/>
  <c r="I7" i="9"/>
  <c r="I1062" i="1"/>
  <c r="Y7" i="9"/>
  <c r="Y1062" i="1"/>
  <c r="AO7" i="9"/>
  <c r="AO1062" i="1"/>
  <c r="F8" i="9"/>
  <c r="F1063" i="1"/>
  <c r="V8" i="9"/>
  <c r="V1063" i="1"/>
  <c r="AL8" i="9"/>
  <c r="AL1063" i="1"/>
  <c r="K9" i="9"/>
  <c r="AA9" i="9"/>
  <c r="AQ9" i="9"/>
  <c r="Y880" i="1"/>
  <c r="Y887" i="1" s="1"/>
  <c r="Y912" i="1" s="1"/>
  <c r="J1071" i="1"/>
  <c r="T90" i="9"/>
  <c r="AS908" i="1"/>
  <c r="AS912" i="1" s="1"/>
  <c r="C931" i="1"/>
  <c r="S931" i="1"/>
  <c r="AH87" i="9"/>
  <c r="AM946" i="1"/>
  <c r="Q90" i="9"/>
  <c r="AW959" i="1"/>
  <c r="AY957" i="1"/>
  <c r="AJ994" i="1"/>
  <c r="AJ995" i="1"/>
  <c r="AJ989" i="1"/>
  <c r="AF123" i="9"/>
  <c r="AF1045" i="1"/>
  <c r="AF1055" i="1" s="1"/>
  <c r="J7" i="9"/>
  <c r="J1062" i="1"/>
  <c r="Z7" i="9"/>
  <c r="Z1062" i="1"/>
  <c r="AP7" i="9"/>
  <c r="AP1062" i="1"/>
  <c r="G8" i="9"/>
  <c r="G1063" i="1"/>
  <c r="W8" i="9"/>
  <c r="W1063" i="1"/>
  <c r="AM8" i="9"/>
  <c r="AM1063" i="1"/>
  <c r="N117" i="9"/>
  <c r="N102" i="9"/>
  <c r="AD117" i="9"/>
  <c r="AD102" i="9"/>
  <c r="AT117" i="9"/>
  <c r="AT118" i="9" s="1"/>
  <c r="AT102" i="9"/>
  <c r="L9" i="9"/>
  <c r="AB9" i="9"/>
  <c r="AR9" i="9"/>
  <c r="Y90" i="9"/>
  <c r="J895" i="1"/>
  <c r="AD908" i="1"/>
  <c r="D931" i="1"/>
  <c r="AJ931" i="1"/>
  <c r="K1071" i="1"/>
  <c r="K946" i="1"/>
  <c r="AC1071" i="1"/>
  <c r="AC946" i="1"/>
  <c r="J946" i="1"/>
  <c r="AF959" i="1"/>
  <c r="AR114" i="9"/>
  <c r="AW1012" i="1"/>
  <c r="AW1029" i="1" s="1"/>
  <c r="AX1011" i="1"/>
  <c r="AY1011" i="1" s="1"/>
  <c r="AZ1011" i="1" s="1"/>
  <c r="BA1011" i="1" s="1"/>
  <c r="BB1011" i="1" s="1"/>
  <c r="BC1011" i="1" s="1"/>
  <c r="BD1011" i="1" s="1"/>
  <c r="BE1011" i="1" s="1"/>
  <c r="BF1011" i="1" s="1"/>
  <c r="BG1011" i="1" s="1"/>
  <c r="K7" i="9"/>
  <c r="K1062" i="1"/>
  <c r="AA7" i="9"/>
  <c r="AA1062" i="1"/>
  <c r="AQ7" i="9"/>
  <c r="AQ1062" i="1"/>
  <c r="H8" i="9"/>
  <c r="H1063" i="1"/>
  <c r="X8" i="9"/>
  <c r="X1063" i="1"/>
  <c r="AN8" i="9"/>
  <c r="AN1063" i="1"/>
  <c r="M9" i="9"/>
  <c r="AC9" i="9"/>
  <c r="AS9" i="9"/>
  <c r="T1071" i="1"/>
  <c r="AD90" i="9"/>
  <c r="O908" i="1"/>
  <c r="O912" i="1" s="1"/>
  <c r="AI920" i="1"/>
  <c r="AI931" i="1" s="1"/>
  <c r="E931" i="1"/>
  <c r="U931" i="1"/>
  <c r="AK931" i="1"/>
  <c r="AE1071" i="1"/>
  <c r="AE946" i="1"/>
  <c r="AE963" i="1" s="1"/>
  <c r="AU1071" i="1"/>
  <c r="AU946" i="1"/>
  <c r="AM90" i="9"/>
  <c r="P1080" i="1"/>
  <c r="AG959" i="1"/>
  <c r="O983" i="1"/>
  <c r="AJ983" i="1"/>
  <c r="AO980" i="1"/>
  <c r="AK980" i="1"/>
  <c r="AL989" i="1"/>
  <c r="AF1029" i="1"/>
  <c r="I81" i="9"/>
  <c r="I998" i="1"/>
  <c r="Y81" i="9"/>
  <c r="Y998" i="1"/>
  <c r="AO81" i="9"/>
  <c r="AO1065" i="1"/>
  <c r="AO998" i="1"/>
  <c r="BE81" i="9"/>
  <c r="BE1065" i="1"/>
  <c r="BE998" i="1"/>
  <c r="BE941" i="1"/>
  <c r="AE85" i="9"/>
  <c r="AE1082" i="1"/>
  <c r="AE1075" i="1"/>
  <c r="AU85" i="9"/>
  <c r="AU1075" i="1"/>
  <c r="L7" i="9"/>
  <c r="L1062" i="1"/>
  <c r="AB7" i="9"/>
  <c r="AB1062" i="1"/>
  <c r="AR7" i="9"/>
  <c r="AR1062" i="1"/>
  <c r="I8" i="9"/>
  <c r="I1063" i="1"/>
  <c r="Y8" i="9"/>
  <c r="Y1063" i="1"/>
  <c r="AO8" i="9"/>
  <c r="AO1063" i="1"/>
  <c r="N9" i="9"/>
  <c r="AD9" i="9"/>
  <c r="AT9" i="9"/>
  <c r="Y1071" i="1"/>
  <c r="Y946" i="1"/>
  <c r="AI90" i="9"/>
  <c r="F931" i="1"/>
  <c r="V931" i="1"/>
  <c r="AL931" i="1"/>
  <c r="AL87" i="9"/>
  <c r="M1071" i="1"/>
  <c r="M946" i="1"/>
  <c r="G946" i="1"/>
  <c r="U90" i="9"/>
  <c r="AY956" i="1"/>
  <c r="AY811" i="1" s="1"/>
  <c r="AO989" i="1"/>
  <c r="AT986" i="1"/>
  <c r="AP986" i="1"/>
  <c r="AE9" i="9"/>
  <c r="AU9" i="9"/>
  <c r="AD1071" i="1"/>
  <c r="G931" i="1"/>
  <c r="W931" i="1"/>
  <c r="AM931" i="1"/>
  <c r="U1081" i="1"/>
  <c r="AI959" i="1"/>
  <c r="I989" i="1"/>
  <c r="J986" i="1"/>
  <c r="BG81" i="9"/>
  <c r="BG1065" i="1"/>
  <c r="BG998" i="1"/>
  <c r="AG85" i="9"/>
  <c r="AG1075" i="1"/>
  <c r="AW85" i="9"/>
  <c r="AW1075" i="1"/>
  <c r="N7" i="9"/>
  <c r="N1062" i="1"/>
  <c r="AD7" i="9"/>
  <c r="AD1062" i="1"/>
  <c r="AT7" i="9"/>
  <c r="AT1062" i="1"/>
  <c r="K8" i="9"/>
  <c r="K1063" i="1"/>
  <c r="AA8" i="9"/>
  <c r="AA1063" i="1"/>
  <c r="AQ8" i="9"/>
  <c r="AQ1063" i="1"/>
  <c r="AD895" i="1"/>
  <c r="T959" i="1"/>
  <c r="H931" i="1"/>
  <c r="V87" i="9"/>
  <c r="AY941" i="1"/>
  <c r="AP90" i="9"/>
  <c r="T946" i="1"/>
  <c r="P114" i="9"/>
  <c r="Y87" i="9"/>
  <c r="I931" i="1"/>
  <c r="AO931" i="1"/>
  <c r="AI1071" i="1"/>
  <c r="AI946" i="1"/>
  <c r="C959" i="1"/>
  <c r="S959" i="1"/>
  <c r="M989" i="1"/>
  <c r="S114" i="9"/>
  <c r="S1057" i="1"/>
  <c r="AH109" i="9"/>
  <c r="AH110" i="9" s="1"/>
  <c r="M81" i="9"/>
  <c r="M998" i="1"/>
  <c r="AC81" i="9"/>
  <c r="AC998" i="1"/>
  <c r="C85" i="9"/>
  <c r="C1075" i="1"/>
  <c r="S85" i="9"/>
  <c r="S1075" i="1"/>
  <c r="AI85" i="9"/>
  <c r="AI1075" i="1"/>
  <c r="P7" i="9"/>
  <c r="P1062" i="1"/>
  <c r="AF1062" i="1"/>
  <c r="AF7" i="9"/>
  <c r="AV7" i="9"/>
  <c r="AV1062" i="1"/>
  <c r="M8" i="9"/>
  <c r="M1063" i="1"/>
  <c r="AC8" i="9"/>
  <c r="AC1063" i="1"/>
  <c r="AS8" i="9"/>
  <c r="AS1063" i="1"/>
  <c r="D830" i="1"/>
  <c r="T830" i="1"/>
  <c r="AJ830" i="1"/>
  <c r="R9" i="9"/>
  <c r="AH9" i="9"/>
  <c r="AX9" i="9"/>
  <c r="AD959" i="1"/>
  <c r="T908" i="1"/>
  <c r="T912" i="1" s="1"/>
  <c r="Z931" i="1"/>
  <c r="AP931" i="1"/>
  <c r="BB941" i="1"/>
  <c r="H90" i="9"/>
  <c r="Z946" i="1"/>
  <c r="N81" i="9"/>
  <c r="N998" i="1"/>
  <c r="AD81" i="9"/>
  <c r="AD998" i="1"/>
  <c r="AT81" i="9"/>
  <c r="AT998" i="1"/>
  <c r="AT1065" i="1"/>
  <c r="D85" i="9"/>
  <c r="D1075" i="1"/>
  <c r="Q7" i="9"/>
  <c r="Q1062" i="1"/>
  <c r="AG7" i="9"/>
  <c r="AG1062" i="1"/>
  <c r="AW7" i="9"/>
  <c r="AW1062" i="1"/>
  <c r="N8" i="9"/>
  <c r="N1063" i="1"/>
  <c r="AD8" i="9"/>
  <c r="AD1063" i="1"/>
  <c r="AT8" i="9"/>
  <c r="AT1063" i="1"/>
  <c r="E830" i="1"/>
  <c r="U830" i="1"/>
  <c r="AK830" i="1"/>
  <c r="C9" i="9"/>
  <c r="S9" i="9"/>
  <c r="AI9" i="9"/>
  <c r="AY9" i="9"/>
  <c r="AI87" i="9"/>
  <c r="K931" i="1"/>
  <c r="AA931" i="1"/>
  <c r="AQ931" i="1"/>
  <c r="R1071" i="1"/>
  <c r="AK1071" i="1"/>
  <c r="AM959" i="1"/>
  <c r="H959" i="1"/>
  <c r="AE81" i="9"/>
  <c r="AE998" i="1"/>
  <c r="AU81" i="9"/>
  <c r="AU1065" i="1"/>
  <c r="AU998" i="1"/>
  <c r="E85" i="9"/>
  <c r="E1075" i="1"/>
  <c r="U85" i="9"/>
  <c r="U1082" i="1"/>
  <c r="U1075" i="1"/>
  <c r="AK85" i="9"/>
  <c r="AK1075" i="1"/>
  <c r="R7" i="9"/>
  <c r="R1062" i="1"/>
  <c r="AH7" i="9"/>
  <c r="AH1062" i="1"/>
  <c r="O8" i="9"/>
  <c r="O1063" i="1"/>
  <c r="AE8" i="9"/>
  <c r="AE1063" i="1"/>
  <c r="AU8" i="9"/>
  <c r="AU1063" i="1"/>
  <c r="F830" i="1"/>
  <c r="V830" i="1"/>
  <c r="AL830" i="1"/>
  <c r="D9" i="9"/>
  <c r="T9" i="9"/>
  <c r="AJ9" i="9"/>
  <c r="AZ9" i="9"/>
  <c r="AN87" i="9"/>
  <c r="AN959" i="1"/>
  <c r="L931" i="1"/>
  <c r="AB931" i="1"/>
  <c r="AR931" i="1"/>
  <c r="S1071" i="1"/>
  <c r="S946" i="1"/>
  <c r="AL1071" i="1"/>
  <c r="AL946" i="1"/>
  <c r="BG941" i="1"/>
  <c r="AD946" i="1"/>
  <c r="W959" i="1"/>
  <c r="AO959" i="1"/>
  <c r="P8" i="9"/>
  <c r="P1063" i="1"/>
  <c r="AF8" i="9"/>
  <c r="AF1063" i="1"/>
  <c r="AV8" i="9"/>
  <c r="AV1063" i="1"/>
  <c r="W117" i="9"/>
  <c r="W102" i="9"/>
  <c r="AM117" i="9"/>
  <c r="AM102" i="9"/>
  <c r="E9" i="9"/>
  <c r="U9" i="9"/>
  <c r="AK9" i="9"/>
  <c r="BA9" i="9"/>
  <c r="M931" i="1"/>
  <c r="AC931" i="1"/>
  <c r="C1071" i="1"/>
  <c r="C946" i="1"/>
  <c r="U1071" i="1"/>
  <c r="BD943" i="1"/>
  <c r="BD811" i="1" s="1"/>
  <c r="BD85" i="9" s="1"/>
  <c r="AU90" i="9"/>
  <c r="AY944" i="1"/>
  <c r="AY90" i="9" s="1"/>
  <c r="G959" i="1"/>
  <c r="AP959" i="1"/>
  <c r="AY950" i="1"/>
  <c r="AQ87" i="9"/>
  <c r="D1071" i="1"/>
  <c r="AJ1071" i="1"/>
  <c r="F90" i="9"/>
  <c r="V90" i="9"/>
  <c r="AL90" i="9"/>
  <c r="D995" i="1"/>
  <c r="D989" i="1"/>
  <c r="H986" i="1"/>
  <c r="G989" i="1"/>
  <c r="X986" i="1"/>
  <c r="W989" i="1"/>
  <c r="AN986" i="1"/>
  <c r="AM989" i="1"/>
  <c r="AN1012" i="1"/>
  <c r="AV114" i="9"/>
  <c r="AT87" i="9"/>
  <c r="G1071" i="1"/>
  <c r="W1071" i="1"/>
  <c r="AM1071" i="1"/>
  <c r="I90" i="9"/>
  <c r="AO90" i="9"/>
  <c r="U983" i="1"/>
  <c r="X983" i="1"/>
  <c r="AT980" i="1"/>
  <c r="AC989" i="1"/>
  <c r="E989" i="1"/>
  <c r="AQ989" i="1"/>
  <c r="AH114" i="9"/>
  <c r="AH1057" i="1"/>
  <c r="C114" i="9"/>
  <c r="C115" i="9" s="1"/>
  <c r="C1069" i="1"/>
  <c r="C1057" i="1"/>
  <c r="Z114" i="9"/>
  <c r="AH1045" i="1"/>
  <c r="AH1055" i="1" s="1"/>
  <c r="AF87" i="9"/>
  <c r="AV87" i="9"/>
  <c r="I1071" i="1"/>
  <c r="AO1071" i="1"/>
  <c r="K90" i="9"/>
  <c r="AA90" i="9"/>
  <c r="AQ90" i="9"/>
  <c r="AQ980" i="1"/>
  <c r="AN1045" i="1"/>
  <c r="Z1071" i="1"/>
  <c r="AP1071" i="1"/>
  <c r="AR90" i="9"/>
  <c r="Z994" i="1"/>
  <c r="AR984" i="1"/>
  <c r="D993" i="1"/>
  <c r="AD1028" i="1"/>
  <c r="AQ1028" i="1"/>
  <c r="AQ1029" i="1" s="1"/>
  <c r="AQ984" i="1"/>
  <c r="AP1045" i="1"/>
  <c r="AP1055" i="1" s="1"/>
  <c r="Y109" i="9"/>
  <c r="D983" i="1"/>
  <c r="V983" i="1"/>
  <c r="L989" i="1"/>
  <c r="AI1012" i="1"/>
  <c r="AI1029" i="1" s="1"/>
  <c r="AK114" i="9"/>
  <c r="AK1069" i="1"/>
  <c r="AF1028" i="1"/>
  <c r="AF984" i="1"/>
  <c r="L1028" i="1"/>
  <c r="L1029" i="1" s="1"/>
  <c r="J109" i="9"/>
  <c r="J1055" i="1"/>
  <c r="S87" i="9"/>
  <c r="L1071" i="1"/>
  <c r="AB1071" i="1"/>
  <c r="AR1071" i="1"/>
  <c r="N90" i="9"/>
  <c r="AT90" i="9"/>
  <c r="E980" i="1"/>
  <c r="F993" i="1"/>
  <c r="O989" i="1"/>
  <c r="AE989" i="1"/>
  <c r="AF986" i="1"/>
  <c r="AV986" i="1"/>
  <c r="G1029" i="1"/>
  <c r="AN1019" i="1"/>
  <c r="AN1022" i="1" s="1"/>
  <c r="J123" i="9"/>
  <c r="J124" i="9" s="1"/>
  <c r="J1045" i="1"/>
  <c r="AS1028" i="1"/>
  <c r="AS984" i="1"/>
  <c r="K984" i="1"/>
  <c r="K1028" i="1"/>
  <c r="AA984" i="1"/>
  <c r="AA1028" i="1"/>
  <c r="AA1029" i="1" s="1"/>
  <c r="AU1028" i="1"/>
  <c r="AU1029" i="1" s="1"/>
  <c r="AU984" i="1"/>
  <c r="W109" i="9"/>
  <c r="W1055" i="1"/>
  <c r="W1057" i="1" s="1"/>
  <c r="AQ109" i="9"/>
  <c r="AK87" i="9"/>
  <c r="N1071" i="1"/>
  <c r="AT1071" i="1"/>
  <c r="P90" i="9"/>
  <c r="AF90" i="9"/>
  <c r="AV90" i="9"/>
  <c r="Y983" i="1"/>
  <c r="S989" i="1"/>
  <c r="Q989" i="1"/>
  <c r="AG989" i="1"/>
  <c r="AW989" i="1"/>
  <c r="J1029" i="1"/>
  <c r="I1029" i="1"/>
  <c r="AB114" i="9"/>
  <c r="T123" i="9"/>
  <c r="T124" i="9" s="1"/>
  <c r="T1045" i="1"/>
  <c r="AE114" i="9"/>
  <c r="AE115" i="9" s="1"/>
  <c r="AE1069" i="1"/>
  <c r="AE1057" i="1"/>
  <c r="AI1028" i="1"/>
  <c r="AD109" i="9"/>
  <c r="AD1055" i="1"/>
  <c r="AM87" i="9"/>
  <c r="P1071" i="1"/>
  <c r="AF1071" i="1"/>
  <c r="AV1071" i="1"/>
  <c r="T1029" i="1"/>
  <c r="AD123" i="9"/>
  <c r="AD124" i="9" s="1"/>
  <c r="X124" i="9"/>
  <c r="X87" i="9"/>
  <c r="Q1071" i="1"/>
  <c r="AG1071" i="1"/>
  <c r="AW1071" i="1"/>
  <c r="C90" i="9"/>
  <c r="S90" i="9"/>
  <c r="BD90" i="9"/>
  <c r="P946" i="1"/>
  <c r="AF946" i="1"/>
  <c r="AV946" i="1"/>
  <c r="AV963" i="1" s="1"/>
  <c r="Z989" i="1"/>
  <c r="AI123" i="9"/>
  <c r="AI124" i="9" s="1"/>
  <c r="AI1045" i="1"/>
  <c r="Z123" i="9"/>
  <c r="Z124" i="9" s="1"/>
  <c r="Z1045" i="1"/>
  <c r="Z1055" i="1" s="1"/>
  <c r="Z1057" i="1" s="1"/>
  <c r="I87" i="9"/>
  <c r="AO87" i="9"/>
  <c r="AH1071" i="1"/>
  <c r="Q946" i="1"/>
  <c r="AG946" i="1"/>
  <c r="AW946" i="1"/>
  <c r="U995" i="1"/>
  <c r="AD1012" i="1"/>
  <c r="AD1029" i="1" s="1"/>
  <c r="AG984" i="1"/>
  <c r="AG1028" i="1"/>
  <c r="AG1029" i="1" s="1"/>
  <c r="H1028" i="1"/>
  <c r="H1029" i="1" s="1"/>
  <c r="H984" i="1"/>
  <c r="AW109" i="9"/>
  <c r="AW1055" i="1"/>
  <c r="V989" i="1"/>
  <c r="O109" i="9"/>
  <c r="O110" i="9" s="1"/>
  <c r="Q1029" i="1"/>
  <c r="AD1044" i="1"/>
  <c r="AD1045" i="1" s="1"/>
  <c r="AO109" i="9"/>
  <c r="K993" i="1"/>
  <c r="U1029" i="1"/>
  <c r="AR124" i="9"/>
  <c r="AR1045" i="1"/>
  <c r="AR1055" i="1" s="1"/>
  <c r="AR1057" i="1" s="1"/>
  <c r="G109" i="9"/>
  <c r="G1055" i="1"/>
  <c r="AJ1029" i="1"/>
  <c r="D114" i="9"/>
  <c r="D115" i="9" s="1"/>
  <c r="D1069" i="1"/>
  <c r="V114" i="9"/>
  <c r="V1069" i="1"/>
  <c r="AV1045" i="1"/>
  <c r="AV1055" i="1" s="1"/>
  <c r="AV1057" i="1" s="1"/>
  <c r="K980" i="1"/>
  <c r="K994" i="1" s="1"/>
  <c r="P986" i="1"/>
  <c r="AM1029" i="1"/>
  <c r="AR1069" i="1" s="1"/>
  <c r="E114" i="9"/>
  <c r="E1069" i="1"/>
  <c r="E1057" i="1"/>
  <c r="W114" i="9"/>
  <c r="W1069" i="1"/>
  <c r="H1045" i="1"/>
  <c r="H1055" i="1" s="1"/>
  <c r="T1053" i="1"/>
  <c r="I109" i="9"/>
  <c r="I1055" i="1"/>
  <c r="AA109" i="9"/>
  <c r="AA1055" i="1"/>
  <c r="AU110" i="9"/>
  <c r="F114" i="9"/>
  <c r="F1069" i="1"/>
  <c r="F1057" i="1"/>
  <c r="O1028" i="1"/>
  <c r="O1029" i="1" s="1"/>
  <c r="AP1028" i="1"/>
  <c r="AP1029" i="1" s="1"/>
  <c r="O1036" i="1"/>
  <c r="AV124" i="9"/>
  <c r="K109" i="9"/>
  <c r="K110" i="9" s="1"/>
  <c r="AY986" i="1"/>
  <c r="Y1012" i="1"/>
  <c r="Y1029" i="1" s="1"/>
  <c r="AO1029" i="1"/>
  <c r="Y1036" i="1"/>
  <c r="P1045" i="1"/>
  <c r="P1055" i="1" s="1"/>
  <c r="P1057" i="1" s="1"/>
  <c r="AE109" i="9"/>
  <c r="AE110" i="9" s="1"/>
  <c r="K1029" i="1"/>
  <c r="AC1029" i="1"/>
  <c r="X114" i="9"/>
  <c r="AG110" i="9"/>
  <c r="AT1012" i="1"/>
  <c r="AT1029" i="1" s="1"/>
  <c r="AS1011" i="1"/>
  <c r="AS1012" i="1" s="1"/>
  <c r="AS1029" i="1" s="1"/>
  <c r="M1029" i="1"/>
  <c r="AS123" i="9"/>
  <c r="AS124" i="9" s="1"/>
  <c r="AS1045" i="1"/>
  <c r="AS1055" i="1" s="1"/>
  <c r="AI109" i="9"/>
  <c r="AI1055" i="1"/>
  <c r="Q110" i="9"/>
  <c r="N1029" i="1"/>
  <c r="O1044" i="1"/>
  <c r="AB1045" i="1"/>
  <c r="AB1055" i="1" s="1"/>
  <c r="AB1057" i="1" s="1"/>
  <c r="AN1053" i="1"/>
  <c r="AN102" i="9" s="1"/>
  <c r="R109" i="9"/>
  <c r="R110" i="9" s="1"/>
  <c r="R1055" i="1"/>
  <c r="AS109" i="9"/>
  <c r="AS110" i="9" s="1"/>
  <c r="AG124" i="9"/>
  <c r="AW124" i="9"/>
  <c r="Q1045" i="1"/>
  <c r="Q1055" i="1" s="1"/>
  <c r="AG1045" i="1"/>
  <c r="AG1055" i="1" s="1"/>
  <c r="AW1045" i="1"/>
  <c r="P110" i="9"/>
  <c r="AV110" i="9"/>
  <c r="D124" i="9"/>
  <c r="D1045" i="1"/>
  <c r="D1055" i="1" s="1"/>
  <c r="D1057" i="1" s="1"/>
  <c r="AJ1045" i="1"/>
  <c r="S110" i="9"/>
  <c r="U124" i="9"/>
  <c r="AK124" i="9"/>
  <c r="E1045" i="1"/>
  <c r="U1045" i="1"/>
  <c r="U1055" i="1" s="1"/>
  <c r="AK1045" i="1"/>
  <c r="F124" i="9"/>
  <c r="V124" i="9"/>
  <c r="AL124" i="9"/>
  <c r="F1045" i="1"/>
  <c r="F1055" i="1" s="1"/>
  <c r="V1045" i="1"/>
  <c r="V1055" i="1" s="1"/>
  <c r="V1057" i="1" s="1"/>
  <c r="AL1045" i="1"/>
  <c r="AL1055" i="1" s="1"/>
  <c r="E110" i="9"/>
  <c r="U110" i="9"/>
  <c r="AJ1055" i="1"/>
  <c r="AM124" i="9"/>
  <c r="G1045" i="1"/>
  <c r="W1045" i="1"/>
  <c r="AM1045" i="1"/>
  <c r="AM1055" i="1" s="1"/>
  <c r="E1055" i="1"/>
  <c r="AK1055" i="1"/>
  <c r="AK1057" i="1" s="1"/>
  <c r="I1045" i="1"/>
  <c r="AO1045" i="1"/>
  <c r="AO1055" i="1" s="1"/>
  <c r="AQ124" i="9"/>
  <c r="K1045" i="1"/>
  <c r="K1055" i="1" s="1"/>
  <c r="AA1045" i="1"/>
  <c r="AQ1045" i="1"/>
  <c r="AQ1055" i="1" s="1"/>
  <c r="M124" i="9"/>
  <c r="M1045" i="1"/>
  <c r="AC1045" i="1"/>
  <c r="L110" i="9"/>
  <c r="N124" i="9"/>
  <c r="N1045" i="1"/>
  <c r="N1055" i="1" s="1"/>
  <c r="AT1045" i="1"/>
  <c r="AT1055" i="1" s="1"/>
  <c r="M110" i="9"/>
  <c r="AC110" i="9"/>
  <c r="L1055" i="1"/>
  <c r="AE124" i="9"/>
  <c r="AU124" i="9"/>
  <c r="AE1045" i="1"/>
  <c r="AE1055" i="1" s="1"/>
  <c r="AU1045" i="1"/>
  <c r="AU1055" i="1" s="1"/>
  <c r="N110" i="9"/>
  <c r="M1055" i="1"/>
  <c r="AC1055" i="1"/>
  <c r="D74" i="9"/>
  <c r="E74" i="9"/>
  <c r="G74" i="9"/>
  <c r="H74" i="9"/>
  <c r="C74" i="9"/>
  <c r="F74" i="9"/>
  <c r="I74" i="9"/>
  <c r="D1138" i="1"/>
  <c r="D1124" i="1"/>
  <c r="D1131" i="1"/>
  <c r="A1119" i="1" l="1"/>
  <c r="A1126" i="1"/>
  <c r="C1133" i="1"/>
  <c r="C857" i="1" s="1"/>
  <c r="C859" i="1" s="1"/>
  <c r="AJ540" i="1"/>
  <c r="AI110" i="9"/>
  <c r="AM110" i="9"/>
  <c r="AK110" i="9"/>
  <c r="H114" i="9"/>
  <c r="H1069" i="1"/>
  <c r="H1057" i="1"/>
  <c r="Y110" i="9"/>
  <c r="AB110" i="9"/>
  <c r="I938" i="1"/>
  <c r="I963" i="1" s="1"/>
  <c r="I1067" i="1" s="1"/>
  <c r="I806" i="1"/>
  <c r="S129" i="9"/>
  <c r="O52" i="9"/>
  <c r="O74" i="9" s="1"/>
  <c r="O705" i="1"/>
  <c r="O762" i="1"/>
  <c r="O765" i="1" s="1"/>
  <c r="AS435" i="1"/>
  <c r="AS425" i="1"/>
  <c r="AS445" i="1"/>
  <c r="AS43" i="1"/>
  <c r="AS47" i="9" s="1"/>
  <c r="AS444" i="1"/>
  <c r="O123" i="9"/>
  <c r="O1045" i="1"/>
  <c r="O1055" i="1" s="1"/>
  <c r="AD110" i="9"/>
  <c r="AF110" i="9"/>
  <c r="H989" i="1"/>
  <c r="AC61" i="9"/>
  <c r="P766" i="1"/>
  <c r="P772" i="1"/>
  <c r="P710" i="1"/>
  <c r="AI731" i="1"/>
  <c r="AI734" i="1" s="1"/>
  <c r="AI736" i="1"/>
  <c r="D710" i="1"/>
  <c r="D766" i="1"/>
  <c r="D772" i="1"/>
  <c r="AP405" i="1"/>
  <c r="AP524" i="1"/>
  <c r="AP535" i="1" s="1"/>
  <c r="AP56" i="1"/>
  <c r="BD20" i="1"/>
  <c r="BD26" i="9" s="1"/>
  <c r="AS491" i="1"/>
  <c r="AS493" i="1" s="1"/>
  <c r="AS545" i="1"/>
  <c r="AP114" i="9"/>
  <c r="AP1057" i="1"/>
  <c r="U114" i="9"/>
  <c r="U115" i="9" s="1"/>
  <c r="U1069" i="1"/>
  <c r="U1057" i="1"/>
  <c r="Z1069" i="1"/>
  <c r="AD114" i="9"/>
  <c r="AD1069" i="1"/>
  <c r="AD1057" i="1"/>
  <c r="AQ114" i="9"/>
  <c r="AQ1057" i="1"/>
  <c r="AQ1069" i="1"/>
  <c r="AV1069" i="1"/>
  <c r="AX1071" i="1"/>
  <c r="AX946" i="1"/>
  <c r="J912" i="1"/>
  <c r="J915" i="1" s="1"/>
  <c r="BF1071" i="1"/>
  <c r="BF946" i="1"/>
  <c r="AG1072" i="1"/>
  <c r="S688" i="1"/>
  <c r="S699" i="1" s="1"/>
  <c r="S596" i="1"/>
  <c r="BA137" i="1"/>
  <c r="BA87" i="1"/>
  <c r="BA15" i="1"/>
  <c r="BA21" i="9" s="1"/>
  <c r="BA86" i="1"/>
  <c r="BA90" i="1"/>
  <c r="BA94" i="1" s="1"/>
  <c r="AJ110" i="9"/>
  <c r="AS114" i="9"/>
  <c r="AS1057" i="1"/>
  <c r="O114" i="9"/>
  <c r="O1069" i="1"/>
  <c r="O1057" i="1"/>
  <c r="AM114" i="9"/>
  <c r="AM1057" i="1"/>
  <c r="AM980" i="1"/>
  <c r="AK706" i="1"/>
  <c r="AN731" i="1"/>
  <c r="AN734" i="1" s="1"/>
  <c r="AN736" i="1"/>
  <c r="F688" i="1"/>
  <c r="F699" i="1" s="1"/>
  <c r="F596" i="1"/>
  <c r="J594" i="1"/>
  <c r="J592" i="1"/>
  <c r="J595" i="1"/>
  <c r="AN382" i="1"/>
  <c r="AS382" i="1"/>
  <c r="AS37" i="1"/>
  <c r="AS43" i="9" s="1"/>
  <c r="AN67" i="1"/>
  <c r="AN73" i="1" s="1"/>
  <c r="AN392" i="1"/>
  <c r="AN37" i="1"/>
  <c r="AN43" i="9" s="1"/>
  <c r="Y731" i="1"/>
  <c r="Y734" i="1" s="1"/>
  <c r="Y736" i="1"/>
  <c r="AS146" i="1"/>
  <c r="AS48" i="1"/>
  <c r="AS50" i="1" s="1"/>
  <c r="AU90" i="1"/>
  <c r="AU94" i="1" s="1"/>
  <c r="AU93" i="1"/>
  <c r="AU137" i="1"/>
  <c r="AU15" i="1"/>
  <c r="AU21" i="9" s="1"/>
  <c r="AU92" i="1"/>
  <c r="AL110" i="9"/>
  <c r="P995" i="1"/>
  <c r="P989" i="1"/>
  <c r="P993" i="1"/>
  <c r="AO110" i="9"/>
  <c r="AT110" i="9"/>
  <c r="AL117" i="9"/>
  <c r="AL102" i="9"/>
  <c r="AM938" i="1"/>
  <c r="AM963" i="1" s="1"/>
  <c r="AM806" i="1"/>
  <c r="AJ1081" i="1"/>
  <c r="AF963" i="1"/>
  <c r="AL114" i="9"/>
  <c r="AL1069" i="1"/>
  <c r="AL1057" i="1"/>
  <c r="BB971" i="1"/>
  <c r="AO385" i="1"/>
  <c r="AO404" i="1"/>
  <c r="AO403" i="1"/>
  <c r="AO397" i="1"/>
  <c r="AT40" i="1"/>
  <c r="AT44" i="9" s="1"/>
  <c r="AO40" i="1"/>
  <c r="AO44" i="9" s="1"/>
  <c r="AY24" i="1"/>
  <c r="AY30" i="9" s="1"/>
  <c r="AY205" i="1"/>
  <c r="AS980" i="1"/>
  <c r="AY1071" i="1"/>
  <c r="AY946" i="1"/>
  <c r="AY809" i="1"/>
  <c r="AP102" i="9"/>
  <c r="AP117" i="9"/>
  <c r="X93" i="9"/>
  <c r="AO772" i="1"/>
  <c r="AO710" i="1"/>
  <c r="AO766" i="1"/>
  <c r="AK972" i="1"/>
  <c r="AZ128" i="1"/>
  <c r="AZ139" i="1"/>
  <c r="AZ131" i="1"/>
  <c r="AZ135" i="1" s="1"/>
  <c r="AZ20" i="1"/>
  <c r="AZ26" i="9" s="1"/>
  <c r="AZ127" i="1"/>
  <c r="G114" i="9"/>
  <c r="G1069" i="1"/>
  <c r="G1057" i="1"/>
  <c r="Z938" i="1"/>
  <c r="Z806" i="1"/>
  <c r="Q706" i="1"/>
  <c r="AT61" i="9"/>
  <c r="M1066" i="1"/>
  <c r="M689" i="1"/>
  <c r="AC114" i="9"/>
  <c r="AC115" i="9" s="1"/>
  <c r="AC1069" i="1"/>
  <c r="AC1057" i="1"/>
  <c r="AH1069" i="1"/>
  <c r="AB1069" i="1"/>
  <c r="AF983" i="1"/>
  <c r="AG980" i="1"/>
  <c r="H938" i="1"/>
  <c r="H806" i="1"/>
  <c r="AE966" i="1"/>
  <c r="N74" i="9"/>
  <c r="D129" i="9"/>
  <c r="K61" i="9"/>
  <c r="AW54" i="9"/>
  <c r="AW74" i="9"/>
  <c r="O54" i="9"/>
  <c r="J51" i="9"/>
  <c r="J762" i="1"/>
  <c r="J765" i="1" s="1"/>
  <c r="O45" i="1"/>
  <c r="O48" i="9" s="1"/>
  <c r="L972" i="1"/>
  <c r="L971" i="1"/>
  <c r="L973" i="1"/>
  <c r="J709" i="1"/>
  <c r="N972" i="1"/>
  <c r="N971" i="1"/>
  <c r="AL524" i="1"/>
  <c r="AL535" i="1" s="1"/>
  <c r="AF540" i="1"/>
  <c r="AT92" i="1"/>
  <c r="AT90" i="1"/>
  <c r="AT98" i="1"/>
  <c r="AG114" i="9"/>
  <c r="AG1069" i="1"/>
  <c r="AG1057" i="1"/>
  <c r="K114" i="9"/>
  <c r="K115" i="9" s="1"/>
  <c r="K1057" i="1"/>
  <c r="K1069" i="1"/>
  <c r="P1069" i="1"/>
  <c r="AF989" i="1"/>
  <c r="M914" i="1"/>
  <c r="L915" i="1"/>
  <c r="AY58" i="9"/>
  <c r="AY539" i="1"/>
  <c r="F976" i="1"/>
  <c r="X706" i="1"/>
  <c r="AM540" i="1"/>
  <c r="AS987" i="1"/>
  <c r="AS769" i="1"/>
  <c r="BB182" i="1"/>
  <c r="BA184" i="1"/>
  <c r="BA190" i="1"/>
  <c r="BA191" i="1" s="1"/>
  <c r="Y51" i="9"/>
  <c r="Y972" i="1"/>
  <c r="Y971" i="1"/>
  <c r="Y973" i="1"/>
  <c r="Y762" i="1"/>
  <c r="Y765" i="1" s="1"/>
  <c r="Y709" i="1"/>
  <c r="Y1072" i="1" s="1"/>
  <c r="AA972" i="1"/>
  <c r="AA971" i="1"/>
  <c r="AB972" i="1"/>
  <c r="AB973" i="1"/>
  <c r="AB971" i="1"/>
  <c r="AF766" i="1"/>
  <c r="AF772" i="1"/>
  <c r="AF710" i="1"/>
  <c r="E766" i="1"/>
  <c r="E772" i="1"/>
  <c r="E710" i="1"/>
  <c r="AF665" i="1"/>
  <c r="AF688" i="1"/>
  <c r="AF699" i="1" s="1"/>
  <c r="H61" i="9"/>
  <c r="AK265" i="1"/>
  <c r="AK54" i="1"/>
  <c r="AK60" i="1" s="1"/>
  <c r="AK524" i="1"/>
  <c r="AK535" i="1" s="1"/>
  <c r="AJ265" i="1"/>
  <c r="AJ54" i="1"/>
  <c r="AI51" i="9"/>
  <c r="AI75" i="9" s="1"/>
  <c r="AI973" i="1"/>
  <c r="AI971" i="1"/>
  <c r="AI762" i="1"/>
  <c r="AI765" i="1" s="1"/>
  <c r="AM973" i="1"/>
  <c r="AI972" i="1"/>
  <c r="AI709" i="1"/>
  <c r="AI1072" i="1" s="1"/>
  <c r="AK971" i="1"/>
  <c r="J114" i="9"/>
  <c r="J1069" i="1"/>
  <c r="J1057" i="1"/>
  <c r="AO1078" i="1"/>
  <c r="AK938" i="1"/>
  <c r="AK806" i="1"/>
  <c r="U1078" i="1"/>
  <c r="Q938" i="1"/>
  <c r="Q806" i="1"/>
  <c r="J938" i="1"/>
  <c r="J806" i="1"/>
  <c r="AS81" i="9"/>
  <c r="AS1065" i="1"/>
  <c r="AS998" i="1"/>
  <c r="AT1082" i="1"/>
  <c r="AS1071" i="1"/>
  <c r="AS1075" i="1"/>
  <c r="G915" i="1"/>
  <c r="Q118" i="9"/>
  <c r="Q119" i="9" s="1"/>
  <c r="I772" i="1"/>
  <c r="I766" i="1"/>
  <c r="I710" i="1"/>
  <c r="C61" i="9"/>
  <c r="P665" i="1"/>
  <c r="P688" i="1"/>
  <c r="AC117" i="9"/>
  <c r="AC102" i="9"/>
  <c r="H766" i="1"/>
  <c r="H710" i="1"/>
  <c r="H772" i="1"/>
  <c r="BB87" i="1"/>
  <c r="BB15" i="1"/>
  <c r="BB21" i="9" s="1"/>
  <c r="BB86" i="1"/>
  <c r="BB137" i="1"/>
  <c r="BA214" i="1"/>
  <c r="BA53" i="1"/>
  <c r="Q983" i="1"/>
  <c r="Y806" i="1"/>
  <c r="Y938" i="1"/>
  <c r="AT54" i="9"/>
  <c r="AT74" i="9"/>
  <c r="V51" i="9"/>
  <c r="V762" i="1"/>
  <c r="V765" i="1" s="1"/>
  <c r="V705" i="1"/>
  <c r="V45" i="1"/>
  <c r="V48" i="9" s="1"/>
  <c r="AA45" i="1"/>
  <c r="AA48" i="9" s="1"/>
  <c r="W972" i="1"/>
  <c r="W976" i="1" s="1"/>
  <c r="F54" i="9"/>
  <c r="AP56" i="9"/>
  <c r="AP1066" i="1"/>
  <c r="AP981" i="1"/>
  <c r="AP997" i="1"/>
  <c r="BA158" i="1"/>
  <c r="AZ160" i="1"/>
  <c r="AZ164" i="1"/>
  <c r="E1" i="9"/>
  <c r="E3" i="1"/>
  <c r="E1117" i="1" s="1"/>
  <c r="F4" i="1"/>
  <c r="AI444" i="1"/>
  <c r="AI446" i="1"/>
  <c r="AN43" i="1"/>
  <c r="AN47" i="9" s="1"/>
  <c r="AI445" i="1"/>
  <c r="N114" i="9"/>
  <c r="N1069" i="1"/>
  <c r="N1057" i="1"/>
  <c r="S1069" i="1"/>
  <c r="T109" i="9"/>
  <c r="T1055" i="1"/>
  <c r="E117" i="9"/>
  <c r="E102" i="9"/>
  <c r="E840" i="1"/>
  <c r="AF114" i="9"/>
  <c r="AF1069" i="1"/>
  <c r="AF1057" i="1"/>
  <c r="AE129" i="9"/>
  <c r="Z54" i="9"/>
  <c r="Z74" i="9"/>
  <c r="Z75" i="9"/>
  <c r="AE706" i="1"/>
  <c r="AW1072" i="1"/>
  <c r="AT490" i="1"/>
  <c r="AT493" i="1" s="1"/>
  <c r="AT153" i="1"/>
  <c r="AT152" i="1" s="1"/>
  <c r="AL320" i="1"/>
  <c r="AL55" i="1"/>
  <c r="D1123" i="1"/>
  <c r="D1128" i="1"/>
  <c r="D1126" i="1" s="1"/>
  <c r="D856" i="1" s="1"/>
  <c r="D1121" i="1"/>
  <c r="D1119" i="1" s="1"/>
  <c r="D855" i="1" s="1"/>
  <c r="D1137" i="1"/>
  <c r="D1135" i="1"/>
  <c r="D1133" i="1" s="1"/>
  <c r="D857" i="1" s="1"/>
  <c r="D859" i="1" s="1"/>
  <c r="D1130" i="1"/>
  <c r="AU114" i="9"/>
  <c r="AU115" i="9" s="1"/>
  <c r="AU1069" i="1"/>
  <c r="AU1057" i="1"/>
  <c r="Y114" i="9"/>
  <c r="Y115" i="9" s="1"/>
  <c r="Y1069" i="1"/>
  <c r="X1069" i="1"/>
  <c r="AA114" i="9"/>
  <c r="AA1069" i="1"/>
  <c r="AA1057" i="1"/>
  <c r="H963" i="1"/>
  <c r="AI938" i="1"/>
  <c r="AI806" i="1"/>
  <c r="F992" i="1"/>
  <c r="F983" i="1"/>
  <c r="F994" i="1"/>
  <c r="AD938" i="1"/>
  <c r="AD963" i="1" s="1"/>
  <c r="AD1067" i="1" s="1"/>
  <c r="AD806" i="1"/>
  <c r="M102" i="9"/>
  <c r="M117" i="9"/>
  <c r="N118" i="9" s="1"/>
  <c r="N119" i="9" s="1"/>
  <c r="AW75" i="9"/>
  <c r="BB177" i="1"/>
  <c r="BA180" i="1"/>
  <c r="BA179" i="1"/>
  <c r="D628" i="1"/>
  <c r="D688" i="1"/>
  <c r="D699" i="1" s="1"/>
  <c r="H983" i="1"/>
  <c r="I980" i="1"/>
  <c r="AI56" i="9"/>
  <c r="AI1066" i="1"/>
  <c r="AI981" i="1"/>
  <c r="AI997" i="1"/>
  <c r="AI690" i="1"/>
  <c r="AI689" i="1" s="1"/>
  <c r="AD983" i="1"/>
  <c r="AE80" i="9"/>
  <c r="AE807" i="1"/>
  <c r="AE820" i="1"/>
  <c r="AE821" i="1" s="1"/>
  <c r="AE822" i="1" s="1"/>
  <c r="AE823" i="1" s="1"/>
  <c r="AK129" i="9"/>
  <c r="W983" i="1"/>
  <c r="AJ628" i="1"/>
  <c r="AJ688" i="1"/>
  <c r="BE769" i="1"/>
  <c r="BB185" i="1"/>
  <c r="BA188" i="1"/>
  <c r="BA187" i="1"/>
  <c r="W110" i="9"/>
  <c r="BG1071" i="1"/>
  <c r="BG946" i="1"/>
  <c r="AK102" i="9"/>
  <c r="AK117" i="9"/>
  <c r="AM118" i="9" s="1"/>
  <c r="AM119" i="9" s="1"/>
  <c r="AW938" i="1"/>
  <c r="AW806" i="1"/>
  <c r="BF988" i="1"/>
  <c r="BF982" i="1"/>
  <c r="L117" i="9"/>
  <c r="L118" i="9" s="1"/>
  <c r="L119" i="9" s="1"/>
  <c r="L102" i="9"/>
  <c r="AQ118" i="9"/>
  <c r="O117" i="9"/>
  <c r="O102" i="9"/>
  <c r="F81" i="9"/>
  <c r="F998" i="1"/>
  <c r="F61" i="9"/>
  <c r="N129" i="9"/>
  <c r="I54" i="9"/>
  <c r="AV53" i="9"/>
  <c r="AV75" i="9" s="1"/>
  <c r="AV709" i="1"/>
  <c r="S61" i="9"/>
  <c r="BB973" i="1"/>
  <c r="AK766" i="1"/>
  <c r="AK772" i="1"/>
  <c r="AK710" i="1"/>
  <c r="S53" i="9"/>
  <c r="S75" i="9" s="1"/>
  <c r="S709" i="1"/>
  <c r="S1072" i="1" s="1"/>
  <c r="AG772" i="1"/>
  <c r="AG710" i="1"/>
  <c r="AG1074" i="1" s="1"/>
  <c r="AG766" i="1"/>
  <c r="F975" i="1"/>
  <c r="X61" i="9"/>
  <c r="AF129" i="9"/>
  <c r="R75" i="9"/>
  <c r="AU770" i="1"/>
  <c r="AY151" i="1"/>
  <c r="AY770" i="1" s="1"/>
  <c r="AF320" i="1"/>
  <c r="AF55" i="1"/>
  <c r="AF60" i="1" s="1"/>
  <c r="AX206" i="1"/>
  <c r="AY206" i="1" s="1"/>
  <c r="AY212" i="1" s="1"/>
  <c r="AX207" i="1"/>
  <c r="AY207" i="1" s="1"/>
  <c r="AY213" i="1" s="1"/>
  <c r="AX49" i="1"/>
  <c r="AX27" i="1"/>
  <c r="AX33" i="9" s="1"/>
  <c r="BE161" i="1"/>
  <c r="BD163" i="1"/>
  <c r="AY9" i="1"/>
  <c r="AY15" i="9" s="1"/>
  <c r="F115" i="9"/>
  <c r="AW110" i="9"/>
  <c r="AV980" i="1"/>
  <c r="U117" i="9"/>
  <c r="U118" i="9" s="1"/>
  <c r="U119" i="9" s="1"/>
  <c r="U102" i="9"/>
  <c r="AO938" i="1"/>
  <c r="AO806" i="1"/>
  <c r="AY85" i="9"/>
  <c r="AG938" i="1"/>
  <c r="AG806" i="1"/>
  <c r="C53" i="9"/>
  <c r="C75" i="9" s="1"/>
  <c r="C709" i="1"/>
  <c r="E992" i="1"/>
  <c r="G772" i="1"/>
  <c r="G766" i="1"/>
  <c r="G710" i="1"/>
  <c r="AY829" i="1"/>
  <c r="AY828" i="1"/>
  <c r="AZ828" i="1" s="1"/>
  <c r="BB972" i="1"/>
  <c r="AO1074" i="1"/>
  <c r="AO706" i="1"/>
  <c r="U129" i="9"/>
  <c r="Z405" i="1"/>
  <c r="Z56" i="1"/>
  <c r="Z60" i="1" s="1"/>
  <c r="AJ129" i="9"/>
  <c r="AE54" i="9"/>
  <c r="F977" i="1"/>
  <c r="Z706" i="1"/>
  <c r="J731" i="1"/>
  <c r="J734" i="1" s="1"/>
  <c r="J736" i="1"/>
  <c r="AT987" i="1"/>
  <c r="AT769" i="1"/>
  <c r="AZ56" i="9"/>
  <c r="AZ997" i="1"/>
  <c r="AZ920" i="1"/>
  <c r="AZ981" i="1"/>
  <c r="AX195" i="1"/>
  <c r="AX197" i="1" s="1"/>
  <c r="AX111" i="1" s="1"/>
  <c r="AX193" i="1"/>
  <c r="AX192" i="1" s="1"/>
  <c r="AZ193" i="1"/>
  <c r="AZ192" i="1" s="1"/>
  <c r="AT210" i="1"/>
  <c r="AT214" i="1" s="1"/>
  <c r="AT49" i="1"/>
  <c r="AT27" i="1"/>
  <c r="AW1066" i="1"/>
  <c r="BD78" i="1"/>
  <c r="Y123" i="9"/>
  <c r="Y1045" i="1"/>
  <c r="Y1055" i="1" s="1"/>
  <c r="Y1057" i="1" s="1"/>
  <c r="AA110" i="9"/>
  <c r="Q114" i="9"/>
  <c r="Q1069" i="1"/>
  <c r="Q1057" i="1"/>
  <c r="AE125" i="9"/>
  <c r="AB980" i="1"/>
  <c r="AA983" i="1"/>
  <c r="AI114" i="9"/>
  <c r="AI115" i="9" s="1"/>
  <c r="AI1057" i="1"/>
  <c r="AI1069" i="1"/>
  <c r="V117" i="9"/>
  <c r="V102" i="9"/>
  <c r="W938" i="1"/>
  <c r="W806" i="1"/>
  <c r="U938" i="1"/>
  <c r="U963" i="1" s="1"/>
  <c r="U806" i="1"/>
  <c r="AW963" i="1"/>
  <c r="AH806" i="1"/>
  <c r="AH938" i="1"/>
  <c r="AH963" i="1" s="1"/>
  <c r="AT938" i="1"/>
  <c r="AT963" i="1" s="1"/>
  <c r="AT806" i="1"/>
  <c r="C117" i="9"/>
  <c r="C118" i="9" s="1"/>
  <c r="C119" i="9" s="1"/>
  <c r="C102" i="9"/>
  <c r="AN912" i="1"/>
  <c r="P118" i="9"/>
  <c r="P119" i="9" s="1"/>
  <c r="AA118" i="9"/>
  <c r="AA119" i="9" s="1"/>
  <c r="AB772" i="1"/>
  <c r="AB766" i="1"/>
  <c r="AB710" i="1"/>
  <c r="P992" i="1"/>
  <c r="AH710" i="1"/>
  <c r="AH1074" i="1" s="1"/>
  <c r="AH772" i="1"/>
  <c r="AH766" i="1"/>
  <c r="AV129" i="9"/>
  <c r="F129" i="9"/>
  <c r="E54" i="9"/>
  <c r="AO1081" i="1"/>
  <c r="AP129" i="9"/>
  <c r="AE736" i="1"/>
  <c r="AE731" i="1"/>
  <c r="AE734" i="1" s="1"/>
  <c r="Q772" i="1"/>
  <c r="Q766" i="1"/>
  <c r="Q710" i="1"/>
  <c r="Q1074" i="1" s="1"/>
  <c r="AG54" i="9"/>
  <c r="AB688" i="1"/>
  <c r="AB699" i="1" s="1"/>
  <c r="D977" i="1"/>
  <c r="AH540" i="1"/>
  <c r="Y681" i="1"/>
  <c r="Y678" i="1"/>
  <c r="AT405" i="1"/>
  <c r="AT56" i="1"/>
  <c r="Y52" i="9"/>
  <c r="Y74" i="9" s="1"/>
  <c r="Y705" i="1"/>
  <c r="BA166" i="1"/>
  <c r="AZ168" i="1"/>
  <c r="N688" i="1"/>
  <c r="N699" i="1" s="1"/>
  <c r="N596" i="1"/>
  <c r="AQ446" i="1"/>
  <c r="AQ57" i="1"/>
  <c r="AZ172" i="1"/>
  <c r="BC139" i="1"/>
  <c r="BC127" i="1"/>
  <c r="BC131" i="1" s="1"/>
  <c r="BC135" i="1" s="1"/>
  <c r="BC20" i="1"/>
  <c r="BC26" i="9" s="1"/>
  <c r="BC128" i="1"/>
  <c r="AN315" i="1"/>
  <c r="AY87" i="1"/>
  <c r="AO320" i="1"/>
  <c r="AO55" i="1"/>
  <c r="AH980" i="1"/>
  <c r="E994" i="1"/>
  <c r="E983" i="1"/>
  <c r="AH124" i="9"/>
  <c r="F117" i="9"/>
  <c r="F118" i="9" s="1"/>
  <c r="F119" i="9" s="1"/>
  <c r="F102" i="9"/>
  <c r="AQ938" i="1"/>
  <c r="AQ806" i="1"/>
  <c r="K1078" i="1"/>
  <c r="G938" i="1"/>
  <c r="G806" i="1"/>
  <c r="K1080" i="1"/>
  <c r="E938" i="1"/>
  <c r="E963" i="1" s="1"/>
  <c r="E806" i="1"/>
  <c r="R938" i="1"/>
  <c r="R963" i="1" s="1"/>
  <c r="R806" i="1"/>
  <c r="N938" i="1"/>
  <c r="N963" i="1" s="1"/>
  <c r="N806" i="1"/>
  <c r="AQ963" i="1"/>
  <c r="AV1067" i="1" s="1"/>
  <c r="T938" i="1"/>
  <c r="T963" i="1" s="1"/>
  <c r="T1067" i="1" s="1"/>
  <c r="T806" i="1"/>
  <c r="O81" i="9"/>
  <c r="O998" i="1"/>
  <c r="Z736" i="1"/>
  <c r="Z731" i="1"/>
  <c r="Z734" i="1" s="1"/>
  <c r="AU938" i="1"/>
  <c r="AU963" i="1" s="1"/>
  <c r="AU806" i="1"/>
  <c r="BG1048" i="1"/>
  <c r="BG863" i="1" s="1"/>
  <c r="BG9" i="9" s="1"/>
  <c r="BF863" i="1"/>
  <c r="BF9" i="9" s="1"/>
  <c r="AO56" i="9"/>
  <c r="AO1066" i="1"/>
  <c r="AO997" i="1"/>
  <c r="AO981" i="1"/>
  <c r="AC1066" i="1"/>
  <c r="AC689" i="1"/>
  <c r="T758" i="1"/>
  <c r="X972" i="1" s="1"/>
  <c r="X976" i="1" s="1"/>
  <c r="T727" i="1"/>
  <c r="T729" i="1" s="1"/>
  <c r="AJ736" i="1"/>
  <c r="AJ731" i="1"/>
  <c r="AJ734" i="1" s="1"/>
  <c r="AP710" i="1"/>
  <c r="AP772" i="1"/>
  <c r="AP766" i="1"/>
  <c r="Q975" i="1"/>
  <c r="AD727" i="1"/>
  <c r="AD729" i="1" s="1"/>
  <c r="AD758" i="1"/>
  <c r="D975" i="1"/>
  <c r="AG688" i="1"/>
  <c r="AG699" i="1" s="1"/>
  <c r="J75" i="9"/>
  <c r="AN769" i="1"/>
  <c r="AO446" i="1"/>
  <c r="AO57" i="1"/>
  <c r="AR736" i="1"/>
  <c r="AR731" i="1"/>
  <c r="AR734" i="1" s="1"/>
  <c r="BB210" i="1"/>
  <c r="BB27" i="1"/>
  <c r="BB33" i="9" s="1"/>
  <c r="BB207" i="1"/>
  <c r="BB206" i="1"/>
  <c r="BB49" i="1"/>
  <c r="BA172" i="1"/>
  <c r="BA171" i="1"/>
  <c r="BB169" i="1"/>
  <c r="AW14" i="1"/>
  <c r="AW20" i="9" s="1"/>
  <c r="W124" i="9"/>
  <c r="AO114" i="9"/>
  <c r="AO115" i="9" s="1"/>
  <c r="AO1057" i="1"/>
  <c r="AO1069" i="1"/>
  <c r="V115" i="9"/>
  <c r="T114" i="9"/>
  <c r="T1069" i="1"/>
  <c r="T1057" i="1"/>
  <c r="P980" i="1"/>
  <c r="K983" i="1"/>
  <c r="L980" i="1"/>
  <c r="W118" i="9"/>
  <c r="W119" i="9" s="1"/>
  <c r="AE1078" i="1"/>
  <c r="AA938" i="1"/>
  <c r="AA806" i="1"/>
  <c r="BG982" i="1"/>
  <c r="BG988" i="1"/>
  <c r="AL61" i="9"/>
  <c r="AT53" i="9"/>
  <c r="AT75" i="9" s="1"/>
  <c r="AT709" i="1"/>
  <c r="AN118" i="9"/>
  <c r="J963" i="1"/>
  <c r="AR61" i="9"/>
  <c r="D992" i="1"/>
  <c r="D994" i="1"/>
  <c r="AT129" i="9"/>
  <c r="AO54" i="9"/>
  <c r="X54" i="9"/>
  <c r="AK56" i="9"/>
  <c r="AK1066" i="1"/>
  <c r="AK997" i="1"/>
  <c r="AK981" i="1"/>
  <c r="P706" i="1"/>
  <c r="G53" i="9"/>
  <c r="G709" i="1"/>
  <c r="AJ51" i="9"/>
  <c r="AJ973" i="1"/>
  <c r="AJ977" i="1" s="1"/>
  <c r="AJ971" i="1"/>
  <c r="AJ975" i="1" s="1"/>
  <c r="AJ972" i="1"/>
  <c r="AJ976" i="1" s="1"/>
  <c r="AJ762" i="1"/>
  <c r="AJ765" i="1" s="1"/>
  <c r="AJ705" i="1"/>
  <c r="AO45" i="1"/>
  <c r="AO48" i="9" s="1"/>
  <c r="AJ45" i="1"/>
  <c r="AJ48" i="9" s="1"/>
  <c r="AV975" i="1"/>
  <c r="BA971" i="1"/>
  <c r="Q976" i="1"/>
  <c r="D976" i="1"/>
  <c r="AN706" i="1"/>
  <c r="Q688" i="1"/>
  <c r="Q699" i="1" s="1"/>
  <c r="AR51" i="9"/>
  <c r="AR973" i="1"/>
  <c r="AR977" i="1" s="1"/>
  <c r="AR972" i="1"/>
  <c r="AR976" i="1" s="1"/>
  <c r="AR971" i="1"/>
  <c r="AW975" i="1" s="1"/>
  <c r="AR762" i="1"/>
  <c r="AR765" i="1" s="1"/>
  <c r="AR705" i="1"/>
  <c r="AR709" i="1"/>
  <c r="AR1072" i="1" s="1"/>
  <c r="AW45" i="1"/>
  <c r="AW48" i="9" s="1"/>
  <c r="AR45" i="1"/>
  <c r="AR48" i="9" s="1"/>
  <c r="AE540" i="1"/>
  <c r="AX1016" i="1"/>
  <c r="AY1016" i="1" s="1"/>
  <c r="AZ1016" i="1" s="1"/>
  <c r="BA1016" i="1" s="1"/>
  <c r="AY924" i="1"/>
  <c r="AY86" i="1"/>
  <c r="AC938" i="1"/>
  <c r="AC963" i="1" s="1"/>
  <c r="AC806" i="1"/>
  <c r="AR938" i="1"/>
  <c r="AR963" i="1" s="1"/>
  <c r="AR806" i="1"/>
  <c r="K938" i="1"/>
  <c r="K963" i="1" s="1"/>
  <c r="K1067" i="1" s="1"/>
  <c r="K806" i="1"/>
  <c r="BE1071" i="1"/>
  <c r="BE946" i="1"/>
  <c r="AO994" i="1"/>
  <c r="AT119" i="9"/>
  <c r="S980" i="1"/>
  <c r="R983" i="1"/>
  <c r="AN938" i="1"/>
  <c r="AN806" i="1"/>
  <c r="F53" i="9"/>
  <c r="F75" i="9" s="1"/>
  <c r="F709" i="1"/>
  <c r="AO53" i="9"/>
  <c r="AO75" i="9" s="1"/>
  <c r="AO709" i="1"/>
  <c r="AO1072" i="1" s="1"/>
  <c r="X81" i="9"/>
  <c r="X82" i="9" s="1"/>
  <c r="X998" i="1"/>
  <c r="W706" i="1"/>
  <c r="AK989" i="1"/>
  <c r="S765" i="1"/>
  <c r="AV977" i="1"/>
  <c r="BA973" i="1"/>
  <c r="Q977" i="1"/>
  <c r="X766" i="1"/>
  <c r="X772" i="1"/>
  <c r="X710" i="1"/>
  <c r="X1074" i="1" s="1"/>
  <c r="E129" i="9"/>
  <c r="BC56" i="9"/>
  <c r="BC997" i="1"/>
  <c r="BC981" i="1"/>
  <c r="BC920" i="1"/>
  <c r="AA688" i="1"/>
  <c r="AA699" i="1" s="1"/>
  <c r="AA596" i="1"/>
  <c r="AY193" i="1"/>
  <c r="AY192" i="1" s="1"/>
  <c r="X688" i="1"/>
  <c r="X699" i="1" s="1"/>
  <c r="AS397" i="1"/>
  <c r="AS385" i="1"/>
  <c r="AS403" i="1"/>
  <c r="AS40" i="1"/>
  <c r="AS44" i="9" s="1"/>
  <c r="AN51" i="9"/>
  <c r="AN972" i="1"/>
  <c r="AN976" i="1" s="1"/>
  <c r="AN971" i="1"/>
  <c r="AN975" i="1" s="1"/>
  <c r="AN973" i="1"/>
  <c r="AN977" i="1" s="1"/>
  <c r="AN762" i="1"/>
  <c r="AN765" i="1" s="1"/>
  <c r="AN709" i="1"/>
  <c r="AN1072" i="1" s="1"/>
  <c r="AN45" i="1"/>
  <c r="AN48" i="9" s="1"/>
  <c r="AS45" i="1"/>
  <c r="AS48" i="9" s="1"/>
  <c r="AY490" i="1"/>
  <c r="AY494" i="1" s="1"/>
  <c r="AY153" i="1"/>
  <c r="AY150" i="1" s="1"/>
  <c r="AF216" i="1"/>
  <c r="AD688" i="1"/>
  <c r="AD699" i="1" s="1"/>
  <c r="AD596" i="1"/>
  <c r="AP320" i="1"/>
  <c r="AP55" i="1"/>
  <c r="BB58" i="9"/>
  <c r="BB924" i="1"/>
  <c r="BB539" i="1"/>
  <c r="BC174" i="1"/>
  <c r="BB176" i="1"/>
  <c r="BF1066" i="1"/>
  <c r="BF769" i="1"/>
  <c r="T688" i="1"/>
  <c r="T699" i="1" s="1"/>
  <c r="BA128" i="1"/>
  <c r="BA139" i="1"/>
  <c r="BA20" i="1"/>
  <c r="BA26" i="9" s="1"/>
  <c r="BA127" i="1"/>
  <c r="BA131" i="1" s="1"/>
  <c r="BA135" i="1" s="1"/>
  <c r="AQ141" i="1"/>
  <c r="Z115" i="9"/>
  <c r="AV115" i="9"/>
  <c r="M938" i="1"/>
  <c r="M963" i="1" s="1"/>
  <c r="M1067" i="1" s="1"/>
  <c r="M806" i="1"/>
  <c r="AB938" i="1"/>
  <c r="AB806" i="1"/>
  <c r="AJ117" i="9"/>
  <c r="AJ118" i="9" s="1"/>
  <c r="AJ119" i="9" s="1"/>
  <c r="AJ102" i="9"/>
  <c r="P115" i="9"/>
  <c r="BE982" i="1"/>
  <c r="BE988" i="1"/>
  <c r="R114" i="9"/>
  <c r="R115" i="9" s="1"/>
  <c r="R1069" i="1"/>
  <c r="R1057" i="1"/>
  <c r="AO1075" i="1"/>
  <c r="AG118" i="9"/>
  <c r="AG119" i="9" s="1"/>
  <c r="Y963" i="1"/>
  <c r="AG129" i="9"/>
  <c r="AM129" i="9"/>
  <c r="AH54" i="9"/>
  <c r="E53" i="9"/>
  <c r="E75" i="9" s="1"/>
  <c r="E709" i="1"/>
  <c r="N53" i="9"/>
  <c r="N75" i="9" s="1"/>
  <c r="N709" i="1"/>
  <c r="N1072" i="1" s="1"/>
  <c r="W772" i="1"/>
  <c r="W710" i="1"/>
  <c r="W1074" i="1" s="1"/>
  <c r="W766" i="1"/>
  <c r="AM706" i="1"/>
  <c r="S975" i="1"/>
  <c r="AV976" i="1"/>
  <c r="BA972" i="1"/>
  <c r="V129" i="9"/>
  <c r="Q54" i="9"/>
  <c r="AU706" i="1"/>
  <c r="AS52" i="9"/>
  <c r="AS74" i="9" s="1"/>
  <c r="AS705" i="1"/>
  <c r="AS762" i="1"/>
  <c r="AS765" i="1" s="1"/>
  <c r="AS75" i="9"/>
  <c r="AQ53" i="9"/>
  <c r="AQ75" i="9" s="1"/>
  <c r="AQ709" i="1"/>
  <c r="AQ765" i="1"/>
  <c r="U688" i="1"/>
  <c r="BC1066" i="1"/>
  <c r="AN301" i="1"/>
  <c r="AS301" i="1"/>
  <c r="AN312" i="1"/>
  <c r="AN34" i="1"/>
  <c r="AN40" i="9" s="1"/>
  <c r="AS34" i="1"/>
  <c r="AS40" i="9" s="1"/>
  <c r="AV987" i="1"/>
  <c r="AV769" i="1"/>
  <c r="AN265" i="1"/>
  <c r="AN54" i="1"/>
  <c r="AL265" i="1"/>
  <c r="AL54" i="1"/>
  <c r="AF218" i="1"/>
  <c r="AT312" i="1"/>
  <c r="AT301" i="1"/>
  <c r="AT319" i="1"/>
  <c r="AT318" i="1"/>
  <c r="AT34" i="1"/>
  <c r="AT40" i="9" s="1"/>
  <c r="AW93" i="1"/>
  <c r="AW137" i="1"/>
  <c r="AW141" i="1" s="1"/>
  <c r="AW92" i="1"/>
  <c r="AW90" i="1"/>
  <c r="AW94" i="1" s="1"/>
  <c r="AW15" i="1"/>
  <c r="AW21" i="9" s="1"/>
  <c r="AP196" i="1"/>
  <c r="AT213" i="1"/>
  <c r="B1153" i="1"/>
  <c r="B1152" i="1"/>
  <c r="B4" i="1" s="1"/>
  <c r="B3" i="1" s="1"/>
  <c r="A2" i="1"/>
  <c r="M114" i="9"/>
  <c r="M115" i="9" s="1"/>
  <c r="M1057" i="1"/>
  <c r="M1069" i="1"/>
  <c r="D125" i="9"/>
  <c r="P1078" i="1"/>
  <c r="L938" i="1"/>
  <c r="L806" i="1"/>
  <c r="T117" i="9"/>
  <c r="T102" i="9"/>
  <c r="S938" i="1"/>
  <c r="S806" i="1"/>
  <c r="BB988" i="1"/>
  <c r="BB982" i="1"/>
  <c r="J989" i="1"/>
  <c r="AJ85" i="9"/>
  <c r="AJ1075" i="1"/>
  <c r="AJ1082" i="1"/>
  <c r="BC1071" i="1"/>
  <c r="BC946" i="1"/>
  <c r="K992" i="1"/>
  <c r="O80" i="9"/>
  <c r="O807" i="1"/>
  <c r="O820" i="1"/>
  <c r="O821" i="1" s="1"/>
  <c r="O822" i="1" s="1"/>
  <c r="O823" i="1" s="1"/>
  <c r="AF53" i="9"/>
  <c r="AF75" i="9" s="1"/>
  <c r="AF709" i="1"/>
  <c r="R772" i="1"/>
  <c r="R766" i="1"/>
  <c r="R710" i="1"/>
  <c r="R1074" i="1" s="1"/>
  <c r="AT772" i="1"/>
  <c r="AT766" i="1"/>
  <c r="AT710" i="1"/>
  <c r="AA61" i="9"/>
  <c r="AK53" i="9"/>
  <c r="AK75" i="9" s="1"/>
  <c r="AK709" i="1"/>
  <c r="AK1072" i="1" s="1"/>
  <c r="AM772" i="1"/>
  <c r="AM766" i="1"/>
  <c r="AM710" i="1"/>
  <c r="AM1074" i="1" s="1"/>
  <c r="S976" i="1"/>
  <c r="AZ971" i="1"/>
  <c r="AI52" i="9"/>
  <c r="AI74" i="9" s="1"/>
  <c r="AI705" i="1"/>
  <c r="AE699" i="1"/>
  <c r="U766" i="1"/>
  <c r="U710" i="1"/>
  <c r="U1074" i="1" s="1"/>
  <c r="U772" i="1"/>
  <c r="AS263" i="1"/>
  <c r="AS247" i="1"/>
  <c r="AS30" i="1"/>
  <c r="AS36" i="9" s="1"/>
  <c r="R688" i="1"/>
  <c r="R699" i="1" s="1"/>
  <c r="R596" i="1"/>
  <c r="AV1066" i="1"/>
  <c r="Z699" i="1"/>
  <c r="AY83" i="1"/>
  <c r="AY14" i="1" s="1"/>
  <c r="AY20" i="9" s="1"/>
  <c r="AU14" i="1"/>
  <c r="AU20" i="9" s="1"/>
  <c r="AZ83" i="1"/>
  <c r="BD83" i="1" s="1"/>
  <c r="BA56" i="9"/>
  <c r="BA997" i="1"/>
  <c r="BA920" i="1"/>
  <c r="BA981" i="1"/>
  <c r="AJ114" i="9"/>
  <c r="AJ115" i="9" s="1"/>
  <c r="AJ1069" i="1"/>
  <c r="AJ1057" i="1"/>
  <c r="AJ1080" i="1"/>
  <c r="AB115" i="9"/>
  <c r="D117" i="9"/>
  <c r="D118" i="9" s="1"/>
  <c r="D119" i="9" s="1"/>
  <c r="D102" i="9"/>
  <c r="D840" i="1"/>
  <c r="S963" i="1"/>
  <c r="X1067" i="1" s="1"/>
  <c r="AL938" i="1"/>
  <c r="AL963" i="1" s="1"/>
  <c r="AL806" i="1"/>
  <c r="AJ938" i="1"/>
  <c r="AJ963" i="1" s="1"/>
  <c r="AJ1067" i="1" s="1"/>
  <c r="AJ806" i="1"/>
  <c r="C938" i="1"/>
  <c r="C963" i="1" s="1"/>
  <c r="C806" i="1"/>
  <c r="C841" i="1" s="1"/>
  <c r="AE983" i="1"/>
  <c r="AE994" i="1"/>
  <c r="AL56" i="9"/>
  <c r="AL1066" i="1"/>
  <c r="AL981" i="1"/>
  <c r="AL997" i="1"/>
  <c r="M983" i="1"/>
  <c r="AV118" i="9"/>
  <c r="AV119" i="9" s="1"/>
  <c r="AF80" i="9"/>
  <c r="AF807" i="1"/>
  <c r="AF820" i="1"/>
  <c r="AF821" i="1" s="1"/>
  <c r="AF822" i="1" s="1"/>
  <c r="AF823" i="1" s="1"/>
  <c r="AR117" i="9"/>
  <c r="AR118" i="9" s="1"/>
  <c r="AR102" i="9"/>
  <c r="AU117" i="9"/>
  <c r="AU118" i="9" s="1"/>
  <c r="AU119" i="9" s="1"/>
  <c r="AU102" i="9"/>
  <c r="BC988" i="1"/>
  <c r="BC982" i="1"/>
  <c r="H915" i="1"/>
  <c r="R977" i="1"/>
  <c r="AB74" i="9"/>
  <c r="N706" i="1"/>
  <c r="AE992" i="1"/>
  <c r="E81" i="9"/>
  <c r="E998" i="1"/>
  <c r="AH74" i="9"/>
  <c r="AC51" i="9"/>
  <c r="AC973" i="1"/>
  <c r="AC971" i="1"/>
  <c r="AC972" i="1"/>
  <c r="AC705" i="1"/>
  <c r="AC762" i="1"/>
  <c r="AC765" i="1" s="1"/>
  <c r="AC709" i="1"/>
  <c r="AC1072" i="1" s="1"/>
  <c r="AH45" i="1"/>
  <c r="AH48" i="9" s="1"/>
  <c r="AC45" i="1"/>
  <c r="AC48" i="9" s="1"/>
  <c r="AM972" i="1"/>
  <c r="O75" i="9"/>
  <c r="AJ709" i="1"/>
  <c r="AJ1072" i="1" s="1"/>
  <c r="S977" i="1"/>
  <c r="AZ973" i="1"/>
  <c r="AU977" i="1"/>
  <c r="W731" i="1"/>
  <c r="W734" i="1" s="1"/>
  <c r="W736" i="1"/>
  <c r="M51" i="9"/>
  <c r="M973" i="1"/>
  <c r="M972" i="1"/>
  <c r="M971" i="1"/>
  <c r="R975" i="1" s="1"/>
  <c r="M762" i="1"/>
  <c r="M765" i="1" s="1"/>
  <c r="M705" i="1"/>
  <c r="M709" i="1"/>
  <c r="M1072" i="1" s="1"/>
  <c r="R45" i="1"/>
  <c r="R48" i="9" s="1"/>
  <c r="M45" i="1"/>
  <c r="M48" i="9" s="1"/>
  <c r="AP973" i="1"/>
  <c r="AP977" i="1" s="1"/>
  <c r="AA53" i="9"/>
  <c r="AA75" i="9" s="1"/>
  <c r="AA709" i="1"/>
  <c r="AA1072" i="1" s="1"/>
  <c r="M688" i="1"/>
  <c r="M699" i="1" s="1"/>
  <c r="M596" i="1"/>
  <c r="O592" i="1"/>
  <c r="O595" i="1"/>
  <c r="O594" i="1"/>
  <c r="AN545" i="1"/>
  <c r="X1065" i="1"/>
  <c r="AI688" i="1"/>
  <c r="AI699" i="1" s="1"/>
  <c r="AI596" i="1"/>
  <c r="AE320" i="1"/>
  <c r="AE55" i="1"/>
  <c r="AE60" i="1" s="1"/>
  <c r="Z524" i="1"/>
  <c r="Z535" i="1" s="1"/>
  <c r="AX56" i="9"/>
  <c r="AX997" i="1"/>
  <c r="AX981" i="1"/>
  <c r="AX920" i="1"/>
  <c r="AY920" i="1" s="1"/>
  <c r="BE202" i="1"/>
  <c r="BF202" i="1" s="1"/>
  <c r="BG202" i="1" s="1"/>
  <c r="BD24" i="1"/>
  <c r="BD30" i="9" s="1"/>
  <c r="BD19" i="1"/>
  <c r="BD25" i="9" s="1"/>
  <c r="BE124" i="1"/>
  <c r="BF124" i="1" s="1"/>
  <c r="BG124" i="1" s="1"/>
  <c r="BB56" i="9"/>
  <c r="BB981" i="1"/>
  <c r="BB997" i="1"/>
  <c r="BB920" i="1"/>
  <c r="BA1066" i="1"/>
  <c r="AR196" i="1"/>
  <c r="AT114" i="9"/>
  <c r="AT1069" i="1"/>
  <c r="AT1057" i="1"/>
  <c r="W115" i="9"/>
  <c r="I114" i="9"/>
  <c r="I1057" i="1"/>
  <c r="I1069" i="1"/>
  <c r="AN1028" i="1"/>
  <c r="AN1029" i="1" s="1"/>
  <c r="AN984" i="1"/>
  <c r="C125" i="9"/>
  <c r="AN989" i="1"/>
  <c r="Z1078" i="1"/>
  <c r="V938" i="1"/>
  <c r="Z1079" i="1" s="1"/>
  <c r="V806" i="1"/>
  <c r="AG963" i="1"/>
  <c r="D938" i="1"/>
  <c r="D963" i="1" s="1"/>
  <c r="D806" i="1"/>
  <c r="D841" i="1" s="1"/>
  <c r="AS938" i="1"/>
  <c r="AS963" i="1" s="1"/>
  <c r="AS1067" i="1" s="1"/>
  <c r="AS806" i="1"/>
  <c r="AH117" i="9"/>
  <c r="AH118" i="9" s="1"/>
  <c r="AH119" i="9" s="1"/>
  <c r="AH102" i="9"/>
  <c r="I915" i="1"/>
  <c r="AJ1078" i="1"/>
  <c r="Z118" i="9"/>
  <c r="Z119" i="9" s="1"/>
  <c r="P53" i="9"/>
  <c r="P75" i="9" s="1"/>
  <c r="P709" i="1"/>
  <c r="P1072" i="1" s="1"/>
  <c r="AX971" i="1"/>
  <c r="BC971" i="1" s="1"/>
  <c r="AS975" i="1"/>
  <c r="BA1071" i="1"/>
  <c r="BA946" i="1"/>
  <c r="AM971" i="1"/>
  <c r="AL736" i="1"/>
  <c r="AL731" i="1"/>
  <c r="AL734" i="1" s="1"/>
  <c r="AJ75" i="9"/>
  <c r="X129" i="9"/>
  <c r="S54" i="9"/>
  <c r="L772" i="1"/>
  <c r="L710" i="1"/>
  <c r="L1074" i="1" s="1"/>
  <c r="L766" i="1"/>
  <c r="AU976" i="1"/>
  <c r="AZ972" i="1"/>
  <c r="AR405" i="1"/>
  <c r="AR56" i="1"/>
  <c r="M736" i="1"/>
  <c r="M731" i="1"/>
  <c r="M734" i="1" s="1"/>
  <c r="W688" i="1"/>
  <c r="W699" i="1" s="1"/>
  <c r="W596" i="1"/>
  <c r="AA766" i="1"/>
  <c r="AA772" i="1"/>
  <c r="AA710" i="1"/>
  <c r="Z772" i="1"/>
  <c r="Z766" i="1"/>
  <c r="Z710" i="1"/>
  <c r="Z1074" i="1" s="1"/>
  <c r="AL56" i="1"/>
  <c r="AL405" i="1"/>
  <c r="U977" i="1"/>
  <c r="C688" i="1"/>
  <c r="C699" i="1" s="1"/>
  <c r="C596" i="1"/>
  <c r="AR56" i="9"/>
  <c r="AR1066" i="1"/>
  <c r="AR981" i="1"/>
  <c r="AR997" i="1"/>
  <c r="AR524" i="1"/>
  <c r="AR535" i="1" s="1"/>
  <c r="F1065" i="1"/>
  <c r="AI524" i="1"/>
  <c r="AI535" i="1" s="1"/>
  <c r="AI405" i="1"/>
  <c r="AI56" i="1"/>
  <c r="AI60" i="1" s="1"/>
  <c r="AU196" i="1"/>
  <c r="AY196" i="1" s="1"/>
  <c r="AY195" i="1"/>
  <c r="AQ56" i="9"/>
  <c r="AQ1066" i="1"/>
  <c r="AQ981" i="1"/>
  <c r="AQ997" i="1"/>
  <c r="AS264" i="1"/>
  <c r="BE204" i="1"/>
  <c r="BF204" i="1" s="1"/>
  <c r="BG204" i="1" s="1"/>
  <c r="BD26" i="1"/>
  <c r="BD32" i="9" s="1"/>
  <c r="AP141" i="1"/>
  <c r="AR92" i="1"/>
  <c r="AR90" i="1"/>
  <c r="AR94" i="1" s="1"/>
  <c r="AR93" i="1"/>
  <c r="AR137" i="1"/>
  <c r="AR141" i="1" s="1"/>
  <c r="BG56" i="9"/>
  <c r="BG981" i="1"/>
  <c r="BG997" i="1"/>
  <c r="BG920" i="1"/>
  <c r="AZ206" i="1"/>
  <c r="AZ207" i="1"/>
  <c r="AZ210" i="1" s="1"/>
  <c r="AZ49" i="1"/>
  <c r="AZ27" i="1"/>
  <c r="AZ33" i="9" s="1"/>
  <c r="BB1071" i="1"/>
  <c r="BB946" i="1"/>
  <c r="AP989" i="1"/>
  <c r="F938" i="1"/>
  <c r="F963" i="1" s="1"/>
  <c r="F806" i="1"/>
  <c r="F841" i="1" s="1"/>
  <c r="AY816" i="1"/>
  <c r="AY89" i="9" s="1"/>
  <c r="AW56" i="9"/>
  <c r="AW981" i="1"/>
  <c r="AW997" i="1"/>
  <c r="N983" i="1"/>
  <c r="AU55" i="9"/>
  <c r="AY771" i="1"/>
  <c r="AY55" i="9" s="1"/>
  <c r="AU764" i="1"/>
  <c r="AX973" i="1"/>
  <c r="BC973" i="1" s="1"/>
  <c r="AS977" i="1"/>
  <c r="R976" i="1"/>
  <c r="V53" i="9"/>
  <c r="V75" i="9" s="1"/>
  <c r="V709" i="1"/>
  <c r="V1072" i="1" s="1"/>
  <c r="BA988" i="1"/>
  <c r="BA982" i="1"/>
  <c r="I53" i="9"/>
  <c r="I75" i="9" s="1"/>
  <c r="I709" i="1"/>
  <c r="AB129" i="9"/>
  <c r="W54" i="9"/>
  <c r="AL51" i="9"/>
  <c r="AL129" i="9" s="1"/>
  <c r="AL973" i="1"/>
  <c r="AL971" i="1"/>
  <c r="AL972" i="1"/>
  <c r="AL762" i="1"/>
  <c r="AL765" i="1" s="1"/>
  <c r="AL705" i="1"/>
  <c r="AL709" i="1"/>
  <c r="AL1072" i="1" s="1"/>
  <c r="AL45" i="1"/>
  <c r="AL48" i="9" s="1"/>
  <c r="AQ45" i="1"/>
  <c r="AQ48" i="9" s="1"/>
  <c r="AV765" i="1"/>
  <c r="AS102" i="9"/>
  <c r="AS117" i="9"/>
  <c r="AS118" i="9" s="1"/>
  <c r="AS119" i="9" s="1"/>
  <c r="AP971" i="1"/>
  <c r="AP975" i="1" s="1"/>
  <c r="G688" i="1"/>
  <c r="G699" i="1" s="1"/>
  <c r="G596" i="1"/>
  <c r="AA1074" i="1"/>
  <c r="AA706" i="1"/>
  <c r="K53" i="9"/>
  <c r="K75" i="9" s="1"/>
  <c r="K709" i="1"/>
  <c r="K1072" i="1" s="1"/>
  <c r="AC688" i="1"/>
  <c r="AC699" i="1" s="1"/>
  <c r="AC596" i="1"/>
  <c r="O663" i="1"/>
  <c r="O661" i="1"/>
  <c r="O665" i="1" s="1"/>
  <c r="AR989" i="1"/>
  <c r="AS193" i="1"/>
  <c r="AS192" i="1" s="1"/>
  <c r="AS195" i="1"/>
  <c r="AS196" i="1" s="1"/>
  <c r="AS265" i="1"/>
  <c r="AS54" i="1"/>
  <c r="AR320" i="1"/>
  <c r="AR55" i="1"/>
  <c r="BD1066" i="1"/>
  <c r="BD769" i="1"/>
  <c r="BC207" i="1"/>
  <c r="BC206" i="1"/>
  <c r="BC210" i="1" s="1"/>
  <c r="BC27" i="1"/>
  <c r="BC33" i="9" s="1"/>
  <c r="BC49" i="1"/>
  <c r="BD58" i="9"/>
  <c r="BD539" i="1"/>
  <c r="AY20" i="1"/>
  <c r="AY26" i="9" s="1"/>
  <c r="BE200" i="1"/>
  <c r="BD205" i="1"/>
  <c r="BD22" i="1"/>
  <c r="BD28" i="9" s="1"/>
  <c r="AV989" i="1"/>
  <c r="J110" i="9"/>
  <c r="J119" i="9" s="1"/>
  <c r="X989" i="1"/>
  <c r="AT1081" i="1"/>
  <c r="AO963" i="1"/>
  <c r="AN963" i="1"/>
  <c r="AT995" i="1"/>
  <c r="AW114" i="9"/>
  <c r="AW115" i="9" s="1"/>
  <c r="AW1057" i="1"/>
  <c r="AF124" i="9"/>
  <c r="P1081" i="1"/>
  <c r="L963" i="1"/>
  <c r="AB963" i="1"/>
  <c r="AZ1071" i="1"/>
  <c r="BD941" i="1"/>
  <c r="AZ946" i="1"/>
  <c r="AN1071" i="1"/>
  <c r="AN946" i="1"/>
  <c r="AO1080" i="1" s="1"/>
  <c r="AN809" i="1"/>
  <c r="AG56" i="9"/>
  <c r="AG1066" i="1"/>
  <c r="AG981" i="1"/>
  <c r="AG983" i="1" s="1"/>
  <c r="AG997" i="1"/>
  <c r="AG690" i="1"/>
  <c r="AG689" i="1" s="1"/>
  <c r="AG914" i="1"/>
  <c r="AH914" i="1" s="1"/>
  <c r="AF915" i="1"/>
  <c r="AB117" i="9"/>
  <c r="AB118" i="9" s="1"/>
  <c r="AB119" i="9" s="1"/>
  <c r="AB102" i="9"/>
  <c r="AE117" i="9"/>
  <c r="AE118" i="9" s="1"/>
  <c r="AE119" i="9" s="1"/>
  <c r="AE102" i="9"/>
  <c r="AE841" i="1"/>
  <c r="AE840" i="1"/>
  <c r="N765" i="1"/>
  <c r="AS976" i="1"/>
  <c r="AX972" i="1"/>
  <c r="BC972" i="1" s="1"/>
  <c r="W129" i="9"/>
  <c r="R54" i="9"/>
  <c r="AB53" i="9"/>
  <c r="AB75" i="9" s="1"/>
  <c r="AB709" i="1"/>
  <c r="X118" i="9"/>
  <c r="C765" i="1"/>
  <c r="AM731" i="1"/>
  <c r="AM734" i="1" s="1"/>
  <c r="AM736" i="1"/>
  <c r="S706" i="1"/>
  <c r="AR129" i="9"/>
  <c r="AM54" i="9"/>
  <c r="X74" i="9"/>
  <c r="K51" i="9"/>
  <c r="K129" i="9" s="1"/>
  <c r="K973" i="1"/>
  <c r="K977" i="1" s="1"/>
  <c r="K971" i="1"/>
  <c r="K975" i="1" s="1"/>
  <c r="K972" i="1"/>
  <c r="K976" i="1" s="1"/>
  <c r="K762" i="1"/>
  <c r="K765" i="1" s="1"/>
  <c r="K705" i="1"/>
  <c r="P45" i="1"/>
  <c r="P48" i="9" s="1"/>
  <c r="K45" i="1"/>
  <c r="K48" i="9" s="1"/>
  <c r="AE766" i="1"/>
  <c r="AE772" i="1"/>
  <c r="AE710" i="1"/>
  <c r="AE1074" i="1" s="1"/>
  <c r="AU129" i="9"/>
  <c r="AP54" i="9"/>
  <c r="Z977" i="1"/>
  <c r="U976" i="1"/>
  <c r="AY527" i="1"/>
  <c r="AY486" i="1"/>
  <c r="AT524" i="1"/>
  <c r="AT535" i="1" s="1"/>
  <c r="AX139" i="1"/>
  <c r="AY139" i="1" s="1"/>
  <c r="AX20" i="1"/>
  <c r="AX26" i="9" s="1"/>
  <c r="AX128" i="1"/>
  <c r="AY128" i="1" s="1"/>
  <c r="AY134" i="1" s="1"/>
  <c r="AX127" i="1"/>
  <c r="AY127" i="1" s="1"/>
  <c r="AY133" i="1" s="1"/>
  <c r="BD924" i="1"/>
  <c r="AV90" i="1"/>
  <c r="AV94" i="1" s="1"/>
  <c r="AV93" i="1"/>
  <c r="AV137" i="1"/>
  <c r="AV141" i="1" s="1"/>
  <c r="AV15" i="1"/>
  <c r="AV21" i="9" s="1"/>
  <c r="AV92" i="1"/>
  <c r="AJ320" i="1"/>
  <c r="AJ55" i="1"/>
  <c r="AN109" i="9"/>
  <c r="AN1055" i="1"/>
  <c r="X115" i="9"/>
  <c r="E115" i="9"/>
  <c r="U1080" i="1"/>
  <c r="AQ110" i="9"/>
  <c r="L114" i="9"/>
  <c r="L115" i="9" s="1"/>
  <c r="L1069" i="1"/>
  <c r="L1057" i="1"/>
  <c r="AQ983" i="1"/>
  <c r="AR980" i="1"/>
  <c r="AH115" i="9"/>
  <c r="K1081" i="1"/>
  <c r="G963" i="1"/>
  <c r="W963" i="1"/>
  <c r="AT1078" i="1"/>
  <c r="AP938" i="1"/>
  <c r="AT1079" i="1" s="1"/>
  <c r="AP806" i="1"/>
  <c r="AI963" i="1"/>
  <c r="AD912" i="1"/>
  <c r="AD915" i="1" s="1"/>
  <c r="L124" i="9"/>
  <c r="AE1080" i="1"/>
  <c r="AZ982" i="1"/>
  <c r="BD982" i="1" s="1"/>
  <c r="AZ988" i="1"/>
  <c r="Z1080" i="1"/>
  <c r="Z963" i="1"/>
  <c r="Z1067" i="1" s="1"/>
  <c r="AX982" i="1"/>
  <c r="AY982" i="1" s="1"/>
  <c r="AX988" i="1"/>
  <c r="AE1081" i="1"/>
  <c r="R117" i="9"/>
  <c r="R118" i="9" s="1"/>
  <c r="R119" i="9" s="1"/>
  <c r="R102" i="9"/>
  <c r="V963" i="1"/>
  <c r="AG61" i="9"/>
  <c r="P938" i="1"/>
  <c r="P963" i="1" s="1"/>
  <c r="P806" i="1"/>
  <c r="AS54" i="9"/>
  <c r="D53" i="9"/>
  <c r="D75" i="9" s="1"/>
  <c r="D709" i="1"/>
  <c r="AV80" i="9"/>
  <c r="AV807" i="1"/>
  <c r="AV820" i="1"/>
  <c r="AV821" i="1" s="1"/>
  <c r="AV822" i="1" s="1"/>
  <c r="AV823" i="1" s="1"/>
  <c r="H53" i="9"/>
  <c r="H709" i="1"/>
  <c r="S118" i="9"/>
  <c r="S119" i="9" s="1"/>
  <c r="AW772" i="1"/>
  <c r="AW710" i="1"/>
  <c r="AW1074" i="1" s="1"/>
  <c r="AW766" i="1"/>
  <c r="V736" i="1"/>
  <c r="V731" i="1"/>
  <c r="V734" i="1" s="1"/>
  <c r="AP1074" i="1"/>
  <c r="P975" i="1"/>
  <c r="Q129" i="9"/>
  <c r="L54" i="9"/>
  <c r="R1066" i="1"/>
  <c r="R689" i="1"/>
  <c r="F765" i="1"/>
  <c r="V688" i="1"/>
  <c r="V699" i="1" s="1"/>
  <c r="V596" i="1"/>
  <c r="Z129" i="9"/>
  <c r="U54" i="9"/>
  <c r="K688" i="1"/>
  <c r="K596" i="1"/>
  <c r="AS191" i="1"/>
  <c r="AX191" i="1"/>
  <c r="O1065" i="1"/>
  <c r="AQ540" i="1"/>
  <c r="AH688" i="1"/>
  <c r="AH699" i="1" s="1"/>
  <c r="AH596" i="1"/>
  <c r="AS103" i="1"/>
  <c r="AS94" i="1"/>
  <c r="H688" i="1"/>
  <c r="H699" i="1" s="1"/>
  <c r="F2" i="9"/>
  <c r="G5" i="1"/>
  <c r="K5" i="1"/>
  <c r="BF122" i="1"/>
  <c r="AT138" i="1"/>
  <c r="E1138" i="1"/>
  <c r="E1124" i="1"/>
  <c r="E1131" i="1"/>
  <c r="E1128" i="1" l="1"/>
  <c r="E1126" i="1" s="1"/>
  <c r="E856" i="1" s="1"/>
  <c r="E1121" i="1"/>
  <c r="E1119" i="1" s="1"/>
  <c r="E855" i="1" s="1"/>
  <c r="E1137" i="1"/>
  <c r="E1135" i="1"/>
  <c r="E1133" i="1" s="1"/>
  <c r="E1123" i="1"/>
  <c r="E1130" i="1"/>
  <c r="C1067" i="1"/>
  <c r="C966" i="1"/>
  <c r="X94" i="9"/>
  <c r="X96" i="9" s="1"/>
  <c r="X84" i="9"/>
  <c r="X91" i="9" s="1"/>
  <c r="X146" i="9" s="1"/>
  <c r="AM1067" i="1"/>
  <c r="AC1067" i="1"/>
  <c r="AN114" i="9"/>
  <c r="AN1069" i="1"/>
  <c r="AN1057" i="1"/>
  <c r="AM1069" i="1"/>
  <c r="AP1069" i="1"/>
  <c r="AS1069" i="1"/>
  <c r="AZ214" i="1"/>
  <c r="AZ53" i="1"/>
  <c r="BC53" i="1"/>
  <c r="BC214" i="1"/>
  <c r="F60" i="9"/>
  <c r="F65" i="9" s="1"/>
  <c r="F76" i="9"/>
  <c r="AT76" i="9"/>
  <c r="AS989" i="1"/>
  <c r="J1072" i="1"/>
  <c r="AO405" i="1"/>
  <c r="AO56" i="1"/>
  <c r="AD115" i="9"/>
  <c r="D69" i="9"/>
  <c r="D839" i="1"/>
  <c r="D711" i="1"/>
  <c r="Y1067" i="1"/>
  <c r="H1067" i="1"/>
  <c r="H75" i="9"/>
  <c r="H54" i="9"/>
  <c r="AN110" i="9"/>
  <c r="AR110" i="9"/>
  <c r="AP110" i="9"/>
  <c r="R76" i="9"/>
  <c r="R60" i="9"/>
  <c r="R65" i="9" s="1"/>
  <c r="AL766" i="1"/>
  <c r="AL772" i="1"/>
  <c r="AL710" i="1"/>
  <c r="AL1074" i="1" s="1"/>
  <c r="AT137" i="1"/>
  <c r="AT141" i="1" s="1"/>
  <c r="AS80" i="9"/>
  <c r="AS820" i="1"/>
  <c r="AS821" i="1" s="1"/>
  <c r="AS822" i="1" s="1"/>
  <c r="AS823" i="1" s="1"/>
  <c r="AS807" i="1"/>
  <c r="AC706" i="1"/>
  <c r="U69" i="9"/>
  <c r="U839" i="1"/>
  <c r="U711" i="1"/>
  <c r="AB80" i="9"/>
  <c r="AB820" i="1"/>
  <c r="AB821" i="1" s="1"/>
  <c r="AB822" i="1" s="1"/>
  <c r="AB823" i="1" s="1"/>
  <c r="AB807" i="1"/>
  <c r="AN766" i="1"/>
  <c r="AN710" i="1"/>
  <c r="AN1074" i="1" s="1"/>
  <c r="AN772" i="1"/>
  <c r="AW129" i="9"/>
  <c r="AR54" i="9"/>
  <c r="AR74" i="9"/>
  <c r="AR75" i="9"/>
  <c r="E1067" i="1"/>
  <c r="AO975" i="1"/>
  <c r="U1067" i="1"/>
  <c r="AG121" i="9"/>
  <c r="AG778" i="1"/>
  <c r="BC185" i="1"/>
  <c r="BB188" i="1"/>
  <c r="BB187" i="1"/>
  <c r="AE104" i="9"/>
  <c r="AE101" i="9" s="1"/>
  <c r="AE82" i="9"/>
  <c r="AE93" i="9"/>
  <c r="BB180" i="1"/>
  <c r="BB179" i="1"/>
  <c r="BC177" i="1"/>
  <c r="H121" i="9"/>
  <c r="H778" i="1"/>
  <c r="AK1064" i="1"/>
  <c r="AK540" i="1"/>
  <c r="AS148" i="1"/>
  <c r="AS52" i="1"/>
  <c r="AS60" i="1" s="1"/>
  <c r="O115" i="9"/>
  <c r="F766" i="1"/>
  <c r="F772" i="1"/>
  <c r="F710" i="1"/>
  <c r="AC766" i="1"/>
  <c r="AC772" i="1"/>
  <c r="AC710" i="1"/>
  <c r="AC1074" i="1" s="1"/>
  <c r="AO125" i="9"/>
  <c r="AU80" i="9"/>
  <c r="AU807" i="1"/>
  <c r="AU820" i="1"/>
  <c r="AU821" i="1" s="1"/>
  <c r="AU822" i="1" s="1"/>
  <c r="AU823" i="1" s="1"/>
  <c r="BA193" i="1"/>
  <c r="BA192" i="1" s="1"/>
  <c r="W1067" i="1"/>
  <c r="AI914" i="1"/>
  <c r="AH915" i="1"/>
  <c r="AP146" i="1"/>
  <c r="AP48" i="1"/>
  <c r="AP50" i="1" s="1"/>
  <c r="AC976" i="1"/>
  <c r="O82" i="9"/>
  <c r="O93" i="9"/>
  <c r="BG859" i="1"/>
  <c r="BD859" i="1"/>
  <c r="BF859" i="1"/>
  <c r="BE859" i="1"/>
  <c r="BC859" i="1"/>
  <c r="BB859" i="1"/>
  <c r="BA859" i="1"/>
  <c r="AZ859" i="1"/>
  <c r="AY859" i="1"/>
  <c r="AX859" i="1"/>
  <c r="U1073" i="1"/>
  <c r="U699" i="1"/>
  <c r="BD174" i="1"/>
  <c r="BC176" i="1"/>
  <c r="AN80" i="9"/>
  <c r="AN807" i="1"/>
  <c r="AN820" i="1"/>
  <c r="AN821" i="1" s="1"/>
  <c r="AN822" i="1" s="1"/>
  <c r="AN823" i="1" s="1"/>
  <c r="AO129" i="9"/>
  <c r="AJ54" i="9"/>
  <c r="AJ74" i="9"/>
  <c r="AA80" i="9"/>
  <c r="AA807" i="1"/>
  <c r="AA820" i="1"/>
  <c r="AA821" i="1" s="1"/>
  <c r="AA822" i="1" s="1"/>
  <c r="AA823" i="1" s="1"/>
  <c r="AO524" i="1"/>
  <c r="W80" i="9"/>
  <c r="W807" i="1"/>
  <c r="W820" i="1"/>
  <c r="W821" i="1" s="1"/>
  <c r="W822" i="1" s="1"/>
  <c r="W823" i="1" s="1"/>
  <c r="AX138" i="1"/>
  <c r="AX112" i="1"/>
  <c r="AX116" i="1" s="1"/>
  <c r="AX120" i="1" s="1"/>
  <c r="AX113" i="1"/>
  <c r="AX16" i="1"/>
  <c r="AX22" i="9" s="1"/>
  <c r="P54" i="9"/>
  <c r="AO118" i="9"/>
  <c r="AO119" i="9" s="1"/>
  <c r="AF118" i="9"/>
  <c r="AF119" i="9" s="1"/>
  <c r="BE56" i="9"/>
  <c r="BE997" i="1"/>
  <c r="BE981" i="1"/>
  <c r="BE920" i="1"/>
  <c r="X971" i="1"/>
  <c r="X975" i="1" s="1"/>
  <c r="AK115" i="9"/>
  <c r="AB976" i="1"/>
  <c r="BD139" i="1"/>
  <c r="L1067" i="1"/>
  <c r="S80" i="9"/>
  <c r="S807" i="1"/>
  <c r="S820" i="1"/>
  <c r="S821" i="1" s="1"/>
  <c r="S822" i="1" s="1"/>
  <c r="S823" i="1" s="1"/>
  <c r="E80" i="9"/>
  <c r="E820" i="1"/>
  <c r="E807" i="1"/>
  <c r="AB121" i="9"/>
  <c r="AB778" i="1"/>
  <c r="G1067" i="1"/>
  <c r="P129" i="9"/>
  <c r="K54" i="9"/>
  <c r="K74" i="9"/>
  <c r="BD27" i="1"/>
  <c r="BD33" i="9" s="1"/>
  <c r="BD49" i="1"/>
  <c r="AL975" i="1"/>
  <c r="AU53" i="9"/>
  <c r="AU709" i="1"/>
  <c r="BE83" i="1"/>
  <c r="BF83" i="1" s="1"/>
  <c r="BG83" i="1" s="1"/>
  <c r="BD14" i="1"/>
  <c r="BD20" i="9" s="1"/>
  <c r="AE1073" i="1"/>
  <c r="M80" i="9"/>
  <c r="M820" i="1"/>
  <c r="M821" i="1" s="1"/>
  <c r="M822" i="1" s="1"/>
  <c r="M823" i="1" s="1"/>
  <c r="M807" i="1"/>
  <c r="G1074" i="1"/>
  <c r="G1072" i="1"/>
  <c r="AE1079" i="1"/>
  <c r="T731" i="1"/>
  <c r="T734" i="1" s="1"/>
  <c r="T736" i="1"/>
  <c r="G80" i="9"/>
  <c r="G820" i="1"/>
  <c r="G821" i="1" s="1"/>
  <c r="G822" i="1" s="1"/>
  <c r="G823" i="1" s="1"/>
  <c r="G807" i="1"/>
  <c r="Q115" i="9"/>
  <c r="BD981" i="1"/>
  <c r="AW80" i="9"/>
  <c r="AW807" i="1"/>
  <c r="AW820" i="1"/>
  <c r="AW821" i="1" s="1"/>
  <c r="AW822" i="1" s="1"/>
  <c r="AW823" i="1" s="1"/>
  <c r="BE1066" i="1"/>
  <c r="AA115" i="9"/>
  <c r="AF115" i="9"/>
  <c r="H69" i="9"/>
  <c r="H839" i="1"/>
  <c r="H711" i="1"/>
  <c r="AE1070" i="1"/>
  <c r="AE968" i="1"/>
  <c r="AF965" i="1"/>
  <c r="BD128" i="1"/>
  <c r="BD134" i="1" s="1"/>
  <c r="AK1074" i="1"/>
  <c r="AQ976" i="1"/>
  <c r="U80" i="9"/>
  <c r="U820" i="1"/>
  <c r="U807" i="1"/>
  <c r="L76" i="9"/>
  <c r="L60" i="9"/>
  <c r="L65" i="9" s="1"/>
  <c r="AV93" i="9"/>
  <c r="AV82" i="9"/>
  <c r="AY988" i="1"/>
  <c r="AX1015" i="1"/>
  <c r="BF200" i="1"/>
  <c r="BE205" i="1"/>
  <c r="R129" i="9"/>
  <c r="M54" i="9"/>
  <c r="M129" i="9"/>
  <c r="M75" i="9"/>
  <c r="M74" i="9"/>
  <c r="AT320" i="1"/>
  <c r="AT55" i="1"/>
  <c r="AQ766" i="1"/>
  <c r="AQ710" i="1"/>
  <c r="AQ772" i="1"/>
  <c r="AW118" i="9"/>
  <c r="AW119" i="9" s="1"/>
  <c r="G75" i="9"/>
  <c r="G54" i="9"/>
  <c r="J1067" i="1"/>
  <c r="AN56" i="9"/>
  <c r="AN1066" i="1"/>
  <c r="AN981" i="1"/>
  <c r="AN983" i="1" s="1"/>
  <c r="AN997" i="1"/>
  <c r="T51" i="9"/>
  <c r="T973" i="1"/>
  <c r="T977" i="1" s="1"/>
  <c r="T971" i="1"/>
  <c r="T975" i="1" s="1"/>
  <c r="T972" i="1"/>
  <c r="T976" i="1" s="1"/>
  <c r="T762" i="1"/>
  <c r="T765" i="1" s="1"/>
  <c r="T705" i="1"/>
  <c r="T45" i="1"/>
  <c r="T48" i="9" s="1"/>
  <c r="T709" i="1"/>
  <c r="T1072" i="1" s="1"/>
  <c r="K1079" i="1"/>
  <c r="BD920" i="1"/>
  <c r="C1072" i="1"/>
  <c r="AJ1073" i="1"/>
  <c r="AJ699" i="1"/>
  <c r="M118" i="9"/>
  <c r="M119" i="9" s="1"/>
  <c r="E841" i="1"/>
  <c r="F1143" i="1"/>
  <c r="F1" i="9"/>
  <c r="F3" i="1"/>
  <c r="F1117" i="1" s="1"/>
  <c r="G4" i="1"/>
  <c r="W973" i="1"/>
  <c r="W977" i="1" s="1"/>
  <c r="AA976" i="1"/>
  <c r="K125" i="9"/>
  <c r="AE1067" i="1"/>
  <c r="O1067" i="1"/>
  <c r="AY81" i="9"/>
  <c r="AY1065" i="1"/>
  <c r="AY998" i="1"/>
  <c r="AL118" i="9"/>
  <c r="AL119" i="9" s="1"/>
  <c r="AQ977" i="1"/>
  <c r="AS115" i="9"/>
  <c r="U125" i="9"/>
  <c r="AS524" i="1"/>
  <c r="AS535" i="1" s="1"/>
  <c r="AS446" i="1"/>
  <c r="AS57" i="1"/>
  <c r="AR540" i="1"/>
  <c r="AY131" i="1"/>
  <c r="AY135" i="1" s="1"/>
  <c r="AD118" i="9"/>
  <c r="AD119" i="9" s="1"/>
  <c r="AH129" i="9"/>
  <c r="AC54" i="9"/>
  <c r="AC74" i="9"/>
  <c r="AC75" i="9"/>
  <c r="AI706" i="1"/>
  <c r="AT69" i="9"/>
  <c r="AT839" i="1"/>
  <c r="AT711" i="1"/>
  <c r="AT840" i="1"/>
  <c r="AQ1072" i="1"/>
  <c r="AQ1074" i="1"/>
  <c r="W69" i="9"/>
  <c r="W839" i="1"/>
  <c r="W711" i="1"/>
  <c r="AV125" i="9"/>
  <c r="AS129" i="9"/>
  <c r="AN54" i="9"/>
  <c r="AN75" i="9"/>
  <c r="BB171" i="1"/>
  <c r="BC169" i="1"/>
  <c r="AO976" i="1"/>
  <c r="AH983" i="1"/>
  <c r="E60" i="9"/>
  <c r="E65" i="9" s="1"/>
  <c r="E76" i="9"/>
  <c r="AV983" i="1"/>
  <c r="P976" i="1"/>
  <c r="Y80" i="9"/>
  <c r="Y820" i="1"/>
  <c r="Y821" i="1" s="1"/>
  <c r="Y822" i="1" s="1"/>
  <c r="Y823" i="1" s="1"/>
  <c r="Y807" i="1"/>
  <c r="J115" i="9"/>
  <c r="J125" i="9" s="1"/>
  <c r="Y45" i="1"/>
  <c r="Y48" i="9" s="1"/>
  <c r="J710" i="1"/>
  <c r="J1074" i="1" s="1"/>
  <c r="J772" i="1"/>
  <c r="J766" i="1"/>
  <c r="H80" i="9"/>
  <c r="H807" i="1"/>
  <c r="H820" i="1"/>
  <c r="H821" i="1" s="1"/>
  <c r="H822" i="1" s="1"/>
  <c r="H823" i="1" s="1"/>
  <c r="AN385" i="1"/>
  <c r="AN397" i="1"/>
  <c r="AN403" i="1"/>
  <c r="AN404" i="1"/>
  <c r="AN40" i="1"/>
  <c r="AN44" i="9" s="1"/>
  <c r="P121" i="9"/>
  <c r="P122" i="9" s="1"/>
  <c r="P778" i="1"/>
  <c r="O766" i="1"/>
  <c r="O772" i="1"/>
  <c r="O710" i="1"/>
  <c r="O1074" i="1" s="1"/>
  <c r="H1072" i="1"/>
  <c r="H1074" i="1"/>
  <c r="M766" i="1"/>
  <c r="M772" i="1"/>
  <c r="M710" i="1"/>
  <c r="M1074" i="1" s="1"/>
  <c r="AM76" i="9"/>
  <c r="AM60" i="9"/>
  <c r="AM65" i="9" s="1"/>
  <c r="W76" i="9"/>
  <c r="W60" i="9"/>
  <c r="W65" i="9" s="1"/>
  <c r="D80" i="9"/>
  <c r="D820" i="1"/>
  <c r="D821" i="1" s="1"/>
  <c r="D822" i="1" s="1"/>
  <c r="D823" i="1" s="1"/>
  <c r="D807" i="1"/>
  <c r="O688" i="1"/>
  <c r="O699" i="1" s="1"/>
  <c r="O596" i="1"/>
  <c r="AT121" i="9"/>
  <c r="AT122" i="9" s="1"/>
  <c r="AT778" i="1"/>
  <c r="T118" i="9"/>
  <c r="T119" i="9" s="1"/>
  <c r="AL60" i="1"/>
  <c r="Z125" i="9"/>
  <c r="D54" i="9"/>
  <c r="S983" i="1"/>
  <c r="BB1016" i="1"/>
  <c r="BC1016" i="1" s="1"/>
  <c r="BD1016" i="1" s="1"/>
  <c r="BE1016" i="1" s="1"/>
  <c r="BF1016" i="1" s="1"/>
  <c r="BG1016" i="1" s="1"/>
  <c r="P1074" i="1"/>
  <c r="AT1072" i="1"/>
  <c r="AT1074" i="1"/>
  <c r="L983" i="1"/>
  <c r="AO60" i="1"/>
  <c r="BB166" i="1"/>
  <c r="BA168" i="1"/>
  <c r="AG60" i="9"/>
  <c r="AG65" i="9" s="1"/>
  <c r="AG76" i="9"/>
  <c r="Y124" i="9"/>
  <c r="AC124" i="9"/>
  <c r="AC125" i="9" s="1"/>
  <c r="AB124" i="9"/>
  <c r="AA124" i="9"/>
  <c r="W971" i="1"/>
  <c r="W975" i="1" s="1"/>
  <c r="AA963" i="1"/>
  <c r="AA1067" i="1" s="1"/>
  <c r="O129" i="9"/>
  <c r="J54" i="9"/>
  <c r="J74" i="9"/>
  <c r="AO69" i="9"/>
  <c r="AO839" i="1"/>
  <c r="AO711" i="1"/>
  <c r="AO840" i="1"/>
  <c r="AP976" i="1"/>
  <c r="P69" i="9"/>
  <c r="P839" i="1"/>
  <c r="P711" i="1"/>
  <c r="P840" i="1"/>
  <c r="O706" i="1"/>
  <c r="AT1064" i="1"/>
  <c r="AT540" i="1"/>
  <c r="AL706" i="1"/>
  <c r="AS76" i="9"/>
  <c r="AV146" i="1"/>
  <c r="AV21" i="1"/>
  <c r="AV27" i="9" s="1"/>
  <c r="AV48" i="1"/>
  <c r="AV50" i="1" s="1"/>
  <c r="AP76" i="9"/>
  <c r="AP60" i="9"/>
  <c r="AP65" i="9" s="1"/>
  <c r="AN1067" i="1"/>
  <c r="BD207" i="1"/>
  <c r="BD213" i="1" s="1"/>
  <c r="D1067" i="1"/>
  <c r="AI118" i="9"/>
  <c r="AI119" i="9" s="1"/>
  <c r="AB125" i="9"/>
  <c r="K118" i="9"/>
  <c r="K119" i="9" s="1"/>
  <c r="L80" i="9"/>
  <c r="L820" i="1"/>
  <c r="L821" i="1" s="1"/>
  <c r="L822" i="1" s="1"/>
  <c r="L823" i="1" s="1"/>
  <c r="L807" i="1"/>
  <c r="C1143" i="1"/>
  <c r="C1142" i="1"/>
  <c r="C1144" i="1"/>
  <c r="A859" i="1"/>
  <c r="A857" i="1"/>
  <c r="A856" i="1"/>
  <c r="A855" i="1"/>
  <c r="A858" i="1"/>
  <c r="A3" i="1"/>
  <c r="D1143" i="1"/>
  <c r="E1144" i="1"/>
  <c r="E1143" i="1"/>
  <c r="D1144" i="1"/>
  <c r="D1142" i="1"/>
  <c r="D1140" i="1" s="1"/>
  <c r="B1156" i="1"/>
  <c r="BA4" i="9" s="1"/>
  <c r="W121" i="9"/>
  <c r="W778" i="1"/>
  <c r="W1064" i="1" s="1"/>
  <c r="AQ146" i="1"/>
  <c r="AQ48" i="1"/>
  <c r="AQ50" i="1" s="1"/>
  <c r="AK983" i="1"/>
  <c r="T80" i="9"/>
  <c r="T132" i="9" s="1"/>
  <c r="T820" i="1"/>
  <c r="T821" i="1" s="1"/>
  <c r="T822" i="1" s="1"/>
  <c r="T823" i="1" s="1"/>
  <c r="T807" i="1"/>
  <c r="S115" i="9"/>
  <c r="Y706" i="1"/>
  <c r="AQ54" i="9"/>
  <c r="AZ85" i="1"/>
  <c r="AT56" i="9"/>
  <c r="AT60" i="9" s="1"/>
  <c r="AT65" i="9" s="1"/>
  <c r="AT1066" i="1"/>
  <c r="AT981" i="1"/>
  <c r="AT997" i="1"/>
  <c r="AW976" i="1"/>
  <c r="AG80" i="9"/>
  <c r="AG807" i="1"/>
  <c r="AG820" i="1"/>
  <c r="AG821" i="1" s="1"/>
  <c r="AG822" i="1" s="1"/>
  <c r="AG823" i="1" s="1"/>
  <c r="AU987" i="1"/>
  <c r="AU769" i="1"/>
  <c r="AK121" i="9"/>
  <c r="AK778" i="1"/>
  <c r="AK118" i="9"/>
  <c r="AK119" i="9" s="1"/>
  <c r="AI983" i="1"/>
  <c r="Y125" i="9"/>
  <c r="E118" i="9"/>
  <c r="E119" i="9" s="1"/>
  <c r="E1142" i="1"/>
  <c r="E1140" i="1" s="1"/>
  <c r="E858" i="1" s="1"/>
  <c r="AC118" i="9"/>
  <c r="AC119" i="9" s="1"/>
  <c r="Y772" i="1"/>
  <c r="Y766" i="1"/>
  <c r="Y710" i="1"/>
  <c r="Y1074" i="1" s="1"/>
  <c r="AG115" i="9"/>
  <c r="O76" i="9"/>
  <c r="O60" i="9"/>
  <c r="O65" i="9" s="1"/>
  <c r="AO977" i="1"/>
  <c r="AP115" i="9"/>
  <c r="BE126" i="1"/>
  <c r="BD988" i="1"/>
  <c r="AO1067" i="1"/>
  <c r="BD206" i="1"/>
  <c r="BD212" i="1" s="1"/>
  <c r="AG1067" i="1"/>
  <c r="C80" i="9"/>
  <c r="C820" i="1"/>
  <c r="C807" i="1"/>
  <c r="AU975" i="1"/>
  <c r="P1079" i="1"/>
  <c r="P994" i="1"/>
  <c r="P983" i="1"/>
  <c r="AO992" i="1"/>
  <c r="AO983" i="1"/>
  <c r="AQ80" i="9"/>
  <c r="AQ807" i="1"/>
  <c r="AQ820" i="1"/>
  <c r="AQ821" i="1" s="1"/>
  <c r="AQ822" i="1" s="1"/>
  <c r="AQ823" i="1" s="1"/>
  <c r="V118" i="9"/>
  <c r="BE78" i="1"/>
  <c r="BD85" i="1"/>
  <c r="BD9" i="1"/>
  <c r="BD15" i="9" s="1"/>
  <c r="AT993" i="1"/>
  <c r="AT989" i="1"/>
  <c r="AQ975" i="1"/>
  <c r="F125" i="9"/>
  <c r="AK69" i="9"/>
  <c r="AK839" i="1"/>
  <c r="AK711" i="1"/>
  <c r="J80" i="9"/>
  <c r="J820" i="1"/>
  <c r="J821" i="1" s="1"/>
  <c r="J822" i="1" s="1"/>
  <c r="J823" i="1" s="1"/>
  <c r="J807" i="1"/>
  <c r="AI976" i="1"/>
  <c r="Y977" i="1"/>
  <c r="AO121" i="9"/>
  <c r="AO122" i="9" s="1"/>
  <c r="AO778" i="1"/>
  <c r="AM983" i="1"/>
  <c r="N54" i="9"/>
  <c r="I76" i="9"/>
  <c r="I60" i="9"/>
  <c r="I65" i="9" s="1"/>
  <c r="AW125" i="9"/>
  <c r="BF126" i="1"/>
  <c r="BG122" i="1"/>
  <c r="BG126" i="1" s="1"/>
  <c r="K2" i="9"/>
  <c r="P5" i="1"/>
  <c r="L5" i="1"/>
  <c r="K699" i="1"/>
  <c r="P80" i="9"/>
  <c r="P807" i="1"/>
  <c r="P820" i="1"/>
  <c r="P821" i="1" s="1"/>
  <c r="P822" i="1" s="1"/>
  <c r="P823" i="1" s="1"/>
  <c r="P841" i="1"/>
  <c r="AN81" i="9"/>
  <c r="AN1065" i="1"/>
  <c r="AN998" i="1"/>
  <c r="AO1082" i="1"/>
  <c r="AN1075" i="1"/>
  <c r="AP963" i="1"/>
  <c r="AU1067" i="1" s="1"/>
  <c r="I1074" i="1"/>
  <c r="I1072" i="1"/>
  <c r="AW983" i="1"/>
  <c r="L69" i="9"/>
  <c r="L839" i="1"/>
  <c r="L711" i="1"/>
  <c r="V80" i="9"/>
  <c r="V820" i="1"/>
  <c r="V821" i="1" s="1"/>
  <c r="V822" i="1" s="1"/>
  <c r="V823" i="1" s="1"/>
  <c r="V807" i="1"/>
  <c r="W125" i="9"/>
  <c r="AT195" i="1"/>
  <c r="AS766" i="1"/>
  <c r="AS772" i="1"/>
  <c r="AS710" i="1"/>
  <c r="AS405" i="1"/>
  <c r="AS56" i="1"/>
  <c r="X121" i="9"/>
  <c r="X778" i="1"/>
  <c r="AY93" i="1"/>
  <c r="Q69" i="9"/>
  <c r="Q839" i="1"/>
  <c r="Q711" i="1"/>
  <c r="AY85" i="1"/>
  <c r="AW977" i="1"/>
  <c r="O118" i="9"/>
  <c r="O119" i="9" s="1"/>
  <c r="AD80" i="9"/>
  <c r="AF104" i="9" s="1"/>
  <c r="AF101" i="9" s="1"/>
  <c r="AD820" i="1"/>
  <c r="AD821" i="1" s="1"/>
  <c r="AD822" i="1" s="1"/>
  <c r="AD823" i="1" s="1"/>
  <c r="AD807" i="1"/>
  <c r="V706" i="1"/>
  <c r="P1073" i="1"/>
  <c r="P699" i="1"/>
  <c r="AM977" i="1"/>
  <c r="E121" i="9"/>
  <c r="E122" i="9" s="1"/>
  <c r="E778" i="1"/>
  <c r="Y975" i="1"/>
  <c r="N914" i="1"/>
  <c r="M915" i="1"/>
  <c r="AT103" i="1"/>
  <c r="AT94" i="1"/>
  <c r="Z80" i="9"/>
  <c r="Z820" i="1"/>
  <c r="Z807" i="1"/>
  <c r="Z841" i="1"/>
  <c r="AR983" i="1"/>
  <c r="AL983" i="1"/>
  <c r="D1074" i="1"/>
  <c r="D1072" i="1"/>
  <c r="G2" i="9"/>
  <c r="H5" i="1"/>
  <c r="U60" i="9"/>
  <c r="U65" i="9" s="1"/>
  <c r="U76" i="9"/>
  <c r="P1067" i="1"/>
  <c r="L125" i="9"/>
  <c r="AE121" i="9"/>
  <c r="AE122" i="9" s="1"/>
  <c r="AE126" i="9" s="1"/>
  <c r="AE778" i="1"/>
  <c r="AY197" i="1"/>
  <c r="AY111" i="1" s="1"/>
  <c r="AX1022" i="1"/>
  <c r="AJ80" i="9"/>
  <c r="AJ820" i="1"/>
  <c r="AJ821" i="1" s="1"/>
  <c r="AJ822" i="1" s="1"/>
  <c r="AJ823" i="1" s="1"/>
  <c r="AJ807" i="1"/>
  <c r="AV54" i="9"/>
  <c r="AT196" i="1"/>
  <c r="AV56" i="9"/>
  <c r="AV981" i="1"/>
  <c r="AV997" i="1"/>
  <c r="AS1074" i="1"/>
  <c r="AS706" i="1"/>
  <c r="E1074" i="1"/>
  <c r="E1072" i="1"/>
  <c r="P125" i="9"/>
  <c r="P126" i="9" s="1"/>
  <c r="X69" i="9"/>
  <c r="X839" i="1"/>
  <c r="X711" i="1"/>
  <c r="AD51" i="9"/>
  <c r="AD973" i="1"/>
  <c r="AD977" i="1" s="1"/>
  <c r="AD971" i="1"/>
  <c r="AD975" i="1" s="1"/>
  <c r="AD972" i="1"/>
  <c r="AD976" i="1" s="1"/>
  <c r="AD762" i="1"/>
  <c r="AD765" i="1" s="1"/>
  <c r="AD709" i="1"/>
  <c r="AD1072" i="1" s="1"/>
  <c r="AD45" i="1"/>
  <c r="AD48" i="9" s="1"/>
  <c r="AF972" i="1"/>
  <c r="AF976" i="1" s="1"/>
  <c r="AF973" i="1"/>
  <c r="AF971" i="1"/>
  <c r="AF975" i="1" s="1"/>
  <c r="AH973" i="1"/>
  <c r="AH977" i="1" s="1"/>
  <c r="AH971" i="1"/>
  <c r="AH975" i="1" s="1"/>
  <c r="AH972" i="1"/>
  <c r="AH976" i="1" s="1"/>
  <c r="AG973" i="1"/>
  <c r="AG977" i="1" s="1"/>
  <c r="AD705" i="1"/>
  <c r="AG972" i="1"/>
  <c r="AG976" i="1" s="1"/>
  <c r="AG971" i="1"/>
  <c r="AG975" i="1" s="1"/>
  <c r="Q121" i="9"/>
  <c r="Q778" i="1"/>
  <c r="Q1064" i="1" s="1"/>
  <c r="AH69" i="9"/>
  <c r="AH839" i="1"/>
  <c r="AH711" i="1"/>
  <c r="AZ1039" i="1"/>
  <c r="BA828" i="1"/>
  <c r="AA54" i="9"/>
  <c r="AQ119" i="9"/>
  <c r="V766" i="1"/>
  <c r="V772" i="1"/>
  <c r="V710" i="1"/>
  <c r="V1074" i="1" s="1"/>
  <c r="AI45" i="1"/>
  <c r="AI48" i="9" s="1"/>
  <c r="E69" i="9"/>
  <c r="E839" i="1"/>
  <c r="E711" i="1"/>
  <c r="Y976" i="1"/>
  <c r="AW60" i="9"/>
  <c r="AW65" i="9" s="1"/>
  <c r="AW76" i="9"/>
  <c r="AH125" i="9"/>
  <c r="AQ129" i="9"/>
  <c r="AL54" i="9"/>
  <c r="AL75" i="9"/>
  <c r="AL74" i="9"/>
  <c r="AW69" i="9"/>
  <c r="AW839" i="1"/>
  <c r="AW711" i="1"/>
  <c r="AX131" i="1"/>
  <c r="AX135" i="1" s="1"/>
  <c r="AE69" i="9"/>
  <c r="AE839" i="1"/>
  <c r="AE711" i="1"/>
  <c r="AV766" i="1"/>
  <c r="AV772" i="1"/>
  <c r="AV710" i="1"/>
  <c r="AV1074" i="1" s="1"/>
  <c r="Z69" i="9"/>
  <c r="Z839" i="1"/>
  <c r="Z711" i="1"/>
  <c r="Z840" i="1"/>
  <c r="L121" i="9"/>
  <c r="L778" i="1"/>
  <c r="AR119" i="9"/>
  <c r="AJ125" i="9"/>
  <c r="R1064" i="1"/>
  <c r="AJ841" i="1"/>
  <c r="AU765" i="1"/>
  <c r="X60" i="9"/>
  <c r="X65" i="9" s="1"/>
  <c r="X76" i="9"/>
  <c r="T115" i="9"/>
  <c r="AD731" i="1"/>
  <c r="AD734" i="1" s="1"/>
  <c r="AD736" i="1"/>
  <c r="AH121" i="9"/>
  <c r="AH778" i="1"/>
  <c r="AT80" i="9"/>
  <c r="AT820" i="1"/>
  <c r="AT821" i="1" s="1"/>
  <c r="AT822" i="1" s="1"/>
  <c r="AT823" i="1" s="1"/>
  <c r="AT841" i="1"/>
  <c r="AT807" i="1"/>
  <c r="AY8" i="9"/>
  <c r="AY1063" i="1"/>
  <c r="AZ829" i="1"/>
  <c r="AO80" i="9"/>
  <c r="AO820" i="1"/>
  <c r="AO821" i="1" s="1"/>
  <c r="AO822" i="1" s="1"/>
  <c r="AO823" i="1" s="1"/>
  <c r="AO807" i="1"/>
  <c r="AO841" i="1"/>
  <c r="P977" i="1"/>
  <c r="I983" i="1"/>
  <c r="AU125" i="9"/>
  <c r="T110" i="9"/>
  <c r="X110" i="9"/>
  <c r="V110" i="9"/>
  <c r="BB158" i="1"/>
  <c r="BA160" i="1"/>
  <c r="BA164" i="1"/>
  <c r="V973" i="1"/>
  <c r="Q80" i="9"/>
  <c r="Q807" i="1"/>
  <c r="Q820" i="1"/>
  <c r="Q821" i="1" s="1"/>
  <c r="Q822" i="1" s="1"/>
  <c r="Q823" i="1" s="1"/>
  <c r="AI772" i="1"/>
  <c r="AI766" i="1"/>
  <c r="AI710" i="1"/>
  <c r="AI1074" i="1" s="1"/>
  <c r="AD129" i="9"/>
  <c r="Y54" i="9"/>
  <c r="Y75" i="9"/>
  <c r="AL115" i="9"/>
  <c r="J596" i="1"/>
  <c r="J688" i="1"/>
  <c r="J699" i="1" s="1"/>
  <c r="AC80" i="9"/>
  <c r="AC820" i="1"/>
  <c r="AC821" i="1" s="1"/>
  <c r="AC822" i="1" s="1"/>
  <c r="AC823" i="1" s="1"/>
  <c r="AC807" i="1"/>
  <c r="N772" i="1"/>
  <c r="N766" i="1"/>
  <c r="N710" i="1"/>
  <c r="N1074" i="1" s="1"/>
  <c r="H1064" i="1"/>
  <c r="Z121" i="9"/>
  <c r="Z122" i="9" s="1"/>
  <c r="Z778" i="1"/>
  <c r="S60" i="9"/>
  <c r="S65" i="9" s="1"/>
  <c r="S76" i="9"/>
  <c r="AT115" i="9"/>
  <c r="AM976" i="1"/>
  <c r="R69" i="9"/>
  <c r="R839" i="1"/>
  <c r="R711" i="1"/>
  <c r="AJ1079" i="1"/>
  <c r="AH76" i="9"/>
  <c r="AH60" i="9"/>
  <c r="AH65" i="9" s="1"/>
  <c r="AY769" i="1"/>
  <c r="X1064" i="1"/>
  <c r="K80" i="9"/>
  <c r="K807" i="1"/>
  <c r="K820" i="1"/>
  <c r="K821" i="1" s="1"/>
  <c r="K822" i="1" s="1"/>
  <c r="K823" i="1" s="1"/>
  <c r="K841" i="1"/>
  <c r="AR1074" i="1"/>
  <c r="AR706" i="1"/>
  <c r="AC129" i="9"/>
  <c r="BB53" i="1"/>
  <c r="BB214" i="1"/>
  <c r="N80" i="9"/>
  <c r="O104" i="9" s="1"/>
  <c r="O101" i="9" s="1"/>
  <c r="N820" i="1"/>
  <c r="N821" i="1" s="1"/>
  <c r="N822" i="1" s="1"/>
  <c r="N823" i="1" s="1"/>
  <c r="N807" i="1"/>
  <c r="Y682" i="1"/>
  <c r="Y688" i="1"/>
  <c r="Y699" i="1" s="1"/>
  <c r="AT1067" i="1"/>
  <c r="AI125" i="9"/>
  <c r="BF161" i="1"/>
  <c r="X973" i="1"/>
  <c r="X977" i="1" s="1"/>
  <c r="V972" i="1"/>
  <c r="V976" i="1" s="1"/>
  <c r="U1079" i="1"/>
  <c r="Q963" i="1"/>
  <c r="Q1067" i="1" s="1"/>
  <c r="AI975" i="1"/>
  <c r="AF121" i="9"/>
  <c r="AF778" i="1"/>
  <c r="AY210" i="1"/>
  <c r="AY49" i="1"/>
  <c r="AY27" i="1"/>
  <c r="AY33" i="9" s="1"/>
  <c r="AW121" i="9"/>
  <c r="AW778" i="1"/>
  <c r="AI1067" i="1"/>
  <c r="C766" i="1"/>
  <c r="C772" i="1"/>
  <c r="C710" i="1"/>
  <c r="C1074" i="1" s="1"/>
  <c r="Z1064" i="1"/>
  <c r="Z540" i="1"/>
  <c r="AL80" i="9"/>
  <c r="AL820" i="1"/>
  <c r="AL821" i="1" s="1"/>
  <c r="AL822" i="1" s="1"/>
  <c r="AL823" i="1" s="1"/>
  <c r="AL807" i="1"/>
  <c r="R121" i="9"/>
  <c r="R778" i="1"/>
  <c r="F1072" i="1"/>
  <c r="F1074" i="1"/>
  <c r="AR772" i="1"/>
  <c r="AR710" i="1"/>
  <c r="AR766" i="1"/>
  <c r="AJ706" i="1"/>
  <c r="AO76" i="9"/>
  <c r="AO60" i="9"/>
  <c r="AO65" i="9" s="1"/>
  <c r="V125" i="9"/>
  <c r="AP69" i="9"/>
  <c r="AP839" i="1"/>
  <c r="AP711" i="1"/>
  <c r="N1067" i="1"/>
  <c r="AH1067" i="1"/>
  <c r="U841" i="1"/>
  <c r="AF54" i="9"/>
  <c r="Z76" i="9"/>
  <c r="Z60" i="9"/>
  <c r="Z65" i="9" s="1"/>
  <c r="AP983" i="1"/>
  <c r="V971" i="1"/>
  <c r="V975" i="1" s="1"/>
  <c r="AI977" i="1"/>
  <c r="AF69" i="9"/>
  <c r="AF839" i="1"/>
  <c r="AF711" i="1"/>
  <c r="AL540" i="1"/>
  <c r="AF1067" i="1"/>
  <c r="AY137" i="1"/>
  <c r="AU141" i="1"/>
  <c r="AQ115" i="9"/>
  <c r="AP1064" i="1"/>
  <c r="AP540" i="1"/>
  <c r="Y118" i="9"/>
  <c r="Y119" i="9" s="1"/>
  <c r="BD1071" i="1"/>
  <c r="BD946" i="1"/>
  <c r="BD809" i="1"/>
  <c r="AR146" i="1"/>
  <c r="AR48" i="1"/>
  <c r="AR50" i="1" s="1"/>
  <c r="AP80" i="9"/>
  <c r="AP820" i="1"/>
  <c r="AP821" i="1" s="1"/>
  <c r="AP822" i="1" s="1"/>
  <c r="AP823" i="1" s="1"/>
  <c r="AP807" i="1"/>
  <c r="E125" i="9"/>
  <c r="K706" i="1"/>
  <c r="X119" i="9"/>
  <c r="BD56" i="9"/>
  <c r="BD997" i="1"/>
  <c r="F80" i="9"/>
  <c r="F820" i="1"/>
  <c r="F821" i="1" s="1"/>
  <c r="F822" i="1" s="1"/>
  <c r="F823" i="1" s="1"/>
  <c r="F807" i="1"/>
  <c r="AI540" i="1"/>
  <c r="AA121" i="9"/>
  <c r="AA778" i="1"/>
  <c r="AA1064" i="1" s="1"/>
  <c r="AF93" i="9"/>
  <c r="AF82" i="9"/>
  <c r="AM69" i="9"/>
  <c r="AM839" i="1"/>
  <c r="AM711" i="1"/>
  <c r="AF1072" i="1"/>
  <c r="AF1074" i="1"/>
  <c r="AW146" i="1"/>
  <c r="AW48" i="1"/>
  <c r="AW50" i="1" s="1"/>
  <c r="AW21" i="1"/>
  <c r="AW27" i="9" s="1"/>
  <c r="AN320" i="1"/>
  <c r="AN55" i="1"/>
  <c r="Q76" i="9"/>
  <c r="Q60" i="9"/>
  <c r="Q65" i="9" s="1"/>
  <c r="AB54" i="9"/>
  <c r="AN74" i="9"/>
  <c r="AR80" i="9"/>
  <c r="AR820" i="1"/>
  <c r="AR821" i="1" s="1"/>
  <c r="AR822" i="1" s="1"/>
  <c r="AR823" i="1" s="1"/>
  <c r="AR807" i="1"/>
  <c r="AR975" i="1"/>
  <c r="AJ710" i="1"/>
  <c r="AJ1074" i="1" s="1"/>
  <c r="AJ772" i="1"/>
  <c r="AJ766" i="1"/>
  <c r="AP121" i="9"/>
  <c r="AP778" i="1"/>
  <c r="R80" i="9"/>
  <c r="R820" i="1"/>
  <c r="R821" i="1" s="1"/>
  <c r="R822" i="1" s="1"/>
  <c r="R823" i="1" s="1"/>
  <c r="R807" i="1"/>
  <c r="AK54" i="9"/>
  <c r="AH80" i="9"/>
  <c r="AH820" i="1"/>
  <c r="AH821" i="1" s="1"/>
  <c r="AH822" i="1" s="1"/>
  <c r="AH823" i="1" s="1"/>
  <c r="AH807" i="1"/>
  <c r="AB983" i="1"/>
  <c r="AE76" i="9"/>
  <c r="AE60" i="9"/>
  <c r="AE65" i="9" s="1"/>
  <c r="G69" i="9"/>
  <c r="G839" i="1"/>
  <c r="G711" i="1"/>
  <c r="U840" i="1"/>
  <c r="AV1072" i="1"/>
  <c r="AI80" i="9"/>
  <c r="AI820" i="1"/>
  <c r="AI821" i="1" s="1"/>
  <c r="AI822" i="1" s="1"/>
  <c r="AI823" i="1" s="1"/>
  <c r="AI807" i="1"/>
  <c r="AA129" i="9"/>
  <c r="V54" i="9"/>
  <c r="V74" i="9"/>
  <c r="BB90" i="1"/>
  <c r="BB94" i="1" s="1"/>
  <c r="I69" i="9"/>
  <c r="I839" i="1"/>
  <c r="I711" i="1"/>
  <c r="AK80" i="9"/>
  <c r="AK132" i="9" s="1"/>
  <c r="AK820" i="1"/>
  <c r="AK821" i="1" s="1"/>
  <c r="AK822" i="1" s="1"/>
  <c r="AK823" i="1" s="1"/>
  <c r="AK807" i="1"/>
  <c r="AN129" i="9"/>
  <c r="AI54" i="9"/>
  <c r="BC182" i="1"/>
  <c r="BB184" i="1"/>
  <c r="BB190" i="1"/>
  <c r="BB191" i="1" s="1"/>
  <c r="AM115" i="9"/>
  <c r="AG915" i="1"/>
  <c r="X125" i="9"/>
  <c r="K766" i="1"/>
  <c r="K710" i="1"/>
  <c r="K1074" i="1" s="1"/>
  <c r="K772" i="1"/>
  <c r="AB1072" i="1"/>
  <c r="AB1074" i="1"/>
  <c r="AB1067" i="1"/>
  <c r="F1067" i="1"/>
  <c r="AA69" i="9"/>
  <c r="AA839" i="1"/>
  <c r="AA711" i="1"/>
  <c r="M706" i="1"/>
  <c r="S1067" i="1"/>
  <c r="U121" i="9"/>
  <c r="U122" i="9" s="1"/>
  <c r="U778" i="1"/>
  <c r="AM121" i="9"/>
  <c r="AM778" i="1"/>
  <c r="M125" i="9"/>
  <c r="BF56" i="9"/>
  <c r="BF981" i="1"/>
  <c r="BF920" i="1"/>
  <c r="BF997" i="1"/>
  <c r="S766" i="1"/>
  <c r="S710" i="1"/>
  <c r="S1074" i="1" s="1"/>
  <c r="S772" i="1"/>
  <c r="AR1067" i="1"/>
  <c r="AB69" i="9"/>
  <c r="AB839" i="1"/>
  <c r="AB711" i="1"/>
  <c r="AZ195" i="1"/>
  <c r="G121" i="9"/>
  <c r="G778" i="1"/>
  <c r="AX210" i="1"/>
  <c r="AG69" i="9"/>
  <c r="AG839" i="1"/>
  <c r="AG711" i="1"/>
  <c r="N115" i="9"/>
  <c r="I121" i="9"/>
  <c r="I778" i="1"/>
  <c r="AO1079" i="1"/>
  <c r="AK963" i="1"/>
  <c r="AK1067" i="1" s="1"/>
  <c r="AJ60" i="1"/>
  <c r="AS56" i="9"/>
  <c r="AS60" i="9" s="1"/>
  <c r="AS65" i="9" s="1"/>
  <c r="AS1066" i="1"/>
  <c r="AS997" i="1"/>
  <c r="AS981" i="1"/>
  <c r="C54" i="9"/>
  <c r="BD127" i="1"/>
  <c r="AP118" i="9"/>
  <c r="AP119" i="9" s="1"/>
  <c r="AM80" i="9"/>
  <c r="AM820" i="1"/>
  <c r="AM821" i="1" s="1"/>
  <c r="AM822" i="1" s="1"/>
  <c r="AM823" i="1" s="1"/>
  <c r="AM807" i="1"/>
  <c r="D121" i="9"/>
  <c r="D122" i="9" s="1"/>
  <c r="D126" i="9" s="1"/>
  <c r="D778" i="1"/>
  <c r="O124" i="9"/>
  <c r="Q124" i="9"/>
  <c r="R124" i="9"/>
  <c r="R125" i="9" s="1"/>
  <c r="S124" i="9"/>
  <c r="I80" i="9"/>
  <c r="I820" i="1"/>
  <c r="I821" i="1" s="1"/>
  <c r="I822" i="1" s="1"/>
  <c r="I823" i="1" s="1"/>
  <c r="I807" i="1"/>
  <c r="F1138" i="1"/>
  <c r="F1124" i="1"/>
  <c r="F1131" i="1"/>
  <c r="AS112" i="9" l="1"/>
  <c r="AS66" i="9"/>
  <c r="AT112" i="9"/>
  <c r="AT113" i="9" s="1"/>
  <c r="AT120" i="9" s="1"/>
  <c r="AT66" i="9"/>
  <c r="F1121" i="1"/>
  <c r="F1119" i="1" s="1"/>
  <c r="F855" i="1" s="1"/>
  <c r="F1137" i="1"/>
  <c r="F1135" i="1"/>
  <c r="F1133" i="1" s="1"/>
  <c r="F1130" i="1"/>
  <c r="F1128" i="1"/>
  <c r="F1126" i="1" s="1"/>
  <c r="F856" i="1" s="1"/>
  <c r="F1123" i="1"/>
  <c r="F1144" i="1"/>
  <c r="F1142" i="1"/>
  <c r="F1140" i="1" s="1"/>
  <c r="F858" i="1" s="1"/>
  <c r="C121" i="9"/>
  <c r="C122" i="9" s="1"/>
  <c r="C126" i="9" s="1"/>
  <c r="C778" i="1"/>
  <c r="BC166" i="1"/>
  <c r="BB168" i="1"/>
  <c r="D782" i="1"/>
  <c r="D794" i="1"/>
  <c r="D793" i="1"/>
  <c r="I782" i="1"/>
  <c r="I794" i="1"/>
  <c r="I793" i="1"/>
  <c r="I1064" i="1"/>
  <c r="R1067" i="1"/>
  <c r="C69" i="9"/>
  <c r="C839" i="1"/>
  <c r="C711" i="1"/>
  <c r="C840" i="1"/>
  <c r="AT125" i="9"/>
  <c r="AT126" i="9" s="1"/>
  <c r="BB160" i="1"/>
  <c r="BC158" i="1"/>
  <c r="BB164" i="1"/>
  <c r="O132" i="9"/>
  <c r="J104" i="9"/>
  <c r="J101" i="9" s="1"/>
  <c r="J82" i="9"/>
  <c r="J93" i="9"/>
  <c r="AV132" i="9"/>
  <c r="AQ104" i="9"/>
  <c r="AQ101" i="9" s="1"/>
  <c r="AQ93" i="9"/>
  <c r="AQ82" i="9"/>
  <c r="L104" i="9"/>
  <c r="L101" i="9" s="1"/>
  <c r="Q132" i="9"/>
  <c r="L93" i="9"/>
  <c r="L82" i="9"/>
  <c r="AT782" i="1"/>
  <c r="AT794" i="1"/>
  <c r="AT793" i="1"/>
  <c r="M69" i="9"/>
  <c r="M839" i="1"/>
  <c r="M711" i="1"/>
  <c r="AB130" i="9"/>
  <c r="W143" i="9"/>
  <c r="W77" i="9"/>
  <c r="Z132" i="9"/>
  <c r="U93" i="9"/>
  <c r="U104" i="9"/>
  <c r="U101" i="9" s="1"/>
  <c r="U82" i="9"/>
  <c r="AS132" i="9"/>
  <c r="AN104" i="9"/>
  <c r="AN101" i="9" s="1"/>
  <c r="AN82" i="9"/>
  <c r="AN93" i="9"/>
  <c r="O125" i="9"/>
  <c r="AN69" i="9"/>
  <c r="AN839" i="1"/>
  <c r="AN711" i="1"/>
  <c r="AL121" i="9"/>
  <c r="AL778" i="1"/>
  <c r="AW112" i="9"/>
  <c r="AW66" i="9"/>
  <c r="BD210" i="1"/>
  <c r="AX141" i="1"/>
  <c r="AY138" i="1"/>
  <c r="BB195" i="1"/>
  <c r="BB197" i="1" s="1"/>
  <c r="BB111" i="1" s="1"/>
  <c r="BB193" i="1"/>
  <c r="BB192" i="1" s="1"/>
  <c r="AL69" i="9"/>
  <c r="AL130" i="9" s="1"/>
  <c r="AL839" i="1"/>
  <c r="AL711" i="1"/>
  <c r="AG130" i="9"/>
  <c r="AB143" i="9"/>
  <c r="AB77" i="9"/>
  <c r="AD772" i="1"/>
  <c r="AD766" i="1"/>
  <c r="AD710" i="1"/>
  <c r="AD1074" i="1" s="1"/>
  <c r="AT130" i="9"/>
  <c r="AO143" i="9"/>
  <c r="AO103" i="9"/>
  <c r="AO100" i="9" s="1"/>
  <c r="AO77" i="9"/>
  <c r="S121" i="9"/>
  <c r="S778" i="1"/>
  <c r="AR104" i="9"/>
  <c r="AR101" i="9" s="1"/>
  <c r="AW132" i="9"/>
  <c r="AR93" i="9"/>
  <c r="AR82" i="9"/>
  <c r="AF94" i="9"/>
  <c r="AF96" i="9" s="1"/>
  <c r="AF84" i="9"/>
  <c r="AF91" i="9" s="1"/>
  <c r="AF146" i="9" s="1"/>
  <c r="AQ125" i="9"/>
  <c r="AR69" i="9"/>
  <c r="AR839" i="1"/>
  <c r="AR711" i="1"/>
  <c r="S112" i="9"/>
  <c r="S113" i="9" s="1"/>
  <c r="S120" i="9" s="1"/>
  <c r="S66" i="9"/>
  <c r="AE143" i="9"/>
  <c r="AE103" i="9"/>
  <c r="AE100" i="9" s="1"/>
  <c r="AE77" i="9"/>
  <c r="AH143" i="9"/>
  <c r="AM130" i="9"/>
  <c r="AH77" i="9"/>
  <c r="U112" i="9"/>
  <c r="U113" i="9" s="1"/>
  <c r="U66" i="9"/>
  <c r="AY15" i="1"/>
  <c r="AY21" i="9" s="1"/>
  <c r="AY90" i="1"/>
  <c r="AY94" i="1" s="1"/>
  <c r="BE127" i="1"/>
  <c r="BE131" i="1" s="1"/>
  <c r="BE135" i="1" s="1"/>
  <c r="BE139" i="1"/>
  <c r="BE128" i="1"/>
  <c r="BE20" i="1"/>
  <c r="BE26" i="9" s="1"/>
  <c r="AZ137" i="1"/>
  <c r="AZ87" i="1"/>
  <c r="AZ15" i="1"/>
  <c r="AZ21" i="9" s="1"/>
  <c r="AZ86" i="1"/>
  <c r="AZ90" i="1"/>
  <c r="AZ94" i="1" s="1"/>
  <c r="BB4" i="9"/>
  <c r="AZ4" i="9"/>
  <c r="BE4" i="9"/>
  <c r="BF4" i="9"/>
  <c r="BD4" i="9"/>
  <c r="BG4" i="9"/>
  <c r="BC4" i="9"/>
  <c r="AY4" i="9"/>
  <c r="Z1073" i="1"/>
  <c r="M132" i="9"/>
  <c r="H82" i="9"/>
  <c r="H93" i="9"/>
  <c r="G76" i="9"/>
  <c r="G60" i="9"/>
  <c r="G65" i="9" s="1"/>
  <c r="AL977" i="1"/>
  <c r="BA195" i="1"/>
  <c r="BA197" i="1" s="1"/>
  <c r="BA111" i="1" s="1"/>
  <c r="BC188" i="1"/>
  <c r="BC187" i="1"/>
  <c r="BD185" i="1"/>
  <c r="R112" i="9"/>
  <c r="R66" i="9"/>
  <c r="AL1067" i="1"/>
  <c r="I112" i="9"/>
  <c r="I66" i="9"/>
  <c r="N125" i="9"/>
  <c r="AM125" i="9"/>
  <c r="E126" i="9"/>
  <c r="AU146" i="1"/>
  <c r="AU48" i="1"/>
  <c r="AU50" i="1" s="1"/>
  <c r="AU21" i="1"/>
  <c r="AU27" i="9" s="1"/>
  <c r="D1064" i="1"/>
  <c r="V1067" i="1"/>
  <c r="BG161" i="1"/>
  <c r="Z793" i="1"/>
  <c r="Z794" i="1"/>
  <c r="Z782" i="1"/>
  <c r="AL125" i="9"/>
  <c r="Q794" i="1"/>
  <c r="Q782" i="1"/>
  <c r="Q793" i="1"/>
  <c r="AV76" i="9"/>
  <c r="AV60" i="9"/>
  <c r="AV65" i="9" s="1"/>
  <c r="O914" i="1"/>
  <c r="N915" i="1"/>
  <c r="AQ76" i="9"/>
  <c r="AQ60" i="9"/>
  <c r="AQ65" i="9" s="1"/>
  <c r="J76" i="9"/>
  <c r="J60" i="9"/>
  <c r="J65" i="9" s="1"/>
  <c r="J69" i="9"/>
  <c r="J839" i="1"/>
  <c r="J711" i="1"/>
  <c r="BD169" i="1"/>
  <c r="BC171" i="1"/>
  <c r="BC172" i="1"/>
  <c r="AW82" i="9"/>
  <c r="AW93" i="9"/>
  <c r="AW104" i="9"/>
  <c r="AW101" i="9" s="1"/>
  <c r="R132" i="9"/>
  <c r="M104" i="9"/>
  <c r="M101" i="9" s="1"/>
  <c r="M93" i="9"/>
  <c r="M82" i="9"/>
  <c r="K76" i="9"/>
  <c r="K60" i="9"/>
  <c r="K65" i="9" s="1"/>
  <c r="AK125" i="9"/>
  <c r="BE174" i="1"/>
  <c r="BF174" i="1" s="1"/>
  <c r="BG174" i="1" s="1"/>
  <c r="BD176" i="1"/>
  <c r="AG782" i="1"/>
  <c r="AG794" i="1"/>
  <c r="AG1064" i="1"/>
  <c r="AG793" i="1"/>
  <c r="AB104" i="9"/>
  <c r="AB101" i="9" s="1"/>
  <c r="AG132" i="9"/>
  <c r="AB93" i="9"/>
  <c r="AB82" i="9"/>
  <c r="Z112" i="9"/>
  <c r="Z113" i="9" s="1"/>
  <c r="Z66" i="9"/>
  <c r="AY141" i="1"/>
  <c r="AR121" i="9"/>
  <c r="AR778" i="1"/>
  <c r="AW794" i="1"/>
  <c r="AW782" i="1"/>
  <c r="AW793" i="1"/>
  <c r="AT104" i="9"/>
  <c r="AT101" i="9" s="1"/>
  <c r="AT93" i="9"/>
  <c r="AT82" i="9"/>
  <c r="Q122" i="9"/>
  <c r="H2" i="9"/>
  <c r="I5" i="1"/>
  <c r="N76" i="9"/>
  <c r="N60" i="9"/>
  <c r="N65" i="9" s="1"/>
  <c r="AP130" i="9"/>
  <c r="AK143" i="9"/>
  <c r="AK77" i="9"/>
  <c r="AP125" i="9"/>
  <c r="O1064" i="1"/>
  <c r="O121" i="9"/>
  <c r="O778" i="1"/>
  <c r="J121" i="9"/>
  <c r="J122" i="9" s="1"/>
  <c r="J126" i="9" s="1"/>
  <c r="J778" i="1"/>
  <c r="BB172" i="1"/>
  <c r="BD172" i="1" s="1"/>
  <c r="AS540" i="1"/>
  <c r="AY92" i="1"/>
  <c r="BE206" i="1"/>
  <c r="BE207" i="1"/>
  <c r="BE210" i="1" s="1"/>
  <c r="BE27" i="1"/>
  <c r="BE33" i="9" s="1"/>
  <c r="BE49" i="1"/>
  <c r="AB132" i="9"/>
  <c r="W104" i="9"/>
  <c r="W101" i="9" s="1"/>
  <c r="W93" i="9"/>
  <c r="W82" i="9"/>
  <c r="X104" i="9"/>
  <c r="X101" i="9" s="1"/>
  <c r="O84" i="9"/>
  <c r="O91" i="9" s="1"/>
  <c r="O146" i="9" s="1"/>
  <c r="O94" i="9"/>
  <c r="O96" i="9" s="1"/>
  <c r="AB977" i="1"/>
  <c r="V60" i="9"/>
  <c r="V65" i="9" s="1"/>
  <c r="V76" i="9"/>
  <c r="J1064" i="1"/>
  <c r="S69" i="9"/>
  <c r="S839" i="1"/>
  <c r="S711" i="1"/>
  <c r="AH82" i="9"/>
  <c r="AH93" i="9"/>
  <c r="AM132" i="9"/>
  <c r="AH104" i="9"/>
  <c r="AH101" i="9" s="1"/>
  <c r="AF76" i="9"/>
  <c r="AF60" i="9"/>
  <c r="AF65" i="9" s="1"/>
  <c r="AR132" i="9"/>
  <c r="AM104" i="9"/>
  <c r="AM101" i="9" s="1"/>
  <c r="AM82" i="9"/>
  <c r="AM93" i="9"/>
  <c r="AG143" i="9"/>
  <c r="AG77" i="9"/>
  <c r="AN132" i="9"/>
  <c r="AI93" i="9"/>
  <c r="AI104" i="9"/>
  <c r="AI101" i="9" s="1"/>
  <c r="AI82" i="9"/>
  <c r="AK60" i="9"/>
  <c r="AK65" i="9" s="1"/>
  <c r="AK76" i="9"/>
  <c r="AB76" i="9"/>
  <c r="AB60" i="9"/>
  <c r="AB65" i="9" s="1"/>
  <c r="P132" i="9"/>
  <c r="K104" i="9"/>
  <c r="K101" i="9" s="1"/>
  <c r="K93" i="9"/>
  <c r="K82" i="9"/>
  <c r="Y76" i="9"/>
  <c r="Y60" i="9"/>
  <c r="Y65" i="9" s="1"/>
  <c r="AH782" i="1"/>
  <c r="AH793" i="1"/>
  <c r="AH794" i="1"/>
  <c r="AH1064" i="1"/>
  <c r="L782" i="1"/>
  <c r="L794" i="1"/>
  <c r="L793" i="1"/>
  <c r="L1064" i="1"/>
  <c r="E143" i="9"/>
  <c r="E103" i="9"/>
  <c r="E100" i="9" s="1"/>
  <c r="E77" i="9"/>
  <c r="AI129" i="9"/>
  <c r="AD54" i="9"/>
  <c r="AD75" i="9"/>
  <c r="AD74" i="9"/>
  <c r="E794" i="1"/>
  <c r="E782" i="1"/>
  <c r="E793" i="1"/>
  <c r="E1064" i="1"/>
  <c r="Q143" i="9"/>
  <c r="Q103" i="9"/>
  <c r="Q100" i="9" s="1"/>
  <c r="Q77" i="9"/>
  <c r="AA132" i="9"/>
  <c r="V93" i="9"/>
  <c r="V104" i="9"/>
  <c r="V101" i="9" s="1"/>
  <c r="V82" i="9"/>
  <c r="AK782" i="1"/>
  <c r="AK794" i="1"/>
  <c r="AK793" i="1"/>
  <c r="AK975" i="1"/>
  <c r="O69" i="9"/>
  <c r="O839" i="1"/>
  <c r="O711" i="1"/>
  <c r="U126" i="9"/>
  <c r="G1" i="9"/>
  <c r="G3" i="1"/>
  <c r="G1117" i="1" s="1"/>
  <c r="H4" i="1"/>
  <c r="G1143" i="1"/>
  <c r="BF205" i="1"/>
  <c r="BG200" i="1"/>
  <c r="BG205" i="1" s="1"/>
  <c r="U1064" i="1"/>
  <c r="AU104" i="9"/>
  <c r="AU101" i="9" s="1"/>
  <c r="AU82" i="9"/>
  <c r="AU93" i="9"/>
  <c r="K69" i="9"/>
  <c r="K839" i="1"/>
  <c r="K711" i="1"/>
  <c r="K840" i="1"/>
  <c r="Z821" i="1"/>
  <c r="Z822" i="1" s="1"/>
  <c r="Z823" i="1" s="1"/>
  <c r="AX214" i="1"/>
  <c r="AX53" i="1"/>
  <c r="AO132" i="9"/>
  <c r="AJ93" i="9"/>
  <c r="AJ104" i="9"/>
  <c r="AJ101" i="9" s="1"/>
  <c r="AJ82" i="9"/>
  <c r="O112" i="9"/>
  <c r="O66" i="9"/>
  <c r="AK122" i="9"/>
  <c r="S125" i="9"/>
  <c r="P793" i="1"/>
  <c r="P782" i="1"/>
  <c r="P794" i="1"/>
  <c r="AT143" i="9"/>
  <c r="AT103" i="9"/>
  <c r="AT100" i="9" s="1"/>
  <c r="AT77" i="9"/>
  <c r="AQ121" i="9"/>
  <c r="AQ778" i="1"/>
  <c r="AY1015" i="1"/>
  <c r="AX990" i="1"/>
  <c r="AX989" i="1" s="1"/>
  <c r="Q125" i="9"/>
  <c r="AB782" i="1"/>
  <c r="AB793" i="1"/>
  <c r="AB794" i="1"/>
  <c r="Z130" i="9"/>
  <c r="U103" i="9"/>
  <c r="U100" i="9" s="1"/>
  <c r="U143" i="9"/>
  <c r="U77" i="9"/>
  <c r="AE112" i="9"/>
  <c r="AE113" i="9" s="1"/>
  <c r="AE66" i="9"/>
  <c r="AV69" i="9"/>
  <c r="AV839" i="1"/>
  <c r="AV711" i="1"/>
  <c r="AU132" i="9"/>
  <c r="AP104" i="9"/>
  <c r="AP101" i="9" s="1"/>
  <c r="AP82" i="9"/>
  <c r="AP93" i="9"/>
  <c r="BD133" i="1"/>
  <c r="BD131" i="1"/>
  <c r="BD135" i="1" s="1"/>
  <c r="AF130" i="9"/>
  <c r="AA143" i="9"/>
  <c r="AA77" i="9"/>
  <c r="Y1064" i="1"/>
  <c r="AW143" i="9"/>
  <c r="AW77" i="9"/>
  <c r="AD706" i="1"/>
  <c r="AQ1067" i="1"/>
  <c r="U132" i="9"/>
  <c r="P104" i="9"/>
  <c r="P101" i="9" s="1"/>
  <c r="P82" i="9"/>
  <c r="P93" i="9"/>
  <c r="AU56" i="9"/>
  <c r="AU997" i="1"/>
  <c r="AU981" i="1"/>
  <c r="AU1066" i="1"/>
  <c r="D858" i="1"/>
  <c r="D844" i="1" s="1"/>
  <c r="D4" i="9"/>
  <c r="E132" i="9"/>
  <c r="D93" i="9"/>
  <c r="D104" i="9"/>
  <c r="D101" i="9" s="1"/>
  <c r="D82" i="9"/>
  <c r="AN119" i="9"/>
  <c r="AS125" i="9"/>
  <c r="T706" i="1"/>
  <c r="AF966" i="1"/>
  <c r="AJ965" i="1"/>
  <c r="AJ966" i="1" s="1"/>
  <c r="AN524" i="1"/>
  <c r="AN535" i="1" s="1"/>
  <c r="AO535" i="1"/>
  <c r="AO126" i="9"/>
  <c r="H782" i="1"/>
  <c r="H794" i="1"/>
  <c r="H793" i="1"/>
  <c r="AB1064" i="1"/>
  <c r="G794" i="1"/>
  <c r="G782" i="1"/>
  <c r="G793" i="1"/>
  <c r="AI60" i="9"/>
  <c r="AI65" i="9" s="1"/>
  <c r="AI76" i="9"/>
  <c r="R793" i="1"/>
  <c r="R782" i="1"/>
  <c r="R794" i="1"/>
  <c r="AY56" i="9"/>
  <c r="AY997" i="1"/>
  <c r="C60" i="9"/>
  <c r="C65" i="9" s="1"/>
  <c r="C76" i="9"/>
  <c r="R82" i="9"/>
  <c r="R93" i="9"/>
  <c r="W132" i="9"/>
  <c r="R104" i="9"/>
  <c r="R101" i="9" s="1"/>
  <c r="AY1066" i="1"/>
  <c r="AI69" i="9"/>
  <c r="AI839" i="1"/>
  <c r="AI711" i="1"/>
  <c r="V121" i="9"/>
  <c r="V778" i="1"/>
  <c r="X143" i="9"/>
  <c r="X77" i="9"/>
  <c r="P1064" i="1"/>
  <c r="X782" i="1"/>
  <c r="X794" i="1"/>
  <c r="X793" i="1"/>
  <c r="Q130" i="9"/>
  <c r="L143" i="9"/>
  <c r="L103" i="9"/>
  <c r="L100" i="9" s="1"/>
  <c r="L77" i="9"/>
  <c r="AG125" i="9"/>
  <c r="AY987" i="1"/>
  <c r="AU989" i="1"/>
  <c r="T772" i="1"/>
  <c r="T766" i="1"/>
  <c r="T710" i="1"/>
  <c r="T1074" i="1" s="1"/>
  <c r="AQ69" i="9"/>
  <c r="AQ839" i="1"/>
  <c r="AQ711" i="1"/>
  <c r="AV94" i="9"/>
  <c r="AV96" i="9" s="1"/>
  <c r="AV84" i="9"/>
  <c r="AV91" i="9" s="1"/>
  <c r="AV146" i="9" s="1"/>
  <c r="H60" i="9"/>
  <c r="H65" i="9" s="1"/>
  <c r="H76" i="9"/>
  <c r="C1070" i="1"/>
  <c r="C968" i="1"/>
  <c r="D965" i="1"/>
  <c r="D966" i="1" s="1"/>
  <c r="I143" i="9"/>
  <c r="I77" i="9"/>
  <c r="AR130" i="9"/>
  <c r="AM143" i="9"/>
  <c r="AM77" i="9"/>
  <c r="AM103" i="9"/>
  <c r="AM100" i="9" s="1"/>
  <c r="BD182" i="1"/>
  <c r="BC184" i="1"/>
  <c r="BC190" i="1"/>
  <c r="BC191" i="1" s="1"/>
  <c r="AS983" i="1"/>
  <c r="AH112" i="9"/>
  <c r="AH66" i="9"/>
  <c r="N69" i="9"/>
  <c r="N130" i="9" s="1"/>
  <c r="N839" i="1"/>
  <c r="N711" i="1"/>
  <c r="AI121" i="9"/>
  <c r="AI122" i="9" s="1"/>
  <c r="AI126" i="9" s="1"/>
  <c r="AI778" i="1"/>
  <c r="V69" i="9"/>
  <c r="V839" i="1"/>
  <c r="V711" i="1"/>
  <c r="AX1028" i="1"/>
  <c r="AY1022" i="1"/>
  <c r="AX984" i="1"/>
  <c r="AX983" i="1" s="1"/>
  <c r="K1073" i="1"/>
  <c r="AO782" i="1"/>
  <c r="AO793" i="1"/>
  <c r="AO794" i="1"/>
  <c r="Y132" i="9"/>
  <c r="T93" i="9"/>
  <c r="T104" i="9"/>
  <c r="T101" i="9" s="1"/>
  <c r="T82" i="9"/>
  <c r="C1140" i="1"/>
  <c r="A1140" i="1"/>
  <c r="D60" i="9"/>
  <c r="D65" i="9" s="1"/>
  <c r="D76" i="9"/>
  <c r="W112" i="9"/>
  <c r="W66" i="9"/>
  <c r="AC975" i="1"/>
  <c r="E821" i="1"/>
  <c r="E822" i="1" s="1"/>
  <c r="E823" i="1" s="1"/>
  <c r="BC179" i="1"/>
  <c r="BC180" i="1"/>
  <c r="BD180" i="1" s="1"/>
  <c r="BD177" i="1"/>
  <c r="AB975" i="1"/>
  <c r="AO112" i="9"/>
  <c r="AO113" i="9" s="1"/>
  <c r="AO116" i="9" s="1"/>
  <c r="AO66" i="9"/>
  <c r="AA782" i="1"/>
  <c r="AA794" i="1"/>
  <c r="AA793" i="1"/>
  <c r="AZ197" i="1"/>
  <c r="AZ111" i="1" s="1"/>
  <c r="AP793" i="1"/>
  <c r="AP782" i="1"/>
  <c r="AP794" i="1"/>
  <c r="AY214" i="1"/>
  <c r="AY53" i="1"/>
  <c r="AP122" i="9"/>
  <c r="AR52" i="1"/>
  <c r="AR60" i="1" s="1"/>
  <c r="AR148" i="1"/>
  <c r="AF143" i="9"/>
  <c r="AK130" i="9"/>
  <c r="AF77" i="9"/>
  <c r="AF793" i="1"/>
  <c r="AF794" i="1"/>
  <c r="AF782" i="1"/>
  <c r="AF1064" i="1"/>
  <c r="N121" i="9"/>
  <c r="N778" i="1"/>
  <c r="T125" i="9"/>
  <c r="AE130" i="9"/>
  <c r="Z143" i="9"/>
  <c r="Z103" i="9"/>
  <c r="Z100" i="9" s="1"/>
  <c r="Z77" i="9"/>
  <c r="AL60" i="9"/>
  <c r="AL65" i="9" s="1"/>
  <c r="AL76" i="9"/>
  <c r="L2" i="9"/>
  <c r="M5" i="1"/>
  <c r="C821" i="1"/>
  <c r="C822" i="1" s="1"/>
  <c r="C823" i="1" s="1"/>
  <c r="Y69" i="9"/>
  <c r="Y839" i="1"/>
  <c r="Y711" i="1"/>
  <c r="AD132" i="9"/>
  <c r="Y104" i="9"/>
  <c r="Y101" i="9" s="1"/>
  <c r="Y82" i="9"/>
  <c r="Y93" i="9"/>
  <c r="AN60" i="9"/>
  <c r="AN65" i="9" s="1"/>
  <c r="AN76" i="9"/>
  <c r="AV104" i="9"/>
  <c r="AV101" i="9" s="1"/>
  <c r="AA975" i="1"/>
  <c r="L132" i="9"/>
  <c r="G82" i="9"/>
  <c r="G93" i="9"/>
  <c r="F132" i="9"/>
  <c r="E93" i="9"/>
  <c r="E104" i="9"/>
  <c r="E101" i="9" s="1"/>
  <c r="E82" i="9"/>
  <c r="AF132" i="9"/>
  <c r="AA104" i="9"/>
  <c r="AA101" i="9" s="1"/>
  <c r="AA93" i="9"/>
  <c r="AA82" i="9"/>
  <c r="AX4" i="9"/>
  <c r="AC121" i="9"/>
  <c r="AC778" i="1"/>
  <c r="Q112" i="9"/>
  <c r="Q66" i="9"/>
  <c r="N132" i="9"/>
  <c r="I82" i="9"/>
  <c r="I93" i="9"/>
  <c r="AM794" i="1"/>
  <c r="AM782" i="1"/>
  <c r="AM793" i="1"/>
  <c r="AM1064" i="1"/>
  <c r="AP132" i="9"/>
  <c r="AK93" i="9"/>
  <c r="AK104" i="9"/>
  <c r="AK101" i="9" s="1"/>
  <c r="AK82" i="9"/>
  <c r="AK133" i="9" s="1"/>
  <c r="BD81" i="9"/>
  <c r="BD1065" i="1"/>
  <c r="BD998" i="1"/>
  <c r="AP143" i="9"/>
  <c r="AP103" i="9"/>
  <c r="AP100" i="9" s="1"/>
  <c r="AP77" i="9"/>
  <c r="AQ132" i="9"/>
  <c r="AL93" i="9"/>
  <c r="AL104" i="9"/>
  <c r="AL101" i="9" s="1"/>
  <c r="AL82" i="9"/>
  <c r="S132" i="9"/>
  <c r="N104" i="9"/>
  <c r="N101" i="9" s="1"/>
  <c r="N93" i="9"/>
  <c r="N82" i="9"/>
  <c r="AA76" i="9"/>
  <c r="AA60" i="9"/>
  <c r="AA65" i="9" s="1"/>
  <c r="AY16" i="1"/>
  <c r="AY22" i="9" s="1"/>
  <c r="P2" i="9"/>
  <c r="U5" i="1"/>
  <c r="Q5" i="1"/>
  <c r="BD15" i="1"/>
  <c r="BD21" i="9" s="1"/>
  <c r="D132" i="9"/>
  <c r="C93" i="9"/>
  <c r="C104" i="9"/>
  <c r="C101" i="9" s="1"/>
  <c r="C82" i="9"/>
  <c r="Y121" i="9"/>
  <c r="Y122" i="9" s="1"/>
  <c r="Y126" i="9" s="1"/>
  <c r="Y778" i="1"/>
  <c r="AP112" i="9"/>
  <c r="AP66" i="9"/>
  <c r="P143" i="9"/>
  <c r="U130" i="9"/>
  <c r="P103" i="9"/>
  <c r="P100" i="9" s="1"/>
  <c r="P77" i="9"/>
  <c r="Z126" i="9"/>
  <c r="AM112" i="9"/>
  <c r="AM66" i="9"/>
  <c r="AC977" i="1"/>
  <c r="AU1072" i="1"/>
  <c r="AO120" i="9"/>
  <c r="AP148" i="1"/>
  <c r="AP52" i="1"/>
  <c r="AC69" i="9"/>
  <c r="AC130" i="9" s="1"/>
  <c r="AC839" i="1"/>
  <c r="AC711" i="1"/>
  <c r="AS104" i="9"/>
  <c r="AS101" i="9" s="1"/>
  <c r="AS93" i="9"/>
  <c r="AS82" i="9"/>
  <c r="AM122" i="9"/>
  <c r="K121" i="9"/>
  <c r="K122" i="9" s="1"/>
  <c r="K126" i="9" s="1"/>
  <c r="K778" i="1"/>
  <c r="K1064" i="1" s="1"/>
  <c r="AJ69" i="9"/>
  <c r="AJ130" i="9" s="1"/>
  <c r="AJ839" i="1"/>
  <c r="AJ711" i="1"/>
  <c r="AJ840" i="1"/>
  <c r="AW148" i="1"/>
  <c r="AW52" i="1"/>
  <c r="AW60" i="1" s="1"/>
  <c r="AW524" i="1"/>
  <c r="AW535" i="1" s="1"/>
  <c r="K132" i="9"/>
  <c r="F93" i="9"/>
  <c r="F104" i="9"/>
  <c r="F101" i="9" s="1"/>
  <c r="F82" i="9"/>
  <c r="V132" i="9"/>
  <c r="Q93" i="9"/>
  <c r="Q104" i="9"/>
  <c r="Q101" i="9" s="1"/>
  <c r="Q82" i="9"/>
  <c r="AT132" i="9"/>
  <c r="AO104" i="9"/>
  <c r="AO101" i="9" s="1"/>
  <c r="AO82" i="9"/>
  <c r="AO93" i="9"/>
  <c r="X112" i="9"/>
  <c r="X66" i="9"/>
  <c r="BA1039" i="1"/>
  <c r="BB828" i="1"/>
  <c r="AE782" i="1"/>
  <c r="AE794" i="1"/>
  <c r="AE793" i="1"/>
  <c r="AE1064" i="1"/>
  <c r="BF78" i="1"/>
  <c r="BE85" i="1"/>
  <c r="AL132" i="9"/>
  <c r="AG82" i="9"/>
  <c r="AG93" i="9"/>
  <c r="AG104" i="9"/>
  <c r="AG101" i="9" s="1"/>
  <c r="AN405" i="1"/>
  <c r="AN56" i="1"/>
  <c r="AN60" i="1" s="1"/>
  <c r="AC76" i="9"/>
  <c r="AC60" i="9"/>
  <c r="AC65" i="9" s="1"/>
  <c r="Y129" i="9"/>
  <c r="T54" i="9"/>
  <c r="T74" i="9"/>
  <c r="T129" i="9"/>
  <c r="T75" i="9"/>
  <c r="L112" i="9"/>
  <c r="L66" i="9"/>
  <c r="P76" i="9"/>
  <c r="P60" i="9"/>
  <c r="P65" i="9" s="1"/>
  <c r="AJ76" i="9"/>
  <c r="AJ60" i="9"/>
  <c r="AJ65" i="9" s="1"/>
  <c r="AL976" i="1"/>
  <c r="AR76" i="9"/>
  <c r="AR60" i="9"/>
  <c r="AR65" i="9" s="1"/>
  <c r="AM975" i="1"/>
  <c r="E857" i="1"/>
  <c r="E859" i="1" s="1"/>
  <c r="E844" i="1" s="1"/>
  <c r="E4" i="9"/>
  <c r="U794" i="1"/>
  <c r="U782" i="1"/>
  <c r="U793" i="1"/>
  <c r="L130" i="9"/>
  <c r="G143" i="9"/>
  <c r="G77" i="9"/>
  <c r="AJ121" i="9"/>
  <c r="AJ122" i="9" s="1"/>
  <c r="AJ126" i="9" s="1"/>
  <c r="AJ778" i="1"/>
  <c r="AH132" i="9"/>
  <c r="AC104" i="9"/>
  <c r="AC101" i="9" s="1"/>
  <c r="AC93" i="9"/>
  <c r="AC82" i="9"/>
  <c r="AC132" i="9"/>
  <c r="V977" i="1"/>
  <c r="AA977" i="1"/>
  <c r="AU766" i="1"/>
  <c r="AU710" i="1"/>
  <c r="AU1074" i="1" s="1"/>
  <c r="AU772" i="1"/>
  <c r="AV121" i="9"/>
  <c r="AV778" i="1"/>
  <c r="AF977" i="1"/>
  <c r="AK977" i="1"/>
  <c r="BG127" i="1"/>
  <c r="BG131" i="1" s="1"/>
  <c r="BG135" i="1" s="1"/>
  <c r="BG20" i="1"/>
  <c r="BG26" i="9" s="1"/>
  <c r="BG128" i="1"/>
  <c r="BG139" i="1"/>
  <c r="V119" i="9"/>
  <c r="AQ52" i="1"/>
  <c r="AQ60" i="1" s="1"/>
  <c r="AQ148" i="1"/>
  <c r="AG112" i="9"/>
  <c r="AG66" i="9"/>
  <c r="M130" i="9"/>
  <c r="H143" i="9"/>
  <c r="H77" i="9"/>
  <c r="AU75" i="9"/>
  <c r="AU54" i="9"/>
  <c r="X132" i="9"/>
  <c r="S93" i="9"/>
  <c r="S104" i="9"/>
  <c r="S101" i="9" s="1"/>
  <c r="S82" i="9"/>
  <c r="G1064" i="1"/>
  <c r="F121" i="9"/>
  <c r="F122" i="9" s="1"/>
  <c r="F126" i="9" s="1"/>
  <c r="F778" i="1"/>
  <c r="AJ133" i="9"/>
  <c r="AE84" i="9"/>
  <c r="AE91" i="9" s="1"/>
  <c r="AE146" i="9" s="1"/>
  <c r="AE94" i="9"/>
  <c r="AE96" i="9" s="1"/>
  <c r="R143" i="9"/>
  <c r="W130" i="9"/>
  <c r="R77" i="9"/>
  <c r="AS121" i="9"/>
  <c r="AS122" i="9" s="1"/>
  <c r="AS778" i="1"/>
  <c r="AP1067" i="1"/>
  <c r="BF139" i="1"/>
  <c r="BF127" i="1"/>
  <c r="BF131" i="1" s="1"/>
  <c r="BF135" i="1" s="1"/>
  <c r="BF20" i="1"/>
  <c r="BF26" i="9" s="1"/>
  <c r="BF128" i="1"/>
  <c r="W782" i="1"/>
  <c r="W794" i="1"/>
  <c r="W793" i="1"/>
  <c r="AF125" i="9"/>
  <c r="AY113" i="1"/>
  <c r="AY119" i="1" s="1"/>
  <c r="AX143" i="1"/>
  <c r="F69" i="9"/>
  <c r="F839" i="1"/>
  <c r="F711" i="1"/>
  <c r="F840" i="1"/>
  <c r="AN121" i="9"/>
  <c r="AN122" i="9" s="1"/>
  <c r="AN778" i="1"/>
  <c r="AT146" i="1"/>
  <c r="AT148" i="1" s="1"/>
  <c r="AT48" i="1"/>
  <c r="AT50" i="1" s="1"/>
  <c r="D143" i="9"/>
  <c r="E130" i="9"/>
  <c r="D103" i="9"/>
  <c r="D100" i="9" s="1"/>
  <c r="D77" i="9"/>
  <c r="AZ8" i="9"/>
  <c r="AZ1063" i="1"/>
  <c r="BA829" i="1"/>
  <c r="AZ827" i="1"/>
  <c r="AZ1033" i="1" s="1"/>
  <c r="AE132" i="9"/>
  <c r="Z104" i="9"/>
  <c r="Z101" i="9" s="1"/>
  <c r="Z82" i="9"/>
  <c r="Z93" i="9"/>
  <c r="AI132" i="9"/>
  <c r="AD104" i="9"/>
  <c r="AD101" i="9" s="1"/>
  <c r="AD93" i="9"/>
  <c r="AD82" i="9"/>
  <c r="AS69" i="9"/>
  <c r="AS839" i="1"/>
  <c r="AS711" i="1"/>
  <c r="AT992" i="1"/>
  <c r="AT983" i="1"/>
  <c r="AT994" i="1"/>
  <c r="AV148" i="1"/>
  <c r="AV52" i="1"/>
  <c r="AV60" i="1" s="1"/>
  <c r="AV524" i="1"/>
  <c r="AV535" i="1" s="1"/>
  <c r="M121" i="9"/>
  <c r="M778" i="1"/>
  <c r="AK976" i="1"/>
  <c r="E112" i="9"/>
  <c r="E113" i="9" s="1"/>
  <c r="E116" i="9" s="1"/>
  <c r="E66" i="9"/>
  <c r="M76" i="9"/>
  <c r="M60" i="9"/>
  <c r="M65" i="9" s="1"/>
  <c r="U821" i="1"/>
  <c r="U822" i="1" s="1"/>
  <c r="U823" i="1" s="1"/>
  <c r="AA125" i="9"/>
  <c r="AY112" i="1"/>
  <c r="AY118" i="1" s="1"/>
  <c r="AX142" i="1"/>
  <c r="AJ914" i="1"/>
  <c r="AJ915" i="1" s="1"/>
  <c r="AK914" i="1" s="1"/>
  <c r="AI915" i="1"/>
  <c r="AJ132" i="9"/>
  <c r="AD125" i="9"/>
  <c r="F112" i="9"/>
  <c r="F113" i="9" s="1"/>
  <c r="F66" i="9"/>
  <c r="AN115" i="9"/>
  <c r="AR115" i="9"/>
  <c r="G1138" i="1"/>
  <c r="G1124" i="1"/>
  <c r="G1131" i="1"/>
  <c r="BE214" i="1" l="1"/>
  <c r="BE53" i="1"/>
  <c r="G1137" i="1"/>
  <c r="G1135" i="1"/>
  <c r="G1133" i="1" s="1"/>
  <c r="G1130" i="1"/>
  <c r="G1123" i="1"/>
  <c r="G1121" i="1"/>
  <c r="G1119" i="1" s="1"/>
  <c r="G855" i="1" s="1"/>
  <c r="G1128" i="1"/>
  <c r="G1126" i="1" s="1"/>
  <c r="G856" i="1" s="1"/>
  <c r="G1144" i="1"/>
  <c r="G1142" i="1"/>
  <c r="G1140" i="1" s="1"/>
  <c r="G858" i="1" s="1"/>
  <c r="M112" i="9"/>
  <c r="M66" i="9"/>
  <c r="X786" i="1"/>
  <c r="X1060" i="1"/>
  <c r="BB138" i="1"/>
  <c r="BB141" i="1" s="1"/>
  <c r="BB116" i="1"/>
  <c r="BB120" i="1" s="1"/>
  <c r="BB112" i="1"/>
  <c r="BB142" i="1" s="1"/>
  <c r="BB479" i="1" s="1"/>
  <c r="BB483" i="1" s="1"/>
  <c r="BB761" i="1" s="1"/>
  <c r="BB113" i="1"/>
  <c r="BB143" i="1" s="1"/>
  <c r="BB485" i="1" s="1"/>
  <c r="BB488" i="1" s="1"/>
  <c r="BB764" i="1" s="1"/>
  <c r="BB16" i="1"/>
  <c r="BB22" i="9" s="1"/>
  <c r="R130" i="9"/>
  <c r="M143" i="9"/>
  <c r="M103" i="9"/>
  <c r="M100" i="9" s="1"/>
  <c r="M77" i="9"/>
  <c r="AN782" i="1"/>
  <c r="AN794" i="1"/>
  <c r="AN793" i="1"/>
  <c r="E120" i="9"/>
  <c r="F782" i="1"/>
  <c r="F794" i="1"/>
  <c r="F793" i="1"/>
  <c r="F1064" i="1"/>
  <c r="AU69" i="9"/>
  <c r="AU839" i="1"/>
  <c r="AU711" i="1"/>
  <c r="BF85" i="1"/>
  <c r="BG78" i="1"/>
  <c r="BG85" i="1" s="1"/>
  <c r="AS84" i="9"/>
  <c r="AS91" i="9" s="1"/>
  <c r="AS146" i="9" s="1"/>
  <c r="AS94" i="9"/>
  <c r="AS96" i="9" s="1"/>
  <c r="F133" i="9"/>
  <c r="E94" i="9"/>
  <c r="E96" i="9" s="1"/>
  <c r="E84" i="9"/>
  <c r="E91" i="9" s="1"/>
  <c r="E146" i="9" s="1"/>
  <c r="N782" i="1"/>
  <c r="N793" i="1"/>
  <c r="N794" i="1"/>
  <c r="N1064" i="1"/>
  <c r="T69" i="9"/>
  <c r="W103" i="9" s="1"/>
  <c r="W100" i="9" s="1"/>
  <c r="T839" i="1"/>
  <c r="T711" i="1"/>
  <c r="H786" i="1"/>
  <c r="H1060" i="1"/>
  <c r="Q126" i="9"/>
  <c r="V130" i="9"/>
  <c r="AK145" i="9"/>
  <c r="AK112" i="9"/>
  <c r="AK66" i="9"/>
  <c r="O782" i="1"/>
  <c r="O794" i="1"/>
  <c r="O793" i="1"/>
  <c r="AG133" i="9"/>
  <c r="AB84" i="9"/>
  <c r="AB91" i="9" s="1"/>
  <c r="AB146" i="9" s="1"/>
  <c r="AB94" i="9"/>
  <c r="AB96" i="9" s="1"/>
  <c r="I786" i="1"/>
  <c r="I1060" i="1"/>
  <c r="AQ133" i="9"/>
  <c r="AL84" i="9"/>
  <c r="AL91" i="9" s="1"/>
  <c r="AL146" i="9" s="1"/>
  <c r="AL94" i="9"/>
  <c r="AL96" i="9" s="1"/>
  <c r="AI782" i="1"/>
  <c r="AI794" i="1"/>
  <c r="AI793" i="1"/>
  <c r="AI1064" i="1"/>
  <c r="AM786" i="1"/>
  <c r="AM1060" i="1"/>
  <c r="Y143" i="9"/>
  <c r="Y103" i="9"/>
  <c r="Y100" i="9" s="1"/>
  <c r="Y77" i="9"/>
  <c r="N122" i="9"/>
  <c r="N126" i="9" s="1"/>
  <c r="T121" i="9"/>
  <c r="T778" i="1"/>
  <c r="C112" i="9"/>
  <c r="C113" i="9" s="1"/>
  <c r="C66" i="9"/>
  <c r="P130" i="9"/>
  <c r="K143" i="9"/>
  <c r="K103" i="9"/>
  <c r="K100" i="9" s="1"/>
  <c r="K77" i="9"/>
  <c r="L786" i="1"/>
  <c r="L1060" i="1"/>
  <c r="AN133" i="9"/>
  <c r="AI94" i="9"/>
  <c r="AI96" i="9" s="1"/>
  <c r="AI84" i="9"/>
  <c r="AI91" i="9" s="1"/>
  <c r="AI146" i="9" s="1"/>
  <c r="AB133" i="9"/>
  <c r="W84" i="9"/>
  <c r="W91" i="9" s="1"/>
  <c r="W146" i="9" s="1"/>
  <c r="W94" i="9"/>
  <c r="W96" i="9" s="1"/>
  <c r="O122" i="9"/>
  <c r="AT84" i="9"/>
  <c r="AT91" i="9" s="1"/>
  <c r="AT146" i="9" s="1"/>
  <c r="AT94" i="9"/>
  <c r="AT96" i="9" s="1"/>
  <c r="P914" i="1"/>
  <c r="P915" i="1" s="1"/>
  <c r="Q914" i="1" s="1"/>
  <c r="O915" i="1"/>
  <c r="BD187" i="1"/>
  <c r="BE185" i="1"/>
  <c r="AS133" i="9"/>
  <c r="AN94" i="9"/>
  <c r="AN96" i="9" s="1"/>
  <c r="AN84" i="9"/>
  <c r="AN91" i="9" s="1"/>
  <c r="AN146" i="9" s="1"/>
  <c r="F857" i="1"/>
  <c r="F859" i="1" s="1"/>
  <c r="F844" i="1" s="1"/>
  <c r="F4" i="9"/>
  <c r="U1068" i="1"/>
  <c r="U786" i="1"/>
  <c r="U1060" i="1"/>
  <c r="Y133" i="9"/>
  <c r="T94" i="9"/>
  <c r="T96" i="9" s="1"/>
  <c r="T84" i="9"/>
  <c r="T91" i="9" s="1"/>
  <c r="T146" i="9" s="1"/>
  <c r="M782" i="1"/>
  <c r="M793" i="1"/>
  <c r="M794" i="1"/>
  <c r="M1064" i="1"/>
  <c r="E851" i="1"/>
  <c r="E845" i="1"/>
  <c r="K133" i="9"/>
  <c r="F84" i="9"/>
  <c r="F91" i="9" s="1"/>
  <c r="F146" i="9" s="1"/>
  <c r="F94" i="9"/>
  <c r="F96" i="9" s="1"/>
  <c r="AP1068" i="1"/>
  <c r="AP786" i="1"/>
  <c r="AP1060" i="1"/>
  <c r="X103" i="9"/>
  <c r="X100" i="9" s="1"/>
  <c r="D138" i="9"/>
  <c r="D6" i="9"/>
  <c r="AV143" i="9"/>
  <c r="AV103" i="9"/>
  <c r="AV100" i="9" s="1"/>
  <c r="AV77" i="9"/>
  <c r="AY990" i="1"/>
  <c r="AZ1015" i="1"/>
  <c r="AM133" i="9"/>
  <c r="AH94" i="9"/>
  <c r="AH96" i="9" s="1"/>
  <c r="AH84" i="9"/>
  <c r="AH91" i="9" s="1"/>
  <c r="AH146" i="9" s="1"/>
  <c r="AV112" i="9"/>
  <c r="AV66" i="9"/>
  <c r="U120" i="9"/>
  <c r="U116" i="9"/>
  <c r="AX758" i="1"/>
  <c r="AX146" i="1"/>
  <c r="AX48" i="1"/>
  <c r="AX50" i="1" s="1"/>
  <c r="AX21" i="1"/>
  <c r="AX27" i="9" s="1"/>
  <c r="AT1068" i="1"/>
  <c r="AT786" i="1"/>
  <c r="AT1060" i="1"/>
  <c r="AS143" i="9"/>
  <c r="AS103" i="9"/>
  <c r="AS100" i="9" s="1"/>
  <c r="AS77" i="9"/>
  <c r="W786" i="1"/>
  <c r="W1060" i="1"/>
  <c r="T133" i="9"/>
  <c r="AO1064" i="1"/>
  <c r="AO540" i="1"/>
  <c r="AQ782" i="1"/>
  <c r="AQ794" i="1"/>
  <c r="AQ793" i="1"/>
  <c r="AQ1064" i="1"/>
  <c r="AU148" i="1"/>
  <c r="AU52" i="1"/>
  <c r="AU60" i="1" s="1"/>
  <c r="AU524" i="1"/>
  <c r="AU535" i="1" s="1"/>
  <c r="BC195" i="1"/>
  <c r="BC197" i="1" s="1"/>
  <c r="BC111" i="1" s="1"/>
  <c r="BC193" i="1"/>
  <c r="BC192" i="1" s="1"/>
  <c r="BD188" i="1"/>
  <c r="BD193" i="1" s="1"/>
  <c r="AW130" i="9"/>
  <c r="AR143" i="9"/>
  <c r="AR103" i="9"/>
  <c r="AR100" i="9" s="1"/>
  <c r="AR77" i="9"/>
  <c r="BD214" i="1"/>
  <c r="BD53" i="1"/>
  <c r="Q133" i="9"/>
  <c r="L84" i="9"/>
  <c r="L91" i="9" s="1"/>
  <c r="L146" i="9" s="1"/>
  <c r="L94" i="9"/>
  <c r="L96" i="9" s="1"/>
  <c r="D786" i="1"/>
  <c r="D1060" i="1"/>
  <c r="W133" i="9"/>
  <c r="R94" i="9"/>
  <c r="R96" i="9" s="1"/>
  <c r="R84" i="9"/>
  <c r="R91" i="9" s="1"/>
  <c r="R146" i="9" s="1"/>
  <c r="T76" i="9"/>
  <c r="T60" i="9"/>
  <c r="T65" i="9" s="1"/>
  <c r="AF1068" i="1"/>
  <c r="AF786" i="1"/>
  <c r="AF1060" i="1"/>
  <c r="D851" i="1"/>
  <c r="D845" i="1"/>
  <c r="AL914" i="1"/>
  <c r="AK915" i="1"/>
  <c r="X133" i="9"/>
  <c r="S94" i="9"/>
  <c r="S96" i="9" s="1"/>
  <c r="S84" i="9"/>
  <c r="S91" i="9" s="1"/>
  <c r="S146" i="9" s="1"/>
  <c r="AH133" i="9"/>
  <c r="AC84" i="9"/>
  <c r="AC91" i="9" s="1"/>
  <c r="AC146" i="9" s="1"/>
  <c r="AC94" i="9"/>
  <c r="AC96" i="9" s="1"/>
  <c r="AC133" i="9"/>
  <c r="AR112" i="9"/>
  <c r="AR66" i="9"/>
  <c r="AE1068" i="1"/>
  <c r="AE786" i="1"/>
  <c r="AE1060" i="1"/>
  <c r="U2" i="9"/>
  <c r="V5" i="1"/>
  <c r="Z5" i="1"/>
  <c r="N133" i="9"/>
  <c r="I94" i="9"/>
  <c r="I96" i="9" s="1"/>
  <c r="I84" i="9"/>
  <c r="I91" i="9" s="1"/>
  <c r="I146" i="9" s="1"/>
  <c r="AZ138" i="1"/>
  <c r="AZ112" i="1"/>
  <c r="AZ113" i="1"/>
  <c r="AZ16" i="1"/>
  <c r="AZ22" i="9" s="1"/>
  <c r="AN1064" i="1"/>
  <c r="AN540" i="1"/>
  <c r="AQ122" i="9"/>
  <c r="AQ126" i="9" s="1"/>
  <c r="AO133" i="9"/>
  <c r="AJ94" i="9"/>
  <c r="AJ96" i="9" s="1"/>
  <c r="AJ84" i="9"/>
  <c r="AJ91" i="9" s="1"/>
  <c r="AJ146" i="9" s="1"/>
  <c r="AU84" i="9"/>
  <c r="AU91" i="9" s="1"/>
  <c r="AU146" i="9" s="1"/>
  <c r="AU94" i="9"/>
  <c r="AU96" i="9" s="1"/>
  <c r="E1068" i="1"/>
  <c r="E786" i="1"/>
  <c r="E1060" i="1"/>
  <c r="AW94" i="9"/>
  <c r="AW96" i="9" s="1"/>
  <c r="AW84" i="9"/>
  <c r="AW91" i="9" s="1"/>
  <c r="AW146" i="9" s="1"/>
  <c r="BA138" i="1"/>
  <c r="BA141" i="1" s="1"/>
  <c r="BA112" i="1"/>
  <c r="BA142" i="1" s="1"/>
  <c r="BA479" i="1" s="1"/>
  <c r="BA483" i="1" s="1"/>
  <c r="BA761" i="1" s="1"/>
  <c r="BA113" i="1"/>
  <c r="BA143" i="1" s="1"/>
  <c r="BA485" i="1" s="1"/>
  <c r="BA488" i="1" s="1"/>
  <c r="BA764" i="1" s="1"/>
  <c r="BA16" i="1"/>
  <c r="BA22" i="9" s="1"/>
  <c r="AD69" i="9"/>
  <c r="AD839" i="1"/>
  <c r="AD711" i="1"/>
  <c r="Z133" i="9"/>
  <c r="U94" i="9"/>
  <c r="U96" i="9" s="1"/>
  <c r="U84" i="9"/>
  <c r="U91" i="9" s="1"/>
  <c r="U146" i="9" s="1"/>
  <c r="BC160" i="1"/>
  <c r="BD158" i="1"/>
  <c r="BC164" i="1"/>
  <c r="BD164" i="1" s="1"/>
  <c r="AV793" i="1"/>
  <c r="AV782" i="1"/>
  <c r="AV794" i="1"/>
  <c r="AC112" i="9"/>
  <c r="AC66" i="9"/>
  <c r="BB1039" i="1"/>
  <c r="BC828" i="1"/>
  <c r="BC1039" i="1" s="1"/>
  <c r="BD1039" i="1" s="1"/>
  <c r="L133" i="9"/>
  <c r="G84" i="9"/>
  <c r="G91" i="9" s="1"/>
  <c r="G146" i="9" s="1"/>
  <c r="G94" i="9"/>
  <c r="G96" i="9" s="1"/>
  <c r="M2" i="9"/>
  <c r="N5" i="1"/>
  <c r="AO786" i="1"/>
  <c r="AO1060" i="1"/>
  <c r="V782" i="1"/>
  <c r="V794" i="1"/>
  <c r="V793" i="1"/>
  <c r="V1064" i="1"/>
  <c r="R786" i="1"/>
  <c r="R1060" i="1"/>
  <c r="AB122" i="9"/>
  <c r="AB126" i="9" s="1"/>
  <c r="AY981" i="1"/>
  <c r="AU983" i="1"/>
  <c r="AA103" i="9"/>
  <c r="AA100" i="9" s="1"/>
  <c r="AE116" i="9"/>
  <c r="AE120" i="9"/>
  <c r="O143" i="9"/>
  <c r="O103" i="9"/>
  <c r="O100" i="9" s="1"/>
  <c r="O77" i="9"/>
  <c r="AH1068" i="1"/>
  <c r="AH786" i="1"/>
  <c r="AH1060" i="1"/>
  <c r="S143" i="9"/>
  <c r="X130" i="9"/>
  <c r="S103" i="9"/>
  <c r="S100" i="9" s="1"/>
  <c r="S77" i="9"/>
  <c r="Q1068" i="1"/>
  <c r="Q786" i="1"/>
  <c r="Q1060" i="1"/>
  <c r="AM126" i="9"/>
  <c r="AD121" i="9"/>
  <c r="AD778" i="1"/>
  <c r="BD166" i="1"/>
  <c r="BC168" i="1"/>
  <c r="E6" i="9"/>
  <c r="E10" i="9" s="1"/>
  <c r="E137" i="9" s="1"/>
  <c r="E138" i="9"/>
  <c r="D1070" i="1"/>
  <c r="D968" i="1"/>
  <c r="E965" i="1"/>
  <c r="E966" i="1" s="1"/>
  <c r="AV1064" i="1"/>
  <c r="AV540" i="1"/>
  <c r="K130" i="9"/>
  <c r="F143" i="9"/>
  <c r="F103" i="9"/>
  <c r="F100" i="9" s="1"/>
  <c r="F77" i="9"/>
  <c r="AX479" i="1"/>
  <c r="AY142" i="1"/>
  <c r="AX485" i="1"/>
  <c r="AX488" i="1" s="1"/>
  <c r="AX764" i="1" s="1"/>
  <c r="AY143" i="1"/>
  <c r="AY485" i="1" s="1"/>
  <c r="AY488" i="1" s="1"/>
  <c r="AW1064" i="1"/>
  <c r="AW540" i="1"/>
  <c r="V122" i="9"/>
  <c r="V126" i="9" s="1"/>
  <c r="AJ1070" i="1"/>
  <c r="AJ968" i="1"/>
  <c r="AK965" i="1"/>
  <c r="Y112" i="9"/>
  <c r="Y113" i="9" s="1"/>
  <c r="Y66" i="9"/>
  <c r="AP126" i="9"/>
  <c r="AZ142" i="1"/>
  <c r="BD86" i="1"/>
  <c r="AT116" i="9"/>
  <c r="W122" i="9"/>
  <c r="W126" i="9" s="1"/>
  <c r="BE15" i="1"/>
  <c r="BE21" i="9" s="1"/>
  <c r="BE86" i="1"/>
  <c r="BE87" i="1"/>
  <c r="BE137" i="1"/>
  <c r="BA8" i="9"/>
  <c r="BA1063" i="1"/>
  <c r="BB829" i="1"/>
  <c r="BA827" i="1"/>
  <c r="BA1033" i="1" s="1"/>
  <c r="AS782" i="1"/>
  <c r="AT1076" i="1" s="1"/>
  <c r="AS794" i="1"/>
  <c r="AS793" i="1"/>
  <c r="AH130" i="9"/>
  <c r="AC143" i="9"/>
  <c r="AC103" i="9"/>
  <c r="AC100" i="9" s="1"/>
  <c r="AC77" i="9"/>
  <c r="AY116" i="1"/>
  <c r="AY120" i="1" s="1"/>
  <c r="H112" i="9"/>
  <c r="H66" i="9"/>
  <c r="AA122" i="9"/>
  <c r="AA126" i="9" s="1"/>
  <c r="AF1070" i="1"/>
  <c r="AG965" i="1"/>
  <c r="AG966" i="1" s="1"/>
  <c r="AF968" i="1"/>
  <c r="AG1068" i="1"/>
  <c r="AG786" i="1"/>
  <c r="AG1060" i="1"/>
  <c r="G112" i="9"/>
  <c r="G66" i="9"/>
  <c r="AE133" i="9"/>
  <c r="Z84" i="9"/>
  <c r="Z91" i="9" s="1"/>
  <c r="Z146" i="9" s="1"/>
  <c r="Z94" i="9"/>
  <c r="Z96" i="9" s="1"/>
  <c r="N143" i="9"/>
  <c r="S130" i="9"/>
  <c r="N103" i="9"/>
  <c r="N100" i="9" s="1"/>
  <c r="N77" i="9"/>
  <c r="AU76" i="9"/>
  <c r="AU60" i="9"/>
  <c r="AU65" i="9" s="1"/>
  <c r="AJ112" i="9"/>
  <c r="AJ113" i="9" s="1"/>
  <c r="AJ66" i="9"/>
  <c r="AP60" i="1"/>
  <c r="AT52" i="1"/>
  <c r="AT60" i="1" s="1"/>
  <c r="AA112" i="9"/>
  <c r="AA113" i="9" s="1"/>
  <c r="AA66" i="9"/>
  <c r="Q113" i="9"/>
  <c r="AA786" i="1"/>
  <c r="AA1060" i="1"/>
  <c r="L122" i="9"/>
  <c r="L126" i="9" s="1"/>
  <c r="BG207" i="1"/>
  <c r="BG49" i="1"/>
  <c r="BG206" i="1"/>
  <c r="BG210" i="1" s="1"/>
  <c r="BG27" i="1"/>
  <c r="BG33" i="9" s="1"/>
  <c r="AD76" i="9"/>
  <c r="AD60" i="9"/>
  <c r="AD65" i="9" s="1"/>
  <c r="P133" i="9"/>
  <c r="K84" i="9"/>
  <c r="K91" i="9" s="1"/>
  <c r="K146" i="9" s="1"/>
  <c r="K94" i="9"/>
  <c r="K96" i="9" s="1"/>
  <c r="AW786" i="1"/>
  <c r="AW1060" i="1"/>
  <c r="BD171" i="1"/>
  <c r="BE169" i="1"/>
  <c r="BD87" i="1"/>
  <c r="BD93" i="1" s="1"/>
  <c r="AZ143" i="1"/>
  <c r="AB103" i="9"/>
  <c r="AB100" i="9" s="1"/>
  <c r="AL782" i="1"/>
  <c r="AM1068" i="1" s="1"/>
  <c r="AL794" i="1"/>
  <c r="AL793" i="1"/>
  <c r="AL1064" i="1"/>
  <c r="AV133" i="9"/>
  <c r="AQ84" i="9"/>
  <c r="AQ91" i="9" s="1"/>
  <c r="AQ146" i="9" s="1"/>
  <c r="AQ94" i="9"/>
  <c r="AQ96" i="9" s="1"/>
  <c r="C782" i="1"/>
  <c r="H1068" i="1" s="1"/>
  <c r="C794" i="1"/>
  <c r="C793" i="1"/>
  <c r="C1064" i="1"/>
  <c r="AN125" i="9"/>
  <c r="AN126" i="9" s="1"/>
  <c r="AJ782" i="1"/>
  <c r="AJ793" i="1"/>
  <c r="AJ794" i="1"/>
  <c r="AJ1064" i="1"/>
  <c r="AC782" i="1"/>
  <c r="AC794" i="1"/>
  <c r="AC793" i="1"/>
  <c r="AC1064" i="1"/>
  <c r="AL112" i="9"/>
  <c r="AL113" i="9" s="1"/>
  <c r="AL66" i="9"/>
  <c r="AZ1022" i="1"/>
  <c r="AY984" i="1"/>
  <c r="AY1028" i="1"/>
  <c r="AI143" i="9"/>
  <c r="AN130" i="9"/>
  <c r="AI103" i="9"/>
  <c r="AI100" i="9" s="1"/>
  <c r="AI77" i="9"/>
  <c r="AI112" i="9"/>
  <c r="AI66" i="9"/>
  <c r="U133" i="9"/>
  <c r="P94" i="9"/>
  <c r="P96" i="9" s="1"/>
  <c r="P84" i="9"/>
  <c r="P91" i="9" s="1"/>
  <c r="P146" i="9" s="1"/>
  <c r="BF206" i="1"/>
  <c r="BF210" i="1" s="1"/>
  <c r="BF207" i="1"/>
  <c r="BF27" i="1"/>
  <c r="BF33" i="9" s="1"/>
  <c r="BF49" i="1"/>
  <c r="AK1068" i="1"/>
  <c r="AK786" i="1"/>
  <c r="AK1060" i="1"/>
  <c r="V112" i="9"/>
  <c r="V66" i="9"/>
  <c r="AK103" i="9"/>
  <c r="AK100" i="9" s="1"/>
  <c r="AL126" i="9"/>
  <c r="AZ141" i="1"/>
  <c r="BD137" i="1"/>
  <c r="AW133" i="9"/>
  <c r="AR84" i="9"/>
  <c r="AR91" i="9" s="1"/>
  <c r="AR146" i="9" s="1"/>
  <c r="AR94" i="9"/>
  <c r="AR96" i="9" s="1"/>
  <c r="AL122" i="9"/>
  <c r="Q2" i="9"/>
  <c r="R5" i="1"/>
  <c r="R103" i="9"/>
  <c r="R100" i="9" s="1"/>
  <c r="P112" i="9"/>
  <c r="P113" i="9" s="1"/>
  <c r="P66" i="9"/>
  <c r="S133" i="9"/>
  <c r="N84" i="9"/>
  <c r="N91" i="9" s="1"/>
  <c r="N146" i="9" s="1"/>
  <c r="N94" i="9"/>
  <c r="N96" i="9" s="1"/>
  <c r="AC122" i="9"/>
  <c r="AC126" i="9" s="1"/>
  <c r="AN112" i="9"/>
  <c r="AN113" i="9" s="1"/>
  <c r="AN116" i="9" s="1"/>
  <c r="AN66" i="9"/>
  <c r="P1076" i="1"/>
  <c r="P1068" i="1"/>
  <c r="P786" i="1"/>
  <c r="P145" i="9" s="1"/>
  <c r="P1060" i="1"/>
  <c r="AA133" i="9"/>
  <c r="V84" i="9"/>
  <c r="V91" i="9" s="1"/>
  <c r="V146" i="9" s="1"/>
  <c r="V94" i="9"/>
  <c r="V96" i="9" s="1"/>
  <c r="AR133" i="9"/>
  <c r="AM84" i="9"/>
  <c r="AM91" i="9" s="1"/>
  <c r="AM146" i="9" s="1"/>
  <c r="AM94" i="9"/>
  <c r="AM96" i="9" s="1"/>
  <c r="AR782" i="1"/>
  <c r="AR794" i="1"/>
  <c r="AR793" i="1"/>
  <c r="AR1064" i="1"/>
  <c r="AK126" i="9"/>
  <c r="Z1068" i="1"/>
  <c r="Z786" i="1"/>
  <c r="Z1060" i="1"/>
  <c r="M133" i="9"/>
  <c r="H84" i="9"/>
  <c r="H91" i="9" s="1"/>
  <c r="H146" i="9" s="1"/>
  <c r="H94" i="9"/>
  <c r="H96" i="9" s="1"/>
  <c r="M122" i="9"/>
  <c r="M126" i="9" s="1"/>
  <c r="AR125" i="9"/>
  <c r="AT133" i="9"/>
  <c r="AO94" i="9"/>
  <c r="AO96" i="9" s="1"/>
  <c r="AO84" i="9"/>
  <c r="AO91" i="9" s="1"/>
  <c r="AO146" i="9" s="1"/>
  <c r="Y782" i="1"/>
  <c r="AA1068" i="1" s="1"/>
  <c r="Y794" i="1"/>
  <c r="Y793" i="1"/>
  <c r="AP133" i="9"/>
  <c r="AK94" i="9"/>
  <c r="AK96" i="9" s="1"/>
  <c r="AK84" i="9"/>
  <c r="AK91" i="9" s="1"/>
  <c r="AK146" i="9" s="1"/>
  <c r="BE182" i="1"/>
  <c r="BD190" i="1"/>
  <c r="BD191" i="1" s="1"/>
  <c r="BD184" i="1"/>
  <c r="R122" i="9"/>
  <c r="R126" i="9" s="1"/>
  <c r="G1068" i="1"/>
  <c r="G786" i="1"/>
  <c r="G1060" i="1"/>
  <c r="AS126" i="9"/>
  <c r="N112" i="9"/>
  <c r="R113" i="9" s="1"/>
  <c r="N66" i="9"/>
  <c r="AR122" i="9"/>
  <c r="O130" i="9"/>
  <c r="J143" i="9"/>
  <c r="J103" i="9"/>
  <c r="J100" i="9" s="1"/>
  <c r="J77" i="9"/>
  <c r="C143" i="9"/>
  <c r="D130" i="9"/>
  <c r="C103" i="9"/>
  <c r="C100" i="9" s="1"/>
  <c r="C77" i="9"/>
  <c r="AL133" i="9"/>
  <c r="AG94" i="9"/>
  <c r="AG96" i="9" s="1"/>
  <c r="AG84" i="9"/>
  <c r="AG91" i="9" s="1"/>
  <c r="AG146" i="9" s="1"/>
  <c r="AJ143" i="9"/>
  <c r="AJ103" i="9"/>
  <c r="AJ100" i="9" s="1"/>
  <c r="AO130" i="9"/>
  <c r="AJ77" i="9"/>
  <c r="AF133" i="9"/>
  <c r="AA84" i="9"/>
  <c r="AA91" i="9" s="1"/>
  <c r="AA146" i="9" s="1"/>
  <c r="AA94" i="9"/>
  <c r="AA96" i="9" s="1"/>
  <c r="AD133" i="9"/>
  <c r="Y94" i="9"/>
  <c r="Y96" i="9" s="1"/>
  <c r="Y84" i="9"/>
  <c r="Y91" i="9" s="1"/>
  <c r="Y146" i="9" s="1"/>
  <c r="D145" i="9"/>
  <c r="D112" i="9"/>
  <c r="D113" i="9" s="1"/>
  <c r="D66" i="9"/>
  <c r="AS1064" i="1"/>
  <c r="AY21" i="1"/>
  <c r="AY27" i="9" s="1"/>
  <c r="AY48" i="1"/>
  <c r="AY50" i="1" s="1"/>
  <c r="K112" i="9"/>
  <c r="K113" i="9" s="1"/>
  <c r="K66" i="9"/>
  <c r="J112" i="9"/>
  <c r="J66" i="9"/>
  <c r="AS130" i="9"/>
  <c r="AN143" i="9"/>
  <c r="AN103" i="9"/>
  <c r="AN100" i="9" s="1"/>
  <c r="AN77" i="9"/>
  <c r="AA130" i="9"/>
  <c r="V143" i="9"/>
  <c r="V103" i="9"/>
  <c r="V100" i="9" s="1"/>
  <c r="V77" i="9"/>
  <c r="AU133" i="9"/>
  <c r="AP84" i="9"/>
  <c r="AP91" i="9" s="1"/>
  <c r="AP146" i="9" s="1"/>
  <c r="AP94" i="9"/>
  <c r="AP96" i="9" s="1"/>
  <c r="S126" i="9"/>
  <c r="F130" i="9"/>
  <c r="AB112" i="9"/>
  <c r="AB113" i="9" s="1"/>
  <c r="AB66" i="9"/>
  <c r="AF145" i="9"/>
  <c r="AF112" i="9"/>
  <c r="AF66" i="9"/>
  <c r="I2" i="9"/>
  <c r="J5" i="1"/>
  <c r="J2" i="9" s="1"/>
  <c r="S782" i="1"/>
  <c r="R1068" i="1" s="1"/>
  <c r="S794" i="1"/>
  <c r="S793" i="1"/>
  <c r="S1064" i="1"/>
  <c r="AQ130" i="9"/>
  <c r="AL143" i="9"/>
  <c r="AL103" i="9"/>
  <c r="AL100" i="9" s="1"/>
  <c r="AL77" i="9"/>
  <c r="O126" i="9"/>
  <c r="O133" i="9"/>
  <c r="J84" i="9"/>
  <c r="J91" i="9" s="1"/>
  <c r="J146" i="9" s="1"/>
  <c r="J94" i="9"/>
  <c r="J96" i="9" s="1"/>
  <c r="K782" i="1"/>
  <c r="K794" i="1"/>
  <c r="K793" i="1"/>
  <c r="D133" i="9"/>
  <c r="C94" i="9"/>
  <c r="C96" i="9" s="1"/>
  <c r="C84" i="9"/>
  <c r="C91" i="9" s="1"/>
  <c r="C146" i="9" s="1"/>
  <c r="F120" i="9"/>
  <c r="F116" i="9"/>
  <c r="AI133" i="9"/>
  <c r="AD84" i="9"/>
  <c r="AD91" i="9" s="1"/>
  <c r="AD146" i="9" s="1"/>
  <c r="AD94" i="9"/>
  <c r="AD96" i="9" s="1"/>
  <c r="AU121" i="9"/>
  <c r="AU122" i="9" s="1"/>
  <c r="AU126" i="9" s="1"/>
  <c r="AU778" i="1"/>
  <c r="V133" i="9"/>
  <c r="Q94" i="9"/>
  <c r="Q96" i="9" s="1"/>
  <c r="Q84" i="9"/>
  <c r="Q91" i="9" s="1"/>
  <c r="Q146" i="9" s="1"/>
  <c r="BE177" i="1"/>
  <c r="BD179" i="1"/>
  <c r="C858" i="1"/>
  <c r="C844" i="1" s="1"/>
  <c r="C4" i="9"/>
  <c r="AV130" i="9"/>
  <c r="AQ143" i="9"/>
  <c r="AQ103" i="9"/>
  <c r="AQ100" i="9" s="1"/>
  <c r="AQ77" i="9"/>
  <c r="E133" i="9"/>
  <c r="D94" i="9"/>
  <c r="D96" i="9" s="1"/>
  <c r="D84" i="9"/>
  <c r="D91" i="9" s="1"/>
  <c r="D146" i="9" s="1"/>
  <c r="AB1068" i="1"/>
  <c r="AB786" i="1"/>
  <c r="AB145" i="9" s="1"/>
  <c r="AB1060" i="1"/>
  <c r="S116" i="9"/>
  <c r="H1" i="9"/>
  <c r="I4" i="1"/>
  <c r="H3" i="1"/>
  <c r="H1143" i="1"/>
  <c r="J782" i="1"/>
  <c r="J794" i="1"/>
  <c r="J793" i="1"/>
  <c r="Z116" i="9"/>
  <c r="Z120" i="9"/>
  <c r="R133" i="9"/>
  <c r="M84" i="9"/>
  <c r="M91" i="9" s="1"/>
  <c r="M146" i="9" s="1"/>
  <c r="M94" i="9"/>
  <c r="M96" i="9" s="1"/>
  <c r="AQ112" i="9"/>
  <c r="AQ66" i="9"/>
  <c r="S122" i="9"/>
  <c r="AS113" i="9"/>
  <c r="R116" i="9" l="1"/>
  <c r="R120" i="9"/>
  <c r="BF214" i="1"/>
  <c r="BF53" i="1"/>
  <c r="BG214" i="1"/>
  <c r="BG53" i="1"/>
  <c r="J1068" i="1"/>
  <c r="J786" i="1"/>
  <c r="J1060" i="1"/>
  <c r="H796" i="1"/>
  <c r="H791" i="1"/>
  <c r="H788" i="1"/>
  <c r="H797" i="1" s="1"/>
  <c r="H1061" i="1"/>
  <c r="AW122" i="9"/>
  <c r="AW126" i="9" s="1"/>
  <c r="AB116" i="9"/>
  <c r="AB120" i="9"/>
  <c r="Z2" i="9"/>
  <c r="AE5" i="1"/>
  <c r="AA5" i="1"/>
  <c r="BC116" i="1"/>
  <c r="BC120" i="1" s="1"/>
  <c r="BC112" i="1"/>
  <c r="BC142" i="1" s="1"/>
  <c r="BC479" i="1" s="1"/>
  <c r="BC483" i="1" s="1"/>
  <c r="BC761" i="1" s="1"/>
  <c r="BC113" i="1"/>
  <c r="BC143" i="1" s="1"/>
  <c r="BC485" i="1" s="1"/>
  <c r="BC488" i="1" s="1"/>
  <c r="BC764" i="1" s="1"/>
  <c r="BC16" i="1"/>
  <c r="BC22" i="9" s="1"/>
  <c r="BC138" i="1"/>
  <c r="BC141" i="1" s="1"/>
  <c r="J113" i="9"/>
  <c r="J120" i="9" s="1"/>
  <c r="Z1076" i="1"/>
  <c r="AL116" i="9"/>
  <c r="AL120" i="9"/>
  <c r="AW791" i="1"/>
  <c r="AW788" i="1"/>
  <c r="AW797" i="1" s="1"/>
  <c r="AW796" i="1"/>
  <c r="AW1061" i="1"/>
  <c r="AW145" i="9"/>
  <c r="V2" i="9"/>
  <c r="W5" i="1"/>
  <c r="D796" i="1"/>
  <c r="D791" i="1"/>
  <c r="D788" i="1"/>
  <c r="D797" i="1" s="1"/>
  <c r="D1061" i="1"/>
  <c r="AU1064" i="1"/>
  <c r="AU540" i="1"/>
  <c r="F138" i="9"/>
  <c r="F6" i="9"/>
  <c r="I796" i="1"/>
  <c r="I791" i="1"/>
  <c r="I788" i="1"/>
  <c r="I797" i="1" s="1"/>
  <c r="I1061" i="1"/>
  <c r="I145" i="9"/>
  <c r="BG15" i="1"/>
  <c r="BG21" i="9" s="1"/>
  <c r="BG86" i="1"/>
  <c r="BG90" i="1" s="1"/>
  <c r="BG94" i="1" s="1"/>
  <c r="BG137" i="1"/>
  <c r="BG87" i="1"/>
  <c r="C1068" i="1"/>
  <c r="C786" i="1"/>
  <c r="C1060" i="1"/>
  <c r="Q120" i="9"/>
  <c r="Q116" i="9"/>
  <c r="R796" i="1"/>
  <c r="R791" i="1"/>
  <c r="R788" i="1"/>
  <c r="R797" i="1" s="1"/>
  <c r="R1061" i="1"/>
  <c r="R145" i="9"/>
  <c r="BD828" i="1"/>
  <c r="BE828" i="1" s="1"/>
  <c r="AM914" i="1"/>
  <c r="AL915" i="1"/>
  <c r="D1068" i="1"/>
  <c r="O113" i="9"/>
  <c r="F851" i="1"/>
  <c r="F845" i="1"/>
  <c r="I1068" i="1"/>
  <c r="BF15" i="1"/>
  <c r="BF21" i="9" s="1"/>
  <c r="BF86" i="1"/>
  <c r="BF87" i="1"/>
  <c r="BF137" i="1"/>
  <c r="AA796" i="1"/>
  <c r="AA791" i="1"/>
  <c r="AA788" i="1"/>
  <c r="AA797" i="1" s="1"/>
  <c r="AA1061" i="1"/>
  <c r="AH796" i="1"/>
  <c r="AH791" i="1"/>
  <c r="AH788" i="1"/>
  <c r="AH797" i="1" s="1"/>
  <c r="AH1061" i="1"/>
  <c r="AH145" i="9"/>
  <c r="AD143" i="9"/>
  <c r="AI130" i="9"/>
  <c r="AD103" i="9"/>
  <c r="AD100" i="9" s="1"/>
  <c r="AD77" i="9"/>
  <c r="AF103" i="9"/>
  <c r="AF100" i="9" s="1"/>
  <c r="AG103" i="9"/>
  <c r="AG100" i="9" s="1"/>
  <c r="AH103" i="9"/>
  <c r="AH100" i="9" s="1"/>
  <c r="D846" i="1"/>
  <c r="D852" i="1"/>
  <c r="AT796" i="1"/>
  <c r="AT791" i="1"/>
  <c r="AT788" i="1"/>
  <c r="AT797" i="1" s="1"/>
  <c r="AT1061" i="1"/>
  <c r="AT145" i="9"/>
  <c r="BA1015" i="1"/>
  <c r="AZ990" i="1"/>
  <c r="E846" i="1"/>
  <c r="E852" i="1"/>
  <c r="Z796" i="1"/>
  <c r="Z791" i="1"/>
  <c r="Z788" i="1"/>
  <c r="Z797" i="1" s="1"/>
  <c r="Z1061" i="1"/>
  <c r="Z145" i="9"/>
  <c r="K116" i="9"/>
  <c r="K120" i="9"/>
  <c r="AZ758" i="1"/>
  <c r="AZ146" i="1"/>
  <c r="AZ48" i="1"/>
  <c r="AZ50" i="1" s="1"/>
  <c r="AZ21" i="1"/>
  <c r="AZ27" i="9" s="1"/>
  <c r="AA145" i="9"/>
  <c r="H145" i="9"/>
  <c r="BE90" i="1"/>
  <c r="BE94" i="1" s="1"/>
  <c r="AE791" i="1"/>
  <c r="AE796" i="1"/>
  <c r="AE788" i="1"/>
  <c r="AE797" i="1" s="1"/>
  <c r="AE1061" i="1"/>
  <c r="AE145" i="9"/>
  <c r="BD986" i="1"/>
  <c r="AY989" i="1"/>
  <c r="AZ986" i="1"/>
  <c r="AD130" i="9"/>
  <c r="T143" i="9"/>
  <c r="T103" i="9"/>
  <c r="T100" i="9" s="1"/>
  <c r="Y130" i="9"/>
  <c r="T77" i="9"/>
  <c r="L796" i="1"/>
  <c r="L791" i="1"/>
  <c r="L788" i="1"/>
  <c r="L797" i="1" s="1"/>
  <c r="L1061" i="1"/>
  <c r="L145" i="9"/>
  <c r="BA53" i="9"/>
  <c r="BE180" i="1"/>
  <c r="BF177" i="1"/>
  <c r="S786" i="1"/>
  <c r="S1060" i="1"/>
  <c r="N113" i="9"/>
  <c r="AI113" i="9"/>
  <c r="AC1068" i="1"/>
  <c r="AC786" i="1"/>
  <c r="AC1060" i="1"/>
  <c r="AX53" i="9"/>
  <c r="AX75" i="9" s="1"/>
  <c r="AX709" i="1"/>
  <c r="AY764" i="1"/>
  <c r="BD168" i="1"/>
  <c r="BE166" i="1"/>
  <c r="BF166" i="1" s="1"/>
  <c r="BG166" i="1" s="1"/>
  <c r="AC113" i="9"/>
  <c r="BA52" i="9"/>
  <c r="BF185" i="1"/>
  <c r="BE188" i="1"/>
  <c r="L1068" i="1"/>
  <c r="AM791" i="1"/>
  <c r="AM788" i="1"/>
  <c r="AM797" i="1" s="1"/>
  <c r="AM796" i="1"/>
  <c r="AM1061" i="1"/>
  <c r="AM145" i="9"/>
  <c r="AU143" i="9"/>
  <c r="AU103" i="9"/>
  <c r="AU100" i="9" s="1"/>
  <c r="AU77" i="9"/>
  <c r="AU130" i="9"/>
  <c r="AW103" i="9"/>
  <c r="AW100" i="9" s="1"/>
  <c r="BB53" i="9"/>
  <c r="AA120" i="9"/>
  <c r="AA116" i="9"/>
  <c r="H1117" i="1"/>
  <c r="AQ113" i="9"/>
  <c r="AR1068" i="1"/>
  <c r="AR786" i="1"/>
  <c r="AR1060" i="1"/>
  <c r="AP113" i="9"/>
  <c r="AD112" i="9"/>
  <c r="AD66" i="9"/>
  <c r="AD782" i="1"/>
  <c r="AD794" i="1"/>
  <c r="AD793" i="1"/>
  <c r="AD1064" i="1"/>
  <c r="T130" i="9"/>
  <c r="V786" i="1"/>
  <c r="V1060" i="1"/>
  <c r="BA116" i="1"/>
  <c r="BA120" i="1" s="1"/>
  <c r="AF791" i="1"/>
  <c r="AF796" i="1"/>
  <c r="AF788" i="1"/>
  <c r="AF797" i="1" s="1"/>
  <c r="AF1061" i="1"/>
  <c r="AQ1068" i="1"/>
  <c r="AQ786" i="1"/>
  <c r="AQ1060" i="1"/>
  <c r="BB52" i="9"/>
  <c r="C138" i="9"/>
  <c r="C6" i="9"/>
  <c r="Y786" i="1"/>
  <c r="Y1060" i="1"/>
  <c r="BD92" i="1"/>
  <c r="BD90" i="1"/>
  <c r="BD94" i="1" s="1"/>
  <c r="AX483" i="1"/>
  <c r="AX761" i="1" s="1"/>
  <c r="AY479" i="1"/>
  <c r="AY483" i="1" s="1"/>
  <c r="AD122" i="9"/>
  <c r="AD126" i="9" s="1"/>
  <c r="AF122" i="9"/>
  <c r="AF126" i="9" s="1"/>
  <c r="AG122" i="9"/>
  <c r="AG126" i="9" s="1"/>
  <c r="AH122" i="9"/>
  <c r="AH126" i="9" s="1"/>
  <c r="BA758" i="1"/>
  <c r="BA705" i="1" s="1"/>
  <c r="BA146" i="1"/>
  <c r="BA48" i="1"/>
  <c r="BA50" i="1" s="1"/>
  <c r="BA21" i="1"/>
  <c r="BA27" i="9" s="1"/>
  <c r="AR113" i="9"/>
  <c r="AX148" i="1"/>
  <c r="AX52" i="1"/>
  <c r="AX60" i="1" s="1"/>
  <c r="AX524" i="1"/>
  <c r="AM113" i="9"/>
  <c r="N1068" i="1"/>
  <c r="N786" i="1"/>
  <c r="N1060" i="1"/>
  <c r="G4" i="9"/>
  <c r="G6" i="9" s="1"/>
  <c r="G10" i="9" s="1"/>
  <c r="G857" i="1"/>
  <c r="G859" i="1" s="1"/>
  <c r="G844" i="1" s="1"/>
  <c r="G845" i="1" s="1"/>
  <c r="G846" i="1" s="1"/>
  <c r="I1" i="9"/>
  <c r="J4" i="1"/>
  <c r="I3" i="1"/>
  <c r="I1143" i="1"/>
  <c r="AY146" i="1"/>
  <c r="G796" i="1"/>
  <c r="G791" i="1"/>
  <c r="G788" i="1"/>
  <c r="G797" i="1" s="1"/>
  <c r="G1061" i="1"/>
  <c r="AL1068" i="1"/>
  <c r="AL786" i="1"/>
  <c r="AL1060" i="1"/>
  <c r="G145" i="9"/>
  <c r="AZ479" i="1"/>
  <c r="BD142" i="1"/>
  <c r="AO796" i="1"/>
  <c r="AO791" i="1"/>
  <c r="AO788" i="1"/>
  <c r="AO797" i="1" s="1"/>
  <c r="AO1061" i="1"/>
  <c r="AO145" i="9"/>
  <c r="AV786" i="1"/>
  <c r="AV1060" i="1"/>
  <c r="BD113" i="1"/>
  <c r="T112" i="9"/>
  <c r="T113" i="9" s="1"/>
  <c r="T66" i="9"/>
  <c r="AX51" i="9"/>
  <c r="AX1032" i="1"/>
  <c r="AX1004" i="1"/>
  <c r="AX1005" i="1"/>
  <c r="AX45" i="1"/>
  <c r="AX48" i="9" s="1"/>
  <c r="AY758" i="1"/>
  <c r="M1068" i="1"/>
  <c r="M786" i="1"/>
  <c r="M1060" i="1"/>
  <c r="R914" i="1"/>
  <c r="Q915" i="1"/>
  <c r="O786" i="1"/>
  <c r="O1068" i="1"/>
  <c r="O1060" i="1"/>
  <c r="E140" i="9"/>
  <c r="BB758" i="1"/>
  <c r="BB705" i="1" s="1"/>
  <c r="BB48" i="1"/>
  <c r="BB50" i="1" s="1"/>
  <c r="BB21" i="1"/>
  <c r="BB27" i="9" s="1"/>
  <c r="BB146" i="1"/>
  <c r="AS120" i="9"/>
  <c r="AS116" i="9"/>
  <c r="AB796" i="1"/>
  <c r="AB791" i="1"/>
  <c r="AB788" i="1"/>
  <c r="AB797" i="1" s="1"/>
  <c r="AB1061" i="1"/>
  <c r="AR126" i="9"/>
  <c r="P116" i="9"/>
  <c r="P120" i="9"/>
  <c r="AJ120" i="9"/>
  <c r="AJ116" i="9"/>
  <c r="AO1076" i="1"/>
  <c r="BD112" i="1"/>
  <c r="BD118" i="1" s="1"/>
  <c r="D10" i="9"/>
  <c r="D139" i="9"/>
  <c r="E139" i="9"/>
  <c r="C851" i="1"/>
  <c r="C845" i="1"/>
  <c r="K1076" i="1"/>
  <c r="K1068" i="1"/>
  <c r="K786" i="1"/>
  <c r="K1060" i="1"/>
  <c r="AN120" i="9"/>
  <c r="L113" i="9"/>
  <c r="AV122" i="9"/>
  <c r="AV126" i="9" s="1"/>
  <c r="AK791" i="1"/>
  <c r="AK788" i="1"/>
  <c r="AK797" i="1" s="1"/>
  <c r="AK796" i="1"/>
  <c r="AK1061" i="1"/>
  <c r="AJ1076" i="1"/>
  <c r="AJ1068" i="1"/>
  <c r="AJ786" i="1"/>
  <c r="AJ1060" i="1"/>
  <c r="AZ485" i="1"/>
  <c r="AZ488" i="1" s="1"/>
  <c r="AZ764" i="1" s="1"/>
  <c r="BD143" i="1"/>
  <c r="BD485" i="1" s="1"/>
  <c r="BD488" i="1" s="1"/>
  <c r="AG791" i="1"/>
  <c r="AG796" i="1"/>
  <c r="AG788" i="1"/>
  <c r="AG797" i="1" s="1"/>
  <c r="AG1061" i="1"/>
  <c r="AG145" i="9"/>
  <c r="AO1068" i="1"/>
  <c r="AZ116" i="1"/>
  <c r="AZ120" i="1" s="1"/>
  <c r="AK113" i="9"/>
  <c r="F1068" i="1"/>
  <c r="F786" i="1"/>
  <c r="F1060" i="1"/>
  <c r="X796" i="1"/>
  <c r="X791" i="1"/>
  <c r="X788" i="1"/>
  <c r="X797" i="1" s="1"/>
  <c r="X1061" i="1"/>
  <c r="X145" i="9"/>
  <c r="AU794" i="1"/>
  <c r="AU782" i="1"/>
  <c r="AU793" i="1"/>
  <c r="Y116" i="9"/>
  <c r="Y120" i="9"/>
  <c r="Q791" i="1"/>
  <c r="Q788" i="1"/>
  <c r="Q797" i="1" s="1"/>
  <c r="Q796" i="1"/>
  <c r="Q1061" i="1"/>
  <c r="Q145" i="9"/>
  <c r="BD195" i="1"/>
  <c r="BD197" i="1" s="1"/>
  <c r="BD111" i="1" s="1"/>
  <c r="BD160" i="1"/>
  <c r="BE158" i="1"/>
  <c r="BD138" i="1"/>
  <c r="BD141" i="1" s="1"/>
  <c r="W796" i="1"/>
  <c r="W791" i="1"/>
  <c r="W788" i="1"/>
  <c r="W797" i="1" s="1"/>
  <c r="W1061" i="1"/>
  <c r="W145" i="9"/>
  <c r="C116" i="9"/>
  <c r="C120" i="9"/>
  <c r="AI786" i="1"/>
  <c r="AI1068" i="1"/>
  <c r="AI1060" i="1"/>
  <c r="X1068" i="1"/>
  <c r="D116" i="9"/>
  <c r="D120" i="9"/>
  <c r="AU112" i="9"/>
  <c r="AV113" i="9" s="1"/>
  <c r="AU66" i="9"/>
  <c r="AS786" i="1"/>
  <c r="AS1068" i="1"/>
  <c r="AS1060" i="1"/>
  <c r="R2" i="9"/>
  <c r="S5" i="1"/>
  <c r="AZ980" i="1"/>
  <c r="BD980" i="1"/>
  <c r="AY983" i="1"/>
  <c r="N2" i="9"/>
  <c r="O5" i="1"/>
  <c r="O2" i="9" s="1"/>
  <c r="E796" i="1"/>
  <c r="E791" i="1"/>
  <c r="E788" i="1"/>
  <c r="E797" i="1" s="1"/>
  <c r="E1061" i="1"/>
  <c r="E145" i="9"/>
  <c r="W1068" i="1"/>
  <c r="BF182" i="1"/>
  <c r="BE190" i="1"/>
  <c r="BE191" i="1" s="1"/>
  <c r="AZ1028" i="1"/>
  <c r="BA1022" i="1"/>
  <c r="AZ984" i="1"/>
  <c r="BE172" i="1"/>
  <c r="BF169" i="1"/>
  <c r="AG1070" i="1"/>
  <c r="AG968" i="1"/>
  <c r="AH965" i="1"/>
  <c r="AH966" i="1" s="1"/>
  <c r="BB8" i="9"/>
  <c r="BB1063" i="1"/>
  <c r="BC829" i="1"/>
  <c r="BB827" i="1"/>
  <c r="BB1033" i="1" s="1"/>
  <c r="AK966" i="1"/>
  <c r="AO965" i="1"/>
  <c r="AO966" i="1" s="1"/>
  <c r="BD192" i="1"/>
  <c r="AP791" i="1"/>
  <c r="AP788" i="1"/>
  <c r="AP797" i="1" s="1"/>
  <c r="AP796" i="1"/>
  <c r="AP1061" i="1"/>
  <c r="AP145" i="9"/>
  <c r="U796" i="1"/>
  <c r="U791" i="1"/>
  <c r="U788" i="1"/>
  <c r="U797" i="1" s="1"/>
  <c r="U1061" i="1"/>
  <c r="U145" i="9"/>
  <c r="T782" i="1"/>
  <c r="S1068" i="1" s="1"/>
  <c r="T794" i="1"/>
  <c r="T793" i="1"/>
  <c r="T1064" i="1"/>
  <c r="P791" i="1"/>
  <c r="P788" i="1"/>
  <c r="P797" i="1" s="1"/>
  <c r="P796" i="1"/>
  <c r="P1061" i="1"/>
  <c r="E1070" i="1"/>
  <c r="E968" i="1"/>
  <c r="F965" i="1"/>
  <c r="F966" i="1" s="1"/>
  <c r="U1076" i="1"/>
  <c r="T122" i="9"/>
  <c r="T126" i="9" s="1"/>
  <c r="X122" i="9"/>
  <c r="X126" i="9" s="1"/>
  <c r="AN786" i="1"/>
  <c r="AN1060" i="1"/>
  <c r="AN1068" i="1"/>
  <c r="M113" i="9"/>
  <c r="H1138" i="1"/>
  <c r="H1124" i="1"/>
  <c r="H1131" i="1"/>
  <c r="BA706" i="1" l="1"/>
  <c r="BD146" i="1"/>
  <c r="BD21" i="1"/>
  <c r="BD27" i="9" s="1"/>
  <c r="BD48" i="1"/>
  <c r="BD50" i="1" s="1"/>
  <c r="AV116" i="9"/>
  <c r="AV120" i="9"/>
  <c r="BB706" i="1"/>
  <c r="AK116" i="9"/>
  <c r="AK120" i="9"/>
  <c r="AI796" i="1"/>
  <c r="AI791" i="1"/>
  <c r="AI788" i="1"/>
  <c r="AI797" i="1" s="1"/>
  <c r="AI1061" i="1"/>
  <c r="AI145" i="9"/>
  <c r="Q70" i="9"/>
  <c r="Q798" i="1"/>
  <c r="Q71" i="9" s="1"/>
  <c r="Q97" i="9" s="1"/>
  <c r="AC796" i="1"/>
  <c r="AC791" i="1"/>
  <c r="AC788" i="1"/>
  <c r="AC797" i="1" s="1"/>
  <c r="AC1061" i="1"/>
  <c r="AC145" i="9"/>
  <c r="BA990" i="1"/>
  <c r="BB1015" i="1"/>
  <c r="F852" i="1"/>
  <c r="F846" i="1"/>
  <c r="H70" i="9"/>
  <c r="H798" i="1"/>
  <c r="H71" i="9" s="1"/>
  <c r="H97" i="9" s="1"/>
  <c r="AD113" i="9"/>
  <c r="AH113" i="9"/>
  <c r="L70" i="9"/>
  <c r="L798" i="1"/>
  <c r="L71" i="9" s="1"/>
  <c r="L97" i="9" s="1"/>
  <c r="E850" i="1"/>
  <c r="E849" i="1"/>
  <c r="E853" i="1"/>
  <c r="N796" i="1"/>
  <c r="N791" i="1"/>
  <c r="N788" i="1"/>
  <c r="N797" i="1" s="1"/>
  <c r="N1061" i="1"/>
  <c r="N145" i="9"/>
  <c r="BA986" i="1"/>
  <c r="AZ989" i="1"/>
  <c r="AZ983" i="1"/>
  <c r="BA980" i="1"/>
  <c r="L116" i="9"/>
  <c r="L120" i="9"/>
  <c r="O791" i="1"/>
  <c r="O788" i="1"/>
  <c r="O797" i="1" s="1"/>
  <c r="O796" i="1"/>
  <c r="O1061" i="1"/>
  <c r="O145" i="9"/>
  <c r="BD119" i="1"/>
  <c r="AM120" i="9"/>
  <c r="AM116" i="9"/>
  <c r="AR791" i="1"/>
  <c r="AR788" i="1"/>
  <c r="AR797" i="1" s="1"/>
  <c r="AR796" i="1"/>
  <c r="AR1061" i="1"/>
  <c r="AR145" i="9"/>
  <c r="AW70" i="9"/>
  <c r="AW798" i="1"/>
  <c r="AW71" i="9" s="1"/>
  <c r="AW97" i="9" s="1"/>
  <c r="S2" i="9"/>
  <c r="T5" i="1"/>
  <c r="T2" i="9" s="1"/>
  <c r="G70" i="9"/>
  <c r="G798" i="1"/>
  <c r="G71" i="9" s="1"/>
  <c r="G97" i="9" s="1"/>
  <c r="X113" i="9"/>
  <c r="AF70" i="9"/>
  <c r="AF798" i="1"/>
  <c r="AF71" i="9" s="1"/>
  <c r="AF97" i="9" s="1"/>
  <c r="AI116" i="9"/>
  <c r="AI120" i="9"/>
  <c r="AZ148" i="1"/>
  <c r="AZ52" i="1"/>
  <c r="AZ60" i="1" s="1"/>
  <c r="AZ524" i="1"/>
  <c r="AH70" i="9"/>
  <c r="AH798" i="1"/>
  <c r="AH71" i="9" s="1"/>
  <c r="AH97" i="9" s="1"/>
  <c r="C796" i="1"/>
  <c r="C791" i="1"/>
  <c r="C788" i="1"/>
  <c r="C797" i="1" s="1"/>
  <c r="C1061" i="1"/>
  <c r="C145" i="9"/>
  <c r="BG169" i="1"/>
  <c r="BG172" i="1" s="1"/>
  <c r="BF172" i="1"/>
  <c r="AK70" i="9"/>
  <c r="AK798" i="1"/>
  <c r="AK71" i="9" s="1"/>
  <c r="AK97" i="9" s="1"/>
  <c r="AX52" i="9"/>
  <c r="AX74" i="9" s="1"/>
  <c r="AX705" i="1"/>
  <c r="AY761" i="1"/>
  <c r="S914" i="1"/>
  <c r="R915" i="1"/>
  <c r="AV791" i="1"/>
  <c r="AV788" i="1"/>
  <c r="AV797" i="1" s="1"/>
  <c r="AV796" i="1"/>
  <c r="AV1061" i="1"/>
  <c r="AV145" i="9"/>
  <c r="V113" i="9"/>
  <c r="AQ120" i="9"/>
  <c r="AQ116" i="9"/>
  <c r="AM70" i="9"/>
  <c r="AM798" i="1"/>
  <c r="AM71" i="9" s="1"/>
  <c r="AM97" i="9" s="1"/>
  <c r="N120" i="9"/>
  <c r="N116" i="9"/>
  <c r="AZ51" i="9"/>
  <c r="AZ1005" i="1"/>
  <c r="AZ1032" i="1"/>
  <c r="AZ1004" i="1"/>
  <c r="AZ45" i="1"/>
  <c r="AZ48" i="9" s="1"/>
  <c r="O116" i="9"/>
  <c r="O120" i="9"/>
  <c r="BC758" i="1"/>
  <c r="BC48" i="1"/>
  <c r="BC50" i="1" s="1"/>
  <c r="BC21" i="1"/>
  <c r="BC27" i="9" s="1"/>
  <c r="BC146" i="1"/>
  <c r="J796" i="1"/>
  <c r="J791" i="1"/>
  <c r="J788" i="1"/>
  <c r="J797" i="1" s="1"/>
  <c r="J1061" i="1"/>
  <c r="J145" i="9"/>
  <c r="T120" i="9"/>
  <c r="T116" i="9"/>
  <c r="BB1022" i="1"/>
  <c r="BA1028" i="1"/>
  <c r="BA984" i="1"/>
  <c r="AP70" i="9"/>
  <c r="AP798" i="1"/>
  <c r="AP71" i="9" s="1"/>
  <c r="AP97" i="9" s="1"/>
  <c r="AF113" i="9"/>
  <c r="AU1068" i="1"/>
  <c r="AU786" i="1"/>
  <c r="AU1060" i="1"/>
  <c r="K796" i="1"/>
  <c r="K791" i="1"/>
  <c r="K788" i="1"/>
  <c r="K797" i="1" s="1"/>
  <c r="K1061" i="1"/>
  <c r="K145" i="9"/>
  <c r="AV1068" i="1"/>
  <c r="AY148" i="1"/>
  <c r="AY52" i="1"/>
  <c r="AY60" i="1" s="1"/>
  <c r="AY524" i="1"/>
  <c r="H1137" i="1"/>
  <c r="H1135" i="1"/>
  <c r="H1133" i="1" s="1"/>
  <c r="H1130" i="1"/>
  <c r="H1123" i="1"/>
  <c r="H1128" i="1"/>
  <c r="H1126" i="1" s="1"/>
  <c r="H856" i="1" s="1"/>
  <c r="H1121" i="1"/>
  <c r="H1119" i="1" s="1"/>
  <c r="H855" i="1" s="1"/>
  <c r="H1144" i="1"/>
  <c r="H1142" i="1"/>
  <c r="H1140" i="1" s="1"/>
  <c r="H858" i="1" s="1"/>
  <c r="AT70" i="9"/>
  <c r="AT798" i="1"/>
  <c r="AT71" i="9" s="1"/>
  <c r="AT97" i="9" s="1"/>
  <c r="F1070" i="1"/>
  <c r="F968" i="1"/>
  <c r="G965" i="1"/>
  <c r="G966" i="1" s="1"/>
  <c r="K965" i="1"/>
  <c r="K966" i="1" s="1"/>
  <c r="BF190" i="1"/>
  <c r="BF191" i="1" s="1"/>
  <c r="BG182" i="1"/>
  <c r="BG190" i="1" s="1"/>
  <c r="BG191" i="1" s="1"/>
  <c r="AG70" i="9"/>
  <c r="AG798" i="1"/>
  <c r="AG71" i="9" s="1"/>
  <c r="AG97" i="9" s="1"/>
  <c r="M796" i="1"/>
  <c r="M791" i="1"/>
  <c r="M788" i="1"/>
  <c r="M797" i="1" s="1"/>
  <c r="M1061" i="1"/>
  <c r="M145" i="9"/>
  <c r="AR120" i="9"/>
  <c r="AR116" i="9"/>
  <c r="Y1068" i="1"/>
  <c r="V796" i="1"/>
  <c r="V791" i="1"/>
  <c r="V788" i="1"/>
  <c r="V797" i="1" s="1"/>
  <c r="V1061" i="1"/>
  <c r="V145" i="9"/>
  <c r="BE193" i="1"/>
  <c r="BE192" i="1" s="1"/>
  <c r="S796" i="1"/>
  <c r="S791" i="1"/>
  <c r="S788" i="1"/>
  <c r="S797" i="1" s="1"/>
  <c r="S1061" i="1"/>
  <c r="S145" i="9"/>
  <c r="D70" i="9"/>
  <c r="D798" i="1"/>
  <c r="BC53" i="9"/>
  <c r="BC709" i="1"/>
  <c r="F796" i="1"/>
  <c r="F791" i="1"/>
  <c r="F788" i="1"/>
  <c r="F797" i="1" s="1"/>
  <c r="F1061" i="1"/>
  <c r="F145" i="9"/>
  <c r="F10" i="9"/>
  <c r="F139" i="9"/>
  <c r="AP120" i="9"/>
  <c r="AP116" i="9"/>
  <c r="W113" i="9"/>
  <c r="P70" i="9"/>
  <c r="P798" i="1"/>
  <c r="P71" i="9" s="1"/>
  <c r="P97" i="9" s="1"/>
  <c r="AP965" i="1"/>
  <c r="AO968" i="1"/>
  <c r="W70" i="9"/>
  <c r="W798" i="1"/>
  <c r="W71" i="9" s="1"/>
  <c r="W97" i="9" s="1"/>
  <c r="AB70" i="9"/>
  <c r="AB798" i="1"/>
  <c r="AB71" i="9" s="1"/>
  <c r="AB97" i="9" s="1"/>
  <c r="Y796" i="1"/>
  <c r="Y791" i="1"/>
  <c r="Y788" i="1"/>
  <c r="Y797" i="1" s="1"/>
  <c r="Y1061" i="1"/>
  <c r="Y145" i="9"/>
  <c r="V1068" i="1"/>
  <c r="BF188" i="1"/>
  <c r="BG185" i="1"/>
  <c r="BG188" i="1" s="1"/>
  <c r="AN914" i="1"/>
  <c r="AM915" i="1"/>
  <c r="BC52" i="9"/>
  <c r="BC705" i="1"/>
  <c r="AK1070" i="1"/>
  <c r="AK968" i="1"/>
  <c r="AL965" i="1"/>
  <c r="AL966" i="1" s="1"/>
  <c r="AS791" i="1"/>
  <c r="AS788" i="1"/>
  <c r="AS797" i="1" s="1"/>
  <c r="AS796" i="1"/>
  <c r="AS1061" i="1"/>
  <c r="AS145" i="9"/>
  <c r="AZ53" i="9"/>
  <c r="BD764" i="1"/>
  <c r="AZ709" i="1"/>
  <c r="C846" i="1"/>
  <c r="C852" i="1"/>
  <c r="AY51" i="9"/>
  <c r="AY762" i="1"/>
  <c r="AY765" i="1" s="1"/>
  <c r="AY45" i="1"/>
  <c r="AY48" i="9" s="1"/>
  <c r="C10" i="9"/>
  <c r="C139" i="9"/>
  <c r="BB709" i="1"/>
  <c r="BF180" i="1"/>
  <c r="BG177" i="1"/>
  <c r="BG180" i="1" s="1"/>
  <c r="D850" i="1"/>
  <c r="D849" i="1"/>
  <c r="D853" i="1"/>
  <c r="W2" i="9"/>
  <c r="X5" i="1"/>
  <c r="U70" i="9"/>
  <c r="U798" i="1"/>
  <c r="U71" i="9" s="1"/>
  <c r="U97" i="9" s="1"/>
  <c r="BA74" i="9"/>
  <c r="BE1039" i="1"/>
  <c r="BF828" i="1"/>
  <c r="AA2" i="9"/>
  <c r="AB5" i="1"/>
  <c r="AL791" i="1"/>
  <c r="AO1077" i="1" s="1"/>
  <c r="AL788" i="1"/>
  <c r="AL797" i="1" s="1"/>
  <c r="AL796" i="1"/>
  <c r="AL1061" i="1"/>
  <c r="AL145" i="9"/>
  <c r="BC8" i="9"/>
  <c r="BC1063" i="1"/>
  <c r="BC827" i="1"/>
  <c r="BC1033" i="1" s="1"/>
  <c r="BD1033" i="1" s="1"/>
  <c r="BF158" i="1"/>
  <c r="BE164" i="1"/>
  <c r="BE195" i="1" s="1"/>
  <c r="BE197" i="1" s="1"/>
  <c r="BE111" i="1" s="1"/>
  <c r="X70" i="9"/>
  <c r="X798" i="1"/>
  <c r="X71" i="9" s="1"/>
  <c r="X97" i="9" s="1"/>
  <c r="AJ796" i="1"/>
  <c r="AJ791" i="1"/>
  <c r="AJ1077" i="1" s="1"/>
  <c r="AJ788" i="1"/>
  <c r="AJ797" i="1" s="1"/>
  <c r="AJ1061" i="1"/>
  <c r="AJ145" i="9"/>
  <c r="AX762" i="1"/>
  <c r="AX765" i="1" s="1"/>
  <c r="J1" i="9"/>
  <c r="K4" i="1"/>
  <c r="J3" i="1"/>
  <c r="J1143" i="1"/>
  <c r="BA51" i="9"/>
  <c r="BA1032" i="1"/>
  <c r="BA1004" i="1"/>
  <c r="BA1005" i="1"/>
  <c r="BA762" i="1"/>
  <c r="BA765" i="1" s="1"/>
  <c r="BA45" i="1"/>
  <c r="BA48" i="9" s="1"/>
  <c r="AC116" i="9"/>
  <c r="AC120" i="9"/>
  <c r="BA709" i="1"/>
  <c r="AE2" i="9"/>
  <c r="AJ5" i="1"/>
  <c r="AF5" i="1"/>
  <c r="AH1070" i="1"/>
  <c r="AI965" i="1"/>
  <c r="AI966" i="1" s="1"/>
  <c r="AH968" i="1"/>
  <c r="M116" i="9"/>
  <c r="M120" i="9"/>
  <c r="BA148" i="1"/>
  <c r="BA52" i="1"/>
  <c r="BA60" i="1" s="1"/>
  <c r="BA524" i="1"/>
  <c r="AU113" i="9"/>
  <c r="AW113" i="9"/>
  <c r="BB148" i="1"/>
  <c r="BB52" i="1"/>
  <c r="BB60" i="1" s="1"/>
  <c r="BB524" i="1"/>
  <c r="AY1005" i="1"/>
  <c r="AX933" i="1"/>
  <c r="AY933" i="1" s="1"/>
  <c r="I1117" i="1"/>
  <c r="BA75" i="9"/>
  <c r="AO70" i="9"/>
  <c r="AO798" i="1"/>
  <c r="AO71" i="9" s="1"/>
  <c r="AO97" i="9" s="1"/>
  <c r="AA70" i="9"/>
  <c r="AA798" i="1"/>
  <c r="AA71" i="9" s="1"/>
  <c r="AA97" i="9" s="1"/>
  <c r="T786" i="1"/>
  <c r="T1068" i="1"/>
  <c r="T1060" i="1"/>
  <c r="AN791" i="1"/>
  <c r="AN788" i="1"/>
  <c r="AN797" i="1" s="1"/>
  <c r="AN796" i="1"/>
  <c r="AN1061" i="1"/>
  <c r="AN145" i="9"/>
  <c r="E70" i="9"/>
  <c r="E798" i="1"/>
  <c r="BD116" i="1"/>
  <c r="BD120" i="1" s="1"/>
  <c r="BD16" i="1"/>
  <c r="BD22" i="9" s="1"/>
  <c r="AY1004" i="1"/>
  <c r="AX932" i="1"/>
  <c r="AZ483" i="1"/>
  <c r="AZ761" i="1" s="1"/>
  <c r="AZ762" i="1" s="1"/>
  <c r="AZ765" i="1" s="1"/>
  <c r="BD479" i="1"/>
  <c r="BD483" i="1" s="1"/>
  <c r="AD786" i="1"/>
  <c r="AD1068" i="1"/>
  <c r="AD1060" i="1"/>
  <c r="AE1076" i="1"/>
  <c r="Z70" i="9"/>
  <c r="Z798" i="1"/>
  <c r="Z71" i="9" s="1"/>
  <c r="Z97" i="9" s="1"/>
  <c r="AY53" i="9"/>
  <c r="AY75" i="9" s="1"/>
  <c r="AY709" i="1"/>
  <c r="AE70" i="9"/>
  <c r="AE798" i="1"/>
  <c r="AE71" i="9" s="1"/>
  <c r="AE97" i="9" s="1"/>
  <c r="R70" i="9"/>
  <c r="R798" i="1"/>
  <c r="R71" i="9" s="1"/>
  <c r="R97" i="9" s="1"/>
  <c r="I70" i="9"/>
  <c r="I798" i="1"/>
  <c r="I71" i="9" s="1"/>
  <c r="I97" i="9" s="1"/>
  <c r="D140" i="9"/>
  <c r="D137" i="9"/>
  <c r="AY1032" i="1"/>
  <c r="AX1036" i="1"/>
  <c r="AX935" i="1"/>
  <c r="AY935" i="1" s="1"/>
  <c r="BB51" i="9"/>
  <c r="BB75" i="9" s="1"/>
  <c r="BB1032" i="1"/>
  <c r="BB1005" i="1"/>
  <c r="BB1004" i="1"/>
  <c r="BB762" i="1"/>
  <c r="BB765" i="1" s="1"/>
  <c r="BB45" i="1"/>
  <c r="BB48" i="9" s="1"/>
  <c r="AX54" i="9"/>
  <c r="AQ791" i="1"/>
  <c r="AT1077" i="1" s="1"/>
  <c r="AQ796" i="1"/>
  <c r="AQ788" i="1"/>
  <c r="AQ797" i="1" s="1"/>
  <c r="AQ1061" i="1"/>
  <c r="AQ145" i="9"/>
  <c r="BF90" i="1"/>
  <c r="BF94" i="1" s="1"/>
  <c r="AG113" i="9"/>
  <c r="I1138" i="1"/>
  <c r="I1124" i="1"/>
  <c r="I1131" i="1"/>
  <c r="BE112" i="1" l="1"/>
  <c r="BE142" i="1" s="1"/>
  <c r="BE479" i="1" s="1"/>
  <c r="BE483" i="1" s="1"/>
  <c r="BE761" i="1" s="1"/>
  <c r="BE16" i="1"/>
  <c r="BE22" i="9" s="1"/>
  <c r="BE113" i="1"/>
  <c r="BE143" i="1" s="1"/>
  <c r="BE485" i="1" s="1"/>
  <c r="BE488" i="1" s="1"/>
  <c r="BE764" i="1" s="1"/>
  <c r="BE138" i="1"/>
  <c r="BE141" i="1" s="1"/>
  <c r="BE116" i="1"/>
  <c r="BE120" i="1" s="1"/>
  <c r="AZ772" i="1"/>
  <c r="AZ766" i="1"/>
  <c r="AZ710" i="1"/>
  <c r="BD827" i="1"/>
  <c r="BD829" i="1"/>
  <c r="AZ54" i="9"/>
  <c r="AZ76" i="9" s="1"/>
  <c r="AI968" i="1"/>
  <c r="AI1070" i="1"/>
  <c r="E71" i="9"/>
  <c r="E848" i="1"/>
  <c r="AY971" i="1"/>
  <c r="AY975" i="1" s="1"/>
  <c r="AZ932" i="1"/>
  <c r="BG158" i="1"/>
  <c r="BG164" i="1" s="1"/>
  <c r="BF164" i="1"/>
  <c r="D144" i="9"/>
  <c r="E131" i="9"/>
  <c r="D107" i="9"/>
  <c r="D108" i="9" s="1"/>
  <c r="D111" i="9" s="1"/>
  <c r="BA933" i="1"/>
  <c r="AY52" i="9"/>
  <c r="AY74" i="9" s="1"/>
  <c r="AY705" i="1"/>
  <c r="AH116" i="9"/>
  <c r="AH120" i="9"/>
  <c r="U144" i="9"/>
  <c r="Z131" i="9"/>
  <c r="U107" i="9"/>
  <c r="U108" i="9" s="1"/>
  <c r="U111" i="9" s="1"/>
  <c r="C849" i="1"/>
  <c r="C850" i="1"/>
  <c r="C853" i="1"/>
  <c r="BG193" i="1"/>
  <c r="BG192" i="1" s="1"/>
  <c r="BG195" i="1"/>
  <c r="BG197" i="1" s="1"/>
  <c r="BG111" i="1" s="1"/>
  <c r="P144" i="9"/>
  <c r="U131" i="9"/>
  <c r="P107" i="9"/>
  <c r="P108" i="9" s="1"/>
  <c r="P111" i="9" s="1"/>
  <c r="AT144" i="9"/>
  <c r="AT107" i="9"/>
  <c r="AT108" i="9" s="1"/>
  <c r="AT111" i="9" s="1"/>
  <c r="K70" i="9"/>
  <c r="K798" i="1"/>
  <c r="K71" i="9" s="1"/>
  <c r="K97" i="9" s="1"/>
  <c r="J70" i="9"/>
  <c r="J798" i="1"/>
  <c r="J71" i="9" s="1"/>
  <c r="J97" i="9" s="1"/>
  <c r="H144" i="9"/>
  <c r="H107" i="9"/>
  <c r="AI70" i="9"/>
  <c r="AI798" i="1"/>
  <c r="AI71" i="9" s="1"/>
  <c r="AI97" i="9" s="1"/>
  <c r="E144" i="9"/>
  <c r="E107" i="9"/>
  <c r="E108" i="9" s="1"/>
  <c r="E111" i="9" s="1"/>
  <c r="I1137" i="1"/>
  <c r="I1135" i="1"/>
  <c r="I1133" i="1" s="1"/>
  <c r="I1130" i="1"/>
  <c r="I1123" i="1"/>
  <c r="I1128" i="1"/>
  <c r="I1126" i="1" s="1"/>
  <c r="I856" i="1" s="1"/>
  <c r="I1121" i="1"/>
  <c r="I1119" i="1" s="1"/>
  <c r="I855" i="1" s="1"/>
  <c r="I1142" i="1"/>
  <c r="I1140" i="1" s="1"/>
  <c r="I858" i="1" s="1"/>
  <c r="I1144" i="1"/>
  <c r="AF2" i="9"/>
  <c r="AG5" i="1"/>
  <c r="K1" i="9"/>
  <c r="L4" i="1"/>
  <c r="K3" i="1"/>
  <c r="K1143" i="1"/>
  <c r="BD53" i="9"/>
  <c r="AR70" i="9"/>
  <c r="AR798" i="1"/>
  <c r="AR71" i="9" s="1"/>
  <c r="AR97" i="9" s="1"/>
  <c r="F853" i="1"/>
  <c r="F850" i="1"/>
  <c r="F849" i="1"/>
  <c r="AU791" i="1"/>
  <c r="AU788" i="1"/>
  <c r="AU797" i="1" s="1"/>
  <c r="AU796" i="1"/>
  <c r="AU1061" i="1"/>
  <c r="AU145" i="9"/>
  <c r="BC148" i="1"/>
  <c r="BC52" i="1"/>
  <c r="BC60" i="1" s="1"/>
  <c r="BC524" i="1"/>
  <c r="AM144" i="9"/>
  <c r="AR131" i="9"/>
  <c r="AM107" i="9"/>
  <c r="AK144" i="9"/>
  <c r="AP131" i="9"/>
  <c r="AK107" i="9"/>
  <c r="AF144" i="9"/>
  <c r="AK131" i="9"/>
  <c r="AF107" i="9"/>
  <c r="BC1015" i="1"/>
  <c r="BB990" i="1"/>
  <c r="AO144" i="9"/>
  <c r="AT131" i="9"/>
  <c r="AO107" i="9"/>
  <c r="AO108" i="9" s="1"/>
  <c r="AO111" i="9" s="1"/>
  <c r="X2" i="9"/>
  <c r="Y5" i="1"/>
  <c r="Y2" i="9" s="1"/>
  <c r="AG120" i="9"/>
  <c r="AG116" i="9"/>
  <c r="Z144" i="9"/>
  <c r="AE131" i="9"/>
  <c r="Z107" i="9"/>
  <c r="Z108" i="9" s="1"/>
  <c r="Z111" i="9" s="1"/>
  <c r="AX772" i="1"/>
  <c r="AX766" i="1"/>
  <c r="AX710" i="1"/>
  <c r="F137" i="9"/>
  <c r="F140" i="9"/>
  <c r="S70" i="9"/>
  <c r="S798" i="1"/>
  <c r="S71" i="9" s="1"/>
  <c r="S97" i="9" s="1"/>
  <c r="AF116" i="9"/>
  <c r="AF120" i="9"/>
  <c r="X116" i="9"/>
  <c r="X120" i="9"/>
  <c r="BA989" i="1"/>
  <c r="BB986" i="1"/>
  <c r="AO914" i="1"/>
  <c r="AO915" i="1" s="1"/>
  <c r="AN915" i="1"/>
  <c r="BB766" i="1"/>
  <c r="BB772" i="1"/>
  <c r="BB121" i="9" s="1"/>
  <c r="BB710" i="1"/>
  <c r="BB1074" i="1" s="1"/>
  <c r="BF193" i="1"/>
  <c r="BF192" i="1" s="1"/>
  <c r="BF195" i="1"/>
  <c r="BF197" i="1" s="1"/>
  <c r="BF111" i="1" s="1"/>
  <c r="M70" i="9"/>
  <c r="M798" i="1"/>
  <c r="M71" i="9" s="1"/>
  <c r="M97" i="9" s="1"/>
  <c r="AX123" i="9"/>
  <c r="AX124" i="9" s="1"/>
  <c r="Y70" i="9"/>
  <c r="Y798" i="1"/>
  <c r="Y71" i="9" s="1"/>
  <c r="Y97" i="9" s="1"/>
  <c r="BC51" i="9"/>
  <c r="BC1032" i="1"/>
  <c r="BC1004" i="1"/>
  <c r="BD1004" i="1" s="1"/>
  <c r="BC1005" i="1"/>
  <c r="BD1005" i="1" s="1"/>
  <c r="BC762" i="1"/>
  <c r="BC765" i="1" s="1"/>
  <c r="BC45" i="1"/>
  <c r="BC48" i="9" s="1"/>
  <c r="V116" i="9"/>
  <c r="V120" i="9"/>
  <c r="N70" i="9"/>
  <c r="N798" i="1"/>
  <c r="N71" i="9" s="1"/>
  <c r="N97" i="9" s="1"/>
  <c r="H857" i="1"/>
  <c r="H859" i="1" s="1"/>
  <c r="H844" i="1" s="1"/>
  <c r="H845" i="1" s="1"/>
  <c r="H846" i="1" s="1"/>
  <c r="H4" i="9"/>
  <c r="H6" i="9" s="1"/>
  <c r="H10" i="9" s="1"/>
  <c r="AG144" i="9"/>
  <c r="AG107" i="9"/>
  <c r="AW116" i="9"/>
  <c r="AW120" i="9"/>
  <c r="AS70" i="9"/>
  <c r="AS798" i="1"/>
  <c r="AS71" i="9" s="1"/>
  <c r="AS97" i="9" s="1"/>
  <c r="AP144" i="9"/>
  <c r="AP107" i="9"/>
  <c r="K1077" i="1"/>
  <c r="AD120" i="9"/>
  <c r="AD116" i="9"/>
  <c r="W120" i="9"/>
  <c r="W116" i="9"/>
  <c r="BB1036" i="1"/>
  <c r="BB123" i="9" s="1"/>
  <c r="BB935" i="1"/>
  <c r="BB54" i="9"/>
  <c r="BB76" i="9" s="1"/>
  <c r="AD796" i="1"/>
  <c r="AD791" i="1"/>
  <c r="AD788" i="1"/>
  <c r="AD797" i="1" s="1"/>
  <c r="AD1061" i="1"/>
  <c r="AD145" i="9"/>
  <c r="AU120" i="9"/>
  <c r="AU116" i="9"/>
  <c r="BA766" i="1"/>
  <c r="BA772" i="1"/>
  <c r="BA121" i="9" s="1"/>
  <c r="BA710" i="1"/>
  <c r="BA1074" i="1" s="1"/>
  <c r="AJ70" i="9"/>
  <c r="AJ798" i="1"/>
  <c r="AJ71" i="9" s="1"/>
  <c r="AJ97" i="9" s="1"/>
  <c r="AL70" i="9"/>
  <c r="AL131" i="9" s="1"/>
  <c r="AL798" i="1"/>
  <c r="AL71" i="9" s="1"/>
  <c r="AL97" i="9" s="1"/>
  <c r="AL1070" i="1"/>
  <c r="AL968" i="1"/>
  <c r="AM965" i="1"/>
  <c r="AM966" i="1" s="1"/>
  <c r="AG131" i="9"/>
  <c r="AB107" i="9"/>
  <c r="AB144" i="9"/>
  <c r="F70" i="9"/>
  <c r="F131" i="9" s="1"/>
  <c r="F798" i="1"/>
  <c r="BB980" i="1"/>
  <c r="BA983" i="1"/>
  <c r="C70" i="9"/>
  <c r="C798" i="1"/>
  <c r="G144" i="9"/>
  <c r="L131" i="9"/>
  <c r="G107" i="9"/>
  <c r="AC70" i="9"/>
  <c r="AC798" i="1"/>
  <c r="AC71" i="9" s="1"/>
  <c r="AC97" i="9" s="1"/>
  <c r="AX1074" i="1"/>
  <c r="AX706" i="1"/>
  <c r="AZ75" i="9"/>
  <c r="BB74" i="9"/>
  <c r="T796" i="1"/>
  <c r="T791" i="1"/>
  <c r="T788" i="1"/>
  <c r="T797" i="1" s="1"/>
  <c r="T1061" i="1"/>
  <c r="T145" i="9"/>
  <c r="BB933" i="1"/>
  <c r="AB2" i="9"/>
  <c r="AC5" i="1"/>
  <c r="K1070" i="1"/>
  <c r="P965" i="1"/>
  <c r="P966" i="1" s="1"/>
  <c r="K968" i="1"/>
  <c r="L965" i="1"/>
  <c r="L966" i="1" s="1"/>
  <c r="BD758" i="1"/>
  <c r="O70" i="9"/>
  <c r="O798" i="1"/>
  <c r="O71" i="9" s="1"/>
  <c r="O97" i="9" s="1"/>
  <c r="AE144" i="9"/>
  <c r="AJ131" i="9"/>
  <c r="AE107" i="9"/>
  <c r="AE108" i="9" s="1"/>
  <c r="AE111" i="9" s="1"/>
  <c r="AJ2" i="9"/>
  <c r="AO5" i="1"/>
  <c r="AK5" i="1"/>
  <c r="AY972" i="1"/>
  <c r="AY976" i="1" s="1"/>
  <c r="AZ933" i="1"/>
  <c r="BB932" i="1"/>
  <c r="BB87" i="9" s="1"/>
  <c r="C137" i="9"/>
  <c r="C140" i="9"/>
  <c r="W144" i="9"/>
  <c r="AB131" i="9"/>
  <c r="W107" i="9"/>
  <c r="G1070" i="1"/>
  <c r="H965" i="1"/>
  <c r="H966" i="1" s="1"/>
  <c r="G968" i="1"/>
  <c r="BB1028" i="1"/>
  <c r="BC1022" i="1"/>
  <c r="BB984" i="1"/>
  <c r="AV70" i="9"/>
  <c r="AV798" i="1"/>
  <c r="AV71" i="9" s="1"/>
  <c r="AV97" i="9" s="1"/>
  <c r="BD148" i="1"/>
  <c r="BD52" i="1"/>
  <c r="BD60" i="1" s="1"/>
  <c r="BD524" i="1"/>
  <c r="AQ70" i="9"/>
  <c r="AQ798" i="1"/>
  <c r="AQ71" i="9" s="1"/>
  <c r="AQ97" i="9" s="1"/>
  <c r="AZ52" i="9"/>
  <c r="AZ74" i="9" s="1"/>
  <c r="BD761" i="1"/>
  <c r="AZ705" i="1"/>
  <c r="BA1036" i="1"/>
  <c r="BA123" i="9" s="1"/>
  <c r="BA124" i="9" s="1"/>
  <c r="BA935" i="1"/>
  <c r="X144" i="9"/>
  <c r="X107" i="9"/>
  <c r="BF1039" i="1"/>
  <c r="BG828" i="1"/>
  <c r="BG1039" i="1" s="1"/>
  <c r="BC706" i="1"/>
  <c r="BC75" i="9"/>
  <c r="V70" i="9"/>
  <c r="Z1077" i="1"/>
  <c r="V798" i="1"/>
  <c r="V71" i="9" s="1"/>
  <c r="V97" i="9" s="1"/>
  <c r="BA932" i="1"/>
  <c r="AM131" i="9"/>
  <c r="AH144" i="9"/>
  <c r="AH107" i="9"/>
  <c r="P1077" i="1"/>
  <c r="U1077" i="1"/>
  <c r="J1117" i="1"/>
  <c r="AY973" i="1"/>
  <c r="AY977" i="1" s="1"/>
  <c r="AY1036" i="1"/>
  <c r="AN70" i="9"/>
  <c r="AN798" i="1"/>
  <c r="AN71" i="9" s="1"/>
  <c r="AN97" i="9" s="1"/>
  <c r="I144" i="9"/>
  <c r="N131" i="9"/>
  <c r="I107" i="9"/>
  <c r="AX76" i="9"/>
  <c r="W131" i="9"/>
  <c r="R144" i="9"/>
  <c r="R107" i="9"/>
  <c r="AX87" i="9"/>
  <c r="AY932" i="1"/>
  <c r="AY87" i="9" s="1"/>
  <c r="AA144" i="9"/>
  <c r="AF131" i="9"/>
  <c r="AA107" i="9"/>
  <c r="BA54" i="9"/>
  <c r="BA76" i="9" s="1"/>
  <c r="AY710" i="1"/>
  <c r="AY772" i="1"/>
  <c r="BC74" i="9"/>
  <c r="AP966" i="1"/>
  <c r="AT965" i="1"/>
  <c r="AT966" i="1" s="1"/>
  <c r="D71" i="9"/>
  <c r="D848" i="1"/>
  <c r="AZ1036" i="1"/>
  <c r="AZ123" i="9" s="1"/>
  <c r="AZ124" i="9" s="1"/>
  <c r="AZ935" i="1"/>
  <c r="T914" i="1"/>
  <c r="S915" i="1"/>
  <c r="AW144" i="9"/>
  <c r="AW107" i="9"/>
  <c r="Q131" i="9"/>
  <c r="L144" i="9"/>
  <c r="L107" i="9"/>
  <c r="Q144" i="9"/>
  <c r="V131" i="9"/>
  <c r="Q107" i="9"/>
  <c r="J1138" i="1"/>
  <c r="J1124" i="1"/>
  <c r="J1131" i="1"/>
  <c r="I4" i="9" l="1"/>
  <c r="I6" i="9" s="1"/>
  <c r="I10" i="9" s="1"/>
  <c r="I857" i="1"/>
  <c r="I859" i="1" s="1"/>
  <c r="I844" i="1" s="1"/>
  <c r="I845" i="1" s="1"/>
  <c r="I846" i="1" s="1"/>
  <c r="K144" i="9"/>
  <c r="P131" i="9"/>
  <c r="K107" i="9"/>
  <c r="K108" i="9" s="1"/>
  <c r="K111" i="9" s="1"/>
  <c r="AY1074" i="1"/>
  <c r="AY706" i="1"/>
  <c r="V144" i="9"/>
  <c r="AA131" i="9"/>
  <c r="V107" i="9"/>
  <c r="P1070" i="1"/>
  <c r="U965" i="1"/>
  <c r="U966" i="1" s="1"/>
  <c r="Q965" i="1"/>
  <c r="Q966" i="1" s="1"/>
  <c r="P968" i="1"/>
  <c r="AQ965" i="1"/>
  <c r="AQ966" i="1" s="1"/>
  <c r="AP968" i="1"/>
  <c r="BB124" i="9"/>
  <c r="AC2" i="9"/>
  <c r="AD5" i="1"/>
  <c r="AD2" i="9" s="1"/>
  <c r="S144" i="9"/>
  <c r="S107" i="9"/>
  <c r="X131" i="9"/>
  <c r="L1" i="9"/>
  <c r="M4" i="1"/>
  <c r="L3" i="1"/>
  <c r="L1143" i="1"/>
  <c r="BD8" i="9"/>
  <c r="BD1063" i="1"/>
  <c r="BE829" i="1"/>
  <c r="BE832" i="1"/>
  <c r="AC107" i="9"/>
  <c r="AC144" i="9"/>
  <c r="AH131" i="9"/>
  <c r="AY121" i="9"/>
  <c r="AY122" i="9" s="1"/>
  <c r="I993" i="1"/>
  <c r="G993" i="1"/>
  <c r="H993" i="1"/>
  <c r="H837" i="1"/>
  <c r="I992" i="1"/>
  <c r="H992" i="1"/>
  <c r="J993" i="1"/>
  <c r="J992" i="1"/>
  <c r="G837" i="1"/>
  <c r="I837" i="1"/>
  <c r="J837" i="1"/>
  <c r="G992" i="1"/>
  <c r="G995" i="1"/>
  <c r="G994" i="1"/>
  <c r="H994" i="1"/>
  <c r="H995" i="1"/>
  <c r="I995" i="1"/>
  <c r="I994" i="1"/>
  <c r="C71" i="9"/>
  <c r="C848" i="1"/>
  <c r="AJ144" i="9"/>
  <c r="AO131" i="9"/>
  <c r="AJ107" i="9"/>
  <c r="AJ108" i="9" s="1"/>
  <c r="AJ111" i="9" s="1"/>
  <c r="M144" i="9"/>
  <c r="R131" i="9"/>
  <c r="M107" i="9"/>
  <c r="BC986" i="1"/>
  <c r="BB989" i="1"/>
  <c r="K1117" i="1"/>
  <c r="J995" i="1"/>
  <c r="C144" i="9"/>
  <c r="D131" i="9"/>
  <c r="C107" i="9"/>
  <c r="C108" i="9" s="1"/>
  <c r="C111" i="9" s="1"/>
  <c r="BC932" i="1"/>
  <c r="BF112" i="1"/>
  <c r="BF142" i="1" s="1"/>
  <c r="BF479" i="1" s="1"/>
  <c r="BF483" i="1" s="1"/>
  <c r="BF761" i="1" s="1"/>
  <c r="BF113" i="1"/>
  <c r="BF143" i="1" s="1"/>
  <c r="BF485" i="1" s="1"/>
  <c r="BF488" i="1" s="1"/>
  <c r="BF764" i="1" s="1"/>
  <c r="BF16" i="1"/>
  <c r="BF22" i="9" s="1"/>
  <c r="BF138" i="1"/>
  <c r="BF141" i="1" s="1"/>
  <c r="BD1015" i="1"/>
  <c r="BC990" i="1"/>
  <c r="BC989" i="1" s="1"/>
  <c r="J994" i="1"/>
  <c r="L1070" i="1"/>
  <c r="L968" i="1"/>
  <c r="M965" i="1"/>
  <c r="M966" i="1" s="1"/>
  <c r="AK2" i="9"/>
  <c r="AL5" i="1"/>
  <c r="N144" i="9"/>
  <c r="S131" i="9"/>
  <c r="N107" i="9"/>
  <c r="N108" i="9" s="1"/>
  <c r="N111" i="9" s="1"/>
  <c r="AU70" i="9"/>
  <c r="AU798" i="1"/>
  <c r="AU71" i="9" s="1"/>
  <c r="AU97" i="9" s="1"/>
  <c r="BG113" i="1"/>
  <c r="BG143" i="1" s="1"/>
  <c r="BG485" i="1" s="1"/>
  <c r="BG488" i="1" s="1"/>
  <c r="BG764" i="1" s="1"/>
  <c r="BG16" i="1"/>
  <c r="BG22" i="9" s="1"/>
  <c r="BG112" i="1"/>
  <c r="BG142" i="1" s="1"/>
  <c r="BG479" i="1" s="1"/>
  <c r="BG483" i="1" s="1"/>
  <c r="BG761" i="1" s="1"/>
  <c r="BG138" i="1"/>
  <c r="BG141" i="1" s="1"/>
  <c r="U914" i="1"/>
  <c r="U915" i="1" s="1"/>
  <c r="V914" i="1" s="1"/>
  <c r="T915" i="1"/>
  <c r="AU965" i="1"/>
  <c r="AU966" i="1" s="1"/>
  <c r="AY965" i="1"/>
  <c r="AT968" i="1"/>
  <c r="AY123" i="9"/>
  <c r="AY124" i="9" s="1"/>
  <c r="AV144" i="9"/>
  <c r="AV107" i="9"/>
  <c r="AO2" i="9"/>
  <c r="AT5" i="1"/>
  <c r="AP5" i="1"/>
  <c r="BA69" i="9"/>
  <c r="BA711" i="1"/>
  <c r="AG2" i="9"/>
  <c r="AH5" i="1"/>
  <c r="AI144" i="9"/>
  <c r="AN131" i="9"/>
  <c r="AI107" i="9"/>
  <c r="AI108" i="9" s="1"/>
  <c r="AI111" i="9" s="1"/>
  <c r="AY54" i="9"/>
  <c r="AZ69" i="9"/>
  <c r="AZ711" i="1"/>
  <c r="AQ144" i="9"/>
  <c r="AV131" i="9"/>
  <c r="AQ107" i="9"/>
  <c r="Y144" i="9"/>
  <c r="Y107" i="9"/>
  <c r="Y108" i="9" s="1"/>
  <c r="Y111" i="9" s="1"/>
  <c r="AL144" i="9"/>
  <c r="AQ131" i="9"/>
  <c r="AL107" i="9"/>
  <c r="AL108" i="9" s="1"/>
  <c r="AL111" i="9" s="1"/>
  <c r="J1137" i="1"/>
  <c r="J1135" i="1"/>
  <c r="J1133" i="1" s="1"/>
  <c r="J1130" i="1"/>
  <c r="J1123" i="1"/>
  <c r="J1128" i="1"/>
  <c r="J1126" i="1" s="1"/>
  <c r="J856" i="1" s="1"/>
  <c r="J1121" i="1"/>
  <c r="J1119" i="1" s="1"/>
  <c r="J855" i="1" s="1"/>
  <c r="J1142" i="1"/>
  <c r="J1140" i="1" s="1"/>
  <c r="J858" i="1" s="1"/>
  <c r="J1144" i="1"/>
  <c r="BC933" i="1"/>
  <c r="BD933" i="1" s="1"/>
  <c r="AC131" i="9"/>
  <c r="BB983" i="1"/>
  <c r="BC980" i="1"/>
  <c r="AX69" i="9"/>
  <c r="AX711" i="1"/>
  <c r="AY766" i="1"/>
  <c r="AZ121" i="9"/>
  <c r="AZ122" i="9" s="1"/>
  <c r="AN144" i="9"/>
  <c r="AS131" i="9"/>
  <c r="AN107" i="9"/>
  <c r="AN108" i="9" s="1"/>
  <c r="AN111" i="9" s="1"/>
  <c r="BC1028" i="1"/>
  <c r="BD1022" i="1"/>
  <c r="BC984" i="1"/>
  <c r="T70" i="9"/>
  <c r="T798" i="1"/>
  <c r="T71" i="9" s="1"/>
  <c r="T97" i="9" s="1"/>
  <c r="F71" i="9"/>
  <c r="F848" i="1"/>
  <c r="BB69" i="9"/>
  <c r="BB711" i="1"/>
  <c r="AX121" i="9"/>
  <c r="AX122" i="9" s="1"/>
  <c r="AK108" i="9"/>
  <c r="AK111" i="9" s="1"/>
  <c r="M131" i="9"/>
  <c r="F144" i="9"/>
  <c r="K131" i="9"/>
  <c r="F107" i="9"/>
  <c r="F108" i="9" s="1"/>
  <c r="F111" i="9" s="1"/>
  <c r="BC772" i="1"/>
  <c r="BC121" i="9" s="1"/>
  <c r="BC766" i="1"/>
  <c r="BC710" i="1"/>
  <c r="BC1074" i="1" s="1"/>
  <c r="BE758" i="1"/>
  <c r="BE146" i="1"/>
  <c r="BE48" i="1"/>
  <c r="BE50" i="1" s="1"/>
  <c r="BE21" i="1"/>
  <c r="BE27" i="9" s="1"/>
  <c r="AZ87" i="9"/>
  <c r="BD932" i="1"/>
  <c r="BE53" i="9"/>
  <c r="BE709" i="1"/>
  <c r="AZ1074" i="1"/>
  <c r="AZ706" i="1"/>
  <c r="J144" i="9"/>
  <c r="O131" i="9"/>
  <c r="J107" i="9"/>
  <c r="J108" i="9" s="1"/>
  <c r="BD972" i="1"/>
  <c r="H1070" i="1"/>
  <c r="I965" i="1"/>
  <c r="I966" i="1" s="1"/>
  <c r="H968" i="1"/>
  <c r="BD52" i="9"/>
  <c r="BD705" i="1"/>
  <c r="O144" i="9"/>
  <c r="T131" i="9"/>
  <c r="O107" i="9"/>
  <c r="O108" i="9" s="1"/>
  <c r="O111" i="9" s="1"/>
  <c r="AD70" i="9"/>
  <c r="AD131" i="9" s="1"/>
  <c r="AD798" i="1"/>
  <c r="AD71" i="9" s="1"/>
  <c r="AD97" i="9" s="1"/>
  <c r="AE1077" i="1"/>
  <c r="AS107" i="9"/>
  <c r="AS108" i="9" s="1"/>
  <c r="AS111" i="9" s="1"/>
  <c r="AS144" i="9"/>
  <c r="BC1036" i="1"/>
  <c r="BC123" i="9" s="1"/>
  <c r="BC124" i="9" s="1"/>
  <c r="BD1032" i="1"/>
  <c r="BC935" i="1"/>
  <c r="BD935" i="1" s="1"/>
  <c r="AW131" i="9"/>
  <c r="AR107" i="9"/>
  <c r="AR144" i="9"/>
  <c r="BE52" i="9"/>
  <c r="BE705" i="1"/>
  <c r="AP914" i="1"/>
  <c r="AO1070" i="1"/>
  <c r="AB108" i="9"/>
  <c r="AB111" i="9" s="1"/>
  <c r="BD971" i="1"/>
  <c r="D97" i="9"/>
  <c r="D136" i="9"/>
  <c r="BA87" i="9"/>
  <c r="BD51" i="9"/>
  <c r="BD762" i="1"/>
  <c r="BD765" i="1" s="1"/>
  <c r="BD45" i="1"/>
  <c r="BD48" i="9" s="1"/>
  <c r="AM1070" i="1"/>
  <c r="AN965" i="1"/>
  <c r="AN966" i="1" s="1"/>
  <c r="AM968" i="1"/>
  <c r="BC54" i="9"/>
  <c r="BC76" i="9" s="1"/>
  <c r="BD709" i="1"/>
  <c r="E97" i="9"/>
  <c r="E136" i="9"/>
  <c r="K1131" i="1"/>
  <c r="K1138" i="1"/>
  <c r="K1124" i="1"/>
  <c r="BD74" i="9" l="1"/>
  <c r="AR108" i="9"/>
  <c r="AR111" i="9" s="1"/>
  <c r="BB143" i="9"/>
  <c r="BB103" i="9"/>
  <c r="BB77" i="9"/>
  <c r="AY69" i="9"/>
  <c r="AY711" i="1"/>
  <c r="AA108" i="9"/>
  <c r="AA111" i="9" s="1"/>
  <c r="BF52" i="9"/>
  <c r="U1070" i="1"/>
  <c r="Z965" i="1"/>
  <c r="Z966" i="1" s="1"/>
  <c r="U968" i="1"/>
  <c r="V965" i="1"/>
  <c r="V966" i="1" s="1"/>
  <c r="Q1070" i="1"/>
  <c r="Q968" i="1"/>
  <c r="R965" i="1"/>
  <c r="R966" i="1" s="1"/>
  <c r="BE148" i="1"/>
  <c r="BE52" i="1"/>
  <c r="BE60" i="1" s="1"/>
  <c r="BE524" i="1"/>
  <c r="F97" i="9"/>
  <c r="F136" i="9"/>
  <c r="AX143" i="9"/>
  <c r="AX103" i="9"/>
  <c r="AX77" i="9"/>
  <c r="AH2" i="9"/>
  <c r="AI5" i="1"/>
  <c r="AI2" i="9" s="1"/>
  <c r="BC87" i="9"/>
  <c r="C97" i="9"/>
  <c r="C136" i="9"/>
  <c r="M1" i="9"/>
  <c r="M1142" i="1"/>
  <c r="M1140" i="1" s="1"/>
  <c r="M858" i="1" s="1"/>
  <c r="M1117" i="1"/>
  <c r="N4" i="1"/>
  <c r="M3" i="1"/>
  <c r="M1143" i="1"/>
  <c r="M1144" i="1"/>
  <c r="AN968" i="1"/>
  <c r="AN1070" i="1"/>
  <c r="BD54" i="9"/>
  <c r="BD76" i="9" s="1"/>
  <c r="BD1036" i="1"/>
  <c r="BD123" i="9" s="1"/>
  <c r="BD124" i="9" s="1"/>
  <c r="BD973" i="1"/>
  <c r="AM108" i="9"/>
  <c r="AM111" i="9" s="1"/>
  <c r="BE972" i="1"/>
  <c r="BF972" i="1" s="1"/>
  <c r="BG972" i="1" s="1"/>
  <c r="BD976" i="1"/>
  <c r="BE51" i="9"/>
  <c r="BE1005" i="1"/>
  <c r="BE762" i="1"/>
  <c r="BE765" i="1" s="1"/>
  <c r="BE45" i="1"/>
  <c r="BE48" i="9" s="1"/>
  <c r="BB122" i="9"/>
  <c r="BA122" i="9"/>
  <c r="L1117" i="1"/>
  <c r="V108" i="9"/>
  <c r="V111" i="9" s="1"/>
  <c r="AQ914" i="1"/>
  <c r="AP915" i="1"/>
  <c r="AP1070" i="1" s="1"/>
  <c r="AL2" i="9"/>
  <c r="AM5" i="1"/>
  <c r="BF53" i="9"/>
  <c r="AU968" i="1"/>
  <c r="AV965" i="1"/>
  <c r="AV966" i="1" s="1"/>
  <c r="BC69" i="9"/>
  <c r="BC711" i="1"/>
  <c r="BC983" i="1"/>
  <c r="BA103" i="9"/>
  <c r="BA143" i="9"/>
  <c r="BA77" i="9"/>
  <c r="I1070" i="1"/>
  <c r="J965" i="1"/>
  <c r="J966" i="1" s="1"/>
  <c r="I968" i="1"/>
  <c r="AP108" i="9"/>
  <c r="AP111" i="9" s="1"/>
  <c r="BC122" i="9"/>
  <c r="BD1028" i="1"/>
  <c r="BE1022" i="1"/>
  <c r="BD984" i="1"/>
  <c r="L108" i="9"/>
  <c r="L111" i="9" s="1"/>
  <c r="Q108" i="9"/>
  <c r="Q111" i="9" s="1"/>
  <c r="T144" i="9"/>
  <c r="Y131" i="9"/>
  <c r="T107" i="9"/>
  <c r="BD975" i="1"/>
  <c r="BE971" i="1"/>
  <c r="BF971" i="1" s="1"/>
  <c r="BG971" i="1" s="1"/>
  <c r="AQ108" i="9"/>
  <c r="AQ111" i="9" s="1"/>
  <c r="W914" i="1"/>
  <c r="V915" i="1"/>
  <c r="M1070" i="1"/>
  <c r="M968" i="1"/>
  <c r="N965" i="1"/>
  <c r="N966" i="1" s="1"/>
  <c r="S108" i="9"/>
  <c r="S111" i="9" s="1"/>
  <c r="AP2" i="9"/>
  <c r="AQ5" i="1"/>
  <c r="BG758" i="1"/>
  <c r="BG705" i="1" s="1"/>
  <c r="BG146" i="1"/>
  <c r="BG21" i="1"/>
  <c r="BG27" i="9" s="1"/>
  <c r="BG48" i="1"/>
  <c r="BG50" i="1" s="1"/>
  <c r="K1137" i="1"/>
  <c r="K1135" i="1"/>
  <c r="K1133" i="1" s="1"/>
  <c r="K1130" i="1"/>
  <c r="K1123" i="1"/>
  <c r="K1128" i="1"/>
  <c r="K1126" i="1" s="1"/>
  <c r="K856" i="1" s="1"/>
  <c r="K1121" i="1"/>
  <c r="K1119" i="1" s="1"/>
  <c r="K855" i="1" s="1"/>
  <c r="K1142" i="1"/>
  <c r="K1140" i="1" s="1"/>
  <c r="K858" i="1" s="1"/>
  <c r="K1144" i="1"/>
  <c r="AT2" i="9"/>
  <c r="AY5" i="1"/>
  <c r="AU5" i="1"/>
  <c r="BG116" i="1"/>
  <c r="BG120" i="1" s="1"/>
  <c r="BG52" i="9"/>
  <c r="AC108" i="9"/>
  <c r="AC111" i="9" s="1"/>
  <c r="BD766" i="1"/>
  <c r="AV108" i="9"/>
  <c r="AV111" i="9" s="1"/>
  <c r="M108" i="9"/>
  <c r="M111" i="9" s="1"/>
  <c r="BE75" i="9"/>
  <c r="BG53" i="9"/>
  <c r="BE1015" i="1"/>
  <c r="BD990" i="1"/>
  <c r="BE8" i="9"/>
  <c r="BE1063" i="1"/>
  <c r="BE827" i="1"/>
  <c r="BE1033" i="1" s="1"/>
  <c r="BF832" i="1"/>
  <c r="BF829" i="1"/>
  <c r="AD144" i="9"/>
  <c r="AI131" i="9"/>
  <c r="AD107" i="9"/>
  <c r="R108" i="9"/>
  <c r="R111" i="9" s="1"/>
  <c r="BE706" i="1"/>
  <c r="BD772" i="1"/>
  <c r="BD121" i="9" s="1"/>
  <c r="BD122" i="9" s="1"/>
  <c r="BD710" i="1"/>
  <c r="BE74" i="9"/>
  <c r="BD1074" i="1"/>
  <c r="BD706" i="1"/>
  <c r="BD87" i="9"/>
  <c r="AZ143" i="9"/>
  <c r="AZ103" i="9"/>
  <c r="AZ77" i="9"/>
  <c r="BF758" i="1"/>
  <c r="BF48" i="1"/>
  <c r="BF50" i="1" s="1"/>
  <c r="BF21" i="1"/>
  <c r="BF27" i="9" s="1"/>
  <c r="BF146" i="1"/>
  <c r="AQ968" i="1"/>
  <c r="AR965" i="1"/>
  <c r="AR966" i="1" s="1"/>
  <c r="BD75" i="9"/>
  <c r="J857" i="1"/>
  <c r="J859" i="1" s="1"/>
  <c r="J844" i="1" s="1"/>
  <c r="J845" i="1" s="1"/>
  <c r="J846" i="1" s="1"/>
  <c r="J4" i="9"/>
  <c r="J6" i="9" s="1"/>
  <c r="J10" i="9" s="1"/>
  <c r="AY76" i="9"/>
  <c r="AU144" i="9"/>
  <c r="AU107" i="9"/>
  <c r="AU131" i="9"/>
  <c r="BF116" i="1"/>
  <c r="BF120" i="1" s="1"/>
  <c r="M1124" i="1"/>
  <c r="M1131" i="1"/>
  <c r="M1138" i="1"/>
  <c r="L1131" i="1"/>
  <c r="L1124" i="1"/>
  <c r="L1138" i="1"/>
  <c r="BG706" i="1" l="1"/>
  <c r="BD69" i="9"/>
  <c r="BD711" i="1"/>
  <c r="AR914" i="1"/>
  <c r="AQ915" i="1"/>
  <c r="AQ1070" i="1" s="1"/>
  <c r="L1137" i="1"/>
  <c r="L1135" i="1"/>
  <c r="L1133" i="1" s="1"/>
  <c r="L1130" i="1"/>
  <c r="L1123" i="1"/>
  <c r="L1128" i="1"/>
  <c r="L1126" i="1" s="1"/>
  <c r="L856" i="1" s="1"/>
  <c r="L1121" i="1"/>
  <c r="L1119" i="1" s="1"/>
  <c r="L855" i="1" s="1"/>
  <c r="L1142" i="1"/>
  <c r="L1140" i="1" s="1"/>
  <c r="L858" i="1" s="1"/>
  <c r="L1144" i="1"/>
  <c r="AR968" i="1"/>
  <c r="BF148" i="1"/>
  <c r="BF52" i="1"/>
  <c r="BF60" i="1" s="1"/>
  <c r="BF524" i="1"/>
  <c r="BF51" i="9"/>
  <c r="BF1004" i="1"/>
  <c r="BF1005" i="1"/>
  <c r="BG933" i="1" s="1"/>
  <c r="BF762" i="1"/>
  <c r="BF765" i="1" s="1"/>
  <c r="BF45" i="1"/>
  <c r="BF48" i="9" s="1"/>
  <c r="AD108" i="9"/>
  <c r="AD111" i="9" s="1"/>
  <c r="AG108" i="9"/>
  <c r="AG111" i="9" s="1"/>
  <c r="AH108" i="9"/>
  <c r="AH111" i="9" s="1"/>
  <c r="AF108" i="9"/>
  <c r="AF111" i="9" s="1"/>
  <c r="BF8" i="9"/>
  <c r="BF1063" i="1"/>
  <c r="BG829" i="1"/>
  <c r="BF827" i="1"/>
  <c r="BF1033" i="1" s="1"/>
  <c r="BG832" i="1"/>
  <c r="BF705" i="1"/>
  <c r="BG148" i="1"/>
  <c r="BG52" i="1"/>
  <c r="BG60" i="1" s="1"/>
  <c r="BG524" i="1"/>
  <c r="BC143" i="9"/>
  <c r="BC77" i="9"/>
  <c r="BC103" i="9"/>
  <c r="BF74" i="9"/>
  <c r="T108" i="9"/>
  <c r="T111" i="9" s="1"/>
  <c r="X108" i="9"/>
  <c r="X111" i="9" s="1"/>
  <c r="W108" i="9"/>
  <c r="W111" i="9" s="1"/>
  <c r="AW965" i="1"/>
  <c r="AW966" i="1" s="1"/>
  <c r="AV968" i="1"/>
  <c r="AU2" i="9"/>
  <c r="AV5" i="1"/>
  <c r="AQ2" i="9"/>
  <c r="AR5" i="1"/>
  <c r="BD983" i="1"/>
  <c r="BE980" i="1"/>
  <c r="BE772" i="1"/>
  <c r="BE121" i="9" s="1"/>
  <c r="BE122" i="9" s="1"/>
  <c r="BE766" i="1"/>
  <c r="BE710" i="1"/>
  <c r="BE1074" i="1" s="1"/>
  <c r="K4" i="9"/>
  <c r="K857" i="1"/>
  <c r="K859" i="1" s="1"/>
  <c r="K844" i="1" s="1"/>
  <c r="AY2" i="9"/>
  <c r="AY1105" i="1"/>
  <c r="AY1106" i="1" s="1"/>
  <c r="AZ5" i="1"/>
  <c r="BD5" i="1"/>
  <c r="BF1022" i="1"/>
  <c r="BE1028" i="1"/>
  <c r="BE984" i="1"/>
  <c r="N1" i="9"/>
  <c r="N3" i="1"/>
  <c r="O4" i="1"/>
  <c r="N1143" i="1"/>
  <c r="BG75" i="9"/>
  <c r="Z968" i="1"/>
  <c r="AA965" i="1"/>
  <c r="AA966" i="1" s="1"/>
  <c r="AU108" i="9"/>
  <c r="AU111" i="9" s="1"/>
  <c r="AW108" i="9"/>
  <c r="AW111" i="9" s="1"/>
  <c r="BG51" i="9"/>
  <c r="BG74" i="9" s="1"/>
  <c r="BG1005" i="1"/>
  <c r="BG1004" i="1"/>
  <c r="BG762" i="1"/>
  <c r="BG765" i="1" s="1"/>
  <c r="BG45" i="1"/>
  <c r="BG48" i="9" s="1"/>
  <c r="BE986" i="1"/>
  <c r="BD989" i="1"/>
  <c r="BF709" i="1"/>
  <c r="BE1004" i="1"/>
  <c r="M1135" i="1"/>
  <c r="M1133" i="1" s="1"/>
  <c r="M1130" i="1"/>
  <c r="M1123" i="1"/>
  <c r="M1128" i="1"/>
  <c r="M1126" i="1" s="1"/>
  <c r="M856" i="1" s="1"/>
  <c r="M1121" i="1"/>
  <c r="M1119" i="1" s="1"/>
  <c r="M855" i="1" s="1"/>
  <c r="M1137" i="1"/>
  <c r="AY143" i="9"/>
  <c r="AY103" i="9"/>
  <c r="AY77" i="9"/>
  <c r="BF1015" i="1"/>
  <c r="BE990" i="1"/>
  <c r="N1070" i="1"/>
  <c r="O965" i="1"/>
  <c r="O966" i="1" s="1"/>
  <c r="N968" i="1"/>
  <c r="BF75" i="9"/>
  <c r="BF933" i="1"/>
  <c r="BE933" i="1"/>
  <c r="BG709" i="1"/>
  <c r="AM2" i="9"/>
  <c r="AN5" i="1"/>
  <c r="AN2" i="9" s="1"/>
  <c r="BE54" i="9"/>
  <c r="BE76" i="9" s="1"/>
  <c r="R1070" i="1"/>
  <c r="S965" i="1"/>
  <c r="S966" i="1" s="1"/>
  <c r="R968" i="1"/>
  <c r="J1070" i="1"/>
  <c r="J968" i="1"/>
  <c r="X914" i="1"/>
  <c r="W915" i="1"/>
  <c r="V1070" i="1"/>
  <c r="V968" i="1"/>
  <c r="W965" i="1"/>
  <c r="W966" i="1" s="1"/>
  <c r="BD977" i="1"/>
  <c r="BE973" i="1"/>
  <c r="W1070" i="1" l="1"/>
  <c r="X965" i="1"/>
  <c r="X966" i="1" s="1"/>
  <c r="W968" i="1"/>
  <c r="K848" i="1"/>
  <c r="K845" i="1"/>
  <c r="K851" i="1"/>
  <c r="BF932" i="1"/>
  <c r="BE932" i="1"/>
  <c r="O1" i="9"/>
  <c r="O1142" i="1"/>
  <c r="O1140" i="1" s="1"/>
  <c r="O858" i="1" s="1"/>
  <c r="O1117" i="1"/>
  <c r="O3" i="1"/>
  <c r="P4" i="1"/>
  <c r="O1144" i="1"/>
  <c r="O1143" i="1"/>
  <c r="L857" i="1"/>
  <c r="L859" i="1" s="1"/>
  <c r="L844" i="1" s="1"/>
  <c r="L845" i="1" s="1"/>
  <c r="L846" i="1" s="1"/>
  <c r="L4" i="9"/>
  <c r="L6" i="9" s="1"/>
  <c r="L10" i="9" s="1"/>
  <c r="BF772" i="1"/>
  <c r="BF121" i="9" s="1"/>
  <c r="BF122" i="9" s="1"/>
  <c r="BF766" i="1"/>
  <c r="BF710" i="1"/>
  <c r="BE995" i="1"/>
  <c r="BE69" i="9"/>
  <c r="BE711" i="1"/>
  <c r="N1117" i="1"/>
  <c r="S1070" i="1"/>
  <c r="S968" i="1"/>
  <c r="T965" i="1"/>
  <c r="T966" i="1" s="1"/>
  <c r="BE983" i="1"/>
  <c r="BF980" i="1"/>
  <c r="AR2" i="9"/>
  <c r="AS5" i="1"/>
  <c r="AS2" i="9" s="1"/>
  <c r="BG932" i="1"/>
  <c r="BG1015" i="1"/>
  <c r="BG990" i="1" s="1"/>
  <c r="BF990" i="1"/>
  <c r="BF54" i="9"/>
  <c r="BF76" i="9" s="1"/>
  <c r="AS914" i="1"/>
  <c r="AR915" i="1"/>
  <c r="AR1070" i="1" s="1"/>
  <c r="O968" i="1"/>
  <c r="O1070" i="1"/>
  <c r="Y914" i="1"/>
  <c r="X915" i="1"/>
  <c r="BE989" i="1"/>
  <c r="BF986" i="1"/>
  <c r="BG766" i="1"/>
  <c r="BG710" i="1"/>
  <c r="BG1074" i="1" s="1"/>
  <c r="BG772" i="1"/>
  <c r="BG121" i="9" s="1"/>
  <c r="BG122" i="9" s="1"/>
  <c r="A766" i="1"/>
  <c r="BE994" i="1"/>
  <c r="BG54" i="9"/>
  <c r="BG76" i="9" s="1"/>
  <c r="BG1022" i="1"/>
  <c r="BF1028" i="1"/>
  <c r="BF984" i="1"/>
  <c r="AV2" i="9"/>
  <c r="AW5" i="1"/>
  <c r="BF1074" i="1"/>
  <c r="BF706" i="1"/>
  <c r="K6" i="9"/>
  <c r="K138" i="9"/>
  <c r="K136" i="9"/>
  <c r="BD2" i="9"/>
  <c r="BD1105" i="1"/>
  <c r="BD1106" i="1" s="1"/>
  <c r="BE5" i="1"/>
  <c r="BD143" i="9"/>
  <c r="BD103" i="9"/>
  <c r="BD77" i="9"/>
  <c r="AZ1105" i="1"/>
  <c r="AZ1106" i="1" s="1"/>
  <c r="AZ2" i="9"/>
  <c r="BA5" i="1"/>
  <c r="M857" i="1"/>
  <c r="M859" i="1" s="1"/>
  <c r="M844" i="1" s="1"/>
  <c r="M845" i="1" s="1"/>
  <c r="M846" i="1" s="1"/>
  <c r="M4" i="9"/>
  <c r="M6" i="9" s="1"/>
  <c r="M10" i="9" s="1"/>
  <c r="BF973" i="1"/>
  <c r="BE1032" i="1"/>
  <c r="AW968" i="1"/>
  <c r="AX965" i="1"/>
  <c r="BG8" i="9"/>
  <c r="BG1063" i="1"/>
  <c r="BG827" i="1"/>
  <c r="BG1033" i="1" s="1"/>
  <c r="AA968" i="1"/>
  <c r="AB965" i="1"/>
  <c r="AB966" i="1" s="1"/>
  <c r="O1124" i="1"/>
  <c r="O1131" i="1"/>
  <c r="O1138" i="1"/>
  <c r="N1124" i="1"/>
  <c r="N1131" i="1"/>
  <c r="N1138" i="1"/>
  <c r="BE1036" i="1" l="1"/>
  <c r="BE123" i="9" s="1"/>
  <c r="BE124" i="9" s="1"/>
  <c r="BE935" i="1"/>
  <c r="T968" i="1"/>
  <c r="T1070" i="1"/>
  <c r="BG973" i="1"/>
  <c r="BG1032" i="1" s="1"/>
  <c r="BF1032" i="1"/>
  <c r="P1" i="9"/>
  <c r="P1117" i="1"/>
  <c r="Q4" i="1"/>
  <c r="P3" i="1"/>
  <c r="P1142" i="1"/>
  <c r="P1140" i="1" s="1"/>
  <c r="P858" i="1" s="1"/>
  <c r="P1143" i="1"/>
  <c r="P1144" i="1"/>
  <c r="AW2" i="9"/>
  <c r="AX5" i="1"/>
  <c r="Z914" i="1"/>
  <c r="Z915" i="1" s="1"/>
  <c r="Y915" i="1"/>
  <c r="N1135" i="1"/>
  <c r="N1133" i="1" s="1"/>
  <c r="N1130" i="1"/>
  <c r="N1123" i="1"/>
  <c r="N1128" i="1"/>
  <c r="N1126" i="1" s="1"/>
  <c r="N856" i="1" s="1"/>
  <c r="N1121" i="1"/>
  <c r="N1119" i="1" s="1"/>
  <c r="N855" i="1" s="1"/>
  <c r="N1137" i="1"/>
  <c r="N1144" i="1"/>
  <c r="N1142" i="1"/>
  <c r="N1140" i="1" s="1"/>
  <c r="N858" i="1" s="1"/>
  <c r="O1130" i="1"/>
  <c r="O1123" i="1"/>
  <c r="O1128" i="1"/>
  <c r="O1126" i="1" s="1"/>
  <c r="O856" i="1" s="1"/>
  <c r="O1121" i="1"/>
  <c r="O1119" i="1" s="1"/>
  <c r="O855" i="1" s="1"/>
  <c r="O1137" i="1"/>
  <c r="O1135" i="1"/>
  <c r="O1133" i="1" s="1"/>
  <c r="BE143" i="9"/>
  <c r="BE103" i="9"/>
  <c r="BE77" i="9"/>
  <c r="BG984" i="1"/>
  <c r="BG1028" i="1"/>
  <c r="AT914" i="1"/>
  <c r="AS915" i="1"/>
  <c r="BE87" i="9"/>
  <c r="K10" i="9"/>
  <c r="K139" i="9"/>
  <c r="BF983" i="1"/>
  <c r="BG980" i="1"/>
  <c r="BA2" i="9"/>
  <c r="BA1105" i="1"/>
  <c r="BA1106" i="1" s="1"/>
  <c r="BB5" i="1"/>
  <c r="BG986" i="1"/>
  <c r="BF989" i="1"/>
  <c r="BF69" i="9"/>
  <c r="BF711" i="1"/>
  <c r="K846" i="1"/>
  <c r="K852" i="1"/>
  <c r="BF995" i="1"/>
  <c r="AB968" i="1"/>
  <c r="AC965" i="1"/>
  <c r="AC966" i="1" s="1"/>
  <c r="BE2" i="9"/>
  <c r="BE1105" i="1"/>
  <c r="BE1106" i="1" s="1"/>
  <c r="BF5" i="1"/>
  <c r="X1070" i="1"/>
  <c r="Y965" i="1"/>
  <c r="Y966" i="1" s="1"/>
  <c r="X968" i="1"/>
  <c r="A69" i="9"/>
  <c r="A1099" i="1"/>
  <c r="A711" i="1"/>
  <c r="A77" i="9" s="1"/>
  <c r="A767" i="1"/>
  <c r="A1110" i="1" s="1"/>
  <c r="BG69" i="9"/>
  <c r="BG711" i="1"/>
  <c r="BF994" i="1"/>
  <c r="P1124" i="1"/>
  <c r="P1131" i="1"/>
  <c r="P1138" i="1"/>
  <c r="AX2" i="9" l="1"/>
  <c r="AX1105" i="1"/>
  <c r="AX1106" i="1" s="1"/>
  <c r="AA914" i="1"/>
  <c r="Z1070" i="1"/>
  <c r="AC968" i="1"/>
  <c r="AD965" i="1"/>
  <c r="AD966" i="1" s="1"/>
  <c r="BG143" i="9"/>
  <c r="BG103" i="9"/>
  <c r="BG77" i="9"/>
  <c r="K137" i="9"/>
  <c r="K140" i="9"/>
  <c r="L993" i="1"/>
  <c r="M993" i="1"/>
  <c r="O993" i="1"/>
  <c r="N993" i="1"/>
  <c r="M992" i="1"/>
  <c r="N992" i="1"/>
  <c r="L992" i="1"/>
  <c r="N837" i="1"/>
  <c r="O837" i="1"/>
  <c r="O992" i="1"/>
  <c r="L995" i="1"/>
  <c r="L994" i="1"/>
  <c r="M995" i="1"/>
  <c r="M994" i="1"/>
  <c r="N994" i="1"/>
  <c r="N995" i="1"/>
  <c r="AT915" i="1"/>
  <c r="AS965" i="1"/>
  <c r="AS966" i="1" s="1"/>
  <c r="Q1" i="9"/>
  <c r="Q3" i="1"/>
  <c r="R4" i="1"/>
  <c r="Q1143" i="1"/>
  <c r="P1130" i="1"/>
  <c r="P1123" i="1"/>
  <c r="P1128" i="1"/>
  <c r="P1126" i="1" s="1"/>
  <c r="P856" i="1" s="1"/>
  <c r="P1137" i="1"/>
  <c r="P1135" i="1"/>
  <c r="P1133" i="1" s="1"/>
  <c r="P1121" i="1"/>
  <c r="P1119" i="1" s="1"/>
  <c r="P855" i="1" s="1"/>
  <c r="K850" i="1"/>
  <c r="K849" i="1"/>
  <c r="K853" i="1"/>
  <c r="BF935" i="1"/>
  <c r="BF87" i="9" s="1"/>
  <c r="BF1036" i="1"/>
  <c r="BF123" i="9" s="1"/>
  <c r="BF124" i="9" s="1"/>
  <c r="BF2" i="9"/>
  <c r="BF1105" i="1"/>
  <c r="BF1106" i="1" s="1"/>
  <c r="BG5" i="1"/>
  <c r="BG983" i="1"/>
  <c r="BF143" i="9"/>
  <c r="BF103" i="9"/>
  <c r="BF77" i="9"/>
  <c r="Y968" i="1"/>
  <c r="Y1070" i="1"/>
  <c r="BG1036" i="1"/>
  <c r="BG123" i="9" s="1"/>
  <c r="BG124" i="9" s="1"/>
  <c r="BG935" i="1"/>
  <c r="BG87" i="9" s="1"/>
  <c r="N857" i="1"/>
  <c r="N859" i="1" s="1"/>
  <c r="N844" i="1" s="1"/>
  <c r="N845" i="1" s="1"/>
  <c r="N846" i="1" s="1"/>
  <c r="N4" i="9"/>
  <c r="N6" i="9" s="1"/>
  <c r="N10" i="9" s="1"/>
  <c r="BG994" i="1"/>
  <c r="BG995" i="1"/>
  <c r="BB2" i="9"/>
  <c r="BB1105" i="1"/>
  <c r="BB1106" i="1" s="1"/>
  <c r="BB1107" i="1" s="1"/>
  <c r="BC5" i="1"/>
  <c r="O995" i="1"/>
  <c r="BG989" i="1"/>
  <c r="BA1107" i="1"/>
  <c r="O994" i="1"/>
  <c r="O857" i="1"/>
  <c r="O859" i="1" s="1"/>
  <c r="O844" i="1" s="1"/>
  <c r="O845" i="1" s="1"/>
  <c r="O846" i="1" s="1"/>
  <c r="O4" i="9"/>
  <c r="O6" i="9" s="1"/>
  <c r="O10" i="9" s="1"/>
  <c r="P857" i="1" l="1"/>
  <c r="P859" i="1" s="1"/>
  <c r="P844" i="1" s="1"/>
  <c r="P4" i="9"/>
  <c r="BC2" i="9"/>
  <c r="BC1105" i="1"/>
  <c r="BC1106" i="1" s="1"/>
  <c r="BB1110" i="1"/>
  <c r="BB767" i="1" s="1"/>
  <c r="BB1108" i="1"/>
  <c r="BB707" i="1" s="1"/>
  <c r="BB1111" i="1"/>
  <c r="BB799" i="1" s="1"/>
  <c r="BB1109" i="1"/>
  <c r="BB759" i="1" s="1"/>
  <c r="BB712" i="1" s="1"/>
  <c r="BB1112" i="1"/>
  <c r="BB808" i="1" s="1"/>
  <c r="BB1113" i="1"/>
  <c r="BB810" i="1" s="1"/>
  <c r="BA1113" i="1"/>
  <c r="BA810" i="1" s="1"/>
  <c r="BA1110" i="1"/>
  <c r="BA767" i="1" s="1"/>
  <c r="BA1112" i="1"/>
  <c r="BA808" i="1" s="1"/>
  <c r="BA1108" i="1"/>
  <c r="BA707" i="1" s="1"/>
  <c r="BA1109" i="1"/>
  <c r="BA759" i="1" s="1"/>
  <c r="BA1111" i="1"/>
  <c r="BA799" i="1" s="1"/>
  <c r="AD968" i="1"/>
  <c r="AD1070" i="1"/>
  <c r="BF1107" i="1"/>
  <c r="R1" i="9"/>
  <c r="R3" i="1"/>
  <c r="S4" i="1"/>
  <c r="R1143" i="1"/>
  <c r="AU914" i="1"/>
  <c r="AT1070" i="1"/>
  <c r="BG2" i="9"/>
  <c r="BG1105" i="1"/>
  <c r="BG1106" i="1" s="1"/>
  <c r="BG1107" i="1" s="1"/>
  <c r="B1158" i="1"/>
  <c r="E7" i="8" s="1"/>
  <c r="Q1117" i="1"/>
  <c r="AB914" i="1"/>
  <c r="AA915" i="1"/>
  <c r="AA1070" i="1" s="1"/>
  <c r="AX1107" i="1"/>
  <c r="AY1107" i="1"/>
  <c r="BD1107" i="1"/>
  <c r="AZ1107" i="1"/>
  <c r="AS968" i="1"/>
  <c r="AS1070" i="1"/>
  <c r="Q1124" i="1"/>
  <c r="Q1131" i="1"/>
  <c r="Q1138" i="1"/>
  <c r="BG1111" i="1" l="1"/>
  <c r="BG799" i="1" s="1"/>
  <c r="BG1109" i="1"/>
  <c r="BG759" i="1" s="1"/>
  <c r="BG1112" i="1"/>
  <c r="BG808" i="1" s="1"/>
  <c r="BG1108" i="1"/>
  <c r="BG707" i="1" s="1"/>
  <c r="BG1110" i="1"/>
  <c r="BG767" i="1" s="1"/>
  <c r="BG1113" i="1"/>
  <c r="BG810" i="1" s="1"/>
  <c r="BA712" i="1"/>
  <c r="AV914" i="1"/>
  <c r="AU915" i="1"/>
  <c r="AU1070" i="1" s="1"/>
  <c r="BD1110" i="1"/>
  <c r="BD767" i="1" s="1"/>
  <c r="BD1108" i="1"/>
  <c r="BD707" i="1" s="1"/>
  <c r="BD1113" i="1"/>
  <c r="BD810" i="1" s="1"/>
  <c r="BD1111" i="1"/>
  <c r="BD799" i="1" s="1"/>
  <c r="BD1109" i="1"/>
  <c r="BD759" i="1" s="1"/>
  <c r="BD1112" i="1"/>
  <c r="BD808" i="1" s="1"/>
  <c r="AZ1113" i="1"/>
  <c r="AZ810" i="1" s="1"/>
  <c r="AZ1108" i="1"/>
  <c r="AZ707" i="1" s="1"/>
  <c r="AZ1109" i="1"/>
  <c r="AZ759" i="1" s="1"/>
  <c r="AZ1112" i="1"/>
  <c r="AZ808" i="1" s="1"/>
  <c r="AZ1111" i="1"/>
  <c r="AZ799" i="1" s="1"/>
  <c r="AZ1110" i="1"/>
  <c r="AZ767" i="1" s="1"/>
  <c r="AX1113" i="1"/>
  <c r="AX810" i="1" s="1"/>
  <c r="AX1109" i="1"/>
  <c r="AX759" i="1" s="1"/>
  <c r="AX1112" i="1"/>
  <c r="AX808" i="1" s="1"/>
  <c r="AX1111" i="1"/>
  <c r="AX799" i="1" s="1"/>
  <c r="AX1110" i="1"/>
  <c r="AX767" i="1" s="1"/>
  <c r="AX712" i="1" s="1"/>
  <c r="AX1108" i="1"/>
  <c r="AX707" i="1" s="1"/>
  <c r="BF1111" i="1"/>
  <c r="BF799" i="1" s="1"/>
  <c r="BF1112" i="1"/>
  <c r="BF808" i="1" s="1"/>
  <c r="BF1109" i="1"/>
  <c r="BF759" i="1" s="1"/>
  <c r="BF1113" i="1"/>
  <c r="BF810" i="1" s="1"/>
  <c r="BF1110" i="1"/>
  <c r="BF767" i="1" s="1"/>
  <c r="BF1108" i="1"/>
  <c r="BF707" i="1" s="1"/>
  <c r="BC1107" i="1"/>
  <c r="BE1107" i="1"/>
  <c r="S1" i="9"/>
  <c r="S1117" i="1"/>
  <c r="S1142" i="1" s="1"/>
  <c r="S1140" i="1" s="1"/>
  <c r="S858" i="1" s="1"/>
  <c r="S3" i="1"/>
  <c r="T4" i="1"/>
  <c r="S1144" i="1"/>
  <c r="S1143" i="1"/>
  <c r="AC914" i="1"/>
  <c r="AC915" i="1" s="1"/>
  <c r="AC1070" i="1" s="1"/>
  <c r="AB915" i="1"/>
  <c r="AB1070" i="1" s="1"/>
  <c r="Q1130" i="1"/>
  <c r="Q1123" i="1"/>
  <c r="Q1128" i="1"/>
  <c r="Q1126" i="1" s="1"/>
  <c r="Q856" i="1" s="1"/>
  <c r="Q1121" i="1"/>
  <c r="Q1119" i="1" s="1"/>
  <c r="Q855" i="1" s="1"/>
  <c r="Q1137" i="1"/>
  <c r="Q1135" i="1"/>
  <c r="Q1133" i="1" s="1"/>
  <c r="Q1142" i="1"/>
  <c r="Q1140" i="1" s="1"/>
  <c r="Q858" i="1" s="1"/>
  <c r="Q1144" i="1"/>
  <c r="AY1113" i="1"/>
  <c r="AY810" i="1" s="1"/>
  <c r="AY1112" i="1"/>
  <c r="AY808" i="1" s="1"/>
  <c r="AY1111" i="1"/>
  <c r="AY799" i="1" s="1"/>
  <c r="AY1108" i="1"/>
  <c r="AY707" i="1" s="1"/>
  <c r="AY1110" i="1"/>
  <c r="AY767" i="1" s="1"/>
  <c r="AY1109" i="1"/>
  <c r="AY759" i="1" s="1"/>
  <c r="R1117" i="1"/>
  <c r="P6" i="9"/>
  <c r="P138" i="9"/>
  <c r="P136" i="9"/>
  <c r="P851" i="1"/>
  <c r="P848" i="1"/>
  <c r="P845" i="1"/>
  <c r="S1124" i="1"/>
  <c r="S1131" i="1"/>
  <c r="S1138" i="1"/>
  <c r="R1124" i="1"/>
  <c r="R1131" i="1"/>
  <c r="R1138" i="1"/>
  <c r="AZ712" i="1" l="1"/>
  <c r="BG712" i="1"/>
  <c r="BD712" i="1"/>
  <c r="P10" i="9"/>
  <c r="P139" i="9"/>
  <c r="R1130" i="1"/>
  <c r="R1123" i="1"/>
  <c r="R1128" i="1"/>
  <c r="R1126" i="1" s="1"/>
  <c r="R856" i="1" s="1"/>
  <c r="R1137" i="1"/>
  <c r="R1135" i="1"/>
  <c r="R1133" i="1" s="1"/>
  <c r="R1121" i="1"/>
  <c r="R1119" i="1" s="1"/>
  <c r="R855" i="1" s="1"/>
  <c r="R1142" i="1"/>
  <c r="R1140" i="1" s="1"/>
  <c r="R858" i="1" s="1"/>
  <c r="R1144" i="1"/>
  <c r="T1" i="9"/>
  <c r="T1143" i="1"/>
  <c r="T3" i="1"/>
  <c r="U4" i="1"/>
  <c r="AW914" i="1"/>
  <c r="AW915" i="1" s="1"/>
  <c r="AW1070" i="1" s="1"/>
  <c r="AV915" i="1"/>
  <c r="AV1070" i="1" s="1"/>
  <c r="AY712" i="1"/>
  <c r="S1130" i="1"/>
  <c r="S1123" i="1"/>
  <c r="S1128" i="1"/>
  <c r="S1126" i="1" s="1"/>
  <c r="S856" i="1" s="1"/>
  <c r="S1121" i="1"/>
  <c r="S1119" i="1" s="1"/>
  <c r="S855" i="1" s="1"/>
  <c r="S1137" i="1"/>
  <c r="S1135" i="1"/>
  <c r="S1133" i="1" s="1"/>
  <c r="BE1111" i="1"/>
  <c r="BE799" i="1" s="1"/>
  <c r="BE1110" i="1"/>
  <c r="BE767" i="1" s="1"/>
  <c r="BE1113" i="1"/>
  <c r="BE810" i="1" s="1"/>
  <c r="BE1108" i="1"/>
  <c r="BE707" i="1" s="1"/>
  <c r="BE1109" i="1"/>
  <c r="BE759" i="1" s="1"/>
  <c r="BE1112" i="1"/>
  <c r="BE808" i="1" s="1"/>
  <c r="Q857" i="1"/>
  <c r="Q859" i="1" s="1"/>
  <c r="Q844" i="1" s="1"/>
  <c r="Q845" i="1" s="1"/>
  <c r="Q846" i="1" s="1"/>
  <c r="Q4" i="9"/>
  <c r="Q6" i="9" s="1"/>
  <c r="Q10" i="9" s="1"/>
  <c r="BC1111" i="1"/>
  <c r="BC799" i="1" s="1"/>
  <c r="BC1112" i="1"/>
  <c r="BC808" i="1" s="1"/>
  <c r="BC1113" i="1"/>
  <c r="BC810" i="1" s="1"/>
  <c r="BC1110" i="1"/>
  <c r="BC767" i="1" s="1"/>
  <c r="BC1108" i="1"/>
  <c r="BC707" i="1" s="1"/>
  <c r="BC1109" i="1"/>
  <c r="BC759" i="1" s="1"/>
  <c r="P852" i="1"/>
  <c r="P846" i="1"/>
  <c r="BF712" i="1"/>
  <c r="U1142" i="1" l="1"/>
  <c r="U1140" i="1" s="1"/>
  <c r="U858" i="1" s="1"/>
  <c r="U1" i="9"/>
  <c r="U1117" i="1"/>
  <c r="U3" i="1"/>
  <c r="V4" i="1"/>
  <c r="U1144" i="1"/>
  <c r="U1143" i="1"/>
  <c r="T995" i="1"/>
  <c r="T994" i="1"/>
  <c r="P853" i="1"/>
  <c r="P850" i="1"/>
  <c r="P849" i="1"/>
  <c r="T1117" i="1"/>
  <c r="S4" i="9"/>
  <c r="S6" i="9" s="1"/>
  <c r="S10" i="9" s="1"/>
  <c r="S857" i="1"/>
  <c r="S859" i="1" s="1"/>
  <c r="S844" i="1" s="1"/>
  <c r="S845" i="1" s="1"/>
  <c r="S846" i="1" s="1"/>
  <c r="BC712" i="1"/>
  <c r="R4" i="9"/>
  <c r="R6" i="9" s="1"/>
  <c r="R10" i="9" s="1"/>
  <c r="R857" i="1"/>
  <c r="R859" i="1" s="1"/>
  <c r="R844" i="1" s="1"/>
  <c r="R845" i="1" s="1"/>
  <c r="R846" i="1" s="1"/>
  <c r="BE712" i="1"/>
  <c r="P140" i="9"/>
  <c r="P137" i="9"/>
  <c r="U1138" i="1"/>
  <c r="U1124" i="1"/>
  <c r="U1131" i="1"/>
  <c r="T1138" i="1"/>
  <c r="T1124" i="1"/>
  <c r="T1131" i="1"/>
  <c r="T1123" i="1" l="1"/>
  <c r="T1128" i="1"/>
  <c r="T1126" i="1" s="1"/>
  <c r="T856" i="1" s="1"/>
  <c r="T1121" i="1"/>
  <c r="T1119" i="1" s="1"/>
  <c r="T855" i="1" s="1"/>
  <c r="T1137" i="1"/>
  <c r="T1135" i="1"/>
  <c r="T1133" i="1" s="1"/>
  <c r="T1130" i="1"/>
  <c r="T1144" i="1"/>
  <c r="T1142" i="1"/>
  <c r="T1140" i="1" s="1"/>
  <c r="T858" i="1" s="1"/>
  <c r="V1" i="9"/>
  <c r="V1117" i="1"/>
  <c r="V1143" i="1"/>
  <c r="V3" i="1"/>
  <c r="W4" i="1"/>
  <c r="V1142" i="1"/>
  <c r="V1140" i="1" s="1"/>
  <c r="V858" i="1" s="1"/>
  <c r="V1144" i="1"/>
  <c r="Q993" i="1"/>
  <c r="S993" i="1"/>
  <c r="R993" i="1"/>
  <c r="T993" i="1"/>
  <c r="Q837" i="1"/>
  <c r="S837" i="1"/>
  <c r="S992" i="1"/>
  <c r="Q992" i="1"/>
  <c r="T837" i="1"/>
  <c r="R992" i="1"/>
  <c r="T992" i="1"/>
  <c r="Q995" i="1"/>
  <c r="Q994" i="1"/>
  <c r="R995" i="1"/>
  <c r="R994" i="1"/>
  <c r="S995" i="1"/>
  <c r="S994" i="1"/>
  <c r="U1128" i="1"/>
  <c r="U1126" i="1" s="1"/>
  <c r="U856" i="1" s="1"/>
  <c r="U1121" i="1"/>
  <c r="U1119" i="1" s="1"/>
  <c r="U855" i="1" s="1"/>
  <c r="U1137" i="1"/>
  <c r="U1135" i="1"/>
  <c r="U1133" i="1" s="1"/>
  <c r="U1123" i="1"/>
  <c r="U1130" i="1"/>
  <c r="V1138" i="1"/>
  <c r="V1124" i="1"/>
  <c r="V1131" i="1"/>
  <c r="W1" i="9" l="1"/>
  <c r="W1117" i="1"/>
  <c r="X4" i="1"/>
  <c r="W3" i="1"/>
  <c r="W1143" i="1"/>
  <c r="W1144" i="1"/>
  <c r="W1142" i="1"/>
  <c r="W1140" i="1" s="1"/>
  <c r="W858" i="1" s="1"/>
  <c r="V1121" i="1"/>
  <c r="V1119" i="1" s="1"/>
  <c r="V855" i="1" s="1"/>
  <c r="V1137" i="1"/>
  <c r="V1135" i="1"/>
  <c r="V1133" i="1" s="1"/>
  <c r="V1130" i="1"/>
  <c r="V1128" i="1"/>
  <c r="V1126" i="1" s="1"/>
  <c r="V856" i="1" s="1"/>
  <c r="V1123" i="1"/>
  <c r="T857" i="1"/>
  <c r="T859" i="1" s="1"/>
  <c r="T844" i="1" s="1"/>
  <c r="T845" i="1" s="1"/>
  <c r="T846" i="1" s="1"/>
  <c r="T4" i="9"/>
  <c r="T6" i="9" s="1"/>
  <c r="T10" i="9" s="1"/>
  <c r="U857" i="1"/>
  <c r="U859" i="1" s="1"/>
  <c r="U844" i="1" s="1"/>
  <c r="U4" i="9"/>
  <c r="W1138" i="1"/>
  <c r="W1124" i="1"/>
  <c r="W1131" i="1"/>
  <c r="V857" i="1" l="1"/>
  <c r="V859" i="1" s="1"/>
  <c r="V844" i="1" s="1"/>
  <c r="V845" i="1" s="1"/>
  <c r="V846" i="1" s="1"/>
  <c r="V4" i="9"/>
  <c r="V6" i="9" s="1"/>
  <c r="V10" i="9" s="1"/>
  <c r="U138" i="9"/>
  <c r="U6" i="9"/>
  <c r="U136" i="9"/>
  <c r="X1117" i="1"/>
  <c r="X1" i="9"/>
  <c r="X3" i="1"/>
  <c r="Y4" i="1"/>
  <c r="X1143" i="1"/>
  <c r="X1144" i="1"/>
  <c r="X1142" i="1"/>
  <c r="X1140" i="1" s="1"/>
  <c r="X858" i="1" s="1"/>
  <c r="U851" i="1"/>
  <c r="U848" i="1"/>
  <c r="U845" i="1"/>
  <c r="W1137" i="1"/>
  <c r="W1135" i="1"/>
  <c r="W1133" i="1" s="1"/>
  <c r="W1130" i="1"/>
  <c r="W1123" i="1"/>
  <c r="W1121" i="1"/>
  <c r="W1119" i="1" s="1"/>
  <c r="W855" i="1" s="1"/>
  <c r="W1128" i="1"/>
  <c r="W1126" i="1" s="1"/>
  <c r="W856" i="1" s="1"/>
  <c r="X1138" i="1"/>
  <c r="X1124" i="1"/>
  <c r="X1131" i="1"/>
  <c r="Y1117" i="1" l="1"/>
  <c r="Y1" i="9"/>
  <c r="Y1143" i="1"/>
  <c r="Z4" i="1"/>
  <c r="Y3" i="1"/>
  <c r="Y1144" i="1"/>
  <c r="Y1142" i="1"/>
  <c r="Y1140" i="1" s="1"/>
  <c r="Y858" i="1" s="1"/>
  <c r="X1137" i="1"/>
  <c r="X1135" i="1"/>
  <c r="X1133" i="1" s="1"/>
  <c r="X1130" i="1"/>
  <c r="X1123" i="1"/>
  <c r="X1128" i="1"/>
  <c r="X1126" i="1" s="1"/>
  <c r="X856" i="1" s="1"/>
  <c r="X1121" i="1"/>
  <c r="X1119" i="1" s="1"/>
  <c r="X855" i="1" s="1"/>
  <c r="U139" i="9"/>
  <c r="U10" i="9"/>
  <c r="W857" i="1"/>
  <c r="W859" i="1" s="1"/>
  <c r="W844" i="1" s="1"/>
  <c r="W845" i="1" s="1"/>
  <c r="W846" i="1" s="1"/>
  <c r="W4" i="9"/>
  <c r="W6" i="9" s="1"/>
  <c r="W10" i="9" s="1"/>
  <c r="U846" i="1"/>
  <c r="U852" i="1"/>
  <c r="Y1138" i="1"/>
  <c r="Y1124" i="1"/>
  <c r="Y1131" i="1"/>
  <c r="X857" i="1" l="1"/>
  <c r="X859" i="1" s="1"/>
  <c r="X844" i="1" s="1"/>
  <c r="X845" i="1" s="1"/>
  <c r="X846" i="1" s="1"/>
  <c r="X4" i="9"/>
  <c r="X6" i="9" s="1"/>
  <c r="X10" i="9" s="1"/>
  <c r="U850" i="1"/>
  <c r="U849" i="1"/>
  <c r="U853" i="1"/>
  <c r="Z1117" i="1"/>
  <c r="Z1" i="9"/>
  <c r="AA4" i="1"/>
  <c r="Z3" i="1"/>
  <c r="Z1142" i="1"/>
  <c r="Z1140" i="1" s="1"/>
  <c r="Z858" i="1" s="1"/>
  <c r="Z1144" i="1"/>
  <c r="Z1143" i="1"/>
  <c r="U137" i="9"/>
  <c r="U140" i="9"/>
  <c r="Y1137" i="1"/>
  <c r="Y1135" i="1"/>
  <c r="Y1133" i="1" s="1"/>
  <c r="Y1130" i="1"/>
  <c r="Y1123" i="1"/>
  <c r="Y1128" i="1"/>
  <c r="Y1126" i="1" s="1"/>
  <c r="Y856" i="1" s="1"/>
  <c r="Y1121" i="1"/>
  <c r="Y1119" i="1" s="1"/>
  <c r="Y855" i="1" s="1"/>
  <c r="Z1138" i="1"/>
  <c r="Z1124" i="1"/>
  <c r="Z1131" i="1"/>
  <c r="Y993" i="1" l="1"/>
  <c r="W993" i="1"/>
  <c r="X993" i="1"/>
  <c r="V993" i="1"/>
  <c r="Y837" i="1"/>
  <c r="X837" i="1"/>
  <c r="V837" i="1"/>
  <c r="W837" i="1"/>
  <c r="V992" i="1"/>
  <c r="W992" i="1"/>
  <c r="Y992" i="1"/>
  <c r="X992" i="1"/>
  <c r="V995" i="1"/>
  <c r="V994" i="1"/>
  <c r="W995" i="1"/>
  <c r="W994" i="1"/>
  <c r="X994" i="1"/>
  <c r="X995" i="1"/>
  <c r="AA1117" i="1"/>
  <c r="AA1" i="9"/>
  <c r="AB4" i="1"/>
  <c r="AA3" i="1"/>
  <c r="AA1144" i="1"/>
  <c r="AA1143" i="1"/>
  <c r="Y857" i="1"/>
  <c r="Y859" i="1" s="1"/>
  <c r="Y844" i="1" s="1"/>
  <c r="Y845" i="1" s="1"/>
  <c r="Y846" i="1" s="1"/>
  <c r="Y4" i="9"/>
  <c r="Y6" i="9" s="1"/>
  <c r="Y10" i="9" s="1"/>
  <c r="Z1137" i="1"/>
  <c r="Z1135" i="1"/>
  <c r="Z1133" i="1" s="1"/>
  <c r="Z1130" i="1"/>
  <c r="Z1123" i="1"/>
  <c r="Z1128" i="1"/>
  <c r="Z1126" i="1" s="1"/>
  <c r="Z856" i="1" s="1"/>
  <c r="Z1121" i="1"/>
  <c r="Z1119" i="1" s="1"/>
  <c r="Z855" i="1" s="1"/>
  <c r="Y994" i="1"/>
  <c r="Y995" i="1"/>
  <c r="AA1131" i="1"/>
  <c r="AA1138" i="1"/>
  <c r="AA1124" i="1"/>
  <c r="AB1117" i="1" l="1"/>
  <c r="AB1" i="9"/>
  <c r="AB1142" i="1"/>
  <c r="AB1140" i="1" s="1"/>
  <c r="AB858" i="1" s="1"/>
  <c r="AC4" i="1"/>
  <c r="AB3" i="1"/>
  <c r="AB1144" i="1"/>
  <c r="AB1143" i="1"/>
  <c r="AA1137" i="1"/>
  <c r="AA1135" i="1"/>
  <c r="AA1133" i="1" s="1"/>
  <c r="AA1130" i="1"/>
  <c r="AA1123" i="1"/>
  <c r="AA1128" i="1"/>
  <c r="AA1126" i="1" s="1"/>
  <c r="AA856" i="1" s="1"/>
  <c r="AA1121" i="1"/>
  <c r="AA1119" i="1" s="1"/>
  <c r="AA855" i="1" s="1"/>
  <c r="AA1142" i="1"/>
  <c r="AA1140" i="1" s="1"/>
  <c r="AA858" i="1" s="1"/>
  <c r="Z857" i="1"/>
  <c r="Z859" i="1" s="1"/>
  <c r="Z844" i="1" s="1"/>
  <c r="Z4" i="9"/>
  <c r="AB1131" i="1"/>
  <c r="AB1124" i="1"/>
  <c r="AB1138" i="1"/>
  <c r="AA4" i="9" l="1"/>
  <c r="AA6" i="9" s="1"/>
  <c r="AA10" i="9" s="1"/>
  <c r="AA857" i="1"/>
  <c r="AA859" i="1" s="1"/>
  <c r="AA844" i="1" s="1"/>
  <c r="AA845" i="1" s="1"/>
  <c r="AA846" i="1" s="1"/>
  <c r="AC1" i="9"/>
  <c r="AC1142" i="1"/>
  <c r="AC1140" i="1" s="1"/>
  <c r="AC858" i="1" s="1"/>
  <c r="AC1117" i="1"/>
  <c r="AD4" i="1"/>
  <c r="AC3" i="1"/>
  <c r="AC1144" i="1"/>
  <c r="AC1143" i="1"/>
  <c r="AB1137" i="1"/>
  <c r="AB1135" i="1"/>
  <c r="AB1133" i="1" s="1"/>
  <c r="AB1130" i="1"/>
  <c r="AB1123" i="1"/>
  <c r="AB1128" i="1"/>
  <c r="AB1126" i="1" s="1"/>
  <c r="AB856" i="1" s="1"/>
  <c r="AB1121" i="1"/>
  <c r="AB1119" i="1" s="1"/>
  <c r="AB855" i="1" s="1"/>
  <c r="Z6" i="9"/>
  <c r="Z138" i="9"/>
  <c r="Z136" i="9"/>
  <c r="Z848" i="1"/>
  <c r="Z851" i="1"/>
  <c r="Z845" i="1"/>
  <c r="AC1124" i="1"/>
  <c r="AC1131" i="1"/>
  <c r="AC1138" i="1"/>
  <c r="AB857" i="1" l="1"/>
  <c r="AB859" i="1" s="1"/>
  <c r="AB844" i="1" s="1"/>
  <c r="AB845" i="1" s="1"/>
  <c r="AB846" i="1" s="1"/>
  <c r="AB4" i="9"/>
  <c r="AB6" i="9" s="1"/>
  <c r="AB10" i="9" s="1"/>
  <c r="AD1117" i="1"/>
  <c r="AD1" i="9"/>
  <c r="AD3" i="1"/>
  <c r="AE4" i="1"/>
  <c r="AD1143" i="1"/>
  <c r="AD1142" i="1"/>
  <c r="AD1140" i="1" s="1"/>
  <c r="AD858" i="1" s="1"/>
  <c r="AD1144" i="1"/>
  <c r="Z10" i="9"/>
  <c r="Z139" i="9"/>
  <c r="Z846" i="1"/>
  <c r="Z852" i="1"/>
  <c r="AC1135" i="1"/>
  <c r="AC1133" i="1" s="1"/>
  <c r="AC1130" i="1"/>
  <c r="AC1123" i="1"/>
  <c r="AC1128" i="1"/>
  <c r="AC1126" i="1" s="1"/>
  <c r="AC856" i="1" s="1"/>
  <c r="AC1121" i="1"/>
  <c r="AC1119" i="1" s="1"/>
  <c r="AC855" i="1" s="1"/>
  <c r="AC1137" i="1"/>
  <c r="AD1124" i="1"/>
  <c r="AD1131" i="1"/>
  <c r="AD1138" i="1"/>
  <c r="AC857" i="1" l="1"/>
  <c r="AC859" i="1" s="1"/>
  <c r="AC844" i="1" s="1"/>
  <c r="AC845" i="1" s="1"/>
  <c r="AC846" i="1" s="1"/>
  <c r="AC4" i="9"/>
  <c r="AC6" i="9" s="1"/>
  <c r="AC10" i="9" s="1"/>
  <c r="Z137" i="9"/>
  <c r="Z140" i="9"/>
  <c r="AE1" i="9"/>
  <c r="AE1142" i="1"/>
  <c r="AE1140" i="1" s="1"/>
  <c r="AE858" i="1" s="1"/>
  <c r="AE1117" i="1"/>
  <c r="AE3" i="1"/>
  <c r="AF4" i="1"/>
  <c r="AE1144" i="1"/>
  <c r="AE1143" i="1"/>
  <c r="Z850" i="1"/>
  <c r="Z853" i="1"/>
  <c r="Z849" i="1"/>
  <c r="AD995" i="1"/>
  <c r="AD994" i="1"/>
  <c r="AD1135" i="1"/>
  <c r="AD1133" i="1" s="1"/>
  <c r="AD1130" i="1"/>
  <c r="AD1123" i="1"/>
  <c r="AD1128" i="1"/>
  <c r="AD1126" i="1" s="1"/>
  <c r="AD856" i="1" s="1"/>
  <c r="AD1121" i="1"/>
  <c r="AD1119" i="1" s="1"/>
  <c r="AD855" i="1" s="1"/>
  <c r="AD1137" i="1"/>
  <c r="AE1124" i="1"/>
  <c r="AE1131" i="1"/>
  <c r="AE1138" i="1"/>
  <c r="AF1" i="9" l="1"/>
  <c r="AG4" i="1"/>
  <c r="AF3" i="1"/>
  <c r="AF1143" i="1"/>
  <c r="AB993" i="1"/>
  <c r="AA993" i="1"/>
  <c r="AD993" i="1"/>
  <c r="AC993" i="1"/>
  <c r="AC992" i="1"/>
  <c r="AA837" i="1"/>
  <c r="AA992" i="1"/>
  <c r="AB837" i="1"/>
  <c r="AD992" i="1"/>
  <c r="AC837" i="1"/>
  <c r="AB992" i="1"/>
  <c r="AD837" i="1"/>
  <c r="AA995" i="1"/>
  <c r="AA994" i="1"/>
  <c r="AB995" i="1"/>
  <c r="AB994" i="1"/>
  <c r="AC994" i="1"/>
  <c r="AC995" i="1"/>
  <c r="AE1130" i="1"/>
  <c r="AE1123" i="1"/>
  <c r="AE1128" i="1"/>
  <c r="AE1126" i="1" s="1"/>
  <c r="AE856" i="1" s="1"/>
  <c r="AE1121" i="1"/>
  <c r="AE1119" i="1" s="1"/>
  <c r="AE855" i="1" s="1"/>
  <c r="AE1137" i="1"/>
  <c r="AE1135" i="1"/>
  <c r="AE1133" i="1" s="1"/>
  <c r="AD857" i="1"/>
  <c r="AD859" i="1" s="1"/>
  <c r="AD844" i="1" s="1"/>
  <c r="AD845" i="1" s="1"/>
  <c r="AD846" i="1" s="1"/>
  <c r="AD4" i="9"/>
  <c r="AD6" i="9" s="1"/>
  <c r="AD10" i="9" s="1"/>
  <c r="AE857" i="1" l="1"/>
  <c r="AE859" i="1" s="1"/>
  <c r="AE844" i="1" s="1"/>
  <c r="AE4" i="9"/>
  <c r="AG1" i="9"/>
  <c r="AG1117" i="1"/>
  <c r="AG3" i="1"/>
  <c r="AH4" i="1"/>
  <c r="AG1143" i="1"/>
  <c r="AG1144" i="1"/>
  <c r="AG1142" i="1"/>
  <c r="AG1140" i="1" s="1"/>
  <c r="AG858" i="1" s="1"/>
  <c r="AF1117" i="1"/>
  <c r="AF1124" i="1"/>
  <c r="AF1131" i="1"/>
  <c r="AF1138" i="1"/>
  <c r="AG1124" i="1"/>
  <c r="AG1131" i="1"/>
  <c r="AG1138" i="1"/>
  <c r="AG1130" i="1" l="1"/>
  <c r="AG1123" i="1"/>
  <c r="AG1128" i="1"/>
  <c r="AG1126" i="1" s="1"/>
  <c r="AG856" i="1" s="1"/>
  <c r="AG1121" i="1"/>
  <c r="AG1119" i="1" s="1"/>
  <c r="AG855" i="1" s="1"/>
  <c r="AG1137" i="1"/>
  <c r="AG1135" i="1"/>
  <c r="AG1133" i="1" s="1"/>
  <c r="AF1130" i="1"/>
  <c r="AF1123" i="1"/>
  <c r="AF1128" i="1"/>
  <c r="AF1126" i="1" s="1"/>
  <c r="AF856" i="1" s="1"/>
  <c r="AF1137" i="1"/>
  <c r="AF1121" i="1"/>
  <c r="AF1119" i="1" s="1"/>
  <c r="AF855" i="1" s="1"/>
  <c r="AF1135" i="1"/>
  <c r="AF1133" i="1" s="1"/>
  <c r="AF1144" i="1"/>
  <c r="AF1142" i="1"/>
  <c r="AF1140" i="1" s="1"/>
  <c r="AF858" i="1" s="1"/>
  <c r="AH1" i="9"/>
  <c r="AH3" i="1"/>
  <c r="AI4" i="1"/>
  <c r="AH1143" i="1"/>
  <c r="AE6" i="9"/>
  <c r="AE136" i="9"/>
  <c r="AE138" i="9"/>
  <c r="AE845" i="1"/>
  <c r="AE851" i="1"/>
  <c r="AE848" i="1"/>
  <c r="AF857" i="1" l="1"/>
  <c r="AF859" i="1" s="1"/>
  <c r="AF844" i="1" s="1"/>
  <c r="AF845" i="1" s="1"/>
  <c r="AF846" i="1" s="1"/>
  <c r="AF4" i="9"/>
  <c r="AF6" i="9" s="1"/>
  <c r="AF10" i="9" s="1"/>
  <c r="AG857" i="1"/>
  <c r="AG859" i="1" s="1"/>
  <c r="AG844" i="1" s="1"/>
  <c r="AG845" i="1" s="1"/>
  <c r="AG846" i="1" s="1"/>
  <c r="AG4" i="9"/>
  <c r="AG6" i="9" s="1"/>
  <c r="AG10" i="9" s="1"/>
  <c r="AE846" i="1"/>
  <c r="AE852" i="1"/>
  <c r="AE10" i="9"/>
  <c r="AE139" i="9"/>
  <c r="AI1" i="9"/>
  <c r="AI1117" i="1"/>
  <c r="AI1142" i="1"/>
  <c r="AI1140" i="1" s="1"/>
  <c r="AI858" i="1" s="1"/>
  <c r="AI3" i="1"/>
  <c r="AJ4" i="1"/>
  <c r="AI1144" i="1"/>
  <c r="AI1143" i="1"/>
  <c r="AH1117" i="1"/>
  <c r="AH1124" i="1"/>
  <c r="AH1131" i="1"/>
  <c r="AH1138" i="1"/>
  <c r="AI1124" i="1"/>
  <c r="AI1131" i="1"/>
  <c r="AI1138" i="1"/>
  <c r="AJ1" i="9" l="1"/>
  <c r="AJ1117" i="1"/>
  <c r="AJ3" i="1"/>
  <c r="AK4" i="1"/>
  <c r="AJ1143" i="1"/>
  <c r="AJ1142" i="1"/>
  <c r="AJ1140" i="1" s="1"/>
  <c r="AJ858" i="1" s="1"/>
  <c r="AJ1144" i="1"/>
  <c r="AE140" i="9"/>
  <c r="AE137" i="9"/>
  <c r="AI1130" i="1"/>
  <c r="AI1123" i="1"/>
  <c r="AI1128" i="1"/>
  <c r="AI1126" i="1" s="1"/>
  <c r="AI856" i="1" s="1"/>
  <c r="AI1121" i="1"/>
  <c r="AI1119" i="1" s="1"/>
  <c r="AI855" i="1" s="1"/>
  <c r="AI1137" i="1"/>
  <c r="AI1135" i="1"/>
  <c r="AI1133" i="1" s="1"/>
  <c r="AE849" i="1"/>
  <c r="AE850" i="1"/>
  <c r="AE853" i="1"/>
  <c r="AH1130" i="1"/>
  <c r="AH1123" i="1"/>
  <c r="AH1128" i="1"/>
  <c r="AH1126" i="1" s="1"/>
  <c r="AH856" i="1" s="1"/>
  <c r="AH1137" i="1"/>
  <c r="AH1135" i="1"/>
  <c r="AH1133" i="1" s="1"/>
  <c r="AH1121" i="1"/>
  <c r="AH1119" i="1" s="1"/>
  <c r="AH855" i="1" s="1"/>
  <c r="AH1142" i="1"/>
  <c r="AH1140" i="1" s="1"/>
  <c r="AH858" i="1" s="1"/>
  <c r="AH1144" i="1"/>
  <c r="AJ1138" i="1"/>
  <c r="AJ1124" i="1"/>
  <c r="AJ1131" i="1"/>
  <c r="AK1" i="9" l="1"/>
  <c r="AK1142" i="1"/>
  <c r="AK1140" i="1" s="1"/>
  <c r="AK858" i="1" s="1"/>
  <c r="AK1117" i="1"/>
  <c r="AK3" i="1"/>
  <c r="AL4" i="1"/>
  <c r="AK1144" i="1"/>
  <c r="AK1143" i="1"/>
  <c r="AH993" i="1"/>
  <c r="AG993" i="1"/>
  <c r="AI993" i="1"/>
  <c r="AH837" i="1"/>
  <c r="AF992" i="1"/>
  <c r="AF993" i="1"/>
  <c r="AF837" i="1"/>
  <c r="AI837" i="1"/>
  <c r="AG837" i="1"/>
  <c r="AG992" i="1"/>
  <c r="AI992" i="1"/>
  <c r="AH992" i="1"/>
  <c r="AF995" i="1"/>
  <c r="AF994" i="1"/>
  <c r="AG995" i="1"/>
  <c r="AG994" i="1"/>
  <c r="AH994" i="1"/>
  <c r="AH995" i="1"/>
  <c r="AH857" i="1"/>
  <c r="AH859" i="1" s="1"/>
  <c r="AH844" i="1" s="1"/>
  <c r="AH845" i="1" s="1"/>
  <c r="AH846" i="1" s="1"/>
  <c r="AH4" i="9"/>
  <c r="AH6" i="9" s="1"/>
  <c r="AH10" i="9" s="1"/>
  <c r="AJ1123" i="1"/>
  <c r="AJ1128" i="1"/>
  <c r="AJ1126" i="1" s="1"/>
  <c r="AJ856" i="1" s="1"/>
  <c r="AJ1121" i="1"/>
  <c r="AJ1119" i="1" s="1"/>
  <c r="AJ855" i="1" s="1"/>
  <c r="AJ1137" i="1"/>
  <c r="AJ1135" i="1"/>
  <c r="AJ1133" i="1" s="1"/>
  <c r="AJ1130" i="1"/>
  <c r="AI994" i="1"/>
  <c r="AI857" i="1"/>
  <c r="AI859" i="1" s="1"/>
  <c r="AI844" i="1" s="1"/>
  <c r="AI845" i="1" s="1"/>
  <c r="AI846" i="1" s="1"/>
  <c r="AI4" i="9"/>
  <c r="AI6" i="9" s="1"/>
  <c r="AI10" i="9" s="1"/>
  <c r="AI995" i="1"/>
  <c r="AK1138" i="1"/>
  <c r="AK1124" i="1"/>
  <c r="AK1131" i="1"/>
  <c r="AL1" i="9" l="1"/>
  <c r="AL1117" i="1"/>
  <c r="AL3" i="1"/>
  <c r="AM4" i="1"/>
  <c r="AL1142" i="1"/>
  <c r="AL1140" i="1" s="1"/>
  <c r="AL858" i="1" s="1"/>
  <c r="AL1143" i="1"/>
  <c r="AL1144" i="1"/>
  <c r="AK1128" i="1"/>
  <c r="AK1126" i="1" s="1"/>
  <c r="AK856" i="1" s="1"/>
  <c r="AK1121" i="1"/>
  <c r="AK1119" i="1" s="1"/>
  <c r="AK855" i="1" s="1"/>
  <c r="AK1137" i="1"/>
  <c r="AK1135" i="1"/>
  <c r="AK1133" i="1" s="1"/>
  <c r="AK1123" i="1"/>
  <c r="AK1130" i="1"/>
  <c r="AJ857" i="1"/>
  <c r="AJ859" i="1" s="1"/>
  <c r="AJ844" i="1" s="1"/>
  <c r="AJ4" i="9"/>
  <c r="AL1138" i="1"/>
  <c r="AL1124" i="1"/>
  <c r="AL1131" i="1"/>
  <c r="AK857" i="1" l="1"/>
  <c r="AK859" i="1" s="1"/>
  <c r="AK844" i="1" s="1"/>
  <c r="AK845" i="1" s="1"/>
  <c r="AK846" i="1" s="1"/>
  <c r="AK4" i="9"/>
  <c r="AK6" i="9" s="1"/>
  <c r="AK10" i="9" s="1"/>
  <c r="AM1" i="9"/>
  <c r="AM1117" i="1"/>
  <c r="AN4" i="1"/>
  <c r="AM3" i="1"/>
  <c r="AM1143" i="1"/>
  <c r="AM1142" i="1"/>
  <c r="AM1140" i="1" s="1"/>
  <c r="AM858" i="1" s="1"/>
  <c r="AM1144" i="1"/>
  <c r="AL1121" i="1"/>
  <c r="AL1119" i="1" s="1"/>
  <c r="AL855" i="1" s="1"/>
  <c r="AL1137" i="1"/>
  <c r="AL1135" i="1"/>
  <c r="AL1133" i="1" s="1"/>
  <c r="AL1130" i="1"/>
  <c r="AL1128" i="1"/>
  <c r="AL1126" i="1" s="1"/>
  <c r="AL856" i="1" s="1"/>
  <c r="AL1123" i="1"/>
  <c r="AJ845" i="1"/>
  <c r="AJ848" i="1"/>
  <c r="AJ851" i="1"/>
  <c r="AJ138" i="9"/>
  <c r="AJ136" i="9"/>
  <c r="AJ6" i="9"/>
  <c r="AM1138" i="1"/>
  <c r="AM1124" i="1"/>
  <c r="AM1131" i="1"/>
  <c r="AN1" i="9" l="1"/>
  <c r="AN1117" i="1"/>
  <c r="AO4" i="1"/>
  <c r="AN3" i="1"/>
  <c r="AN1143" i="1"/>
  <c r="AN1144" i="1"/>
  <c r="AN1142" i="1"/>
  <c r="AN1140" i="1" s="1"/>
  <c r="AN858" i="1" s="1"/>
  <c r="AJ846" i="1"/>
  <c r="AJ852" i="1"/>
  <c r="AJ139" i="9"/>
  <c r="AJ10" i="9"/>
  <c r="AM1137" i="1"/>
  <c r="AM1135" i="1"/>
  <c r="AM1133" i="1" s="1"/>
  <c r="AM1130" i="1"/>
  <c r="AM1123" i="1"/>
  <c r="AM1121" i="1"/>
  <c r="AM1119" i="1" s="1"/>
  <c r="AM855" i="1" s="1"/>
  <c r="AM1128" i="1"/>
  <c r="AM1126" i="1" s="1"/>
  <c r="AM856" i="1" s="1"/>
  <c r="AL857" i="1"/>
  <c r="AL859" i="1" s="1"/>
  <c r="AL844" i="1" s="1"/>
  <c r="AL845" i="1" s="1"/>
  <c r="AL846" i="1" s="1"/>
  <c r="AL4" i="9"/>
  <c r="AL6" i="9" s="1"/>
  <c r="AL10" i="9" s="1"/>
  <c r="AN1138" i="1"/>
  <c r="AN1124" i="1"/>
  <c r="AN1131" i="1"/>
  <c r="AJ137" i="9" l="1"/>
  <c r="AJ140" i="9"/>
  <c r="AJ853" i="1"/>
  <c r="AJ849" i="1"/>
  <c r="AJ850" i="1"/>
  <c r="AO1" i="9"/>
  <c r="AP4" i="1"/>
  <c r="AO3" i="1"/>
  <c r="AO1143" i="1"/>
  <c r="AN1137" i="1"/>
  <c r="AN1135" i="1"/>
  <c r="AN1133" i="1" s="1"/>
  <c r="AN1130" i="1"/>
  <c r="AN1123" i="1"/>
  <c r="AN1128" i="1"/>
  <c r="AN1126" i="1" s="1"/>
  <c r="AN856" i="1" s="1"/>
  <c r="AN1121" i="1"/>
  <c r="AN1119" i="1" s="1"/>
  <c r="AN855" i="1" s="1"/>
  <c r="AM857" i="1"/>
  <c r="AM859" i="1" s="1"/>
  <c r="AM844" i="1" s="1"/>
  <c r="AM845" i="1" s="1"/>
  <c r="AM846" i="1" s="1"/>
  <c r="AM4" i="9"/>
  <c r="AM6" i="9" s="1"/>
  <c r="AM10" i="9" s="1"/>
  <c r="AL993" i="1" l="1"/>
  <c r="AM993" i="1"/>
  <c r="AN837" i="1"/>
  <c r="AK837" i="1"/>
  <c r="AN993" i="1"/>
  <c r="AM837" i="1"/>
  <c r="AL837" i="1"/>
  <c r="AM992" i="1"/>
  <c r="AK993" i="1"/>
  <c r="AK992" i="1"/>
  <c r="AL992" i="1"/>
  <c r="AN992" i="1"/>
  <c r="AK995" i="1"/>
  <c r="AK994" i="1"/>
  <c r="AL994" i="1"/>
  <c r="AL995" i="1"/>
  <c r="AM995" i="1"/>
  <c r="AM994" i="1"/>
  <c r="AP1" i="9"/>
  <c r="AP1117" i="1"/>
  <c r="AQ4" i="1"/>
  <c r="AP3" i="1"/>
  <c r="AP1144" i="1"/>
  <c r="AP1142" i="1"/>
  <c r="AP1140" i="1" s="1"/>
  <c r="AP858" i="1" s="1"/>
  <c r="AP1143" i="1"/>
  <c r="AO1117" i="1"/>
  <c r="AN994" i="1"/>
  <c r="AN995" i="1"/>
  <c r="AN857" i="1"/>
  <c r="AN859" i="1" s="1"/>
  <c r="AN844" i="1" s="1"/>
  <c r="AN845" i="1" s="1"/>
  <c r="AN846" i="1" s="1"/>
  <c r="AN4" i="9"/>
  <c r="AN6" i="9" s="1"/>
  <c r="AN10" i="9" s="1"/>
  <c r="AP1138" i="1"/>
  <c r="AP1124" i="1"/>
  <c r="AP1131" i="1"/>
  <c r="AO1138" i="1"/>
  <c r="AO1124" i="1"/>
  <c r="AO1131" i="1"/>
  <c r="AQ1" i="9" l="1"/>
  <c r="AQ1117" i="1"/>
  <c r="AQ1142" i="1"/>
  <c r="AQ1140" i="1" s="1"/>
  <c r="AQ858" i="1" s="1"/>
  <c r="AR4" i="1"/>
  <c r="AQ3" i="1"/>
  <c r="AQ1143" i="1"/>
  <c r="AQ1144" i="1"/>
  <c r="AO1137" i="1"/>
  <c r="AO1135" i="1"/>
  <c r="AO1133" i="1" s="1"/>
  <c r="AO1130" i="1"/>
  <c r="AO1123" i="1"/>
  <c r="AO1128" i="1"/>
  <c r="AO1126" i="1" s="1"/>
  <c r="AO856" i="1" s="1"/>
  <c r="AO1121" i="1"/>
  <c r="AO1119" i="1" s="1"/>
  <c r="AO855" i="1" s="1"/>
  <c r="AO1142" i="1"/>
  <c r="AO1140" i="1" s="1"/>
  <c r="AO858" i="1" s="1"/>
  <c r="AO1144" i="1"/>
  <c r="AP1137" i="1"/>
  <c r="AP1135" i="1"/>
  <c r="AP1133" i="1" s="1"/>
  <c r="AP1130" i="1"/>
  <c r="AP1123" i="1"/>
  <c r="AP1128" i="1"/>
  <c r="AP1126" i="1" s="1"/>
  <c r="AP856" i="1" s="1"/>
  <c r="AP1121" i="1"/>
  <c r="AP1119" i="1" s="1"/>
  <c r="AP855" i="1" s="1"/>
  <c r="AQ1131" i="1"/>
  <c r="AQ1138" i="1"/>
  <c r="AQ1124" i="1"/>
  <c r="AO857" i="1" l="1"/>
  <c r="AO859" i="1" s="1"/>
  <c r="AO4" i="9"/>
  <c r="AR1" i="9"/>
  <c r="AS4" i="1"/>
  <c r="AR3" i="1"/>
  <c r="AR1143" i="1"/>
  <c r="AQ1137" i="1"/>
  <c r="AQ1135" i="1"/>
  <c r="AQ1133" i="1" s="1"/>
  <c r="AQ1130" i="1"/>
  <c r="AQ1123" i="1"/>
  <c r="AQ1128" i="1"/>
  <c r="AQ1126" i="1" s="1"/>
  <c r="AQ856" i="1" s="1"/>
  <c r="AQ1121" i="1"/>
  <c r="AQ1119" i="1" s="1"/>
  <c r="AQ855" i="1" s="1"/>
  <c r="AP857" i="1"/>
  <c r="AP859" i="1" s="1"/>
  <c r="AP844" i="1" s="1"/>
  <c r="AP845" i="1" s="1"/>
  <c r="AP846" i="1" s="1"/>
  <c r="AP4" i="9"/>
  <c r="AP6" i="9" s="1"/>
  <c r="AP10" i="9" s="1"/>
  <c r="AO844" i="1"/>
  <c r="AQ857" i="1" l="1"/>
  <c r="AQ859" i="1" s="1"/>
  <c r="AQ844" i="1" s="1"/>
  <c r="AQ845" i="1" s="1"/>
  <c r="AQ846" i="1" s="1"/>
  <c r="AQ4" i="9"/>
  <c r="AQ6" i="9" s="1"/>
  <c r="AQ10" i="9" s="1"/>
  <c r="AS1" i="9"/>
  <c r="AT4" i="1"/>
  <c r="AS3" i="1"/>
  <c r="AS1143" i="1"/>
  <c r="AR1117" i="1"/>
  <c r="AO848" i="1"/>
  <c r="AO851" i="1"/>
  <c r="AO845" i="1"/>
  <c r="AO138" i="9"/>
  <c r="AO6" i="9"/>
  <c r="AO136" i="9"/>
  <c r="AR1131" i="1"/>
  <c r="AR1124" i="1"/>
  <c r="AR1138" i="1"/>
  <c r="AT1117" i="1" l="1"/>
  <c r="AT1" i="9"/>
  <c r="AT3" i="1"/>
  <c r="AU4" i="1"/>
  <c r="AY4" i="1"/>
  <c r="AT1143" i="1"/>
  <c r="AT1144" i="1"/>
  <c r="AT1142" i="1"/>
  <c r="AT1140" i="1" s="1"/>
  <c r="AT858" i="1" s="1"/>
  <c r="AO846" i="1"/>
  <c r="AO852" i="1"/>
  <c r="AS1117" i="1"/>
  <c r="AR1137" i="1"/>
  <c r="AR1135" i="1"/>
  <c r="AR1133" i="1" s="1"/>
  <c r="AR1130" i="1"/>
  <c r="AR1123" i="1"/>
  <c r="AR1128" i="1"/>
  <c r="AR1126" i="1" s="1"/>
  <c r="AR856" i="1" s="1"/>
  <c r="AR1121" i="1"/>
  <c r="AR1119" i="1" s="1"/>
  <c r="AR855" i="1" s="1"/>
  <c r="AR1142" i="1"/>
  <c r="AR1140" i="1" s="1"/>
  <c r="AR858" i="1" s="1"/>
  <c r="AR1144" i="1"/>
  <c r="AO10" i="9"/>
  <c r="AO139" i="9"/>
  <c r="AT1124" i="1"/>
  <c r="AT1131" i="1"/>
  <c r="AT1138" i="1"/>
  <c r="AS1124" i="1"/>
  <c r="AS1131" i="1"/>
  <c r="AS1138" i="1"/>
  <c r="AS1135" i="1" l="1"/>
  <c r="AS1133" i="1" s="1"/>
  <c r="AS1130" i="1"/>
  <c r="AS1123" i="1"/>
  <c r="AS1128" i="1"/>
  <c r="AS1126" i="1" s="1"/>
  <c r="AS856" i="1" s="1"/>
  <c r="AS1121" i="1"/>
  <c r="AS1119" i="1" s="1"/>
  <c r="AS855" i="1" s="1"/>
  <c r="AS1137" i="1"/>
  <c r="AS1142" i="1"/>
  <c r="AS1140" i="1" s="1"/>
  <c r="AS858" i="1" s="1"/>
  <c r="AS1144" i="1"/>
  <c r="AO853" i="1"/>
  <c r="AO850" i="1"/>
  <c r="AO849" i="1"/>
  <c r="AY1" i="9"/>
  <c r="BD4" i="1"/>
  <c r="AY3" i="1"/>
  <c r="AY1117" i="1" s="1"/>
  <c r="AZ4" i="1"/>
  <c r="AY1143" i="1"/>
  <c r="AO140" i="9"/>
  <c r="AO137" i="9"/>
  <c r="AU1" i="9"/>
  <c r="AU3" i="1"/>
  <c r="AV4" i="1"/>
  <c r="AU1143" i="1"/>
  <c r="AR857" i="1"/>
  <c r="AR859" i="1" s="1"/>
  <c r="AR844" i="1" s="1"/>
  <c r="AR845" i="1" s="1"/>
  <c r="AR846" i="1" s="1"/>
  <c r="AR4" i="9"/>
  <c r="AR6" i="9" s="1"/>
  <c r="AR10" i="9" s="1"/>
  <c r="AP837" i="1"/>
  <c r="AR993" i="1"/>
  <c r="AQ837" i="1"/>
  <c r="AR837" i="1"/>
  <c r="AS837" i="1"/>
  <c r="AP993" i="1"/>
  <c r="AQ993" i="1"/>
  <c r="AR992" i="1"/>
  <c r="AS993" i="1"/>
  <c r="AQ992" i="1"/>
  <c r="AP992" i="1"/>
  <c r="AS992" i="1"/>
  <c r="AP995" i="1"/>
  <c r="AP994" i="1"/>
  <c r="AQ995" i="1"/>
  <c r="AQ994" i="1"/>
  <c r="AR995" i="1"/>
  <c r="AR994" i="1"/>
  <c r="AT1135" i="1"/>
  <c r="AT1133" i="1" s="1"/>
  <c r="AT1130" i="1"/>
  <c r="AT1123" i="1"/>
  <c r="AT1128" i="1"/>
  <c r="AT1126" i="1" s="1"/>
  <c r="AT856" i="1" s="1"/>
  <c r="AT1121" i="1"/>
  <c r="AT1119" i="1" s="1"/>
  <c r="AT855" i="1" s="1"/>
  <c r="AT1137" i="1"/>
  <c r="AS994" i="1"/>
  <c r="AS995" i="1"/>
  <c r="AY1124" i="1"/>
  <c r="AY1131" i="1"/>
  <c r="AY1138" i="1"/>
  <c r="AY1130" i="1" l="1"/>
  <c r="AY1123" i="1"/>
  <c r="AY1128" i="1"/>
  <c r="AY1126" i="1" s="1"/>
  <c r="AY1121" i="1"/>
  <c r="AY1119" i="1" s="1"/>
  <c r="AY1137" i="1"/>
  <c r="AY1135" i="1"/>
  <c r="AY1133" i="1" s="1"/>
  <c r="AY1144" i="1"/>
  <c r="AY1142" i="1"/>
  <c r="AY1140" i="1" s="1"/>
  <c r="AY858" i="1" s="1"/>
  <c r="AY844" i="1" s="1"/>
  <c r="BD1" i="9"/>
  <c r="BD1117" i="1"/>
  <c r="BE4" i="1"/>
  <c r="BD3" i="1"/>
  <c r="BD1144" i="1"/>
  <c r="BD1142" i="1"/>
  <c r="BD1140" i="1" s="1"/>
  <c r="BD858" i="1" s="1"/>
  <c r="BD844" i="1" s="1"/>
  <c r="BD1143" i="1"/>
  <c r="AV1" i="9"/>
  <c r="AW4" i="1"/>
  <c r="AV3" i="1"/>
  <c r="AV1143" i="1"/>
  <c r="AU995" i="1"/>
  <c r="AU994" i="1"/>
  <c r="AU1117" i="1"/>
  <c r="AV837" i="1"/>
  <c r="AU837" i="1"/>
  <c r="AU993" i="1"/>
  <c r="AV992" i="1"/>
  <c r="AU992" i="1"/>
  <c r="AT857" i="1"/>
  <c r="AT859" i="1" s="1"/>
  <c r="AT844" i="1" s="1"/>
  <c r="AT4" i="9"/>
  <c r="AZ1143" i="1"/>
  <c r="AZ1" i="9"/>
  <c r="AZ3" i="1"/>
  <c r="BA4" i="1"/>
  <c r="AZ1144" i="1"/>
  <c r="AZ1142" i="1"/>
  <c r="AZ1140" i="1" s="1"/>
  <c r="AZ858" i="1" s="1"/>
  <c r="AZ844" i="1" s="1"/>
  <c r="AS857" i="1"/>
  <c r="AS859" i="1" s="1"/>
  <c r="AS844" i="1" s="1"/>
  <c r="AS845" i="1" s="1"/>
  <c r="AS846" i="1" s="1"/>
  <c r="AS4" i="9"/>
  <c r="AS6" i="9" s="1"/>
  <c r="AS10" i="9" s="1"/>
  <c r="AU1124" i="1"/>
  <c r="AU1131" i="1"/>
  <c r="AU1138" i="1"/>
  <c r="BD1138" i="1"/>
  <c r="BD1124" i="1"/>
  <c r="BD1131" i="1"/>
  <c r="AZ992" i="1" l="1"/>
  <c r="AZ993" i="1"/>
  <c r="BE1" i="9"/>
  <c r="BE1117" i="1"/>
  <c r="BF4" i="1"/>
  <c r="BE3" i="1"/>
  <c r="BE1144" i="1"/>
  <c r="BE1142" i="1"/>
  <c r="BE1140" i="1" s="1"/>
  <c r="BE858" i="1" s="1"/>
  <c r="BE844" i="1" s="1"/>
  <c r="BE1143" i="1"/>
  <c r="BD1137" i="1"/>
  <c r="BD1135" i="1"/>
  <c r="BD1133" i="1" s="1"/>
  <c r="BD1130" i="1"/>
  <c r="BD1123" i="1"/>
  <c r="BD1128" i="1"/>
  <c r="BD1126" i="1" s="1"/>
  <c r="BD1121" i="1"/>
  <c r="BD1119" i="1" s="1"/>
  <c r="BA1142" i="1"/>
  <c r="BA1140" i="1" s="1"/>
  <c r="BA858" i="1" s="1"/>
  <c r="BA844" i="1" s="1"/>
  <c r="BA1" i="9"/>
  <c r="BA3" i="1"/>
  <c r="BB4" i="1"/>
  <c r="BA1144" i="1"/>
  <c r="BA1143" i="1"/>
  <c r="AZ832" i="1"/>
  <c r="AZ995" i="1"/>
  <c r="AZ994" i="1"/>
  <c r="AZ1117" i="1"/>
  <c r="AU1130" i="1"/>
  <c r="AU1123" i="1"/>
  <c r="AU1128" i="1"/>
  <c r="AU1126" i="1" s="1"/>
  <c r="AU856" i="1" s="1"/>
  <c r="AU1121" i="1"/>
  <c r="AU1119" i="1" s="1"/>
  <c r="AU855" i="1" s="1"/>
  <c r="AU1137" i="1"/>
  <c r="AU1135" i="1"/>
  <c r="AU1133" i="1" s="1"/>
  <c r="AU1142" i="1"/>
  <c r="AU1140" i="1" s="1"/>
  <c r="AU858" i="1" s="1"/>
  <c r="AU1144" i="1"/>
  <c r="AT845" i="1"/>
  <c r="AT848" i="1"/>
  <c r="AT851" i="1"/>
  <c r="AW1" i="9"/>
  <c r="AW3" i="1"/>
  <c r="AX4" i="1"/>
  <c r="AW1143" i="1"/>
  <c r="AT136" i="9"/>
  <c r="AT6" i="9"/>
  <c r="AT138" i="9"/>
  <c r="AV995" i="1"/>
  <c r="AV994" i="1"/>
  <c r="AV993" i="1"/>
  <c r="AV1117" i="1"/>
  <c r="AZ1138" i="1"/>
  <c r="AZ1124" i="1"/>
  <c r="AZ1131" i="1"/>
  <c r="BE1138" i="1"/>
  <c r="BE1124" i="1"/>
  <c r="BE1131" i="1"/>
  <c r="AV1124" i="1"/>
  <c r="AV1131" i="1"/>
  <c r="AV1138" i="1"/>
  <c r="AT846" i="1" l="1"/>
  <c r="AT852" i="1"/>
  <c r="AV1130" i="1"/>
  <c r="AV1123" i="1"/>
  <c r="AV1128" i="1"/>
  <c r="AV1126" i="1" s="1"/>
  <c r="AV856" i="1" s="1"/>
  <c r="AV1137" i="1"/>
  <c r="AV1121" i="1"/>
  <c r="AV1119" i="1" s="1"/>
  <c r="AV855" i="1" s="1"/>
  <c r="AV1135" i="1"/>
  <c r="AV1133" i="1" s="1"/>
  <c r="AV1142" i="1"/>
  <c r="AV1140" i="1" s="1"/>
  <c r="AV858" i="1" s="1"/>
  <c r="AV1144" i="1"/>
  <c r="BE992" i="1"/>
  <c r="BE993" i="1"/>
  <c r="BF1" i="9"/>
  <c r="BG4" i="1"/>
  <c r="BF3" i="1"/>
  <c r="BF1143" i="1"/>
  <c r="BF1142" i="1"/>
  <c r="BF1140" i="1" s="1"/>
  <c r="BF858" i="1" s="1"/>
  <c r="BF844" i="1" s="1"/>
  <c r="BF1144" i="1"/>
  <c r="BB1" i="9"/>
  <c r="BB3" i="1"/>
  <c r="BC4" i="1"/>
  <c r="BB1142" i="1"/>
  <c r="BB1140" i="1" s="1"/>
  <c r="BB858" i="1" s="1"/>
  <c r="BB844" i="1" s="1"/>
  <c r="BB1143" i="1"/>
  <c r="BB1144" i="1"/>
  <c r="BE1137" i="1"/>
  <c r="BE1135" i="1"/>
  <c r="BE1133" i="1" s="1"/>
  <c r="BE1130" i="1"/>
  <c r="BE1123" i="1"/>
  <c r="BE1128" i="1"/>
  <c r="BE1126" i="1" s="1"/>
  <c r="BE1121" i="1"/>
  <c r="BE1119" i="1" s="1"/>
  <c r="AT10" i="9"/>
  <c r="AT139" i="9"/>
  <c r="BA832" i="1"/>
  <c r="BA995" i="1"/>
  <c r="BA994" i="1"/>
  <c r="BA1117" i="1"/>
  <c r="AU857" i="1"/>
  <c r="AU859" i="1" s="1"/>
  <c r="AU844" i="1" s="1"/>
  <c r="AU845" i="1" s="1"/>
  <c r="AU846" i="1" s="1"/>
  <c r="AU4" i="9"/>
  <c r="AU6" i="9" s="1"/>
  <c r="AU10" i="9" s="1"/>
  <c r="BA992" i="1"/>
  <c r="BA993" i="1"/>
  <c r="AX1" i="9"/>
  <c r="AX1117" i="1"/>
  <c r="AX3" i="1"/>
  <c r="AX1143" i="1"/>
  <c r="AW995" i="1"/>
  <c r="AW994" i="1"/>
  <c r="AW992" i="1"/>
  <c r="AW993" i="1"/>
  <c r="AW837" i="1"/>
  <c r="AW1117" i="1"/>
  <c r="AZ1123" i="1"/>
  <c r="AZ1128" i="1"/>
  <c r="AZ1126" i="1" s="1"/>
  <c r="AZ1121" i="1"/>
  <c r="AZ1119" i="1" s="1"/>
  <c r="AZ1137" i="1"/>
  <c r="AZ1135" i="1"/>
  <c r="AZ1133" i="1" s="1"/>
  <c r="AZ1130" i="1"/>
  <c r="AW1124" i="1"/>
  <c r="AW1131" i="1"/>
  <c r="AW1138" i="1"/>
  <c r="BA1138" i="1"/>
  <c r="BA1124" i="1"/>
  <c r="BA1131" i="1"/>
  <c r="AX1124" i="1"/>
  <c r="AX1131" i="1"/>
  <c r="AX1138" i="1"/>
  <c r="AX1130" i="1" l="1"/>
  <c r="AX1123" i="1"/>
  <c r="AX1128" i="1"/>
  <c r="AX1126" i="1" s="1"/>
  <c r="AX1137" i="1"/>
  <c r="AX1135" i="1"/>
  <c r="AX1133" i="1" s="1"/>
  <c r="AX1121" i="1"/>
  <c r="AX1119" i="1" s="1"/>
  <c r="BC1" i="9"/>
  <c r="BC1117" i="1"/>
  <c r="BC3" i="1"/>
  <c r="BC1144" i="1"/>
  <c r="BC1143" i="1"/>
  <c r="BC1142" i="1"/>
  <c r="BC1140" i="1" s="1"/>
  <c r="BC858" i="1" s="1"/>
  <c r="BC844" i="1" s="1"/>
  <c r="AV857" i="1"/>
  <c r="AV859" i="1" s="1"/>
  <c r="AV844" i="1" s="1"/>
  <c r="AV845" i="1" s="1"/>
  <c r="AV846" i="1" s="1"/>
  <c r="AV4" i="9"/>
  <c r="AV6" i="9" s="1"/>
  <c r="AV10" i="9" s="1"/>
  <c r="BA1128" i="1"/>
  <c r="BA1126" i="1" s="1"/>
  <c r="BA1121" i="1"/>
  <c r="BA1119" i="1" s="1"/>
  <c r="BA1137" i="1"/>
  <c r="BA1135" i="1"/>
  <c r="BA1133" i="1" s="1"/>
  <c r="BA1123" i="1"/>
  <c r="BA1130" i="1"/>
  <c r="BB832" i="1"/>
  <c r="BB994" i="1"/>
  <c r="BB995" i="1"/>
  <c r="BB992" i="1"/>
  <c r="BB993" i="1"/>
  <c r="BB1117" i="1"/>
  <c r="AY992" i="1"/>
  <c r="AT137" i="9"/>
  <c r="AT140" i="9"/>
  <c r="BF993" i="1"/>
  <c r="BF992" i="1"/>
  <c r="BG1142" i="1"/>
  <c r="BG1140" i="1" s="1"/>
  <c r="BG858" i="1" s="1"/>
  <c r="BG844" i="1" s="1"/>
  <c r="BG1" i="9"/>
  <c r="BG3" i="1"/>
  <c r="BG1143" i="1"/>
  <c r="BG1144" i="1"/>
  <c r="AW1130" i="1"/>
  <c r="AW1123" i="1"/>
  <c r="AW1128" i="1"/>
  <c r="AW1126" i="1" s="1"/>
  <c r="AW856" i="1" s="1"/>
  <c r="AW1121" i="1"/>
  <c r="AW1119" i="1" s="1"/>
  <c r="AW855" i="1" s="1"/>
  <c r="AW1137" i="1"/>
  <c r="AW1135" i="1"/>
  <c r="AW1133" i="1" s="1"/>
  <c r="AW1144" i="1"/>
  <c r="AW1142" i="1"/>
  <c r="AW1140" i="1" s="1"/>
  <c r="AW858" i="1" s="1"/>
  <c r="AX1144" i="1"/>
  <c r="AX832" i="1"/>
  <c r="AX995" i="1"/>
  <c r="AY995" i="1" s="1"/>
  <c r="AX834" i="1"/>
  <c r="AY834" i="1" s="1"/>
  <c r="AX994" i="1"/>
  <c r="AY994" i="1" s="1"/>
  <c r="AX993" i="1"/>
  <c r="AY993" i="1" s="1"/>
  <c r="AX992" i="1"/>
  <c r="BF1117" i="1"/>
  <c r="AT850" i="1"/>
  <c r="AT853" i="1"/>
  <c r="AT849" i="1"/>
  <c r="AX1142" i="1"/>
  <c r="AX1140" i="1" s="1"/>
  <c r="AX858" i="1" s="1"/>
  <c r="BC1138" i="1"/>
  <c r="BC1124" i="1"/>
  <c r="BC1131" i="1"/>
  <c r="BF1138" i="1"/>
  <c r="BF1124" i="1"/>
  <c r="BF1131" i="1"/>
  <c r="BB1138" i="1"/>
  <c r="BB1124" i="1"/>
  <c r="BB1131" i="1"/>
  <c r="BC832" i="1" l="1"/>
  <c r="BC994" i="1"/>
  <c r="BD994" i="1" s="1"/>
  <c r="BC995" i="1"/>
  <c r="BD995" i="1" s="1"/>
  <c r="BC992" i="1"/>
  <c r="BD992" i="1" s="1"/>
  <c r="BC993" i="1"/>
  <c r="BD993" i="1" s="1"/>
  <c r="AX803" i="1"/>
  <c r="AX801" i="1"/>
  <c r="AX802" i="1"/>
  <c r="AX844" i="1"/>
  <c r="AX845" i="1" s="1"/>
  <c r="BB1121" i="1"/>
  <c r="BB1119" i="1" s="1"/>
  <c r="BB1137" i="1"/>
  <c r="BB1135" i="1"/>
  <c r="BB1133" i="1" s="1"/>
  <c r="BB1130" i="1"/>
  <c r="BB1128" i="1"/>
  <c r="BB1126" i="1" s="1"/>
  <c r="BB1123" i="1"/>
  <c r="BF1137" i="1"/>
  <c r="BF1135" i="1"/>
  <c r="BF1133" i="1" s="1"/>
  <c r="BF1130" i="1"/>
  <c r="BF1123" i="1"/>
  <c r="BF1128" i="1"/>
  <c r="BF1126" i="1" s="1"/>
  <c r="BF1121" i="1"/>
  <c r="BF1119" i="1" s="1"/>
  <c r="BC1137" i="1"/>
  <c r="BC1135" i="1"/>
  <c r="BC1133" i="1" s="1"/>
  <c r="BC1130" i="1"/>
  <c r="BC1123" i="1"/>
  <c r="BC1121" i="1"/>
  <c r="BC1119" i="1" s="1"/>
  <c r="BC1128" i="1"/>
  <c r="BC1126" i="1" s="1"/>
  <c r="BG993" i="1"/>
  <c r="BG992" i="1"/>
  <c r="BD832" i="1"/>
  <c r="BD833" i="1" s="1"/>
  <c r="BG1117" i="1"/>
  <c r="AY832" i="1"/>
  <c r="AY833" i="1" s="1"/>
  <c r="AX836" i="1"/>
  <c r="AW857" i="1"/>
  <c r="AW859" i="1" s="1"/>
  <c r="AW844" i="1" s="1"/>
  <c r="AW845" i="1" s="1"/>
  <c r="AW846" i="1" s="1"/>
  <c r="AW4" i="9"/>
  <c r="AW6" i="9" s="1"/>
  <c r="AW10" i="9" s="1"/>
  <c r="BG1131" i="1"/>
  <c r="BG1138" i="1"/>
  <c r="BG1124" i="1"/>
  <c r="AZ802" i="1" l="1"/>
  <c r="AY802" i="1"/>
  <c r="AY803" i="1" s="1"/>
  <c r="AZ801" i="1"/>
  <c r="AY801" i="1"/>
  <c r="AX813" i="1"/>
  <c r="AX5" i="9"/>
  <c r="AZ803" i="1"/>
  <c r="AX837" i="1"/>
  <c r="AX775" i="1"/>
  <c r="AX530" i="1"/>
  <c r="AY836" i="1"/>
  <c r="AX839" i="1"/>
  <c r="BG1137" i="1"/>
  <c r="BG1135" i="1"/>
  <c r="BG1133" i="1" s="1"/>
  <c r="BG1130" i="1"/>
  <c r="BG1123" i="1"/>
  <c r="BG1128" i="1"/>
  <c r="BG1126" i="1" s="1"/>
  <c r="BG1121" i="1"/>
  <c r="BG1119" i="1" s="1"/>
  <c r="AX57" i="9" l="1"/>
  <c r="AX60" i="9" s="1"/>
  <c r="AY775" i="1"/>
  <c r="AX778" i="1"/>
  <c r="BA803" i="1"/>
  <c r="AZ5" i="9"/>
  <c r="AZ845" i="1"/>
  <c r="AX6" i="9"/>
  <c r="AX129" i="9"/>
  <c r="AX130" i="9"/>
  <c r="AY837" i="1"/>
  <c r="AY839" i="1"/>
  <c r="AX538" i="1"/>
  <c r="AY530" i="1"/>
  <c r="AX535" i="1"/>
  <c r="AX952" i="1"/>
  <c r="AX83" i="9"/>
  <c r="AX1075" i="1"/>
  <c r="BA801" i="1"/>
  <c r="AZ813" i="1"/>
  <c r="AY845" i="1"/>
  <c r="AY5" i="9"/>
  <c r="BA802" i="1"/>
  <c r="BB802" i="1" s="1"/>
  <c r="BC802" i="1" s="1"/>
  <c r="BE802" i="1" s="1"/>
  <c r="BF802" i="1" s="1"/>
  <c r="BG802" i="1" s="1"/>
  <c r="BD802" i="1"/>
  <c r="BD803" i="1" s="1"/>
  <c r="AX1064" i="1" l="1"/>
  <c r="AX540" i="1"/>
  <c r="AY538" i="1"/>
  <c r="AY535" i="1"/>
  <c r="AY952" i="1"/>
  <c r="AX959" i="1"/>
  <c r="AZ6" i="9"/>
  <c r="AZ129" i="9"/>
  <c r="AZ130" i="9"/>
  <c r="BD5" i="9"/>
  <c r="BD845" i="1"/>
  <c r="AZ1075" i="1"/>
  <c r="AZ83" i="9"/>
  <c r="AZ952" i="1"/>
  <c r="AX781" i="1"/>
  <c r="AX780" i="1"/>
  <c r="AX782" i="1" s="1"/>
  <c r="AY6" i="9"/>
  <c r="AY129" i="9"/>
  <c r="AY130" i="9"/>
  <c r="BA5" i="9"/>
  <c r="BB803" i="1"/>
  <c r="BA845" i="1"/>
  <c r="BA813" i="1"/>
  <c r="BB801" i="1"/>
  <c r="AY57" i="9"/>
  <c r="AY60" i="9" s="1"/>
  <c r="AY778" i="1"/>
  <c r="AX919" i="1" l="1"/>
  <c r="AX786" i="1"/>
  <c r="AW1068" i="1"/>
  <c r="AZ959" i="1"/>
  <c r="BD6" i="9"/>
  <c r="BD129" i="9"/>
  <c r="BD130" i="9"/>
  <c r="BA1075" i="1"/>
  <c r="BA952" i="1"/>
  <c r="BA959" i="1" s="1"/>
  <c r="BA83" i="9"/>
  <c r="AY813" i="1"/>
  <c r="AY959" i="1"/>
  <c r="AY782" i="1"/>
  <c r="AY786" i="1" s="1"/>
  <c r="BB813" i="1"/>
  <c r="BC801" i="1"/>
  <c r="BB5" i="9"/>
  <c r="BB845" i="1"/>
  <c r="BC803" i="1"/>
  <c r="AX61" i="9"/>
  <c r="AX65" i="9" s="1"/>
  <c r="AY780" i="1"/>
  <c r="BA6" i="9"/>
  <c r="BA129" i="9"/>
  <c r="BA130" i="9"/>
  <c r="AY1064" i="1"/>
  <c r="AY540" i="1"/>
  <c r="AX923" i="1"/>
  <c r="AY781" i="1"/>
  <c r="AY794" i="1" s="1"/>
  <c r="AX1040" i="1" l="1"/>
  <c r="AY923" i="1"/>
  <c r="AY83" i="9"/>
  <c r="AY1075" i="1"/>
  <c r="AY796" i="1"/>
  <c r="AY788" i="1"/>
  <c r="AY797" i="1" s="1"/>
  <c r="AY791" i="1"/>
  <c r="BB6" i="9"/>
  <c r="BB129" i="9"/>
  <c r="BB130" i="9"/>
  <c r="AY61" i="9"/>
  <c r="AY65" i="9" s="1"/>
  <c r="AY793" i="1"/>
  <c r="BD801" i="1"/>
  <c r="BC813" i="1"/>
  <c r="BE801" i="1"/>
  <c r="BB952" i="1"/>
  <c r="BB959" i="1" s="1"/>
  <c r="BB83" i="9"/>
  <c r="BB1075" i="1"/>
  <c r="AX796" i="1"/>
  <c r="AX788" i="1"/>
  <c r="AX797" i="1" s="1"/>
  <c r="AX791" i="1"/>
  <c r="AX112" i="9"/>
  <c r="AX113" i="9" s="1"/>
  <c r="AX145" i="9"/>
  <c r="AX66" i="9"/>
  <c r="BC5" i="9"/>
  <c r="BC845" i="1"/>
  <c r="BE803" i="1"/>
  <c r="AX931" i="1"/>
  <c r="AY919" i="1"/>
  <c r="AY931" i="1" s="1"/>
  <c r="AX1050" i="1"/>
  <c r="AY145" i="9" l="1"/>
  <c r="AY112" i="9"/>
  <c r="AY113" i="9" s="1"/>
  <c r="AY66" i="9"/>
  <c r="AY70" i="9"/>
  <c r="AY798" i="1"/>
  <c r="BC952" i="1"/>
  <c r="BC83" i="9"/>
  <c r="BC1075" i="1"/>
  <c r="AX70" i="9"/>
  <c r="AX798" i="1"/>
  <c r="AX71" i="9" s="1"/>
  <c r="AX97" i="9" s="1"/>
  <c r="BC6" i="9"/>
  <c r="BC129" i="9"/>
  <c r="BC130" i="9"/>
  <c r="AY938" i="1"/>
  <c r="AY963" i="1" s="1"/>
  <c r="AY966" i="1" s="1"/>
  <c r="AY806" i="1"/>
  <c r="AX806" i="1"/>
  <c r="AX938" i="1"/>
  <c r="AX963" i="1" s="1"/>
  <c r="AY1050" i="1"/>
  <c r="AX1053" i="1"/>
  <c r="BF803" i="1"/>
  <c r="BE5" i="9"/>
  <c r="BE845" i="1"/>
  <c r="BF801" i="1"/>
  <c r="BE813" i="1"/>
  <c r="AY1040" i="1"/>
  <c r="AX1044" i="1"/>
  <c r="AX1045" i="1" s="1"/>
  <c r="AZ965" i="1" l="1"/>
  <c r="BD965" i="1"/>
  <c r="AY1044" i="1"/>
  <c r="AY1045" i="1" s="1"/>
  <c r="AX107" i="9"/>
  <c r="AX108" i="9" s="1"/>
  <c r="AX144" i="9"/>
  <c r="AX131" i="9"/>
  <c r="BF813" i="1"/>
  <c r="BG801" i="1"/>
  <c r="BG813" i="1" s="1"/>
  <c r="BC959" i="1"/>
  <c r="BD952" i="1"/>
  <c r="BE6" i="9"/>
  <c r="BE129" i="9"/>
  <c r="BE130" i="9"/>
  <c r="AY71" i="9"/>
  <c r="AY848" i="1"/>
  <c r="BE83" i="9"/>
  <c r="BE952" i="1"/>
  <c r="BE959" i="1" s="1"/>
  <c r="BE1075" i="1"/>
  <c r="BF5" i="9"/>
  <c r="BF845" i="1"/>
  <c r="BG803" i="1"/>
  <c r="AY144" i="9"/>
  <c r="AY107" i="9"/>
  <c r="AY108" i="9" s="1"/>
  <c r="AY131" i="9"/>
  <c r="AX80" i="9"/>
  <c r="AX820" i="1"/>
  <c r="AX821" i="1" s="1"/>
  <c r="AX822" i="1" s="1"/>
  <c r="AX823" i="1" s="1"/>
  <c r="AX807" i="1"/>
  <c r="AX109" i="9"/>
  <c r="AX110" i="9" s="1"/>
  <c r="AX111" i="9" s="1"/>
  <c r="AX1055" i="1"/>
  <c r="AY1053" i="1"/>
  <c r="AY80" i="9"/>
  <c r="AY820" i="1"/>
  <c r="AY807" i="1"/>
  <c r="AY851" i="1" s="1"/>
  <c r="AX1003" i="1"/>
  <c r="AW1067" i="1"/>
  <c r="AX966" i="1"/>
  <c r="AX968" i="1" s="1"/>
  <c r="AX82" i="9" l="1"/>
  <c r="AX93" i="9"/>
  <c r="AX104" i="9"/>
  <c r="AX132" i="9"/>
  <c r="BG1075" i="1"/>
  <c r="BG952" i="1"/>
  <c r="BG959" i="1" s="1"/>
  <c r="BG83" i="9"/>
  <c r="BD813" i="1"/>
  <c r="BD959" i="1"/>
  <c r="BF83" i="9"/>
  <c r="BF1075" i="1"/>
  <c r="BF952" i="1"/>
  <c r="BF959" i="1" s="1"/>
  <c r="BF6" i="9"/>
  <c r="BF129" i="9"/>
  <c r="BF130" i="9"/>
  <c r="BG5" i="9"/>
  <c r="BG845" i="1"/>
  <c r="AX1012" i="1"/>
  <c r="AX1029" i="1" s="1"/>
  <c r="AY1003" i="1"/>
  <c r="AX826" i="1"/>
  <c r="AY821" i="1"/>
  <c r="AY822" i="1" s="1"/>
  <c r="AY823" i="1" s="1"/>
  <c r="AY852" i="1"/>
  <c r="AY93" i="9"/>
  <c r="AY138" i="9" s="1"/>
  <c r="AY104" i="9"/>
  <c r="AY82" i="9"/>
  <c r="AY132" i="9"/>
  <c r="AY109" i="9"/>
  <c r="AY110" i="9" s="1"/>
  <c r="AY111" i="9" s="1"/>
  <c r="AY1055" i="1"/>
  <c r="AY97" i="9"/>
  <c r="AY136" i="9"/>
  <c r="BD83" i="9" l="1"/>
  <c r="BD1075" i="1"/>
  <c r="AY1012" i="1"/>
  <c r="AY1029" i="1" s="1"/>
  <c r="AY826" i="1"/>
  <c r="AY968" i="1"/>
  <c r="AY94" i="9"/>
  <c r="AY96" i="9" s="1"/>
  <c r="AY84" i="9"/>
  <c r="AY91" i="9" s="1"/>
  <c r="AY146" i="9" s="1"/>
  <c r="AY139" i="9"/>
  <c r="AY133" i="9"/>
  <c r="AW1069" i="1"/>
  <c r="AX114" i="9"/>
  <c r="AX115" i="9" s="1"/>
  <c r="AX1057" i="1"/>
  <c r="AX7" i="9"/>
  <c r="AX10" i="9" s="1"/>
  <c r="AX1062" i="1"/>
  <c r="AX830" i="1"/>
  <c r="AY835" i="1"/>
  <c r="BG6" i="9"/>
  <c r="BG129" i="9"/>
  <c r="BG130" i="9"/>
  <c r="AX94" i="9"/>
  <c r="AX96" i="9" s="1"/>
  <c r="AX84" i="9"/>
  <c r="AX91" i="9" s="1"/>
  <c r="AX146" i="9" s="1"/>
  <c r="AX133" i="9"/>
  <c r="AY7" i="9" l="1"/>
  <c r="AY10" i="9" s="1"/>
  <c r="AY1062" i="1"/>
  <c r="AZ834" i="1"/>
  <c r="AY830" i="1"/>
  <c r="AY114" i="9"/>
  <c r="AY115" i="9" s="1"/>
  <c r="AY1057" i="1"/>
  <c r="AX125" i="9"/>
  <c r="AX126" i="9" s="1"/>
  <c r="AX116" i="9"/>
  <c r="AX117" i="9"/>
  <c r="AX118" i="9" s="1"/>
  <c r="AX119" i="9" s="1"/>
  <c r="AX120" i="9" s="1"/>
  <c r="AX100" i="9"/>
  <c r="AX101" i="9"/>
  <c r="AX102" i="9"/>
  <c r="AX846" i="1"/>
  <c r="AY117" i="9" l="1"/>
  <c r="AY118" i="9" s="1"/>
  <c r="AY119" i="9" s="1"/>
  <c r="AY120" i="9" s="1"/>
  <c r="AY100" i="9"/>
  <c r="AY101" i="9"/>
  <c r="AY840" i="1"/>
  <c r="AY841" i="1"/>
  <c r="AY846" i="1"/>
  <c r="AY102" i="9"/>
  <c r="AZ836" i="1"/>
  <c r="AY116" i="9"/>
  <c r="AY125" i="9"/>
  <c r="AY126" i="9" s="1"/>
  <c r="AY137" i="9"/>
  <c r="AY140" i="9"/>
  <c r="AY850" i="1" l="1"/>
  <c r="AY849" i="1"/>
  <c r="AY853" i="1"/>
  <c r="AZ837" i="1"/>
  <c r="AZ530" i="1"/>
  <c r="AZ775" i="1"/>
  <c r="AZ839" i="1"/>
  <c r="AZ57" i="9" l="1"/>
  <c r="AZ60" i="9" s="1"/>
  <c r="AZ778" i="1"/>
  <c r="AZ538" i="1"/>
  <c r="AZ535" i="1"/>
  <c r="AZ540" i="1" l="1"/>
  <c r="AZ1064" i="1"/>
  <c r="AZ780" i="1"/>
  <c r="AZ781" i="1"/>
  <c r="AZ923" i="1" l="1"/>
  <c r="AZ61" i="9"/>
  <c r="AZ65" i="9" s="1"/>
  <c r="AZ782" i="1"/>
  <c r="AZ919" i="1" l="1"/>
  <c r="AZ786" i="1"/>
  <c r="AZ66" i="9"/>
  <c r="AZ112" i="9"/>
  <c r="AZ113" i="9" s="1"/>
  <c r="AZ145" i="9"/>
  <c r="AZ1040" i="1"/>
  <c r="AZ1044" i="1" l="1"/>
  <c r="AZ1045" i="1" s="1"/>
  <c r="AZ796" i="1"/>
  <c r="AZ788" i="1"/>
  <c r="AZ797" i="1" s="1"/>
  <c r="AZ791" i="1"/>
  <c r="AZ931" i="1"/>
  <c r="AZ1050" i="1"/>
  <c r="AZ806" i="1" l="1"/>
  <c r="AZ938" i="1"/>
  <c r="AZ963" i="1" s="1"/>
  <c r="AZ798" i="1"/>
  <c r="AZ71" i="9" s="1"/>
  <c r="AZ97" i="9" s="1"/>
  <c r="AZ70" i="9"/>
  <c r="AZ1053" i="1"/>
  <c r="AZ1055" i="1" l="1"/>
  <c r="AZ109" i="9"/>
  <c r="AZ110" i="9" s="1"/>
  <c r="AZ144" i="9"/>
  <c r="AZ107" i="9"/>
  <c r="AZ108" i="9" s="1"/>
  <c r="AZ131" i="9"/>
  <c r="AZ966" i="1"/>
  <c r="AZ1003" i="1"/>
  <c r="AZ80" i="9"/>
  <c r="AZ820" i="1"/>
  <c r="AZ821" i="1" s="1"/>
  <c r="AZ822" i="1" s="1"/>
  <c r="AZ823" i="1" s="1"/>
  <c r="AZ807" i="1"/>
  <c r="AZ968" i="1" l="1"/>
  <c r="BA965" i="1"/>
  <c r="AZ132" i="9"/>
  <c r="AZ82" i="9"/>
  <c r="AZ104" i="9"/>
  <c r="AZ93" i="9"/>
  <c r="AZ111" i="9"/>
  <c r="AZ1012" i="1"/>
  <c r="AZ1029" i="1" s="1"/>
  <c r="AZ826" i="1"/>
  <c r="AZ1062" i="1" l="1"/>
  <c r="AZ7" i="9"/>
  <c r="AZ10" i="9" s="1"/>
  <c r="AZ830" i="1"/>
  <c r="BA834" i="1"/>
  <c r="AZ114" i="9"/>
  <c r="AZ115" i="9" s="1"/>
  <c r="AZ1057" i="1"/>
  <c r="AZ133" i="9"/>
  <c r="AZ94" i="9"/>
  <c r="AZ96" i="9" s="1"/>
  <c r="AZ84" i="9"/>
  <c r="AZ91" i="9" s="1"/>
  <c r="AZ146" i="9" s="1"/>
  <c r="AZ116" i="9" l="1"/>
  <c r="AZ125" i="9"/>
  <c r="AZ126" i="9" s="1"/>
  <c r="BA836" i="1"/>
  <c r="AZ117" i="9"/>
  <c r="AZ118" i="9" s="1"/>
  <c r="AZ119" i="9" s="1"/>
  <c r="AZ120" i="9" s="1"/>
  <c r="AZ101" i="9"/>
  <c r="AZ100" i="9"/>
  <c r="AZ846" i="1"/>
  <c r="AZ102" i="9"/>
  <c r="BA530" i="1" l="1"/>
  <c r="BA775" i="1"/>
  <c r="BA839" i="1"/>
  <c r="BA837" i="1"/>
  <c r="BA57" i="9" l="1"/>
  <c r="BA60" i="9" s="1"/>
  <c r="BA778" i="1"/>
  <c r="BA538" i="1"/>
  <c r="BA535" i="1"/>
  <c r="BA540" i="1" l="1"/>
  <c r="BA1064" i="1"/>
  <c r="BA781" i="1"/>
  <c r="BA780" i="1"/>
  <c r="BA782" i="1" l="1"/>
  <c r="BA919" i="1"/>
  <c r="BA786" i="1"/>
  <c r="BA61" i="9"/>
  <c r="BA65" i="9" s="1"/>
  <c r="BA923" i="1"/>
  <c r="BA1040" i="1" l="1"/>
  <c r="BA791" i="1"/>
  <c r="BA796" i="1"/>
  <c r="BA788" i="1"/>
  <c r="BA797" i="1" s="1"/>
  <c r="BA66" i="9"/>
  <c r="BA112" i="9"/>
  <c r="BA113" i="9" s="1"/>
  <c r="BA145" i="9"/>
  <c r="BA931" i="1"/>
  <c r="BA1050" i="1"/>
  <c r="BA1053" i="1" l="1"/>
  <c r="BA798" i="1"/>
  <c r="BA71" i="9" s="1"/>
  <c r="BA97" i="9" s="1"/>
  <c r="BA70" i="9"/>
  <c r="BA806" i="1"/>
  <c r="BA938" i="1"/>
  <c r="BA963" i="1" s="1"/>
  <c r="BA1044" i="1"/>
  <c r="BA1045" i="1" s="1"/>
  <c r="BA131" i="9" l="1"/>
  <c r="BA107" i="9"/>
  <c r="BA108" i="9" s="1"/>
  <c r="BA144" i="9"/>
  <c r="BA1003" i="1"/>
  <c r="BA966" i="1"/>
  <c r="BA80" i="9"/>
  <c r="BA807" i="1"/>
  <c r="BA820" i="1"/>
  <c r="BA821" i="1" s="1"/>
  <c r="BA822" i="1" s="1"/>
  <c r="BA823" i="1" s="1"/>
  <c r="BA1055" i="1"/>
  <c r="BA109" i="9"/>
  <c r="BA110" i="9" s="1"/>
  <c r="BA111" i="9" s="1"/>
  <c r="BA968" i="1" l="1"/>
  <c r="BB965" i="1"/>
  <c r="BA132" i="9"/>
  <c r="BA93" i="9"/>
  <c r="BA104" i="9"/>
  <c r="BA82" i="9"/>
  <c r="BA1012" i="1"/>
  <c r="BA1029" i="1" s="1"/>
  <c r="BA826" i="1"/>
  <c r="BA1057" i="1" l="1"/>
  <c r="BA114" i="9"/>
  <c r="BA115" i="9" s="1"/>
  <c r="BA7" i="9"/>
  <c r="BA10" i="9" s="1"/>
  <c r="BA830" i="1"/>
  <c r="BA1062" i="1"/>
  <c r="BB834" i="1"/>
  <c r="BA133" i="9"/>
  <c r="BA84" i="9"/>
  <c r="BA91" i="9" s="1"/>
  <c r="BA146" i="9" s="1"/>
  <c r="BA94" i="9"/>
  <c r="BA96" i="9" s="1"/>
  <c r="BA125" i="9" l="1"/>
  <c r="BA126" i="9" s="1"/>
  <c r="BA116" i="9"/>
  <c r="BB836" i="1"/>
  <c r="BA102" i="9"/>
  <c r="BA100" i="9"/>
  <c r="BA101" i="9"/>
  <c r="BA117" i="9"/>
  <c r="BA118" i="9" s="1"/>
  <c r="BA119" i="9" s="1"/>
  <c r="BA120" i="9" s="1"/>
  <c r="BA846" i="1"/>
  <c r="BB839" i="1" l="1"/>
  <c r="BB775" i="1"/>
  <c r="BB530" i="1"/>
  <c r="BB837" i="1"/>
  <c r="BB538" i="1" l="1"/>
  <c r="BB535" i="1"/>
  <c r="BB778" i="1"/>
  <c r="BB57" i="9"/>
  <c r="BB60" i="9" s="1"/>
  <c r="BB780" i="1" l="1"/>
  <c r="BB781" i="1"/>
  <c r="BB782" i="1" s="1"/>
  <c r="BB540" i="1"/>
  <c r="BB1064" i="1"/>
  <c r="BB919" i="1" l="1"/>
  <c r="BB786" i="1"/>
  <c r="BB923" i="1"/>
  <c r="BB61" i="9"/>
  <c r="BB65" i="9" s="1"/>
  <c r="BB112" i="9" l="1"/>
  <c r="BB113" i="9" s="1"/>
  <c r="BB66" i="9"/>
  <c r="BB1040" i="1"/>
  <c r="BB145" i="9"/>
  <c r="BB791" i="1"/>
  <c r="BB796" i="1"/>
  <c r="BB788" i="1"/>
  <c r="BB797" i="1" s="1"/>
  <c r="BB931" i="1"/>
  <c r="BB1050" i="1"/>
  <c r="BB1053" i="1" l="1"/>
  <c r="BB1044" i="1"/>
  <c r="BB1045" i="1" s="1"/>
  <c r="BB798" i="1"/>
  <c r="BB71" i="9" s="1"/>
  <c r="BB97" i="9" s="1"/>
  <c r="BB70" i="9"/>
  <c r="BB938" i="1"/>
  <c r="BB963" i="1" s="1"/>
  <c r="BB806" i="1"/>
  <c r="BB80" i="9" l="1"/>
  <c r="BB807" i="1"/>
  <c r="BB820" i="1"/>
  <c r="BB821" i="1" s="1"/>
  <c r="BB822" i="1" s="1"/>
  <c r="BB823" i="1" s="1"/>
  <c r="BB1003" i="1"/>
  <c r="BB966" i="1"/>
  <c r="BB131" i="9"/>
  <c r="BB107" i="9"/>
  <c r="BB108" i="9" s="1"/>
  <c r="BB144" i="9"/>
  <c r="BB1055" i="1"/>
  <c r="BB109" i="9"/>
  <c r="BB110" i="9" s="1"/>
  <c r="BB111" i="9" s="1"/>
  <c r="BB826" i="1" l="1"/>
  <c r="BB1012" i="1"/>
  <c r="BB1029" i="1" s="1"/>
  <c r="BC965" i="1"/>
  <c r="BB968" i="1"/>
  <c r="BB132" i="9"/>
  <c r="BB104" i="9"/>
  <c r="BB82" i="9"/>
  <c r="BB93" i="9"/>
  <c r="BB133" i="9" l="1"/>
  <c r="BB94" i="9"/>
  <c r="BB96" i="9" s="1"/>
  <c r="BB84" i="9"/>
  <c r="BB91" i="9" s="1"/>
  <c r="BB146" i="9" s="1"/>
  <c r="BB114" i="9"/>
  <c r="BB115" i="9" s="1"/>
  <c r="BB1057" i="1"/>
  <c r="BB7" i="9"/>
  <c r="BB10" i="9" s="1"/>
  <c r="BB1062" i="1"/>
  <c r="BB830" i="1"/>
  <c r="BC834" i="1"/>
  <c r="BC836" i="1" l="1"/>
  <c r="BD834" i="1"/>
  <c r="BB125" i="9"/>
  <c r="BB126" i="9" s="1"/>
  <c r="BB116" i="9"/>
  <c r="BB101" i="9"/>
  <c r="BB102" i="9"/>
  <c r="BB100" i="9"/>
  <c r="BB846" i="1"/>
  <c r="BB117" i="9"/>
  <c r="BB118" i="9" s="1"/>
  <c r="BB119" i="9" s="1"/>
  <c r="BB120" i="9" s="1"/>
  <c r="BC839" i="1" l="1"/>
  <c r="BC775" i="1"/>
  <c r="BC530" i="1"/>
  <c r="BC837" i="1"/>
  <c r="BD836" i="1"/>
  <c r="BD839" i="1" l="1"/>
  <c r="BD837" i="1"/>
  <c r="BC538" i="1"/>
  <c r="BC535" i="1"/>
  <c r="BD530" i="1"/>
  <c r="BC57" i="9"/>
  <c r="BC60" i="9" s="1"/>
  <c r="BC778" i="1"/>
  <c r="BD775" i="1"/>
  <c r="BC780" i="1" l="1"/>
  <c r="BC781" i="1"/>
  <c r="BC782" i="1" s="1"/>
  <c r="BD778" i="1"/>
  <c r="BD57" i="9"/>
  <c r="BD60" i="9" s="1"/>
  <c r="BD535" i="1"/>
  <c r="BD538" i="1"/>
  <c r="BC540" i="1"/>
  <c r="BC1064" i="1"/>
  <c r="BD540" i="1" l="1"/>
  <c r="BD1064" i="1"/>
  <c r="BC919" i="1"/>
  <c r="BC786" i="1"/>
  <c r="BC923" i="1"/>
  <c r="BD781" i="1"/>
  <c r="BD794" i="1" s="1"/>
  <c r="BC61" i="9"/>
  <c r="BC65" i="9" s="1"/>
  <c r="BD780" i="1"/>
  <c r="BC112" i="9" l="1"/>
  <c r="BC113" i="9" s="1"/>
  <c r="BC66" i="9"/>
  <c r="BC145" i="9"/>
  <c r="BD61" i="9"/>
  <c r="BD65" i="9" s="1"/>
  <c r="BD793" i="1"/>
  <c r="BC931" i="1"/>
  <c r="BD919" i="1"/>
  <c r="BC1050" i="1"/>
  <c r="BD923" i="1"/>
  <c r="BC1040" i="1"/>
  <c r="BC791" i="1"/>
  <c r="BC788" i="1"/>
  <c r="BC797" i="1" s="1"/>
  <c r="BC796" i="1"/>
  <c r="BD782" i="1"/>
  <c r="BD786" i="1" s="1"/>
  <c r="BD931" i="1" l="1"/>
  <c r="BC938" i="1"/>
  <c r="BC963" i="1" s="1"/>
  <c r="BC806" i="1"/>
  <c r="BD1040" i="1"/>
  <c r="BD1044" i="1" s="1"/>
  <c r="BD1045" i="1" s="1"/>
  <c r="BC1044" i="1"/>
  <c r="BC1045" i="1" s="1"/>
  <c r="BC1053" i="1"/>
  <c r="BD1050" i="1"/>
  <c r="BD66" i="9"/>
  <c r="BD112" i="9"/>
  <c r="BD113" i="9" s="1"/>
  <c r="BD145" i="9"/>
  <c r="BD791" i="1"/>
  <c r="BD788" i="1"/>
  <c r="BD797" i="1" s="1"/>
  <c r="BD796" i="1"/>
  <c r="BD806" i="1"/>
  <c r="BD938" i="1"/>
  <c r="BD963" i="1" s="1"/>
  <c r="BD966" i="1" s="1"/>
  <c r="BC70" i="9"/>
  <c r="BC798" i="1"/>
  <c r="BC71" i="9" s="1"/>
  <c r="BC97" i="9" s="1"/>
  <c r="BE965" i="1" l="1"/>
  <c r="BD80" i="9"/>
  <c r="BD807" i="1"/>
  <c r="BD851" i="1" s="1"/>
  <c r="BD820" i="1"/>
  <c r="BC107" i="9"/>
  <c r="BC108" i="9" s="1"/>
  <c r="BC144" i="9"/>
  <c r="BC131" i="9"/>
  <c r="BD70" i="9"/>
  <c r="BD798" i="1"/>
  <c r="BD1053" i="1"/>
  <c r="BC1055" i="1"/>
  <c r="BC109" i="9"/>
  <c r="BC110" i="9" s="1"/>
  <c r="BC111" i="9" s="1"/>
  <c r="BC807" i="1"/>
  <c r="BC80" i="9"/>
  <c r="BC820" i="1"/>
  <c r="BC821" i="1" s="1"/>
  <c r="BC822" i="1" s="1"/>
  <c r="BC823" i="1" s="1"/>
  <c r="BC1003" i="1"/>
  <c r="BC966" i="1"/>
  <c r="BC968" i="1" l="1"/>
  <c r="BC104" i="9"/>
  <c r="BC93" i="9"/>
  <c r="BC82" i="9"/>
  <c r="BC132" i="9"/>
  <c r="BD109" i="9"/>
  <c r="BD110" i="9" s="1"/>
  <c r="BD1055" i="1"/>
  <c r="BD71" i="9"/>
  <c r="BD848" i="1"/>
  <c r="BD107" i="9"/>
  <c r="BD108" i="9" s="1"/>
  <c r="BD144" i="9"/>
  <c r="BD131" i="9"/>
  <c r="BD82" i="9"/>
  <c r="BD93" i="9"/>
  <c r="BD138" i="9" s="1"/>
  <c r="BD104" i="9"/>
  <c r="BD132" i="9"/>
  <c r="BC1012" i="1"/>
  <c r="BC1029" i="1" s="1"/>
  <c r="BC826" i="1"/>
  <c r="BD1003" i="1"/>
  <c r="BD852" i="1"/>
  <c r="BD821" i="1"/>
  <c r="BD822" i="1" s="1"/>
  <c r="BD823" i="1" s="1"/>
  <c r="BD94" i="9" l="1"/>
  <c r="BD96" i="9" s="1"/>
  <c r="BD84" i="9"/>
  <c r="BD91" i="9" s="1"/>
  <c r="BD146" i="9" s="1"/>
  <c r="BD139" i="9"/>
  <c r="BD133" i="9"/>
  <c r="BC114" i="9"/>
  <c r="BC115" i="9" s="1"/>
  <c r="BC1057" i="1"/>
  <c r="BD111" i="9"/>
  <c r="BC94" i="9"/>
  <c r="BC96" i="9" s="1"/>
  <c r="BC84" i="9"/>
  <c r="BC91" i="9" s="1"/>
  <c r="BC146" i="9" s="1"/>
  <c r="BC133" i="9"/>
  <c r="BD97" i="9"/>
  <c r="BD136" i="9"/>
  <c r="BD826" i="1"/>
  <c r="BD1012" i="1"/>
  <c r="BD1029" i="1" s="1"/>
  <c r="BD968" i="1"/>
  <c r="BC1062" i="1"/>
  <c r="BC830" i="1"/>
  <c r="BC7" i="9"/>
  <c r="BC10" i="9" s="1"/>
  <c r="BD835" i="1"/>
  <c r="BD1057" i="1" l="1"/>
  <c r="BD114" i="9"/>
  <c r="BD115" i="9" s="1"/>
  <c r="BD7" i="9"/>
  <c r="BD10" i="9" s="1"/>
  <c r="BE834" i="1"/>
  <c r="BE836" i="1" s="1"/>
  <c r="BD1062" i="1"/>
  <c r="BD830" i="1"/>
  <c r="BC116" i="9"/>
  <c r="BC125" i="9"/>
  <c r="BC126" i="9" s="1"/>
  <c r="BC846" i="1"/>
  <c r="BC101" i="9"/>
  <c r="BC102" i="9"/>
  <c r="BC117" i="9"/>
  <c r="BC118" i="9" s="1"/>
  <c r="BC119" i="9" s="1"/>
  <c r="BC120" i="9" s="1"/>
  <c r="BC100" i="9"/>
  <c r="BD102" i="9" l="1"/>
  <c r="BD117" i="9"/>
  <c r="BD118" i="9" s="1"/>
  <c r="BD119" i="9" s="1"/>
  <c r="BD120" i="9" s="1"/>
  <c r="BD846" i="1"/>
  <c r="BD100" i="9"/>
  <c r="BD840" i="1"/>
  <c r="BD101" i="9"/>
  <c r="BD841" i="1"/>
  <c r="BE775" i="1"/>
  <c r="BE839" i="1"/>
  <c r="BE530" i="1"/>
  <c r="BE837" i="1"/>
  <c r="BD116" i="9"/>
  <c r="BD125" i="9"/>
  <c r="BD126" i="9" s="1"/>
  <c r="BD137" i="9"/>
  <c r="BD140" i="9"/>
  <c r="BE57" i="9" l="1"/>
  <c r="BE60" i="9" s="1"/>
  <c r="BE778" i="1"/>
  <c r="BD849" i="1"/>
  <c r="BD850" i="1"/>
  <c r="BD853" i="1"/>
  <c r="BE535" i="1"/>
  <c r="BE538" i="1"/>
  <c r="BE540" i="1" l="1"/>
  <c r="BE1064" i="1"/>
  <c r="BE780" i="1"/>
  <c r="BE61" i="9" s="1"/>
  <c r="BE781" i="1"/>
  <c r="BE923" i="1" s="1"/>
  <c r="BE1040" i="1" s="1"/>
  <c r="BE1044" i="1" s="1"/>
  <c r="BE1045" i="1" s="1"/>
  <c r="BE65" i="9"/>
  <c r="BE782" i="1" l="1"/>
  <c r="BE112" i="9"/>
  <c r="BE113" i="9" s="1"/>
  <c r="BE66" i="9"/>
  <c r="BE145" i="9"/>
  <c r="BE919" i="1"/>
  <c r="BE786" i="1"/>
  <c r="BE796" i="1" l="1"/>
  <c r="BE788" i="1"/>
  <c r="BE797" i="1" s="1"/>
  <c r="BE791" i="1"/>
  <c r="BE931" i="1"/>
  <c r="BE1050" i="1"/>
  <c r="BE1053" i="1" l="1"/>
  <c r="BE938" i="1"/>
  <c r="BE963" i="1" s="1"/>
  <c r="BE806" i="1"/>
  <c r="BE798" i="1"/>
  <c r="BE70" i="9"/>
  <c r="BE848" i="1" l="1"/>
  <c r="BE71" i="9"/>
  <c r="BE80" i="9"/>
  <c r="BE807" i="1"/>
  <c r="BE851" i="1" s="1"/>
  <c r="BE820" i="1"/>
  <c r="BE144" i="9"/>
  <c r="BE131" i="9"/>
  <c r="BE107" i="9"/>
  <c r="BE108" i="9" s="1"/>
  <c r="BE966" i="1"/>
  <c r="BE1003" i="1"/>
  <c r="BE109" i="9"/>
  <c r="BE110" i="9" s="1"/>
  <c r="BE111" i="9" s="1"/>
  <c r="BE1055" i="1"/>
  <c r="BE826" i="1" l="1"/>
  <c r="BE1012" i="1"/>
  <c r="BE1029" i="1" s="1"/>
  <c r="BE968" i="1"/>
  <c r="BF965" i="1"/>
  <c r="BE852" i="1"/>
  <c r="BE821" i="1"/>
  <c r="BE822" i="1" s="1"/>
  <c r="BE823" i="1" s="1"/>
  <c r="BE136" i="9"/>
  <c r="BE97" i="9"/>
  <c r="BE132" i="9"/>
  <c r="BE82" i="9"/>
  <c r="BE104" i="9"/>
  <c r="BE93" i="9"/>
  <c r="BE138" i="9" s="1"/>
  <c r="BE139" i="9" l="1"/>
  <c r="BE94" i="9"/>
  <c r="BE96" i="9" s="1"/>
  <c r="BE84" i="9"/>
  <c r="BE91" i="9" s="1"/>
  <c r="BE146" i="9" s="1"/>
  <c r="BE133" i="9"/>
  <c r="BE1057" i="1"/>
  <c r="BE114" i="9"/>
  <c r="BE115" i="9" s="1"/>
  <c r="BE1062" i="1"/>
  <c r="BF834" i="1"/>
  <c r="BF836" i="1" s="1"/>
  <c r="BE830" i="1"/>
  <c r="BE7" i="9"/>
  <c r="BE10" i="9" s="1"/>
  <c r="BE137" i="9" s="1"/>
  <c r="BE125" i="9" l="1"/>
  <c r="BE126" i="9" s="1"/>
  <c r="BE116" i="9"/>
  <c r="BF775" i="1"/>
  <c r="BF530" i="1"/>
  <c r="BF837" i="1"/>
  <c r="BF839" i="1"/>
  <c r="BE140" i="9"/>
  <c r="BE102" i="9"/>
  <c r="BE846" i="1"/>
  <c r="BE101" i="9"/>
  <c r="BE841" i="1"/>
  <c r="BE100" i="9"/>
  <c r="BE117" i="9"/>
  <c r="BE118" i="9" s="1"/>
  <c r="BE119" i="9" s="1"/>
  <c r="BE120" i="9" s="1"/>
  <c r="BE840" i="1"/>
  <c r="BE849" i="1" l="1"/>
  <c r="BE850" i="1"/>
  <c r="BE853" i="1"/>
  <c r="BF535" i="1"/>
  <c r="BF538" i="1"/>
  <c r="BF778" i="1"/>
  <c r="BF57" i="9"/>
  <c r="BF60" i="9" s="1"/>
  <c r="BF780" i="1" l="1"/>
  <c r="BF61" i="9" s="1"/>
  <c r="BF781" i="1"/>
  <c r="BF923" i="1" s="1"/>
  <c r="BF1040" i="1" s="1"/>
  <c r="BF1044" i="1" s="1"/>
  <c r="BF1045" i="1" s="1"/>
  <c r="BF782" i="1"/>
  <c r="BF65" i="9"/>
  <c r="BF540" i="1"/>
  <c r="BF1064" i="1"/>
  <c r="BF66" i="9" l="1"/>
  <c r="BF112" i="9"/>
  <c r="BF113" i="9" s="1"/>
  <c r="BF145" i="9"/>
  <c r="BF919" i="1"/>
  <c r="BF786" i="1"/>
  <c r="BF931" i="1" l="1"/>
  <c r="BF1050" i="1"/>
  <c r="BF796" i="1"/>
  <c r="BF791" i="1"/>
  <c r="BF788" i="1"/>
  <c r="BF797" i="1" s="1"/>
  <c r="BF1053" i="1" l="1"/>
  <c r="BF798" i="1"/>
  <c r="BF70" i="9"/>
  <c r="BF938" i="1"/>
  <c r="BF963" i="1" s="1"/>
  <c r="BF806" i="1"/>
  <c r="BF1003" i="1" l="1"/>
  <c r="BF966" i="1"/>
  <c r="BF80" i="9"/>
  <c r="BF807" i="1"/>
  <c r="BF851" i="1" s="1"/>
  <c r="BF820" i="1"/>
  <c r="BF107" i="9"/>
  <c r="BF108" i="9" s="1"/>
  <c r="BF144" i="9"/>
  <c r="BF131" i="9"/>
  <c r="BF71" i="9"/>
  <c r="BF848" i="1"/>
  <c r="BF1055" i="1"/>
  <c r="BF109" i="9"/>
  <c r="BF110" i="9" s="1"/>
  <c r="BF111" i="9" s="1"/>
  <c r="BF97" i="9" l="1"/>
  <c r="BF136" i="9"/>
  <c r="BF821" i="1"/>
  <c r="BF822" i="1" s="1"/>
  <c r="BF823" i="1" s="1"/>
  <c r="BF852" i="1"/>
  <c r="BF968" i="1"/>
  <c r="BG965" i="1"/>
  <c r="BF132" i="9"/>
  <c r="BF104" i="9"/>
  <c r="BF93" i="9"/>
  <c r="BF138" i="9" s="1"/>
  <c r="BF82" i="9"/>
  <c r="BF1012" i="1"/>
  <c r="BF1029" i="1" s="1"/>
  <c r="BF826" i="1"/>
  <c r="BF94" i="9" l="1"/>
  <c r="BF96" i="9" s="1"/>
  <c r="BF84" i="9"/>
  <c r="BF91" i="9" s="1"/>
  <c r="BF146" i="9" s="1"/>
  <c r="BF133" i="9"/>
  <c r="BF139" i="9"/>
  <c r="BF7" i="9"/>
  <c r="BF10" i="9" s="1"/>
  <c r="BF137" i="9" s="1"/>
  <c r="BF830" i="1"/>
  <c r="BF1062" i="1"/>
  <c r="BG834" i="1"/>
  <c r="BG836" i="1" s="1"/>
  <c r="BF114" i="9"/>
  <c r="BF115" i="9" s="1"/>
  <c r="BF1057" i="1"/>
  <c r="BF840" i="1" l="1"/>
  <c r="BF846" i="1"/>
  <c r="BF100" i="9"/>
  <c r="BF841" i="1"/>
  <c r="BF117" i="9"/>
  <c r="BF118" i="9" s="1"/>
  <c r="BF119" i="9" s="1"/>
  <c r="BF120" i="9" s="1"/>
  <c r="BF101" i="9"/>
  <c r="BF102" i="9"/>
  <c r="BG775" i="1"/>
  <c r="BG839" i="1"/>
  <c r="BG837" i="1"/>
  <c r="BG530" i="1"/>
  <c r="BF125" i="9"/>
  <c r="BF126" i="9" s="1"/>
  <c r="BF116" i="9"/>
  <c r="BF140" i="9"/>
  <c r="BG535" i="1" l="1"/>
  <c r="BG538" i="1"/>
  <c r="BG778" i="1"/>
  <c r="BG57" i="9"/>
  <c r="BG60" i="9" s="1"/>
  <c r="BF850" i="1"/>
  <c r="BF849" i="1"/>
  <c r="BF853" i="1"/>
  <c r="BG781" i="1" l="1"/>
  <c r="BG923" i="1" s="1"/>
  <c r="BG1040" i="1" s="1"/>
  <c r="BG1044" i="1" s="1"/>
  <c r="BG1045" i="1" s="1"/>
  <c r="BG780" i="1"/>
  <c r="BG61" i="9" s="1"/>
  <c r="BG65" i="9" s="1"/>
  <c r="BG540" i="1"/>
  <c r="BG1064" i="1"/>
  <c r="BG782" i="1" l="1"/>
  <c r="BG786" i="1"/>
  <c r="BG919" i="1"/>
  <c r="BG112" i="9"/>
  <c r="BG113" i="9" s="1"/>
  <c r="BG66" i="9"/>
  <c r="BG145" i="9"/>
  <c r="BG931" i="1" l="1"/>
  <c r="BG1050" i="1"/>
  <c r="BG1053" i="1" s="1"/>
  <c r="BG791" i="1"/>
  <c r="BG796" i="1"/>
  <c r="BG788" i="1"/>
  <c r="BG797" i="1" s="1"/>
  <c r="BG1055" i="1" l="1"/>
  <c r="BG109" i="9"/>
  <c r="BG110" i="9" s="1"/>
  <c r="BG798" i="1"/>
  <c r="BG70" i="9"/>
  <c r="BG806" i="1"/>
  <c r="BG938" i="1"/>
  <c r="BG963" i="1" s="1"/>
  <c r="BG1003" i="1" l="1"/>
  <c r="BG966" i="1"/>
  <c r="BG968" i="1" s="1"/>
  <c r="BG80" i="9"/>
  <c r="BG807" i="1"/>
  <c r="BG851" i="1" s="1"/>
  <c r="BG820" i="1"/>
  <c r="BG144" i="9"/>
  <c r="BG131" i="9"/>
  <c r="BG107" i="9"/>
  <c r="BG108" i="9" s="1"/>
  <c r="BG111" i="9" s="1"/>
  <c r="BG71" i="9"/>
  <c r="BG848" i="1"/>
  <c r="BG97" i="9" l="1"/>
  <c r="BG136" i="9"/>
  <c r="BG852" i="1"/>
  <c r="BG821" i="1"/>
  <c r="BG822" i="1" s="1"/>
  <c r="BG823" i="1" s="1"/>
  <c r="BG93" i="9"/>
  <c r="BG138" i="9" s="1"/>
  <c r="BG82" i="9"/>
  <c r="BG132" i="9"/>
  <c r="BG104" i="9"/>
  <c r="BG1012" i="1"/>
  <c r="BG1029" i="1" s="1"/>
  <c r="BG826" i="1"/>
  <c r="BG7" i="9" l="1"/>
  <c r="BG10" i="9" s="1"/>
  <c r="BG137" i="9" s="1"/>
  <c r="BG1062" i="1"/>
  <c r="BG830" i="1"/>
  <c r="BG1057" i="1"/>
  <c r="BG114" i="9"/>
  <c r="BG115" i="9" s="1"/>
  <c r="BG139" i="9"/>
  <c r="BG133" i="9"/>
  <c r="BG84" i="9"/>
  <c r="BG91" i="9" s="1"/>
  <c r="BG146" i="9" s="1"/>
  <c r="BG94" i="9"/>
  <c r="BG96" i="9" s="1"/>
  <c r="BG140" i="9"/>
  <c r="BG125" i="9" l="1"/>
  <c r="BG126" i="9" s="1"/>
  <c r="BG116" i="9"/>
  <c r="BG101" i="9"/>
  <c r="BG840" i="1"/>
  <c r="BG117" i="9"/>
  <c r="BG118" i="9" s="1"/>
  <c r="BG119" i="9" s="1"/>
  <c r="BG120" i="9" s="1"/>
  <c r="BG102" i="9"/>
  <c r="BG100" i="9"/>
  <c r="BG841" i="1"/>
  <c r="BG846" i="1"/>
  <c r="BG850" i="1" l="1"/>
  <c r="BG849" i="1"/>
  <c r="BG85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Canalyst (DL)</author>
    <author>Canalyst (JH)</author>
    <author>Luo Desmond</author>
    <author>Canalyst (SK)</author>
    <author>Canalyst (JK)</author>
    <author>Canalyst (PA)</author>
    <author>Canalyst (BW)</author>
    <author>Canalyst (AE)</author>
    <author>Canalyst (SL)</author>
    <author>Canalyst (AlD)</author>
    <author>Canalyst (HS)</author>
    <author>Canalyst (BP)</author>
    <author>Canalyst (DC)</author>
  </authors>
  <commentList>
    <comment ref="AK1" authorId="0" shapeId="0" xr:uid="{DECFD3D3-867C-4B75-9442-26117AE839C7}">
      <text>
        <r>
          <rPr>
            <b/>
            <sz val="9"/>
            <rFont val="Tahoma"/>
            <family val="2"/>
            <charset val="1"/>
          </rPr>
          <t>Canalyst (DL):</t>
        </r>
        <r>
          <rPr>
            <sz val="9"/>
            <rFont val="Tahoma"/>
            <family val="2"/>
            <charset val="1"/>
          </rPr>
          <t xml:space="preserve">
The company ceased to report 21CF and Hulu since Q3 2019. Q4's segment figure are restated by deriving from nine-months figures in Q3 10-Q and in 10-K. Some quarterly segment breakup figures may not sum up equal to annual ones.</t>
        </r>
      </text>
    </comment>
    <comment ref="AL1" authorId="0" shapeId="0" xr:uid="{11FFF657-1027-40C0-BAC4-B5493C796DBE}">
      <text>
        <r>
          <rPr>
            <b/>
            <sz val="9"/>
            <rFont val="Tahoma"/>
            <family val="2"/>
            <charset val="1"/>
          </rPr>
          <t>Canalyst (DL):</t>
        </r>
        <r>
          <rPr>
            <sz val="9"/>
            <rFont val="Tahoma"/>
            <family val="2"/>
            <charset val="1"/>
          </rPr>
          <t xml:space="preserve">
The company ceased to report 21CF and Hulu since Q3 2019. Q4's segment figure are restated by deriving from nine-months figures in Q3's 10-Q and in 10-K. Some quarterly segment breakup figures may not sum up equal to annual ones.</t>
        </r>
      </text>
    </comment>
    <comment ref="AM1" authorId="0" shapeId="0" xr:uid="{3A714005-50ED-48AF-B0F3-B497A987B1EC}">
      <text>
        <r>
          <rPr>
            <b/>
            <sz val="9"/>
            <rFont val="Tahoma"/>
            <family val="2"/>
            <charset val="1"/>
          </rPr>
          <t>Canalyst (DL):</t>
        </r>
        <r>
          <rPr>
            <sz val="9"/>
            <rFont val="Tahoma"/>
            <family val="2"/>
            <charset val="1"/>
          </rPr>
          <t xml:space="preserve">
The company ceased to report 21CF and Hulu since Q3 2019. Q4's segment figure are restated by deriving from nine-months figures in Q3's 10-Q and in 10-K. Some quarterly segment breakup figures may not sum up equal to annual ones.</t>
        </r>
      </text>
    </comment>
    <comment ref="AN1" authorId="0" shapeId="0" xr:uid="{A83BFB33-72D2-4C25-99AE-09FAE53F299A}">
      <text>
        <r>
          <rPr>
            <b/>
            <sz val="9"/>
            <rFont val="Tahoma"/>
            <family val="2"/>
            <charset val="1"/>
          </rPr>
          <t>Canalyst (DL):</t>
        </r>
        <r>
          <rPr>
            <sz val="9"/>
            <rFont val="Tahoma"/>
            <family val="2"/>
            <charset val="1"/>
          </rPr>
          <t xml:space="preserve">
The company ceased to report 21CF and Hulu since Q3 2019. Q4's segment figure are restated by deriving from nine-months figures in Q3's 10-Q and in 10-K. Some quarterly segment breakup figures may not sum up equal to annual ones.</t>
        </r>
      </text>
    </comment>
    <comment ref="AO1" authorId="0" shapeId="0" xr:uid="{40D0F11A-85DF-484F-B244-941AFB22F97D}">
      <text>
        <r>
          <rPr>
            <b/>
            <sz val="9"/>
            <rFont val="Tahoma"/>
            <family val="2"/>
            <charset val="1"/>
          </rPr>
          <t>Canalyst (DL):</t>
        </r>
        <r>
          <rPr>
            <sz val="9"/>
            <rFont val="Tahoma"/>
            <family val="2"/>
            <charset val="1"/>
          </rPr>
          <t xml:space="preserve">
The company ceased to report 21CF and Hulu since Q3 2019. Q4's segment figure are restated by deriving from nine-months figures in Q3's 10-Q and in 10-K. Some quarterly segment breakup figures may not sum up equal to annual ones.</t>
        </r>
      </text>
    </comment>
    <comment ref="AL2" authorId="1" shapeId="0" xr:uid="{30FE596C-D319-47FC-828B-240EFBE7ACF9}">
      <text>
        <r>
          <rPr>
            <b/>
            <sz val="9"/>
            <rFont val="Tahoma"/>
            <family val="2"/>
          </rPr>
          <t>Canalyst (JH):</t>
        </r>
        <r>
          <rPr>
            <sz val="9"/>
            <rFont val="Tahoma"/>
            <family val="2"/>
          </rPr>
          <t xml:space="preserve">
On March 20, 2019 the Company acquired Twenty-First Century Fox, Inc. (“21CF”) . As part of the acquisition, the Company agreed to sell 21CF’s Regional Sports Networks and certain sports operations in Brazil and Mexico. The assets and liabilities of these operations are reported as held for sale and the income and cash flows are reported as discontinued operations. In addition, as a result of the 21CF acquisition the Company’s ownership interest in Hulu LLC (Hulu) increased to 60% and the Company started consolidating the results of Hulu. 21CF and Hulu results are consolidated from the acquisition date through March 30, 2019.</t>
        </r>
      </text>
    </comment>
    <comment ref="AP28" authorId="0" shapeId="0" xr:uid="{4B213B21-BC47-41BC-9AEB-D3782BE4941C}">
      <text>
        <r>
          <rPr>
            <b/>
            <sz val="9"/>
            <rFont val="Tahoma"/>
            <family val="2"/>
          </rPr>
          <t>Canalyst (DL):</t>
        </r>
        <r>
          <rPr>
            <sz val="9"/>
            <rFont val="Tahoma"/>
            <family val="2"/>
          </rPr>
          <t xml:space="preserve">
due to acquisition of 21CF and Hulu</t>
        </r>
      </text>
    </comment>
    <comment ref="AQ28" authorId="0" shapeId="0" xr:uid="{0C60D6B0-E0A5-40A6-99E7-C2B4D51354CD}">
      <text>
        <r>
          <rPr>
            <b/>
            <sz val="9"/>
            <rFont val="Tahoma"/>
            <family val="2"/>
          </rPr>
          <t>Canalyst (DL):</t>
        </r>
        <r>
          <rPr>
            <sz val="9"/>
            <rFont val="Tahoma"/>
            <family val="2"/>
          </rPr>
          <t xml:space="preserve">
due to acquisition of 21CF and Hulu</t>
        </r>
      </text>
    </comment>
    <comment ref="AP29" authorId="0" shapeId="0" xr:uid="{02EDF89D-3587-4844-9DDB-24CF196FC7BA}">
      <text>
        <r>
          <rPr>
            <b/>
            <sz val="9"/>
            <rFont val="Tahoma"/>
            <family val="2"/>
          </rPr>
          <t>Canalyst (DL):</t>
        </r>
        <r>
          <rPr>
            <sz val="9"/>
            <rFont val="Tahoma"/>
            <family val="2"/>
          </rPr>
          <t xml:space="preserve">
due to acquisition of 21CF and Hulu</t>
        </r>
      </text>
    </comment>
    <comment ref="AQ29" authorId="0" shapeId="0" xr:uid="{E0E3B627-65C0-4F37-981A-A5B36B5A2623}">
      <text>
        <r>
          <rPr>
            <b/>
            <sz val="9"/>
            <rFont val="Tahoma"/>
            <family val="2"/>
          </rPr>
          <t>Canalyst (DL):</t>
        </r>
        <r>
          <rPr>
            <sz val="9"/>
            <rFont val="Tahoma"/>
            <family val="2"/>
          </rPr>
          <t xml:space="preserve">
due to acquisition of 21CF and Hulu</t>
        </r>
      </text>
    </comment>
    <comment ref="AP35" authorId="0" shapeId="0" xr:uid="{A52BAEC6-CD39-4532-94F7-B4A867892DC0}">
      <text>
        <r>
          <rPr>
            <b/>
            <sz val="9"/>
            <rFont val="Tahoma"/>
            <family val="2"/>
          </rPr>
          <t>Canalyst (DL):</t>
        </r>
        <r>
          <rPr>
            <sz val="9"/>
            <rFont val="Tahoma"/>
            <family val="2"/>
          </rPr>
          <t xml:space="preserve">
due to acquisition of 21CF and Hulu</t>
        </r>
      </text>
    </comment>
    <comment ref="AP41" authorId="0" shapeId="0" xr:uid="{1EDFC8B8-EA56-469F-83B0-68F791EBCA15}">
      <text>
        <r>
          <rPr>
            <b/>
            <sz val="9"/>
            <rFont val="Tahoma"/>
            <family val="2"/>
          </rPr>
          <t>Canalyst (DL):</t>
        </r>
        <r>
          <rPr>
            <sz val="9"/>
            <rFont val="Tahoma"/>
            <family val="2"/>
          </rPr>
          <t xml:space="preserve">
due to acquisition of 21CF and Hulu</t>
        </r>
      </text>
    </comment>
    <comment ref="AQ41" authorId="0" shapeId="0" xr:uid="{F87FFEA4-F1E4-45F3-ACD9-36BC1CE4F846}">
      <text>
        <r>
          <rPr>
            <b/>
            <sz val="9"/>
            <rFont val="Tahoma"/>
            <family val="2"/>
          </rPr>
          <t>Canalyst (DL):</t>
        </r>
        <r>
          <rPr>
            <sz val="9"/>
            <rFont val="Tahoma"/>
            <family val="2"/>
          </rPr>
          <t xml:space="preserve">
due to acquisition of 21CF and Hulu</t>
        </r>
      </text>
    </comment>
    <comment ref="AP42" authorId="0" shapeId="0" xr:uid="{332A3F0A-9EE5-40D2-80ED-0048F4C2ADAC}">
      <text>
        <r>
          <rPr>
            <b/>
            <sz val="9"/>
            <rFont val="Tahoma"/>
            <family val="2"/>
          </rPr>
          <t>Canalyst (DL):</t>
        </r>
        <r>
          <rPr>
            <sz val="9"/>
            <rFont val="Tahoma"/>
            <family val="2"/>
          </rPr>
          <t xml:space="preserve">
due to acquisition of 21CF and Hulu</t>
        </r>
      </text>
    </comment>
    <comment ref="AQ42" authorId="0" shapeId="0" xr:uid="{706C0479-CD44-45B7-BF92-77C3AE30DD53}">
      <text>
        <r>
          <rPr>
            <b/>
            <sz val="9"/>
            <rFont val="Tahoma"/>
            <family val="2"/>
          </rPr>
          <t>Canalyst (DL):</t>
        </r>
        <r>
          <rPr>
            <sz val="9"/>
            <rFont val="Tahoma"/>
            <family val="2"/>
          </rPr>
          <t xml:space="preserve">
due to acquisition of 21CF and Hulu</t>
        </r>
      </text>
    </comment>
    <comment ref="AN47" authorId="0" shapeId="0" xr:uid="{26372D72-B2A6-4602-99EC-1B6760E2CE09}">
      <text>
        <r>
          <rPr>
            <b/>
            <sz val="9"/>
            <rFont val="Tahoma"/>
            <family val="2"/>
            <charset val="1"/>
          </rPr>
          <t>Canalyst (DL):</t>
        </r>
        <r>
          <rPr>
            <sz val="9"/>
            <rFont val="Tahoma"/>
            <family val="2"/>
            <charset val="1"/>
          </rPr>
          <t xml:space="preserve">
segment numbers are restated by subtracting annual figures in 10-K and nine-months figures in Q3 10-Q</t>
        </r>
      </text>
    </comment>
    <comment ref="AP50" authorId="2" shapeId="0" xr:uid="{17E2FEFE-5986-4F38-A4FC-DA1FFAABB518}">
      <text>
        <r>
          <rPr>
            <b/>
            <sz val="9"/>
            <rFont val="Tahoma"/>
            <family val="2"/>
          </rPr>
          <t xml:space="preserve">Canalyst (DL):
</t>
        </r>
        <r>
          <rPr>
            <sz val="9"/>
            <rFont val="Tahoma"/>
            <family val="2"/>
          </rPr>
          <t>Not equal to revenue in IS because of pending restatement of IS</t>
        </r>
      </text>
    </comment>
    <comment ref="AQ50" authorId="2" shapeId="0" xr:uid="{86ABED86-DC38-4196-BC56-F1485B9320A4}">
      <text>
        <r>
          <rPr>
            <b/>
            <sz val="9"/>
            <rFont val="Tahoma"/>
            <family val="2"/>
          </rPr>
          <t xml:space="preserve">Canalyst (DL):
</t>
        </r>
        <r>
          <rPr>
            <sz val="9"/>
            <rFont val="Tahoma"/>
            <family val="2"/>
          </rPr>
          <t>Not equal to revenue in IS because of pending restatement of IS</t>
        </r>
      </text>
    </comment>
    <comment ref="AP60" authorId="2" shapeId="0" xr:uid="{BB1FBD02-B4BB-47AA-BAED-42807E22C780}">
      <text>
        <r>
          <rPr>
            <b/>
            <sz val="9"/>
            <rFont val="Tahoma"/>
            <family val="2"/>
          </rPr>
          <t xml:space="preserve">Canalyst (DL):
</t>
        </r>
        <r>
          <rPr>
            <sz val="9"/>
            <rFont val="Tahoma"/>
            <family val="2"/>
          </rPr>
          <t>Formula changed</t>
        </r>
      </text>
    </comment>
    <comment ref="AS62" authorId="2" shapeId="0" xr:uid="{F9C136CE-06F1-4262-A997-7F78CB7E3B3B}">
      <text>
        <r>
          <rPr>
            <b/>
            <sz val="9"/>
            <rFont val="Tahoma"/>
            <family val="2"/>
          </rPr>
          <t xml:space="preserve">Canalyst (DL):
</t>
        </r>
        <r>
          <rPr>
            <sz val="9"/>
            <rFont val="Tahoma"/>
            <family val="2"/>
          </rPr>
          <t>Back-up with nine months data reported in Q3.
Will be restated with FY2021</t>
        </r>
      </text>
    </comment>
    <comment ref="AS63" authorId="2" shapeId="0" xr:uid="{562EA1EB-CCC2-44A8-B4C2-86BBE2A280AB}">
      <text>
        <r>
          <rPr>
            <b/>
            <sz val="9"/>
            <rFont val="Tahoma"/>
            <family val="2"/>
          </rPr>
          <t xml:space="preserve">Canalyst (DL):
</t>
        </r>
        <r>
          <rPr>
            <sz val="9"/>
            <rFont val="Tahoma"/>
            <family val="2"/>
          </rPr>
          <t>Back-up with nine months data reported in Q3.
Will be restated with FY2021</t>
        </r>
      </text>
    </comment>
    <comment ref="A70" authorId="0" shapeId="0" xr:uid="{3FF9640D-70CE-4F52-999D-6B4F2D8A399F}">
      <text>
        <r>
          <rPr>
            <b/>
            <sz val="9"/>
            <rFont val="Tahoma"/>
            <family val="2"/>
          </rPr>
          <t>Canalyst (DL):</t>
        </r>
        <r>
          <rPr>
            <sz val="9"/>
            <rFont val="Tahoma"/>
            <family val="2"/>
          </rPr>
          <t xml:space="preserve">
The firm starts to report a separated subscription fee item since 10-K of FY2019. Historical periods restatement are not provided by the company. Some discrepancies exist in 'Other' item</t>
        </r>
      </text>
    </comment>
    <comment ref="AI70" authorId="0" shapeId="0" xr:uid="{223B2B9B-FBCC-4D66-A65C-56B1E286AD0B}">
      <text>
        <r>
          <rPr>
            <b/>
            <sz val="9"/>
            <rFont val="Tahoma"/>
            <family val="2"/>
          </rPr>
          <t>Canalyst (DL):</t>
        </r>
        <r>
          <rPr>
            <sz val="9"/>
            <rFont val="Tahoma"/>
            <family val="2"/>
          </rPr>
          <t xml:space="preserve">
The firm starts to report a separated subscription fee item since 10-K of FY2019. Historical periods restatement are not provided by the company. Some discrepancies exist in 'Other' item</t>
        </r>
      </text>
    </comment>
    <comment ref="AS76" authorId="3" shapeId="0" xr:uid="{9AB79C8D-7FFF-4E27-BF56-A6B2E73936C9}">
      <text>
        <r>
          <rPr>
            <b/>
            <sz val="9"/>
            <rFont val="Tahoma"/>
            <family val="2"/>
          </rPr>
          <t>Canalyst (SK):</t>
        </r>
        <r>
          <rPr>
            <sz val="9"/>
            <rFont val="Tahoma"/>
            <family val="2"/>
          </rPr>
          <t xml:space="preserve">
Data not available in 10Kfor the period. Will be backfilled upon release of Q3'21 10K</t>
        </r>
      </text>
    </comment>
    <comment ref="AT76" authorId="3" shapeId="0" xr:uid="{5E02CB2F-746A-4844-8D17-21C6F0B5E75C}">
      <text>
        <r>
          <rPr>
            <b/>
            <sz val="9"/>
            <rFont val="Tahoma"/>
            <family val="2"/>
          </rPr>
          <t>Canalyst (SK):</t>
        </r>
        <r>
          <rPr>
            <sz val="9"/>
            <rFont val="Tahoma"/>
            <family val="2"/>
          </rPr>
          <t xml:space="preserve">
Data not available in 10Kfor the period. Will be backfilled upon release of Q3'21 10K</t>
        </r>
      </text>
    </comment>
    <comment ref="AS77" authorId="3" shapeId="0" xr:uid="{2E3A8A78-974A-4B51-B079-B8E9EE57BE52}">
      <text>
        <r>
          <rPr>
            <b/>
            <sz val="9"/>
            <rFont val="Tahoma"/>
            <family val="2"/>
          </rPr>
          <t>Canalyst (SK):</t>
        </r>
        <r>
          <rPr>
            <sz val="9"/>
            <rFont val="Tahoma"/>
            <family val="2"/>
          </rPr>
          <t xml:space="preserve">
Data not available in 10Kfor the period. Will be backfilled upon release of Q3'21 10K</t>
        </r>
      </text>
    </comment>
    <comment ref="AT77" authorId="3" shapeId="0" xr:uid="{CE452BBB-C365-4A16-B1B6-824953FD39C3}">
      <text>
        <r>
          <rPr>
            <b/>
            <sz val="9"/>
            <rFont val="Tahoma"/>
            <family val="2"/>
          </rPr>
          <t>Canalyst (SK):</t>
        </r>
        <r>
          <rPr>
            <sz val="9"/>
            <rFont val="Tahoma"/>
            <family val="2"/>
          </rPr>
          <t xml:space="preserve">
Data not available in 10Kfor the period. Will be backfilled upon release of Q3'21 10K</t>
        </r>
      </text>
    </comment>
    <comment ref="A78" authorId="2" shapeId="0" xr:uid="{C7DA7472-B497-4167-B205-BA1DAB02DEC4}">
      <text>
        <r>
          <rPr>
            <b/>
            <sz val="9"/>
            <rFont val="Tahoma"/>
            <family val="2"/>
          </rPr>
          <t xml:space="preserve">Canalyst (DL):
</t>
        </r>
        <r>
          <rPr>
            <sz val="9"/>
            <rFont val="Tahoma"/>
            <family val="2"/>
          </rPr>
          <t xml:space="preserve">Reflects fees received by the Linear Networks from other DMED businesses for the right to air linear networks and related services
</t>
        </r>
      </text>
    </comment>
    <comment ref="AS79" authorId="3" shapeId="0" xr:uid="{8517ED2E-E53A-44C5-9EEC-CD36697148C8}">
      <text>
        <r>
          <rPr>
            <b/>
            <sz val="9"/>
            <rFont val="Tahoma"/>
            <family val="2"/>
          </rPr>
          <t>Canalyst (SK):</t>
        </r>
        <r>
          <rPr>
            <sz val="9"/>
            <rFont val="Tahoma"/>
            <family val="2"/>
          </rPr>
          <t xml:space="preserve">
Data not available in 10Kfor the period. Will be backfilled upon release of Q3'21 10K</t>
        </r>
      </text>
    </comment>
    <comment ref="AT79" authorId="3" shapeId="0" xr:uid="{9FE77D13-D978-4C46-A33D-5E0046A74F20}">
      <text>
        <r>
          <rPr>
            <b/>
            <sz val="9"/>
            <rFont val="Tahoma"/>
            <family val="2"/>
          </rPr>
          <t>Canalyst (SK):</t>
        </r>
        <r>
          <rPr>
            <sz val="9"/>
            <rFont val="Tahoma"/>
            <family val="2"/>
          </rPr>
          <t xml:space="preserve">
Data not available in 10Kfor the period. Will be backfilled upon release of Q3'21 10K</t>
        </r>
      </text>
    </comment>
    <comment ref="AS80" authorId="3" shapeId="0" xr:uid="{E318C5C3-491F-4E91-BE77-D111987B8FE3}">
      <text>
        <r>
          <rPr>
            <b/>
            <sz val="9"/>
            <rFont val="Tahoma"/>
            <family val="2"/>
          </rPr>
          <t>Canalyst (SK):</t>
        </r>
        <r>
          <rPr>
            <sz val="9"/>
            <rFont val="Tahoma"/>
            <family val="2"/>
          </rPr>
          <t xml:space="preserve">
Data not available in 10Kfor the period. Will be backfilled upon release of Q3'21 10K</t>
        </r>
      </text>
    </comment>
    <comment ref="AT80" authorId="3" shapeId="0" xr:uid="{D0985710-5BBE-4C1F-9100-8A2D941C9F59}">
      <text>
        <r>
          <rPr>
            <b/>
            <sz val="9"/>
            <rFont val="Tahoma"/>
            <family val="2"/>
          </rPr>
          <t>Canalyst (SK):</t>
        </r>
        <r>
          <rPr>
            <sz val="9"/>
            <rFont val="Tahoma"/>
            <family val="2"/>
          </rPr>
          <t xml:space="preserve">
Data not available in 10Kfor the period. Will be backfilled upon release of Q3'21 10K</t>
        </r>
      </text>
    </comment>
    <comment ref="AS81" authorId="3" shapeId="0" xr:uid="{18A0102F-1871-448F-8EAA-88A236CECAB9}">
      <text>
        <r>
          <rPr>
            <b/>
            <sz val="9"/>
            <rFont val="Tahoma"/>
            <family val="2"/>
          </rPr>
          <t>Canalyst (SK):</t>
        </r>
        <r>
          <rPr>
            <sz val="9"/>
            <rFont val="Tahoma"/>
            <family val="2"/>
          </rPr>
          <t xml:space="preserve">
Data not available in 10Kfor the period. Will be backfilled upon release of Q3'21 10K</t>
        </r>
      </text>
    </comment>
    <comment ref="AT81" authorId="3" shapeId="0" xr:uid="{1A10445D-32F0-4676-B2A5-3ABFA9AA1B1B}">
      <text>
        <r>
          <rPr>
            <b/>
            <sz val="9"/>
            <rFont val="Tahoma"/>
            <family val="2"/>
          </rPr>
          <t>Canalyst (SK):</t>
        </r>
        <r>
          <rPr>
            <sz val="9"/>
            <rFont val="Tahoma"/>
            <family val="2"/>
          </rPr>
          <t xml:space="preserve">
Data not available in 10Kfor the period. Will be backfilled upon release of Q3'21 10K</t>
        </r>
      </text>
    </comment>
    <comment ref="AS82" authorId="3" shapeId="0" xr:uid="{2F87ACD7-22D2-4870-BB00-2DF95A90FDC1}">
      <text>
        <r>
          <rPr>
            <b/>
            <sz val="9"/>
            <rFont val="Tahoma"/>
            <family val="2"/>
          </rPr>
          <t>Canalyst (SK):</t>
        </r>
        <r>
          <rPr>
            <sz val="9"/>
            <rFont val="Tahoma"/>
            <family val="2"/>
          </rPr>
          <t xml:space="preserve">
Data not available in 10Kfor the period. Will be backfilled upon release of Q3'21 10K</t>
        </r>
      </text>
    </comment>
    <comment ref="AT82" authorId="3" shapeId="0" xr:uid="{9A62F705-6F7D-44CD-9F1D-A3D5FCEA35B7}">
      <text>
        <r>
          <rPr>
            <b/>
            <sz val="9"/>
            <rFont val="Tahoma"/>
            <family val="2"/>
          </rPr>
          <t>Canalyst (SK):</t>
        </r>
        <r>
          <rPr>
            <sz val="9"/>
            <rFont val="Tahoma"/>
            <family val="2"/>
          </rPr>
          <t xml:space="preserve">
Data not available in 10Kfor the period. Will be backfilled upon release of Q3'21 10K</t>
        </r>
      </text>
    </comment>
    <comment ref="AS96" authorId="3" shapeId="0" xr:uid="{AF92BDAE-D012-4456-AD9F-90FE912ACE73}">
      <text>
        <r>
          <rPr>
            <b/>
            <sz val="9"/>
            <rFont val="Tahoma"/>
            <family val="2"/>
          </rPr>
          <t>Canalyst (SK):</t>
        </r>
        <r>
          <rPr>
            <sz val="9"/>
            <rFont val="Tahoma"/>
            <family val="2"/>
          </rPr>
          <t xml:space="preserve">
Not reported in 10K'20 Will be updated upon release of 10K'21</t>
        </r>
      </text>
    </comment>
    <comment ref="AT96" authorId="3" shapeId="0" xr:uid="{5B46B93C-B945-4107-9C8E-64FBDE71BBA4}">
      <text>
        <r>
          <rPr>
            <b/>
            <sz val="9"/>
            <rFont val="Tahoma"/>
            <family val="2"/>
          </rPr>
          <t>Canalyst (SK):</t>
        </r>
        <r>
          <rPr>
            <sz val="9"/>
            <rFont val="Tahoma"/>
            <family val="2"/>
          </rPr>
          <t xml:space="preserve">
Not reported in 10K'20 Will be updated upon release of 10K'21</t>
        </r>
      </text>
    </comment>
    <comment ref="AS97" authorId="3" shapeId="0" xr:uid="{BB6D279A-0FF9-48A8-AD2A-24DA3DF57DAF}">
      <text>
        <r>
          <rPr>
            <b/>
            <sz val="9"/>
            <rFont val="Tahoma"/>
            <family val="2"/>
          </rPr>
          <t>Canalyst (SK):</t>
        </r>
        <r>
          <rPr>
            <sz val="9"/>
            <rFont val="Tahoma"/>
            <family val="2"/>
          </rPr>
          <t xml:space="preserve">
Not reported in 10K'20 Will be updated upon release of 10K'21</t>
        </r>
      </text>
    </comment>
    <comment ref="AT97" authorId="3" shapeId="0" xr:uid="{53A9DC05-8ACB-4189-9997-D5614FF03CDF}">
      <text>
        <r>
          <rPr>
            <b/>
            <sz val="9"/>
            <rFont val="Tahoma"/>
            <family val="2"/>
          </rPr>
          <t>Canalyst (SK):</t>
        </r>
        <r>
          <rPr>
            <sz val="9"/>
            <rFont val="Tahoma"/>
            <family val="2"/>
          </rPr>
          <t xml:space="preserve">
Not reported in 10K'20 Will be updated upon release of 10K'21</t>
        </r>
      </text>
    </comment>
    <comment ref="AS100" authorId="3" shapeId="0" xr:uid="{ED4C1570-2C5E-4945-9927-F78152D8E842}">
      <text>
        <r>
          <rPr>
            <b/>
            <sz val="9"/>
            <rFont val="Tahoma"/>
            <family val="2"/>
          </rPr>
          <t>Canalyst (SK):</t>
        </r>
        <r>
          <rPr>
            <sz val="9"/>
            <rFont val="Tahoma"/>
            <family val="2"/>
          </rPr>
          <t xml:space="preserve">
Not reported in 10K'20 Will be updated upon release of 10K'21</t>
        </r>
      </text>
    </comment>
    <comment ref="AT100" authorId="3" shapeId="0" xr:uid="{D257C0AC-0418-48BA-B500-9467F487A3D8}">
      <text>
        <r>
          <rPr>
            <b/>
            <sz val="9"/>
            <rFont val="Tahoma"/>
            <family val="2"/>
          </rPr>
          <t>Canalyst (SK):</t>
        </r>
        <r>
          <rPr>
            <sz val="9"/>
            <rFont val="Tahoma"/>
            <family val="2"/>
          </rPr>
          <t xml:space="preserve">
Not reported in 10K'20 Will be updated upon release of 10K'21</t>
        </r>
      </text>
    </comment>
    <comment ref="AS101" authorId="3" shapeId="0" xr:uid="{F28D80FF-3F0D-4055-BB76-C9A1594E98DF}">
      <text>
        <r>
          <rPr>
            <b/>
            <sz val="9"/>
            <rFont val="Tahoma"/>
            <family val="2"/>
          </rPr>
          <t>Canalyst (SK):</t>
        </r>
        <r>
          <rPr>
            <sz val="9"/>
            <rFont val="Tahoma"/>
            <family val="2"/>
          </rPr>
          <t xml:space="preserve">
Not reported in 10K'20 Will be updated upon release of 10K'21</t>
        </r>
      </text>
    </comment>
    <comment ref="AT101" authorId="3" shapeId="0" xr:uid="{35D4B99E-04CF-4CEF-809D-561435A6BE75}">
      <text>
        <r>
          <rPr>
            <b/>
            <sz val="9"/>
            <rFont val="Tahoma"/>
            <family val="2"/>
          </rPr>
          <t>Canalyst (SK):</t>
        </r>
        <r>
          <rPr>
            <sz val="9"/>
            <rFont val="Tahoma"/>
            <family val="2"/>
          </rPr>
          <t xml:space="preserve">
Not reported in 10K'20 Will be updated upon release of 10K'21</t>
        </r>
      </text>
    </comment>
    <comment ref="AS102" authorId="3" shapeId="0" xr:uid="{F977655A-7BD8-4AB6-BF0C-65BFCED7BF2F}">
      <text>
        <r>
          <rPr>
            <b/>
            <sz val="9"/>
            <rFont val="Tahoma"/>
            <family val="2"/>
          </rPr>
          <t>Canalyst (SK):</t>
        </r>
        <r>
          <rPr>
            <sz val="9"/>
            <rFont val="Tahoma"/>
            <family val="2"/>
          </rPr>
          <t xml:space="preserve">
Not reported in 10K'20 Will be updated upon release of 10K'21</t>
        </r>
      </text>
    </comment>
    <comment ref="AT102" authorId="3" shapeId="0" xr:uid="{E6CAE2F7-A49A-4042-A17B-4644C2F6B21B}">
      <text>
        <r>
          <rPr>
            <b/>
            <sz val="9"/>
            <rFont val="Tahoma"/>
            <family val="2"/>
          </rPr>
          <t>Canalyst (SK):</t>
        </r>
        <r>
          <rPr>
            <sz val="9"/>
            <rFont val="Tahoma"/>
            <family val="2"/>
          </rPr>
          <t xml:space="preserve">
Not reported in 10K'20 Will be updated upon release of 10K'21</t>
        </r>
      </text>
    </comment>
    <comment ref="A112" authorId="2" shapeId="0" xr:uid="{CC6855EF-2A64-43EA-BB4B-9332F7F3BE4D}">
      <text>
        <r>
          <rPr>
            <b/>
            <sz val="9"/>
            <rFont val="Tahoma"/>
            <family val="2"/>
          </rPr>
          <t xml:space="preserve">Canalyst (DL):
</t>
        </r>
        <r>
          <rPr>
            <sz val="9"/>
            <rFont val="Tahoma"/>
            <family val="2"/>
          </rPr>
          <t xml:space="preserve">Reflects fees received by the Linear Networks from other DMED businesses for the right to air linear networks and related services
</t>
        </r>
      </text>
    </comment>
    <comment ref="A140" authorId="2" shapeId="0" xr:uid="{401EE4D8-F1D3-44CC-8837-9D01CFF98A30}">
      <text>
        <r>
          <rPr>
            <b/>
            <sz val="9"/>
            <rFont val="Tahoma"/>
            <family val="2"/>
          </rPr>
          <t xml:space="preserve">Canalyst (DL):
</t>
        </r>
        <r>
          <rPr>
            <sz val="9"/>
            <rFont val="Tahoma"/>
            <family val="2"/>
          </rPr>
          <t>Reflects fees received by the Linear Networks from other DMED businesses for the right to air linear networks and related services</t>
        </r>
      </text>
    </comment>
    <comment ref="A146" authorId="2" shapeId="0" xr:uid="{E862D4E7-0EC9-4D00-BD99-832817B47974}">
      <text>
        <r>
          <rPr>
            <b/>
            <sz val="9"/>
            <rFont val="Tahoma"/>
            <family val="2"/>
          </rPr>
          <t xml:space="preserve">Canalyst (DL):
</t>
        </r>
        <r>
          <rPr>
            <sz val="9"/>
            <rFont val="Tahoma"/>
            <family val="2"/>
          </rPr>
          <t xml:space="preserve">Elimination of revenue is the Fees received by the Linear Networks from other DMED businesses for the right to air linear networks and related services. That intersegment revenue is also expensed in Direct-to-Consumer operating expenses. So the operating income of Media and Entertainment Distribution is not affected. Thus, intersegment revenue is added back in calculating segment operating income.
</t>
        </r>
      </text>
    </comment>
    <comment ref="A150" authorId="2" shapeId="0" xr:uid="{3A2BD8F5-2594-4F30-8AF0-36DD87AE41EC}">
      <text>
        <r>
          <rPr>
            <b/>
            <sz val="9"/>
            <rFont val="Tahoma"/>
            <family val="2"/>
          </rPr>
          <t xml:space="preserve">Canalyst (DL):
</t>
        </r>
        <r>
          <rPr>
            <sz val="9"/>
            <rFont val="Tahoma"/>
            <family val="2"/>
          </rPr>
          <t>The breakup is temporarily derived from historical segments based on the company's explanation of segment reorganization.</t>
        </r>
      </text>
    </comment>
    <comment ref="A151" authorId="2" shapeId="0" xr:uid="{E7F8BBDC-8BBD-4009-9249-C6201C63BE0D}">
      <text>
        <r>
          <rPr>
            <b/>
            <sz val="9"/>
            <rFont val="Tahoma"/>
            <family val="2"/>
          </rPr>
          <t xml:space="preserve">Canalyst (DL):
</t>
        </r>
        <r>
          <rPr>
            <sz val="9"/>
            <rFont val="Tahoma"/>
            <family val="2"/>
          </rPr>
          <t>The breakup is temporarily derived from historical segments based on the company's explanation of segment reorganization.</t>
        </r>
      </text>
    </comment>
    <comment ref="A152" authorId="2" shapeId="0" xr:uid="{4EE2E72B-99E7-4D1E-A4CE-49657628FA93}">
      <text>
        <r>
          <rPr>
            <b/>
            <sz val="9"/>
            <rFont val="Tahoma"/>
            <family val="2"/>
          </rPr>
          <t xml:space="preserve">Canalyst (DL):
</t>
        </r>
        <r>
          <rPr>
            <sz val="9"/>
            <rFont val="Tahoma"/>
            <family val="2"/>
          </rPr>
          <t>The breakup is temporarily derived from historical segments based on the company's explanation of segment reorganization.</t>
        </r>
      </text>
    </comment>
    <comment ref="A155" authorId="2" shapeId="0" xr:uid="{AE98C608-E90C-45B7-B8EF-93EF8B34DE75}">
      <text>
        <r>
          <rPr>
            <b/>
            <sz val="9"/>
            <rFont val="Tahoma"/>
            <family val="2"/>
          </rPr>
          <t xml:space="preserve">Canalyst (DL):
</t>
        </r>
        <r>
          <rPr>
            <sz val="9"/>
            <rFont val="Tahoma"/>
            <family val="2"/>
          </rPr>
          <t xml:space="preserve">Not reported.
</t>
        </r>
        <r>
          <rPr>
            <sz val="9"/>
            <rFont val="Tahoma"/>
            <family val="2"/>
          </rPr>
          <t>Derived from historical segments based on the company's explanation of segment reorganization.</t>
        </r>
      </text>
    </comment>
    <comment ref="AP157" authorId="2" shapeId="0" xr:uid="{6614FA7C-9D22-42F3-8BE9-77AAC8698D0A}">
      <text>
        <r>
          <rPr>
            <b/>
            <sz val="9"/>
            <rFont val="Tahoma"/>
            <family val="2"/>
          </rPr>
          <t xml:space="preserve">Canalyst (DL):
</t>
        </r>
        <r>
          <rPr>
            <sz val="9"/>
            <rFont val="Tahoma"/>
            <family val="2"/>
          </rPr>
          <t xml:space="preserve">DTC segment Q4 results not equal to subtraction of annual results and other three quarters.
The discrepancy happened between Q2 and Q3 because Q3 nine-months data not matching sum of Q1, Q2, Q3. There is no disclosure document of divestiture of business. This issue will be settled with FY2021 10-K. </t>
        </r>
      </text>
    </comment>
    <comment ref="AQ157" authorId="2" shapeId="0" xr:uid="{D4DF7720-B2B0-48EE-B0D9-B773C5F4B9AD}">
      <text>
        <r>
          <rPr>
            <b/>
            <sz val="9"/>
            <rFont val="Tahoma"/>
            <family val="2"/>
          </rPr>
          <t xml:space="preserve">Canalyst (DL):
</t>
        </r>
        <r>
          <rPr>
            <sz val="9"/>
            <rFont val="Tahoma"/>
            <family val="2"/>
          </rPr>
          <t xml:space="preserve">DTC segment Q4 results not equal to subtraction of annual results and other three quarters.
The discrepancy happened between Q2 and Q3 because Q3 nine-months data not matching sum of Q1, Q2, Q3. There is no disclosure document of divestiture of business. This issue will be settled with FY2021 10-K. </t>
        </r>
      </text>
    </comment>
    <comment ref="AU158" authorId="4" shapeId="0" xr:uid="{A06D750C-F13C-4D94-A4AD-EFEC5844714C}">
      <text>
        <r>
          <rPr>
            <b/>
            <sz val="9"/>
            <rFont val="Tahoma"/>
            <family val="2"/>
          </rPr>
          <t>Canalyst (JK):</t>
        </r>
        <r>
          <rPr>
            <sz val="9"/>
            <rFont val="Tahoma"/>
            <family val="2"/>
          </rPr>
          <t xml:space="preserve">
86.8m as of December 2, 2020 IP</t>
        </r>
      </text>
    </comment>
    <comment ref="BF158" authorId="4" shapeId="0" xr:uid="{23B14377-D1F5-4023-A261-1C52852BB0FD}">
      <text>
        <r>
          <rPr>
            <b/>
            <sz val="9"/>
            <rFont val="Tahoma"/>
            <family val="2"/>
          </rPr>
          <t>Canalyst (JK):</t>
        </r>
        <r>
          <rPr>
            <sz val="9"/>
            <rFont val="Tahoma"/>
            <family val="2"/>
          </rPr>
          <t xml:space="preserve">
230-260mm by end of FY2024, December 10, IP</t>
        </r>
      </text>
    </comment>
    <comment ref="BF166" authorId="4" shapeId="0" xr:uid="{9ECDDEA5-55D6-44F0-A2DB-2BAD242DA430}">
      <text>
        <r>
          <rPr>
            <b/>
            <sz val="9"/>
            <rFont val="Tahoma"/>
            <family val="2"/>
          </rPr>
          <t>Canalyst (JK):</t>
        </r>
        <r>
          <rPr>
            <sz val="9"/>
            <rFont val="Tahoma"/>
            <family val="2"/>
          </rPr>
          <t xml:space="preserve">
20-30mm subs by end of FY2024, December 10, IP</t>
        </r>
      </text>
    </comment>
    <comment ref="BF174" authorId="4" shapeId="0" xr:uid="{8EDAAC15-E739-4102-931F-30EA8C4FFB54}">
      <text>
        <r>
          <rPr>
            <b/>
            <sz val="9"/>
            <rFont val="Tahoma"/>
            <family val="2"/>
          </rPr>
          <t>Canalyst (JK):</t>
        </r>
        <r>
          <rPr>
            <sz val="9"/>
            <rFont val="Tahoma"/>
            <family val="2"/>
          </rPr>
          <t xml:space="preserve">
50-60mm subscribers - December 2020 IP</t>
        </r>
      </text>
    </comment>
    <comment ref="BF182" authorId="4" shapeId="0" xr:uid="{31125627-C753-42B9-AE1A-41DAD40E4BCE}">
      <text>
        <r>
          <rPr>
            <b/>
            <sz val="9"/>
            <rFont val="Tahoma"/>
            <family val="2"/>
          </rPr>
          <t>Canalyst (JK):</t>
        </r>
        <r>
          <rPr>
            <sz val="9"/>
            <rFont val="Tahoma"/>
            <family val="2"/>
          </rPr>
          <t xml:space="preserve">
50-60mm subscribers - December 2020 IP</t>
        </r>
      </text>
    </comment>
    <comment ref="AK195" authorId="4" shapeId="0" xr:uid="{42CD26A4-1F8C-4F0F-9BA1-4985D607C33B}">
      <text>
        <r>
          <rPr>
            <b/>
            <sz val="9"/>
            <rFont val="Tahoma"/>
            <family val="2"/>
          </rPr>
          <t>Canalyst (JK):</t>
        </r>
        <r>
          <rPr>
            <sz val="9"/>
            <rFont val="Tahoma"/>
            <family val="2"/>
          </rPr>
          <t xml:space="preserve">
Excludes Hulu</t>
        </r>
      </text>
    </comment>
    <comment ref="AL195" authorId="4" shapeId="0" xr:uid="{9E3EE93B-265A-40A7-ADD9-A21ED4C51067}">
      <text>
        <r>
          <rPr>
            <b/>
            <sz val="9"/>
            <rFont val="Tahoma"/>
            <family val="2"/>
          </rPr>
          <t>Canalyst (JK):</t>
        </r>
        <r>
          <rPr>
            <sz val="9"/>
            <rFont val="Tahoma"/>
            <family val="2"/>
          </rPr>
          <t xml:space="preserve">
Excludes Hulu</t>
        </r>
      </text>
    </comment>
    <comment ref="AK197" authorId="4" shapeId="0" xr:uid="{1CB225B4-155B-4AA0-85B0-FF9F33D1C491}">
      <text>
        <r>
          <rPr>
            <b/>
            <sz val="9"/>
            <rFont val="Tahoma"/>
            <family val="2"/>
          </rPr>
          <t>Canalyst (JK):</t>
        </r>
        <r>
          <rPr>
            <sz val="9"/>
            <rFont val="Tahoma"/>
            <family val="2"/>
          </rPr>
          <t xml:space="preserve">
Hardcoded - as restated in 2020 filings</t>
        </r>
      </text>
    </comment>
    <comment ref="AL197" authorId="4" shapeId="0" xr:uid="{BB2C0859-0FE0-4932-BED8-5DCAD2F98DDB}">
      <text>
        <r>
          <rPr>
            <b/>
            <sz val="9"/>
            <rFont val="Tahoma"/>
            <family val="2"/>
          </rPr>
          <t>Canalyst (JK):</t>
        </r>
        <r>
          <rPr>
            <sz val="9"/>
            <rFont val="Tahoma"/>
            <family val="2"/>
          </rPr>
          <t xml:space="preserve">
Hardcoded - as restated in 2020 filings</t>
        </r>
      </text>
    </comment>
    <comment ref="AM197" authorId="4" shapeId="0" xr:uid="{EA64E8DF-12EB-42AD-A6FE-4D87D10D4B5B}">
      <text>
        <r>
          <rPr>
            <b/>
            <sz val="9"/>
            <rFont val="Tahoma"/>
            <family val="2"/>
          </rPr>
          <t>Canalyst (JK):</t>
        </r>
        <r>
          <rPr>
            <sz val="9"/>
            <rFont val="Tahoma"/>
            <family val="2"/>
          </rPr>
          <t xml:space="preserve">
Hardcoded - as restated in 2020 filings</t>
        </r>
      </text>
    </comment>
    <comment ref="AN197" authorId="4" shapeId="0" xr:uid="{90DEC4CE-9859-496C-B316-8C8CDB82D484}">
      <text>
        <r>
          <rPr>
            <b/>
            <sz val="9"/>
            <rFont val="Tahoma"/>
            <family val="2"/>
          </rPr>
          <t>Canalyst (JK):</t>
        </r>
        <r>
          <rPr>
            <sz val="9"/>
            <rFont val="Tahoma"/>
            <family val="2"/>
          </rPr>
          <t xml:space="preserve">
Backed out of Q1-Q3 and FYE reported values</t>
        </r>
      </text>
    </comment>
    <comment ref="AO197" authorId="4" shapeId="0" xr:uid="{DB32CAC6-36A7-40DA-8F36-627516636397}">
      <text>
        <r>
          <rPr>
            <b/>
            <sz val="9"/>
            <rFont val="Tahoma"/>
            <family val="2"/>
          </rPr>
          <t>Canalyst (JK):</t>
        </r>
        <r>
          <rPr>
            <sz val="9"/>
            <rFont val="Tahoma"/>
            <family val="2"/>
          </rPr>
          <t xml:space="preserve">
Hardcoded - as restated in 2020 filings</t>
        </r>
      </text>
    </comment>
    <comment ref="AP197" authorId="2" shapeId="0" xr:uid="{E2D052A5-EB24-4AA9-9611-A1F030F45EE3}">
      <text>
        <r>
          <rPr>
            <b/>
            <sz val="9"/>
            <rFont val="Tahoma"/>
            <family val="2"/>
          </rPr>
          <t xml:space="preserve">Canalyst (DL):
</t>
        </r>
        <r>
          <rPr>
            <sz val="9"/>
            <rFont val="Tahoma"/>
            <family val="2"/>
          </rPr>
          <t>Formula changed to reflect resegment in FY2020, which is reported in 2021-02-01</t>
        </r>
      </text>
    </comment>
    <comment ref="Z199" authorId="3" shapeId="0" xr:uid="{73B38D54-ABFF-4D83-BD31-AEEACE4A9791}">
      <text>
        <r>
          <rPr>
            <b/>
            <sz val="9"/>
            <rFont val="Tahoma"/>
            <family val="2"/>
          </rPr>
          <t>Canalyst (SK):</t>
        </r>
        <r>
          <rPr>
            <sz val="9"/>
            <rFont val="Tahoma"/>
            <family val="2"/>
          </rPr>
          <t xml:space="preserve">
From TWDC Enterprises 18 Corp filing</t>
        </r>
      </text>
    </comment>
    <comment ref="AE199" authorId="3" shapeId="0" xr:uid="{1529FC79-E737-4695-8E81-1EB3577364AC}">
      <text>
        <r>
          <rPr>
            <b/>
            <sz val="9"/>
            <rFont val="Tahoma"/>
            <family val="2"/>
          </rPr>
          <t>Canalyst (SK):</t>
        </r>
        <r>
          <rPr>
            <sz val="9"/>
            <rFont val="Tahoma"/>
            <family val="2"/>
          </rPr>
          <t xml:space="preserve">
From TWDC Enterprises 18 Corp filing</t>
        </r>
      </text>
    </comment>
    <comment ref="Z203" authorId="3" shapeId="0" xr:uid="{99FC09D4-679F-4B92-AFE7-05FD2B05F690}">
      <text>
        <r>
          <rPr>
            <b/>
            <sz val="9"/>
            <rFont val="Tahoma"/>
            <family val="2"/>
          </rPr>
          <t>Canalyst (SK):</t>
        </r>
        <r>
          <rPr>
            <sz val="9"/>
            <rFont val="Tahoma"/>
            <family val="2"/>
          </rPr>
          <t xml:space="preserve">
Intersegment 740mm</t>
        </r>
      </text>
    </comment>
    <comment ref="AE203" authorId="3" shapeId="0" xr:uid="{1D0FD609-7DF2-4F14-B5BC-AA8E439687F3}">
      <text>
        <r>
          <rPr>
            <b/>
            <sz val="9"/>
            <rFont val="Tahoma"/>
            <family val="2"/>
          </rPr>
          <t>Canalyst (SK):</t>
        </r>
        <r>
          <rPr>
            <sz val="9"/>
            <rFont val="Tahoma"/>
            <family val="2"/>
          </rPr>
          <t xml:space="preserve">
Intersegment 492mm</t>
        </r>
      </text>
    </comment>
    <comment ref="AF203" authorId="3" shapeId="0" xr:uid="{00000000-0006-0000-0100-000049000000}">
      <text>
        <r>
          <rPr>
            <b/>
            <sz val="9"/>
            <rFont val="Tahoma"/>
            <family val="2"/>
          </rPr>
          <t>Canalyst (SK):</t>
        </r>
        <r>
          <rPr>
            <sz val="9"/>
            <rFont val="Tahoma"/>
            <family val="2"/>
          </rPr>
          <t xml:space="preserve">
The increase to Studio Entertainment revenues and operating income and corresponding decrease to Parks, Experiences &amp; Consumer Products revenues and operating income was $154 million and $171 million for the quarters ended December 29, 2018 and December 30, 2017, respectively.</t>
        </r>
      </text>
    </comment>
    <comment ref="AG203" authorId="3" shapeId="0" xr:uid="{02D78EE4-345D-417F-88CD-EC463EE38F5B}">
      <text>
        <r>
          <rPr>
            <b/>
            <sz val="9"/>
            <rFont val="Tahoma"/>
            <family val="2"/>
          </rPr>
          <t>Canalyst (SK):</t>
        </r>
        <r>
          <rPr>
            <sz val="9"/>
            <rFont val="Tahoma"/>
            <family val="2"/>
          </rPr>
          <t xml:space="preserve">
The increase to Studio Entertainment revenues and operating income and corresponding decrease to Parks, Experiences and Products revenues and operating income was $126 million and $136 million for the quarters ended March 30, 2019 and March 31, 2018, respectively, and $280 million and $307 million for the six months ended March 30, 2019 and March 31, 2018, respectively.</t>
        </r>
      </text>
    </comment>
    <comment ref="AH203" authorId="3" shapeId="0" xr:uid="{7E8CC67C-1AF4-439D-AD45-2A889581157B}">
      <text>
        <r>
          <rPr>
            <b/>
            <sz val="9"/>
            <rFont val="Tahoma"/>
            <family val="2"/>
          </rPr>
          <t>Canalyst (SK):</t>
        </r>
        <r>
          <rPr>
            <sz val="9"/>
            <rFont val="Tahoma"/>
            <family val="2"/>
          </rPr>
          <t xml:space="preserve">
he increase to Studio Entertainment revenues and operating income and corresponding decrease to Parks, Experiences and Products revenues and operating income was $126 million and $119 million for the quarters ended June 29, 2019 and June 30, 2018</t>
        </r>
      </text>
    </comment>
    <comment ref="AJ203" authorId="3" shapeId="0" xr:uid="{B16F3407-F714-48EC-9354-672BB74DF538}">
      <text>
        <r>
          <rPr>
            <b/>
            <sz val="9"/>
            <rFont val="Tahoma"/>
            <family val="2"/>
          </rPr>
          <t>Canalyst (SK):</t>
        </r>
        <r>
          <rPr>
            <sz val="9"/>
            <rFont val="Tahoma"/>
            <family val="2"/>
          </rPr>
          <t xml:space="preserve">
Intersegment 556mm</t>
        </r>
      </text>
    </comment>
    <comment ref="AK203" authorId="3" shapeId="0" xr:uid="{FE1243F2-3DFE-4799-943C-C0B357B0B73C}">
      <text>
        <r>
          <rPr>
            <b/>
            <sz val="9"/>
            <rFont val="Tahoma"/>
            <family val="2"/>
          </rPr>
          <t>Canalyst (SK):</t>
        </r>
        <r>
          <rPr>
            <sz val="9"/>
            <rFont val="Tahoma"/>
            <family val="2"/>
          </rPr>
          <t xml:space="preserve">
The allocation of Parks, Experiences and Products revenues to Studio Entertainment was $184 million and $154 million for the quarters ended December 28, 2019 and December 29, 2018, respectively.
</t>
        </r>
      </text>
    </comment>
    <comment ref="AL203" authorId="3" shapeId="0" xr:uid="{2C32B5CC-1D7B-4ABF-A2D6-E02B4AB0C1B9}">
      <text>
        <r>
          <rPr>
            <b/>
            <sz val="9"/>
            <rFont val="Tahoma"/>
            <family val="2"/>
          </rPr>
          <t>Canalyst (SK):</t>
        </r>
        <r>
          <rPr>
            <sz val="9"/>
            <rFont val="Tahoma"/>
            <family val="2"/>
          </rPr>
          <t xml:space="preserve">
The allocation of Parks, Experiences and Products revenues to Studio Entertainment was $117 million and $126 million for the quarters ended March 28, 2020 and March 30, 2019, respectively</t>
        </r>
      </text>
    </comment>
    <comment ref="AM203" authorId="3" shapeId="0" xr:uid="{763445BA-310D-4B79-AB88-635A6EDD5650}">
      <text>
        <r>
          <rPr>
            <b/>
            <sz val="9"/>
            <rFont val="Tahoma"/>
            <family val="2"/>
          </rPr>
          <t>Canalyst (SK):</t>
        </r>
        <r>
          <rPr>
            <sz val="9"/>
            <rFont val="Tahoma"/>
            <family val="2"/>
          </rPr>
          <t xml:space="preserve">
The allocation of Parks, Experiences and Products revenues to Studio Entertainment was $82 million and $126 million for the quarters ended June 27, 2020 and June 29, 2019, respectively. Adding this number to here to make it comparbale with Q3'20</t>
        </r>
      </text>
    </comment>
    <comment ref="AO203" authorId="3" shapeId="0" xr:uid="{620F6955-B4B3-4889-A03B-E41252CD5C66}">
      <text>
        <r>
          <rPr>
            <b/>
            <sz val="9"/>
            <rFont val="Tahoma"/>
            <family val="2"/>
          </rPr>
          <t>Canalyst (SK):</t>
        </r>
        <r>
          <rPr>
            <sz val="9"/>
            <rFont val="Tahoma"/>
            <family val="2"/>
          </rPr>
          <t xml:space="preserve">
Intersegment 561mm</t>
        </r>
      </text>
    </comment>
    <comment ref="AP203" authorId="3" shapeId="0" xr:uid="{64FD4AD6-858F-40D7-ADC8-EF643FBA2453}">
      <text>
        <r>
          <rPr>
            <b/>
            <sz val="9"/>
            <rFont val="Tahoma"/>
            <family val="2"/>
          </rPr>
          <t>Canalyst (SK):</t>
        </r>
        <r>
          <rPr>
            <sz val="9"/>
            <rFont val="Tahoma"/>
            <family val="2"/>
          </rPr>
          <t xml:space="preserve">
Updated using Segment reporting changes document published on Feb 1, 2021</t>
        </r>
      </text>
    </comment>
    <comment ref="AQ203" authorId="3" shapeId="0" xr:uid="{501485F7-FE6C-4886-B93A-2FFD1E55B9C8}">
      <text>
        <r>
          <rPr>
            <b/>
            <sz val="9"/>
            <rFont val="Tahoma"/>
            <family val="2"/>
          </rPr>
          <t>Canalyst (SK):</t>
        </r>
        <r>
          <rPr>
            <sz val="9"/>
            <rFont val="Tahoma"/>
            <family val="2"/>
          </rPr>
          <t xml:space="preserve">
Updated using Segment reporting changes document published on Feb 1, 2021</t>
        </r>
      </text>
    </comment>
    <comment ref="AR203" authorId="3" shapeId="0" xr:uid="{93A5281D-EDD5-44BF-9C11-EEF9E3B526F7}">
      <text>
        <r>
          <rPr>
            <b/>
            <sz val="9"/>
            <rFont val="Tahoma"/>
            <family val="2"/>
          </rPr>
          <t>Canalyst (SK):</t>
        </r>
        <r>
          <rPr>
            <sz val="9"/>
            <rFont val="Tahoma"/>
            <family val="2"/>
          </rPr>
          <t xml:space="preserve">
Updated using Segment reporting changes document published on Feb 1, 2021</t>
        </r>
      </text>
    </comment>
    <comment ref="AS203" authorId="3" shapeId="0" xr:uid="{C7C57A25-BA6D-4453-A3D8-6DC84161CE96}">
      <text>
        <r>
          <rPr>
            <b/>
            <sz val="9"/>
            <rFont val="Tahoma"/>
            <family val="2"/>
          </rPr>
          <t>Canalyst (SK):</t>
        </r>
        <r>
          <rPr>
            <sz val="9"/>
            <rFont val="Tahoma"/>
            <family val="2"/>
          </rPr>
          <t xml:space="preserve">
Updated using Segment reporting changes document published on Feb 1, 2021</t>
        </r>
      </text>
    </comment>
    <comment ref="AG210" authorId="3" shapeId="0" xr:uid="{98ECBB9E-DF95-446E-A315-21A2D0DD0FC4}">
      <text>
        <r>
          <rPr>
            <b/>
            <sz val="9"/>
            <rFont val="Tahoma"/>
            <family val="2"/>
          </rPr>
          <t>Canalyst (SK):</t>
        </r>
        <r>
          <rPr>
            <sz val="9"/>
            <rFont val="Tahoma"/>
            <family val="2"/>
          </rPr>
          <t xml:space="preserve">
The increase to Studio Entertainment revenues and operating income and corresponding decrease to Parks, Experiences and Products revenues and operating income was $126 million and $136 million for the quarters ended March 30, 2019 and March 31, 2018, respectively, and $280 million and $307 million for the six months ended March 30, 2019 and March 31, 2018, respectively.</t>
        </r>
      </text>
    </comment>
    <comment ref="AH210" authorId="3" shapeId="0" xr:uid="{255DD606-A2B2-4C10-A662-398C32D95227}">
      <text>
        <r>
          <rPr>
            <b/>
            <sz val="9"/>
            <rFont val="Tahoma"/>
            <family val="2"/>
          </rPr>
          <t>Canalyst (SK):</t>
        </r>
        <r>
          <rPr>
            <sz val="9"/>
            <rFont val="Tahoma"/>
            <family val="2"/>
          </rPr>
          <t xml:space="preserve">
he increase to Studio Entertainment revenues and operating income and corresponding decrease to Parks, Experiences and Products revenues and operating income was $126 million and $119 million for the quarters ended June 29, 2019 and June 30, 2018</t>
        </r>
      </text>
    </comment>
    <comment ref="AK210" authorId="3" shapeId="0" xr:uid="{3CDF072A-7246-4082-932A-4A905A39653D}">
      <text>
        <r>
          <rPr>
            <b/>
            <sz val="9"/>
            <rFont val="Tahoma"/>
            <family val="2"/>
          </rPr>
          <t>Canalyst (SK):</t>
        </r>
        <r>
          <rPr>
            <sz val="9"/>
            <rFont val="Tahoma"/>
            <family val="2"/>
          </rPr>
          <t xml:space="preserve">
The allocation of Parks, Experiences and Products revenues to Studio Entertainment was $184 million and $154 million for the quarters ended December 28, 2019 and December 29, 2018, respectively.
</t>
        </r>
      </text>
    </comment>
    <comment ref="AL210" authorId="3" shapeId="0" xr:uid="{64A80786-98FF-4687-ADF7-125C0AFC80B1}">
      <text>
        <r>
          <rPr>
            <b/>
            <sz val="9"/>
            <rFont val="Tahoma"/>
            <family val="2"/>
          </rPr>
          <t>Canalyst (SK):</t>
        </r>
        <r>
          <rPr>
            <sz val="9"/>
            <rFont val="Tahoma"/>
            <family val="2"/>
          </rPr>
          <t xml:space="preserve">
number up by 126mn due to revenue</t>
        </r>
      </text>
    </comment>
    <comment ref="AM210" authorId="3" shapeId="0" xr:uid="{FA5A9CF7-83C3-47A3-BF8A-DD5B54B4E7C2}">
      <text>
        <r>
          <rPr>
            <b/>
            <sz val="9"/>
            <rFont val="Tahoma"/>
            <family val="2"/>
          </rPr>
          <t>Canalyst (SK):</t>
        </r>
        <r>
          <rPr>
            <sz val="9"/>
            <rFont val="Tahoma"/>
            <family val="2"/>
          </rPr>
          <t xml:space="preserve">
number up by 126mn due to revenue</t>
        </r>
      </text>
    </comment>
    <comment ref="A216" authorId="2" shapeId="0" xr:uid="{8CEFEE57-7AC9-4C69-8516-6469BEA47053}">
      <text>
        <r>
          <rPr>
            <b/>
            <sz val="9"/>
            <rFont val="Tahoma"/>
            <family val="2"/>
          </rPr>
          <t xml:space="preserve">Canalyst (DL):
</t>
        </r>
        <r>
          <rPr>
            <sz val="9"/>
            <rFont val="Tahoma"/>
            <family val="2"/>
          </rPr>
          <t>The breakup is temporarily derived from historical segments based on the company's explanation of segment reorganization.</t>
        </r>
      </text>
    </comment>
    <comment ref="AF216" authorId="3" shapeId="0" xr:uid="{99F8D08F-A087-4D38-BB84-E072ACC80F7B}">
      <text>
        <r>
          <rPr>
            <b/>
            <sz val="9"/>
            <rFont val="Tahoma"/>
            <family val="2"/>
          </rPr>
          <t>Canalyst (SK):</t>
        </r>
        <r>
          <rPr>
            <sz val="9"/>
            <rFont val="Tahoma"/>
            <family val="2"/>
          </rPr>
          <t xml:space="preserve">
Backed out</t>
        </r>
      </text>
    </comment>
    <comment ref="A217" authorId="2" shapeId="0" xr:uid="{A9A2D4B0-B03E-47A8-915C-E35626AC5F58}">
      <text>
        <r>
          <rPr>
            <b/>
            <sz val="9"/>
            <rFont val="Tahoma"/>
            <family val="2"/>
          </rPr>
          <t xml:space="preserve">Canalyst (DL):
</t>
        </r>
        <r>
          <rPr>
            <sz val="9"/>
            <rFont val="Tahoma"/>
            <family val="2"/>
          </rPr>
          <t>The breakup is temporarily derived from historical segments based on the company's explanation of segment reorganization.</t>
        </r>
      </text>
    </comment>
    <comment ref="AF217" authorId="3" shapeId="0" xr:uid="{BA0A23F1-6BEB-43E6-B786-430C382BA4CD}">
      <text>
        <r>
          <rPr>
            <b/>
            <sz val="9"/>
            <rFont val="Tahoma"/>
            <family val="2"/>
          </rPr>
          <t>Canalyst (SK):</t>
        </r>
        <r>
          <rPr>
            <sz val="9"/>
            <rFont val="Tahoma"/>
            <family val="2"/>
          </rPr>
          <t xml:space="preserve">
Backed out</t>
        </r>
      </text>
    </comment>
    <comment ref="A218" authorId="2" shapeId="0" xr:uid="{D2BE910A-90B9-41B6-8648-1A5201DE8620}">
      <text>
        <r>
          <rPr>
            <b/>
            <sz val="9"/>
            <rFont val="Tahoma"/>
            <family val="2"/>
          </rPr>
          <t xml:space="preserve">Canalyst (DL):
</t>
        </r>
        <r>
          <rPr>
            <sz val="9"/>
            <rFont val="Tahoma"/>
            <family val="2"/>
          </rPr>
          <t>The breakup is temporarily derived from historical segments based on the company's explanation of segment reorganization.</t>
        </r>
      </text>
    </comment>
    <comment ref="AF218" authorId="3" shapeId="0" xr:uid="{5CEDFD10-DC74-4B5C-82B2-7DF586574D4C}">
      <text>
        <r>
          <rPr>
            <b/>
            <sz val="9"/>
            <rFont val="Tahoma"/>
            <family val="2"/>
          </rPr>
          <t>Canalyst (SK):</t>
        </r>
        <r>
          <rPr>
            <sz val="9"/>
            <rFont val="Tahoma"/>
            <family val="2"/>
          </rPr>
          <t xml:space="preserve">
Backed out</t>
        </r>
      </text>
    </comment>
    <comment ref="A221" authorId="2" shapeId="0" xr:uid="{490AAB60-C124-412E-BA00-92A470542A6F}">
      <text>
        <r>
          <rPr>
            <b/>
            <sz val="9"/>
            <rFont val="Tahoma"/>
            <family val="2"/>
          </rPr>
          <t xml:space="preserve">Canalyst (DL):
</t>
        </r>
        <r>
          <rPr>
            <sz val="9"/>
            <rFont val="Tahoma"/>
            <family val="2"/>
          </rPr>
          <t xml:space="preserve">Not reported.
</t>
        </r>
        <r>
          <rPr>
            <sz val="9"/>
            <rFont val="Tahoma"/>
            <family val="2"/>
          </rPr>
          <t>Derived from historical segments based on the company's explanation of segment reorganization.</t>
        </r>
      </text>
    </comment>
    <comment ref="Z225" authorId="3" shapeId="0" xr:uid="{DFD43312-C279-4517-8A5B-48CFF6D46AFC}">
      <text>
        <r>
          <rPr>
            <b/>
            <sz val="9"/>
            <rFont val="Tahoma"/>
            <family val="2"/>
          </rPr>
          <t>Canalyst (SK):</t>
        </r>
        <r>
          <rPr>
            <sz val="9"/>
            <rFont val="Tahoma"/>
            <family val="2"/>
          </rPr>
          <t xml:space="preserve">
Intersegment 740mm</t>
        </r>
      </text>
    </comment>
    <comment ref="AE225" authorId="3" shapeId="0" xr:uid="{6E0A49CC-3CFC-4DA1-94FA-0132CA6379BA}">
      <text>
        <r>
          <rPr>
            <b/>
            <sz val="9"/>
            <rFont val="Tahoma"/>
            <family val="2"/>
          </rPr>
          <t>Canalyst (SK):</t>
        </r>
        <r>
          <rPr>
            <sz val="9"/>
            <rFont val="Tahoma"/>
            <family val="2"/>
          </rPr>
          <t xml:space="preserve">
Intersegment 492mm</t>
        </r>
      </text>
    </comment>
    <comment ref="AG225" authorId="3" shapeId="0" xr:uid="{AA2229B0-352F-4AAB-843C-EAE5DF9A5C03}">
      <text>
        <r>
          <rPr>
            <b/>
            <sz val="9"/>
            <rFont val="Tahoma"/>
            <family val="2"/>
          </rPr>
          <t>Canalyst (SK):</t>
        </r>
        <r>
          <rPr>
            <sz val="9"/>
            <rFont val="Tahoma"/>
            <family val="2"/>
          </rPr>
          <t xml:space="preserve">
The increase to Studio Entertainment revenues and operating income and corresponding decrease to Parks, Experiences and Products revenues and operating income was $126 million and $136 million for the quarters ended March 30, 2019 and March 31, 2018, respectively, and $280 million and $307 million for the six months ended March 30, 2019 and March 31, 2018, respectively.</t>
        </r>
      </text>
    </comment>
    <comment ref="AH225" authorId="3" shapeId="0" xr:uid="{148E47FF-7534-4F0A-B72C-B7F2B7FE590D}">
      <text>
        <r>
          <rPr>
            <b/>
            <sz val="9"/>
            <rFont val="Tahoma"/>
            <family val="2"/>
          </rPr>
          <t>Canalyst (SK):</t>
        </r>
        <r>
          <rPr>
            <sz val="9"/>
            <rFont val="Tahoma"/>
            <family val="2"/>
          </rPr>
          <t xml:space="preserve">
he increase to Studio Entertainment revenues and operating income and corresponding decrease to Parks, Experiences and Products revenues and operating income was $126 million and $119 million for the quarters ended June 29, 2019 and June 30, 2018</t>
        </r>
      </text>
    </comment>
    <comment ref="AJ225" authorId="3" shapeId="0" xr:uid="{C5286750-B4E6-4FEE-8136-BD438B34709C}">
      <text>
        <r>
          <rPr>
            <b/>
            <sz val="9"/>
            <rFont val="Tahoma"/>
            <family val="2"/>
          </rPr>
          <t>Canalyst (SK):</t>
        </r>
        <r>
          <rPr>
            <sz val="9"/>
            <rFont val="Tahoma"/>
            <family val="2"/>
          </rPr>
          <t xml:space="preserve">
Intersegment 556mm</t>
        </r>
      </text>
    </comment>
    <comment ref="AK225" authorId="3" shapeId="0" xr:uid="{3E7A4396-ADB5-4EAD-B8E6-934A2185A662}">
      <text>
        <r>
          <rPr>
            <b/>
            <sz val="9"/>
            <rFont val="Tahoma"/>
            <family val="2"/>
          </rPr>
          <t>Canalyst (SK):</t>
        </r>
        <r>
          <rPr>
            <sz val="9"/>
            <rFont val="Tahoma"/>
            <family val="2"/>
          </rPr>
          <t xml:space="preserve">
The allocation of Parks, Experiences and Products revenues to Studio Entertainment was $184 million and $154 million for the quarters ended December 28, 2019 and December 29, 2018, respectively.
</t>
        </r>
      </text>
    </comment>
    <comment ref="AL225" authorId="3" shapeId="0" xr:uid="{78372255-22B6-4C60-A016-0481744E83F2}">
      <text>
        <r>
          <rPr>
            <b/>
            <sz val="9"/>
            <rFont val="Tahoma"/>
            <family val="2"/>
          </rPr>
          <t>Canalyst (SK):</t>
        </r>
        <r>
          <rPr>
            <sz val="9"/>
            <rFont val="Tahoma"/>
            <family val="2"/>
          </rPr>
          <t xml:space="preserve">
The allocation of Parks, Experiences and Products revenues to Studio Entertainment was $117 million and $126 million for the quarters ended March 28, 2020 and March 30, 2019, respectively</t>
        </r>
      </text>
    </comment>
    <comment ref="AM225" authorId="3" shapeId="0" xr:uid="{71319A09-3FCC-40AC-B69A-10A73FAE61FD}">
      <text>
        <r>
          <rPr>
            <b/>
            <sz val="9"/>
            <rFont val="Tahoma"/>
            <family val="2"/>
          </rPr>
          <t>Canalyst (SK):</t>
        </r>
        <r>
          <rPr>
            <sz val="9"/>
            <rFont val="Tahoma"/>
            <family val="2"/>
          </rPr>
          <t xml:space="preserve">
The allocation of Parks, Experiences and Products revenues to Studio Entertainment was $82 million and $126 million for the quarters ended June 27, 2020 and June 29, 2019, respectively. Adding this number to here to make it comparbale with Q3'20</t>
        </r>
      </text>
    </comment>
    <comment ref="AO225" authorId="3" shapeId="0" xr:uid="{6752BF02-3C23-48DC-B2AE-33217BCD15E3}">
      <text>
        <r>
          <rPr>
            <b/>
            <sz val="9"/>
            <rFont val="Tahoma"/>
            <family val="2"/>
          </rPr>
          <t>Canalyst (SK):</t>
        </r>
        <r>
          <rPr>
            <sz val="9"/>
            <rFont val="Tahoma"/>
            <family val="2"/>
          </rPr>
          <t xml:space="preserve">
Intersegment 561mm</t>
        </r>
      </text>
    </comment>
    <comment ref="AE230" authorId="3" shapeId="0" xr:uid="{D26FC911-BEBA-485B-81E1-602BC7849D68}">
      <text>
        <r>
          <rPr>
            <b/>
            <sz val="9"/>
            <rFont val="Tahoma"/>
            <family val="2"/>
          </rPr>
          <t>Canalyst (SK):</t>
        </r>
        <r>
          <rPr>
            <sz val="9"/>
            <rFont val="Tahoma"/>
            <family val="2"/>
          </rPr>
          <t xml:space="preserve">
Intersegment 492mm</t>
        </r>
      </text>
    </comment>
    <comment ref="AG230" authorId="3" shapeId="0" xr:uid="{3702A7DE-E769-432B-8B38-FC0421D227CF}">
      <text>
        <r>
          <rPr>
            <b/>
            <sz val="9"/>
            <rFont val="Tahoma"/>
            <family val="2"/>
          </rPr>
          <t>Canalyst (SK):</t>
        </r>
        <r>
          <rPr>
            <sz val="9"/>
            <rFont val="Tahoma"/>
            <family val="2"/>
          </rPr>
          <t xml:space="preserve">
The increase to Studio Entertainment revenues and operating income and corresponding decrease to Parks, Experiences and Products revenues and operating income was $126 million and $136 million for the quarters ended March 30, 2019 and March 31, 2018, respectively, and $280 million and $307 million for the six months ended March 30, 2019 and March 31, 2018, respectively.</t>
        </r>
      </text>
    </comment>
    <comment ref="AH230" authorId="3" shapeId="0" xr:uid="{67D6AD37-CAD3-43CF-8EAF-86EF90D7E346}">
      <text>
        <r>
          <rPr>
            <b/>
            <sz val="9"/>
            <rFont val="Tahoma"/>
            <family val="2"/>
          </rPr>
          <t>Canalyst (SK):</t>
        </r>
        <r>
          <rPr>
            <sz val="9"/>
            <rFont val="Tahoma"/>
            <family val="2"/>
          </rPr>
          <t xml:space="preserve">
he increase to Studio Entertainment revenues and operating income and corresponding decrease to Parks, Experiences and Products revenues and operating income was $126 million and $119 million for the quarters ended June 29, 2019 and June 30, 2018</t>
        </r>
      </text>
    </comment>
    <comment ref="AJ230" authorId="3" shapeId="0" xr:uid="{8B5836D7-F367-460A-B344-A96D1B98E822}">
      <text>
        <r>
          <rPr>
            <b/>
            <sz val="9"/>
            <rFont val="Tahoma"/>
            <family val="2"/>
          </rPr>
          <t>Canalyst (SK):</t>
        </r>
        <r>
          <rPr>
            <sz val="9"/>
            <rFont val="Tahoma"/>
            <family val="2"/>
          </rPr>
          <t xml:space="preserve">
Intersegment 556mm</t>
        </r>
      </text>
    </comment>
    <comment ref="AK230" authorId="3" shapeId="0" xr:uid="{752E3303-242B-483A-AB3C-7611D33EDE60}">
      <text>
        <r>
          <rPr>
            <b/>
            <sz val="9"/>
            <rFont val="Tahoma"/>
            <family val="2"/>
          </rPr>
          <t>Canalyst (SK):</t>
        </r>
        <r>
          <rPr>
            <sz val="9"/>
            <rFont val="Tahoma"/>
            <family val="2"/>
          </rPr>
          <t xml:space="preserve">
The allocation of Parks, Experiences and Products revenues to Studio Entertainment was $184 million and $154 million for the quarters ended December 28, 2019 and December 29, 2018, respectively.
</t>
        </r>
      </text>
    </comment>
    <comment ref="AL230" authorId="3" shapeId="0" xr:uid="{3C09A60F-4E0D-4BF6-9AAB-206D9199E9F8}">
      <text>
        <r>
          <rPr>
            <b/>
            <sz val="9"/>
            <rFont val="Tahoma"/>
            <family val="2"/>
          </rPr>
          <t>Canalyst (SK):</t>
        </r>
        <r>
          <rPr>
            <sz val="9"/>
            <rFont val="Tahoma"/>
            <family val="2"/>
          </rPr>
          <t xml:space="preserve">
The allocation of Parks, Experiences and Products revenues to Studio Entertainment was $117 million and $126 million for the quarters ended March 28, 2020 and March 30, 2019, respectively</t>
        </r>
      </text>
    </comment>
    <comment ref="AM230" authorId="3" shapeId="0" xr:uid="{968EF5CB-5047-42D2-BAE6-80745A43AE86}">
      <text>
        <r>
          <rPr>
            <b/>
            <sz val="9"/>
            <rFont val="Tahoma"/>
            <family val="2"/>
          </rPr>
          <t>Canalyst (SK):</t>
        </r>
        <r>
          <rPr>
            <sz val="9"/>
            <rFont val="Tahoma"/>
            <family val="2"/>
          </rPr>
          <t xml:space="preserve">
The allocation of Parks, Experiences and Products revenues to Studio Entertainment was $82 million and $126 million for the quarters ended June 27, 2020 and June 29, 2019, respectively. Adding this number to here to make it comparbale with Q3'20</t>
        </r>
      </text>
    </comment>
    <comment ref="AO230" authorId="3" shapeId="0" xr:uid="{D4A0EA74-A168-4059-A3FF-87A8B47E55BF}">
      <text>
        <r>
          <rPr>
            <b/>
            <sz val="9"/>
            <rFont val="Tahoma"/>
            <family val="2"/>
          </rPr>
          <t>Canalyst (SK):</t>
        </r>
        <r>
          <rPr>
            <sz val="9"/>
            <rFont val="Tahoma"/>
            <family val="2"/>
          </rPr>
          <t xml:space="preserve">
Intersegment 561mm</t>
        </r>
      </text>
    </comment>
    <comment ref="AT230" authorId="3" shapeId="0" xr:uid="{EDEA6682-F64A-4DBD-A914-473F7BF74BEE}">
      <text>
        <r>
          <rPr>
            <b/>
            <sz val="9"/>
            <rFont val="Tahoma"/>
            <family val="2"/>
          </rPr>
          <t>Canalyst (SK):</t>
        </r>
        <r>
          <rPr>
            <sz val="9"/>
            <rFont val="Tahoma"/>
            <family val="2"/>
          </rPr>
          <t xml:space="preserve">
Add back intersegment revenue and it matches with reported</t>
        </r>
      </text>
    </comment>
    <comment ref="AN244" authorId="0" shapeId="0" xr:uid="{4BC55BD4-9E5B-48B4-A2EE-C25C1155E6E0}">
      <text>
        <r>
          <rPr>
            <b/>
            <sz val="9"/>
            <rFont val="Tahoma"/>
            <family val="2"/>
            <charset val="1"/>
          </rPr>
          <t>Canalyst (DL):</t>
        </r>
        <r>
          <rPr>
            <sz val="9"/>
            <rFont val="Tahoma"/>
            <family val="2"/>
            <charset val="1"/>
          </rPr>
          <t xml:space="preserve">
segment numbers are restated by subtracting annual figures in 10-K and nine-months figures in Q3's 10-Q</t>
        </r>
      </text>
    </comment>
    <comment ref="AP245" authorId="0" shapeId="0" xr:uid="{2BA310DE-A362-469F-AA3B-8E175475A021}">
      <text>
        <r>
          <rPr>
            <b/>
            <sz val="9"/>
            <rFont val="Tahoma"/>
            <family val="2"/>
          </rPr>
          <t>Canalyst (DL):</t>
        </r>
        <r>
          <rPr>
            <sz val="9"/>
            <rFont val="Tahoma"/>
            <family val="2"/>
          </rPr>
          <t xml:space="preserve">
due to acquisition of 21CF and Hulu</t>
        </r>
      </text>
    </comment>
    <comment ref="AQ245" authorId="0" shapeId="0" xr:uid="{29D1C4B1-11D2-4332-9049-C6BF9F76394C}">
      <text>
        <r>
          <rPr>
            <b/>
            <sz val="9"/>
            <rFont val="Tahoma"/>
            <family val="2"/>
          </rPr>
          <t>Canalyst (DL):</t>
        </r>
        <r>
          <rPr>
            <sz val="9"/>
            <rFont val="Tahoma"/>
            <family val="2"/>
          </rPr>
          <t xml:space="preserve">
due to acquisition of 21CF and Hulu</t>
        </r>
      </text>
    </comment>
    <comment ref="AP246" authorId="0" shapeId="0" xr:uid="{48A435D2-04C9-4F1D-8CCF-DD78C75C34E8}">
      <text>
        <r>
          <rPr>
            <b/>
            <sz val="9"/>
            <rFont val="Tahoma"/>
            <family val="2"/>
          </rPr>
          <t>Canalyst (DL):</t>
        </r>
        <r>
          <rPr>
            <sz val="9"/>
            <rFont val="Tahoma"/>
            <family val="2"/>
          </rPr>
          <t xml:space="preserve">
due to acquisition of 21CF and Hulu</t>
        </r>
      </text>
    </comment>
    <comment ref="AQ246" authorId="0" shapeId="0" xr:uid="{F73FAC6E-BABA-42E8-B726-B93D30AD49B0}">
      <text>
        <r>
          <rPr>
            <b/>
            <sz val="9"/>
            <rFont val="Tahoma"/>
            <family val="2"/>
          </rPr>
          <t>Canalyst (DL):</t>
        </r>
        <r>
          <rPr>
            <sz val="9"/>
            <rFont val="Tahoma"/>
            <family val="2"/>
          </rPr>
          <t xml:space="preserve">
due to acquisition of 21CF and Hulu</t>
        </r>
      </text>
    </comment>
    <comment ref="AN249" authorId="0" shapeId="0" xr:uid="{D5FD4CCF-1AB0-41D7-8537-DEB2082CDB83}">
      <text>
        <r>
          <rPr>
            <b/>
            <sz val="9"/>
            <rFont val="Tahoma"/>
            <family val="2"/>
            <charset val="1"/>
          </rPr>
          <t>Canalyst (DL):</t>
        </r>
        <r>
          <rPr>
            <sz val="9"/>
            <rFont val="Tahoma"/>
            <family val="2"/>
            <charset val="1"/>
          </rPr>
          <t xml:space="preserve">
derived by annual figure and nine months figure in Q3 </t>
        </r>
      </text>
    </comment>
    <comment ref="AN250" authorId="0" shapeId="0" xr:uid="{05F5B3CF-F0F5-4E80-B2C4-9BC8E9298FBE}">
      <text>
        <r>
          <rPr>
            <b/>
            <sz val="9"/>
            <rFont val="Tahoma"/>
            <family val="2"/>
            <charset val="1"/>
          </rPr>
          <t>Canalyst (DL):</t>
        </r>
        <r>
          <rPr>
            <sz val="9"/>
            <rFont val="Tahoma"/>
            <family val="2"/>
            <charset val="1"/>
          </rPr>
          <t xml:space="preserve">
derived by annual figure and nine months figure in Q3 </t>
        </r>
      </text>
    </comment>
    <comment ref="AN252" authorId="0" shapeId="0" xr:uid="{F973F086-8871-45C7-80E5-13D3D829084B}">
      <text>
        <r>
          <rPr>
            <b/>
            <sz val="9"/>
            <rFont val="Tahoma"/>
            <family val="2"/>
            <charset val="1"/>
          </rPr>
          <t>Canalyst (DL):</t>
        </r>
        <r>
          <rPr>
            <sz val="9"/>
            <rFont val="Tahoma"/>
            <family val="2"/>
            <charset val="1"/>
          </rPr>
          <t xml:space="preserve">
derived by annual figure and nine months figure in Q3 </t>
        </r>
      </text>
    </comment>
    <comment ref="AN253" authorId="0" shapeId="0" xr:uid="{F29ECB0D-CBE4-4490-B532-47323C48AAE5}">
      <text>
        <r>
          <rPr>
            <b/>
            <sz val="9"/>
            <rFont val="Tahoma"/>
            <family val="2"/>
            <charset val="1"/>
          </rPr>
          <t>Canalyst (DL):</t>
        </r>
        <r>
          <rPr>
            <sz val="9"/>
            <rFont val="Tahoma"/>
            <family val="2"/>
            <charset val="1"/>
          </rPr>
          <t xml:space="preserve">
derived by annual figure and nine months figure in Q3 </t>
        </r>
      </text>
    </comment>
    <comment ref="AN254" authorId="0" shapeId="0" xr:uid="{E4C7124A-36AD-4A4D-A58F-605A4C56A43B}">
      <text>
        <r>
          <rPr>
            <b/>
            <sz val="9"/>
            <rFont val="Tahoma"/>
            <family val="2"/>
            <charset val="1"/>
          </rPr>
          <t>Canalyst (DL):</t>
        </r>
        <r>
          <rPr>
            <sz val="9"/>
            <rFont val="Tahoma"/>
            <family val="2"/>
            <charset val="1"/>
          </rPr>
          <t xml:space="preserve">
derived by annual figure and nine months figure in Q3 </t>
        </r>
      </text>
    </comment>
    <comment ref="AN255" authorId="0" shapeId="0" xr:uid="{72746029-3B2B-4E90-AFF6-7D9AF8E81874}">
      <text>
        <r>
          <rPr>
            <b/>
            <sz val="9"/>
            <rFont val="Tahoma"/>
            <family val="2"/>
            <charset val="1"/>
          </rPr>
          <t>Canalyst (DL):</t>
        </r>
        <r>
          <rPr>
            <sz val="9"/>
            <rFont val="Tahoma"/>
            <family val="2"/>
            <charset val="1"/>
          </rPr>
          <t xml:space="preserve">
derived by annual figure and nine months figure in Q3 </t>
        </r>
      </text>
    </comment>
    <comment ref="AL257" authorId="0" shapeId="0" xr:uid="{2BF3C0B0-9B5A-41C2-BBCA-A698FCE66812}">
      <text>
        <r>
          <rPr>
            <b/>
            <sz val="9"/>
            <rFont val="Tahoma"/>
            <family val="2"/>
          </rPr>
          <t>Canalyst (DL):</t>
        </r>
        <r>
          <rPr>
            <sz val="9"/>
            <rFont val="Tahoma"/>
            <family val="2"/>
          </rPr>
          <t xml:space="preserve">
Derived from nine-months data reported in Q3-2019 because Q1-2019 has no amortization happened as reported in Q1-2020</t>
        </r>
      </text>
    </comment>
    <comment ref="AN257" authorId="0" shapeId="0" xr:uid="{0D67D3F3-ACB2-4DAD-B90E-C1DAB10BF94F}">
      <text>
        <r>
          <rPr>
            <b/>
            <sz val="9"/>
            <rFont val="Tahoma"/>
            <family val="2"/>
            <charset val="1"/>
          </rPr>
          <t>Canalyst (DL):</t>
        </r>
        <r>
          <rPr>
            <sz val="9"/>
            <rFont val="Tahoma"/>
            <family val="2"/>
            <charset val="1"/>
          </rPr>
          <t xml:space="preserve">
derived by annual figure and nine months figure in Q3 </t>
        </r>
      </text>
    </comment>
    <comment ref="AP257" authorId="0" shapeId="0" xr:uid="{1791B957-5748-4FE8-B632-DF7158C6F099}">
      <text>
        <r>
          <rPr>
            <b/>
            <sz val="9"/>
            <rFont val="Tahoma"/>
            <family val="2"/>
          </rPr>
          <t>Canalyst (DL):</t>
        </r>
        <r>
          <rPr>
            <sz val="9"/>
            <rFont val="Tahoma"/>
            <family val="2"/>
          </rPr>
          <t xml:space="preserve">
reported in text</t>
        </r>
      </text>
    </comment>
    <comment ref="AL258" authorId="0" shapeId="0" xr:uid="{0FDB1983-920D-4C4F-99CF-27AD7CD62D15}">
      <text>
        <r>
          <rPr>
            <b/>
            <sz val="9"/>
            <rFont val="Tahoma"/>
            <family val="2"/>
          </rPr>
          <t>Canalyst (DL):</t>
        </r>
        <r>
          <rPr>
            <sz val="9"/>
            <rFont val="Tahoma"/>
            <family val="2"/>
          </rPr>
          <t xml:space="preserve">
Derived from nine-months data reported in Q3-2019 because Q1-2019 has no amortization happened as reported in Q1-2020</t>
        </r>
      </text>
    </comment>
    <comment ref="AN258" authorId="0" shapeId="0" xr:uid="{D00EA92F-5890-4D01-89B9-143D0DE0F7BA}">
      <text>
        <r>
          <rPr>
            <b/>
            <sz val="9"/>
            <rFont val="Tahoma"/>
            <family val="2"/>
            <charset val="1"/>
          </rPr>
          <t>Canalyst (DL):</t>
        </r>
        <r>
          <rPr>
            <sz val="9"/>
            <rFont val="Tahoma"/>
            <family val="2"/>
            <charset val="1"/>
          </rPr>
          <t xml:space="preserve">
derived by annual figure and nine months figure in Q3 </t>
        </r>
      </text>
    </comment>
    <comment ref="AP258" authorId="0" shapeId="0" xr:uid="{57D92365-B2F9-45BC-AA73-DC96A62455DF}">
      <text>
        <r>
          <rPr>
            <b/>
            <sz val="9"/>
            <rFont val="Tahoma"/>
            <family val="2"/>
          </rPr>
          <t>Canalyst (DL):</t>
        </r>
        <r>
          <rPr>
            <sz val="9"/>
            <rFont val="Tahoma"/>
            <family val="2"/>
          </rPr>
          <t xml:space="preserve">
reported in text</t>
        </r>
      </text>
    </comment>
    <comment ref="AL259" authorId="0" shapeId="0" xr:uid="{66E2F7E8-795D-44E6-903F-24818649AE7F}">
      <text>
        <r>
          <rPr>
            <b/>
            <sz val="9"/>
            <rFont val="Tahoma"/>
            <family val="2"/>
          </rPr>
          <t>Canalyst (DL):</t>
        </r>
        <r>
          <rPr>
            <sz val="9"/>
            <rFont val="Tahoma"/>
            <family val="2"/>
          </rPr>
          <t xml:space="preserve">
Derived from nine-months data reported in Q3-2019 because Q1-2019 has no amortization happened as reported in Q1-2020</t>
        </r>
      </text>
    </comment>
    <comment ref="AL260" authorId="0" shapeId="0" xr:uid="{657EB97D-5E55-4EA2-B5EB-76E82CA1386D}">
      <text>
        <r>
          <rPr>
            <b/>
            <sz val="9"/>
            <rFont val="Tahoma"/>
            <family val="2"/>
          </rPr>
          <t>Canalyst (DL):</t>
        </r>
        <r>
          <rPr>
            <sz val="9"/>
            <rFont val="Tahoma"/>
            <family val="2"/>
          </rPr>
          <t xml:space="preserve">
Derived from nine-months data reported in Q3-2019 because Q1-2019 has no amortization happened as reported in Q1-2020</t>
        </r>
      </text>
    </comment>
    <comment ref="AN260" authorId="0" shapeId="0" xr:uid="{97D3E6CB-B4D9-4CCB-A464-D5A96C8D55F1}">
      <text>
        <r>
          <rPr>
            <b/>
            <sz val="9"/>
            <rFont val="Tahoma"/>
            <family val="2"/>
            <charset val="1"/>
          </rPr>
          <t>Canalyst (DL):</t>
        </r>
        <r>
          <rPr>
            <sz val="9"/>
            <rFont val="Tahoma"/>
            <family val="2"/>
            <charset val="1"/>
          </rPr>
          <t xml:space="preserve">
derived by annual figure and nine months figure in Q3 </t>
        </r>
      </text>
    </comment>
    <comment ref="AL261" authorId="0" shapeId="0" xr:uid="{E03918F1-0AA1-425D-ACA8-71CA42152597}">
      <text>
        <r>
          <rPr>
            <b/>
            <sz val="9"/>
            <rFont val="Tahoma"/>
            <family val="2"/>
          </rPr>
          <t>Canalyst (DL):</t>
        </r>
        <r>
          <rPr>
            <sz val="9"/>
            <rFont val="Tahoma"/>
            <family val="2"/>
          </rPr>
          <t xml:space="preserve">
Derived from nine-months data reported in Q3-2019 because Q1-2019 has no amortization happened as reported in Q1-2020</t>
        </r>
      </text>
    </comment>
    <comment ref="AN261" authorId="0" shapeId="0" xr:uid="{40AE9E4C-66C2-42E9-8A4D-631F2C2040DC}">
      <text>
        <r>
          <rPr>
            <b/>
            <sz val="9"/>
            <rFont val="Tahoma"/>
            <family val="2"/>
            <charset val="1"/>
          </rPr>
          <t>Canalyst (DL):</t>
        </r>
        <r>
          <rPr>
            <sz val="9"/>
            <rFont val="Tahoma"/>
            <family val="2"/>
            <charset val="1"/>
          </rPr>
          <t xml:space="preserve">
derived by annual figure and nine months figure in Q3 </t>
        </r>
      </text>
    </comment>
    <comment ref="AL273" authorId="0" shapeId="0" xr:uid="{925107C4-D229-471C-826F-8856CE98C118}">
      <text>
        <r>
          <rPr>
            <b/>
            <sz val="9"/>
            <rFont val="Tahoma"/>
            <family val="2"/>
          </rPr>
          <t>Canalyst (DL):</t>
        </r>
        <r>
          <rPr>
            <sz val="9"/>
            <rFont val="Tahoma"/>
            <family val="2"/>
          </rPr>
          <t xml:space="preserve">
Prior re-segment number. It will be restated with FY2020</t>
        </r>
      </text>
    </comment>
    <comment ref="AL274" authorId="0" shapeId="0" xr:uid="{87521072-16DC-4672-9456-0ED21FEF8F93}">
      <text>
        <r>
          <rPr>
            <b/>
            <sz val="9"/>
            <rFont val="Tahoma"/>
            <family val="2"/>
          </rPr>
          <t>Canalyst (DL):</t>
        </r>
        <r>
          <rPr>
            <sz val="9"/>
            <rFont val="Tahoma"/>
            <family val="2"/>
          </rPr>
          <t xml:space="preserve">
Prior re-segment number. It will be restated with FY2020</t>
        </r>
      </text>
    </comment>
    <comment ref="AN278" authorId="0" shapeId="0" xr:uid="{72F7114C-8E64-477E-96C3-6F20EAFD5E72}">
      <text>
        <r>
          <rPr>
            <b/>
            <sz val="9"/>
            <rFont val="Tahoma"/>
            <family val="2"/>
            <charset val="1"/>
          </rPr>
          <t>Canalyst (DL):</t>
        </r>
        <r>
          <rPr>
            <sz val="9"/>
            <rFont val="Tahoma"/>
            <family val="2"/>
            <charset val="1"/>
          </rPr>
          <t xml:space="preserve">
segment numbers are restated by subtracting annual figures in 10-K and nine-months figures in Q3's 10-Q</t>
        </r>
      </text>
    </comment>
    <comment ref="AN279" authorId="0" shapeId="0" xr:uid="{C34C5C7F-31A7-4DEA-B891-C040C062E265}">
      <text>
        <r>
          <rPr>
            <b/>
            <sz val="9"/>
            <rFont val="Tahoma"/>
            <family val="2"/>
            <charset val="1"/>
          </rPr>
          <t>Canalyst (DL):</t>
        </r>
        <r>
          <rPr>
            <sz val="9"/>
            <rFont val="Tahoma"/>
            <family val="2"/>
            <charset val="1"/>
          </rPr>
          <t xml:space="preserve">
derived by annual figure and nine months figure in Q3 </t>
        </r>
      </text>
    </comment>
    <comment ref="AN280" authorId="0" shapeId="0" xr:uid="{B3B23897-DD99-4E12-9346-7A7E8885F9B8}">
      <text>
        <r>
          <rPr>
            <b/>
            <sz val="9"/>
            <rFont val="Tahoma"/>
            <family val="2"/>
            <charset val="1"/>
          </rPr>
          <t>Canalyst (DL):</t>
        </r>
        <r>
          <rPr>
            <sz val="9"/>
            <rFont val="Tahoma"/>
            <family val="2"/>
            <charset val="1"/>
          </rPr>
          <t xml:space="preserve">
derived by annual figure and nine months figure in Q3 </t>
        </r>
      </text>
    </comment>
    <comment ref="AN281" authorId="0" shapeId="0" xr:uid="{57369843-074F-497E-880C-36F87D1CD7A6}">
      <text>
        <r>
          <rPr>
            <b/>
            <sz val="9"/>
            <rFont val="Tahoma"/>
            <family val="2"/>
            <charset val="1"/>
          </rPr>
          <t>Canalyst (DL):</t>
        </r>
        <r>
          <rPr>
            <sz val="9"/>
            <rFont val="Tahoma"/>
            <family val="2"/>
            <charset val="1"/>
          </rPr>
          <t xml:space="preserve">
derived by annual figure and nine months figure in Q3 </t>
        </r>
      </text>
    </comment>
    <comment ref="AN282" authorId="0" shapeId="0" xr:uid="{39E9A4B0-CB2E-4BDE-A04F-D2D92CE83071}">
      <text>
        <r>
          <rPr>
            <b/>
            <sz val="9"/>
            <rFont val="Tahoma"/>
            <family val="2"/>
            <charset val="1"/>
          </rPr>
          <t>Canalyst (DL):</t>
        </r>
        <r>
          <rPr>
            <sz val="9"/>
            <rFont val="Tahoma"/>
            <family val="2"/>
            <charset val="1"/>
          </rPr>
          <t xml:space="preserve">
derived by annual figure and nine months figure in Q3 </t>
        </r>
      </text>
    </comment>
    <comment ref="AN285" authorId="0" shapeId="0" xr:uid="{468EB42C-30DD-4A5A-B701-9403D6B49AED}">
      <text>
        <r>
          <rPr>
            <b/>
            <sz val="9"/>
            <rFont val="Tahoma"/>
            <family val="2"/>
            <charset val="1"/>
          </rPr>
          <t>Canalyst (DL):</t>
        </r>
        <r>
          <rPr>
            <sz val="9"/>
            <rFont val="Tahoma"/>
            <family val="2"/>
            <charset val="1"/>
          </rPr>
          <t xml:space="preserve">
segment numbers are restated by subtracting annual figures in 10-K and nine-months figures in Q3's 10-Q</t>
        </r>
      </text>
    </comment>
    <comment ref="AN286" authorId="0" shapeId="0" xr:uid="{E47BB296-ABFE-4BAB-B318-6B2AEA9CCFAA}">
      <text>
        <r>
          <rPr>
            <b/>
            <sz val="9"/>
            <rFont val="Tahoma"/>
            <family val="2"/>
            <charset val="1"/>
          </rPr>
          <t>Canalyst (DL):</t>
        </r>
        <r>
          <rPr>
            <sz val="9"/>
            <rFont val="Tahoma"/>
            <family val="2"/>
            <charset val="1"/>
          </rPr>
          <t xml:space="preserve">
segment numbers are restated by subtracting annual figures in 10-K and nine-months figures in Q3's 10-Q</t>
        </r>
      </text>
    </comment>
    <comment ref="AN288" authorId="0" shapeId="0" xr:uid="{9AF9CE11-8216-480A-BEBD-E9795AB64D74}">
      <text>
        <r>
          <rPr>
            <b/>
            <sz val="9"/>
            <rFont val="Tahoma"/>
            <family val="2"/>
            <charset val="1"/>
          </rPr>
          <t>Canalyst (DL):</t>
        </r>
        <r>
          <rPr>
            <sz val="9"/>
            <rFont val="Tahoma"/>
            <family val="2"/>
            <charset val="1"/>
          </rPr>
          <t xml:space="preserve">
segment numbers are restated by subtracting annual figures in 10-K and nine-months figures in Q3's 10-Q</t>
        </r>
      </text>
    </comment>
    <comment ref="AN289" authorId="0" shapeId="0" xr:uid="{20CF2032-8D9B-49F0-B29E-9FD23A452729}">
      <text>
        <r>
          <rPr>
            <b/>
            <sz val="9"/>
            <rFont val="Tahoma"/>
            <family val="2"/>
            <charset val="1"/>
          </rPr>
          <t>Canalyst (DL):</t>
        </r>
        <r>
          <rPr>
            <sz val="9"/>
            <rFont val="Tahoma"/>
            <family val="2"/>
            <charset val="1"/>
          </rPr>
          <t xml:space="preserve">
segment numbers are restated by subtracting annual figures in 10-K and nine-months figures in Q3's 10-Q</t>
        </r>
      </text>
    </comment>
    <comment ref="AN292" authorId="0" shapeId="0" xr:uid="{4596770B-5FC4-43CD-994E-A0AC8060FB75}">
      <text>
        <r>
          <rPr>
            <b/>
            <sz val="9"/>
            <rFont val="Tahoma"/>
            <family val="2"/>
            <charset val="1"/>
          </rPr>
          <t>Canalyst (DL):</t>
        </r>
        <r>
          <rPr>
            <sz val="9"/>
            <rFont val="Tahoma"/>
            <family val="2"/>
            <charset val="1"/>
          </rPr>
          <t xml:space="preserve">
derived by annual figure and nine months figure in Q3 </t>
        </r>
      </text>
    </comment>
    <comment ref="AN293" authorId="0" shapeId="0" xr:uid="{C16C43BB-6665-4375-ABBF-3036A6A57D1D}">
      <text>
        <r>
          <rPr>
            <b/>
            <sz val="9"/>
            <rFont val="Tahoma"/>
            <family val="2"/>
            <charset val="1"/>
          </rPr>
          <t>Canalyst (DL):</t>
        </r>
        <r>
          <rPr>
            <sz val="9"/>
            <rFont val="Tahoma"/>
            <family val="2"/>
            <charset val="1"/>
          </rPr>
          <t xml:space="preserve">
derived by annual figure and nine months figure in Q3 </t>
        </r>
      </text>
    </comment>
    <comment ref="AN294" authorId="0" shapeId="0" xr:uid="{848B3550-3A27-4B19-8FC9-E605C7D5FA3F}">
      <text>
        <r>
          <rPr>
            <b/>
            <sz val="9"/>
            <rFont val="Tahoma"/>
            <family val="2"/>
            <charset val="1"/>
          </rPr>
          <t>Canalyst (DL):</t>
        </r>
        <r>
          <rPr>
            <sz val="9"/>
            <rFont val="Tahoma"/>
            <family val="2"/>
            <charset val="1"/>
          </rPr>
          <t xml:space="preserve">
derived by annual figure and nine months figure in Q3 </t>
        </r>
      </text>
    </comment>
    <comment ref="AN297" authorId="0" shapeId="0" xr:uid="{816731C1-9616-482A-A9B7-D39B31C15530}">
      <text>
        <r>
          <rPr>
            <b/>
            <sz val="9"/>
            <rFont val="Tahoma"/>
            <family val="2"/>
            <charset val="1"/>
          </rPr>
          <t>Canalyst (DL):</t>
        </r>
        <r>
          <rPr>
            <sz val="9"/>
            <rFont val="Tahoma"/>
            <family val="2"/>
            <charset val="1"/>
          </rPr>
          <t xml:space="preserve">
segment numbers are restated by subtracting annual figures in 10-K and nine-months figures in Q3's 10-Q</t>
        </r>
      </text>
    </comment>
    <comment ref="AN303" authorId="0" shapeId="0" xr:uid="{4141E47A-96FF-40CA-99DB-E3C722CE7E11}">
      <text>
        <r>
          <rPr>
            <b/>
            <sz val="9"/>
            <rFont val="Tahoma"/>
            <family val="2"/>
            <charset val="1"/>
          </rPr>
          <t>Canalyst (DL):</t>
        </r>
        <r>
          <rPr>
            <sz val="9"/>
            <rFont val="Tahoma"/>
            <family val="2"/>
            <charset val="1"/>
          </rPr>
          <t xml:space="preserve">
derived by annual figure and nine months figure in Q3 </t>
        </r>
      </text>
    </comment>
    <comment ref="AN304" authorId="0" shapeId="0" xr:uid="{D67C966B-6CEF-4DB0-B3BA-4FA0A7B9F782}">
      <text>
        <r>
          <rPr>
            <b/>
            <sz val="9"/>
            <rFont val="Tahoma"/>
            <family val="2"/>
            <charset val="1"/>
          </rPr>
          <t>Canalyst (DL):</t>
        </r>
        <r>
          <rPr>
            <sz val="9"/>
            <rFont val="Tahoma"/>
            <family val="2"/>
            <charset val="1"/>
          </rPr>
          <t xml:space="preserve">
derived by annual figure and nine months figure in Q3 </t>
        </r>
      </text>
    </comment>
    <comment ref="AN308" authorId="0" shapeId="0" xr:uid="{23DCD2D1-5E47-4971-A46B-DD3745D36840}">
      <text>
        <r>
          <rPr>
            <b/>
            <sz val="9"/>
            <rFont val="Tahoma"/>
            <family val="2"/>
            <charset val="1"/>
          </rPr>
          <t>Canalyst (DL):</t>
        </r>
        <r>
          <rPr>
            <sz val="9"/>
            <rFont val="Tahoma"/>
            <family val="2"/>
            <charset val="1"/>
          </rPr>
          <t xml:space="preserve">
derived by annual figure and nine months figure in Q3 </t>
        </r>
      </text>
    </comment>
    <comment ref="A313" authorId="0" shapeId="0" xr:uid="{ACA2B419-D1F1-4170-877D-9CFCA22B9B3E}">
      <text>
        <r>
          <rPr>
            <b/>
            <sz val="9"/>
            <rFont val="Tahoma"/>
            <family val="2"/>
          </rPr>
          <t>Canalyst (DL):</t>
        </r>
        <r>
          <rPr>
            <sz val="9"/>
            <rFont val="Tahoma"/>
            <family val="2"/>
          </rPr>
          <t xml:space="preserve">
Derived by assuming remained amortization attributes to Parks, Experiences &amp; Consumer Products segment
</t>
        </r>
      </text>
    </comment>
    <comment ref="AL313" authorId="0" shapeId="0" xr:uid="{930B2742-40D7-4824-B16C-5EFFA4AB3D5F}">
      <text>
        <r>
          <rPr>
            <b/>
            <sz val="9"/>
            <rFont val="Tahoma"/>
            <family val="2"/>
          </rPr>
          <t>Canalyst (DL):</t>
        </r>
        <r>
          <rPr>
            <sz val="9"/>
            <rFont val="Tahoma"/>
            <family val="2"/>
          </rPr>
          <t xml:space="preserve">
Derived by assuming remained amortization attributes to Parks, Experiences &amp; Consumer Products segment
</t>
        </r>
      </text>
    </comment>
    <comment ref="AM313" authorId="0" shapeId="0" xr:uid="{DF4118C3-1DE9-43BB-8D66-A9144058C90F}">
      <text>
        <r>
          <rPr>
            <b/>
            <sz val="9"/>
            <rFont val="Tahoma"/>
            <family val="2"/>
          </rPr>
          <t>Canalyst (DL):</t>
        </r>
        <r>
          <rPr>
            <sz val="9"/>
            <rFont val="Tahoma"/>
            <family val="2"/>
          </rPr>
          <t xml:space="preserve">
Derived by assuming remained amortization attributes to Parks, Experiences &amp; Consumer Products segment
</t>
        </r>
      </text>
    </comment>
    <comment ref="AN313" authorId="0" shapeId="0" xr:uid="{CF53A9B3-1D5F-4838-8DF0-5AEC8BA884EE}">
      <text>
        <r>
          <rPr>
            <b/>
            <sz val="9"/>
            <rFont val="Tahoma"/>
            <family val="2"/>
          </rPr>
          <t>Canalyst (DL):</t>
        </r>
        <r>
          <rPr>
            <sz val="9"/>
            <rFont val="Tahoma"/>
            <family val="2"/>
          </rPr>
          <t xml:space="preserve">
Derived by assuming remained amortization attributes to Parks, Experiences &amp; Consumer Products segment
</t>
        </r>
      </text>
    </comment>
    <comment ref="AO313" authorId="0" shapeId="0" xr:uid="{C09642EB-AFD6-4255-9BF0-161A66D02DD5}">
      <text>
        <r>
          <rPr>
            <b/>
            <sz val="9"/>
            <rFont val="Tahoma"/>
            <family val="2"/>
          </rPr>
          <t>Canalyst (DL):</t>
        </r>
        <r>
          <rPr>
            <sz val="9"/>
            <rFont val="Tahoma"/>
            <family val="2"/>
          </rPr>
          <t xml:space="preserve">
Derived by assuming remained amortization attributes to Parks, Experiences &amp; Consumer Products segment
</t>
        </r>
      </text>
    </comment>
    <comment ref="AP313" authorId="0" shapeId="0" xr:uid="{6CF809FE-409F-44A0-BC82-5DD58DF50F1F}">
      <text>
        <r>
          <rPr>
            <b/>
            <sz val="9"/>
            <rFont val="Tahoma"/>
            <family val="2"/>
          </rPr>
          <t>Canalyst (DL):</t>
        </r>
        <r>
          <rPr>
            <sz val="9"/>
            <rFont val="Tahoma"/>
            <family val="2"/>
          </rPr>
          <t xml:space="preserve">
Derived by assuming remained amortization attributes to Parks, Experiences &amp; Consumer Products segment
</t>
        </r>
      </text>
    </comment>
    <comment ref="A314" authorId="0" shapeId="0" xr:uid="{873213A3-E327-4272-A93C-1E9846B752FB}">
      <text>
        <r>
          <rPr>
            <b/>
            <sz val="9"/>
            <rFont val="Tahoma"/>
            <family val="2"/>
          </rPr>
          <t>Canalyst (DL):</t>
        </r>
        <r>
          <rPr>
            <sz val="9"/>
            <rFont val="Tahoma"/>
            <family val="2"/>
          </rPr>
          <t xml:space="preserve">
Derived by assuming remained amortization attributes to Parks, Experiences &amp; Consumer Products segment
</t>
        </r>
      </text>
    </comment>
    <comment ref="AL314" authorId="0" shapeId="0" xr:uid="{F3145A48-250B-4D11-8D30-694247547B74}">
      <text>
        <r>
          <rPr>
            <b/>
            <sz val="9"/>
            <rFont val="Tahoma"/>
            <family val="2"/>
          </rPr>
          <t>Canalyst (DL):</t>
        </r>
        <r>
          <rPr>
            <sz val="9"/>
            <rFont val="Tahoma"/>
            <family val="2"/>
          </rPr>
          <t xml:space="preserve">
Derived by assuming remained amortization attributes to Parks, Experiences &amp; Consumer Products segment
</t>
        </r>
      </text>
    </comment>
    <comment ref="AM314" authorId="0" shapeId="0" xr:uid="{9A22AB8E-AC76-4FB5-91F2-83E4258588C3}">
      <text>
        <r>
          <rPr>
            <b/>
            <sz val="9"/>
            <rFont val="Tahoma"/>
            <family val="2"/>
          </rPr>
          <t>Canalyst (DL):</t>
        </r>
        <r>
          <rPr>
            <sz val="9"/>
            <rFont val="Tahoma"/>
            <family val="2"/>
          </rPr>
          <t xml:space="preserve">
Derived by assuming remained amortization attributes to Parks, Experiences &amp; Consumer Products segment
</t>
        </r>
      </text>
    </comment>
    <comment ref="AN314" authorId="0" shapeId="0" xr:uid="{4C41614E-E944-48CF-8161-9BB07CB50C0F}">
      <text>
        <r>
          <rPr>
            <b/>
            <sz val="9"/>
            <rFont val="Tahoma"/>
            <family val="2"/>
          </rPr>
          <t>Canalyst (DL):</t>
        </r>
        <r>
          <rPr>
            <sz val="9"/>
            <rFont val="Tahoma"/>
            <family val="2"/>
          </rPr>
          <t xml:space="preserve">
Derived by assuming remained amortization attributes to Parks, Experiences &amp; Consumer Products segment
</t>
        </r>
      </text>
    </comment>
    <comment ref="AO314" authorId="0" shapeId="0" xr:uid="{2D818177-BBE6-4DA3-9829-DC02F10D8233}">
      <text>
        <r>
          <rPr>
            <b/>
            <sz val="9"/>
            <rFont val="Tahoma"/>
            <family val="2"/>
          </rPr>
          <t>Canalyst (DL):</t>
        </r>
        <r>
          <rPr>
            <sz val="9"/>
            <rFont val="Tahoma"/>
            <family val="2"/>
          </rPr>
          <t xml:space="preserve">
Derived by assuming remained amortization attributes to Parks, Experiences &amp; Consumer Products segment
</t>
        </r>
      </text>
    </comment>
    <comment ref="AP314" authorId="0" shapeId="0" xr:uid="{12567B1F-EB14-4B7E-AD19-9DDCF139A3A5}">
      <text>
        <r>
          <rPr>
            <b/>
            <sz val="9"/>
            <rFont val="Tahoma"/>
            <family val="2"/>
          </rPr>
          <t>Canalyst (DL):</t>
        </r>
        <r>
          <rPr>
            <sz val="9"/>
            <rFont val="Tahoma"/>
            <family val="2"/>
          </rPr>
          <t xml:space="preserve">
Derived by assuming remained amortization attributes to Parks, Experiences &amp; Consumer Products segment
</t>
        </r>
      </text>
    </comment>
    <comment ref="A315" authorId="0" shapeId="0" xr:uid="{F54599BD-4133-4C14-9C40-4F604396A0CA}">
      <text>
        <r>
          <rPr>
            <b/>
            <sz val="9"/>
            <rFont val="Tahoma"/>
            <family val="2"/>
          </rPr>
          <t>Canalyst (DL):</t>
        </r>
        <r>
          <rPr>
            <sz val="9"/>
            <rFont val="Tahoma"/>
            <family val="2"/>
          </rPr>
          <t xml:space="preserve">
Derived by assuming remained amortization attributes to Parks, Experiences &amp; Consumer Products segment
</t>
        </r>
      </text>
    </comment>
    <comment ref="AL315" authorId="0" shapeId="0" xr:uid="{B618015C-3544-45E2-85AB-47100CD04F64}">
      <text>
        <r>
          <rPr>
            <b/>
            <sz val="9"/>
            <rFont val="Tahoma"/>
            <family val="2"/>
          </rPr>
          <t>Canalyst (DL):</t>
        </r>
        <r>
          <rPr>
            <sz val="9"/>
            <rFont val="Tahoma"/>
            <family val="2"/>
          </rPr>
          <t xml:space="preserve">
Derived by assuming remained amortization attributes to Parks, Experiences &amp; Consumer Products segment
</t>
        </r>
      </text>
    </comment>
    <comment ref="AM315" authorId="0" shapeId="0" xr:uid="{2240D47E-895B-41F3-97A5-390E592B6A28}">
      <text>
        <r>
          <rPr>
            <b/>
            <sz val="9"/>
            <rFont val="Tahoma"/>
            <family val="2"/>
          </rPr>
          <t>Canalyst (DL):</t>
        </r>
        <r>
          <rPr>
            <sz val="9"/>
            <rFont val="Tahoma"/>
            <family val="2"/>
          </rPr>
          <t xml:space="preserve">
Derived by assuming remained amortization attributes to Parks, Experiences &amp; Consumer Products segment
</t>
        </r>
      </text>
    </comment>
    <comment ref="AN315" authorId="0" shapeId="0" xr:uid="{0855181D-5B06-4A4A-8F1B-A48CA55B4C13}">
      <text>
        <r>
          <rPr>
            <b/>
            <sz val="9"/>
            <rFont val="Tahoma"/>
            <family val="2"/>
          </rPr>
          <t>Canalyst (DL):</t>
        </r>
        <r>
          <rPr>
            <sz val="9"/>
            <rFont val="Tahoma"/>
            <family val="2"/>
          </rPr>
          <t xml:space="preserve">
Derived by assuming remained amortization attributes to Parks, Experiences &amp; Consumer Products segment
</t>
        </r>
      </text>
    </comment>
    <comment ref="AO315" authorId="0" shapeId="0" xr:uid="{ADE57D46-255B-40F4-93DF-6C2384CD9337}">
      <text>
        <r>
          <rPr>
            <b/>
            <sz val="9"/>
            <rFont val="Tahoma"/>
            <family val="2"/>
          </rPr>
          <t>Canalyst (DL):</t>
        </r>
        <r>
          <rPr>
            <sz val="9"/>
            <rFont val="Tahoma"/>
            <family val="2"/>
          </rPr>
          <t xml:space="preserve">
Derived by assuming remained amortization attributes to Parks, Experiences &amp; Consumer Products segment
</t>
        </r>
      </text>
    </comment>
    <comment ref="AP315" authorId="0" shapeId="0" xr:uid="{896C3F10-1B78-4E25-A61A-0670A1A0F021}">
      <text>
        <r>
          <rPr>
            <b/>
            <sz val="9"/>
            <rFont val="Tahoma"/>
            <family val="2"/>
          </rPr>
          <t>Canalyst (DL):</t>
        </r>
        <r>
          <rPr>
            <sz val="9"/>
            <rFont val="Tahoma"/>
            <family val="2"/>
          </rPr>
          <t xml:space="preserve">
Derived by assuming remained amortization attributes to Parks, Experiences &amp; Consumer Products segment
</t>
        </r>
      </text>
    </comment>
    <comment ref="A316" authorId="0" shapeId="0" xr:uid="{4738B3C7-594B-4CBA-BCE1-CF5A5B104AD5}">
      <text>
        <r>
          <rPr>
            <b/>
            <sz val="9"/>
            <rFont val="Tahoma"/>
            <family val="2"/>
          </rPr>
          <t>Canalyst (DL):</t>
        </r>
        <r>
          <rPr>
            <sz val="9"/>
            <rFont val="Tahoma"/>
            <family val="2"/>
          </rPr>
          <t xml:space="preserve">
Derived by assuming remained charges attributes to Parks, Experiences &amp; Consumer Products segment
</t>
        </r>
      </text>
    </comment>
    <comment ref="AL316" authorId="0" shapeId="0" xr:uid="{F6C331B9-31BF-4673-BC0B-CAEEA1522A80}">
      <text>
        <r>
          <rPr>
            <b/>
            <sz val="9"/>
            <rFont val="Tahoma"/>
            <family val="2"/>
          </rPr>
          <t>Canalyst (DL):</t>
        </r>
        <r>
          <rPr>
            <sz val="9"/>
            <rFont val="Tahoma"/>
            <family val="2"/>
          </rPr>
          <t xml:space="preserve">
Derived by assuming remained charges attributes to Parks, Experiences &amp; Consumer Products segment
</t>
        </r>
      </text>
    </comment>
    <comment ref="AM316" authorId="0" shapeId="0" xr:uid="{CA881D85-B88E-4542-B741-877565764314}">
      <text>
        <r>
          <rPr>
            <b/>
            <sz val="9"/>
            <rFont val="Tahoma"/>
            <family val="2"/>
          </rPr>
          <t>Canalyst (DL):</t>
        </r>
        <r>
          <rPr>
            <sz val="9"/>
            <rFont val="Tahoma"/>
            <family val="2"/>
          </rPr>
          <t xml:space="preserve">
Derived by assuming remained charges attributes to Parks, Experiences &amp; Consumer Products segment
</t>
        </r>
      </text>
    </comment>
    <comment ref="AN316" authorId="0" shapeId="0" xr:uid="{0DBBE695-8E89-4132-9D96-931A22726D98}">
      <text>
        <r>
          <rPr>
            <b/>
            <sz val="9"/>
            <rFont val="Tahoma"/>
            <family val="2"/>
          </rPr>
          <t>Canalyst (DL):</t>
        </r>
        <r>
          <rPr>
            <sz val="9"/>
            <rFont val="Tahoma"/>
            <family val="2"/>
          </rPr>
          <t xml:space="preserve">
Derived by assuming remained charges attributes to Parks, Experiences &amp; Consumer Products segment
</t>
        </r>
      </text>
    </comment>
    <comment ref="AO316" authorId="0" shapeId="0" xr:uid="{484EBC70-A62D-43D8-8A6B-A5285D7ABE8B}">
      <text>
        <r>
          <rPr>
            <b/>
            <sz val="9"/>
            <rFont val="Tahoma"/>
            <family val="2"/>
          </rPr>
          <t>Canalyst (DL):</t>
        </r>
        <r>
          <rPr>
            <sz val="9"/>
            <rFont val="Tahoma"/>
            <family val="2"/>
          </rPr>
          <t xml:space="preserve">
Derived by assuming remained charges attributes to Parks, Experiences &amp; Consumer Products segment
</t>
        </r>
      </text>
    </comment>
    <comment ref="AP316" authorId="0" shapeId="0" xr:uid="{71C606F3-1E5F-4091-88DA-F2FCA2696364}">
      <text>
        <r>
          <rPr>
            <b/>
            <sz val="9"/>
            <rFont val="Tahoma"/>
            <family val="2"/>
          </rPr>
          <t>Canalyst (DL):</t>
        </r>
        <r>
          <rPr>
            <sz val="9"/>
            <rFont val="Tahoma"/>
            <family val="2"/>
          </rPr>
          <t xml:space="preserve">
Derived by assuming remained charges attributes to Parks, Experiences &amp; Consumer Products segment
</t>
        </r>
      </text>
    </comment>
    <comment ref="AL328" authorId="0" shapeId="0" xr:uid="{0771A8D6-9133-4E7E-8132-4A21438E2742}">
      <text>
        <r>
          <rPr>
            <b/>
            <sz val="9"/>
            <rFont val="Tahoma"/>
            <family val="2"/>
          </rPr>
          <t>Canalyst (DL):</t>
        </r>
        <r>
          <rPr>
            <sz val="9"/>
            <rFont val="Tahoma"/>
            <family val="2"/>
          </rPr>
          <t xml:space="preserve">
Prior re-segment number. It will be restated with FY2020</t>
        </r>
      </text>
    </comment>
    <comment ref="AL329" authorId="0" shapeId="0" xr:uid="{3EE8C3C6-4E8A-4CD5-87C2-2584F267FB95}">
      <text>
        <r>
          <rPr>
            <b/>
            <sz val="9"/>
            <rFont val="Tahoma"/>
            <family val="2"/>
          </rPr>
          <t>Canalyst (DL):</t>
        </r>
        <r>
          <rPr>
            <sz val="9"/>
            <rFont val="Tahoma"/>
            <family val="2"/>
          </rPr>
          <t xml:space="preserve">
Prior re-segment number. It will be restated with FY2020</t>
        </r>
      </text>
    </comment>
    <comment ref="AN333" authorId="0" shapeId="0" xr:uid="{1C981187-7413-457F-AE0F-DDACEDF1EA71}">
      <text>
        <r>
          <rPr>
            <b/>
            <sz val="9"/>
            <rFont val="Tahoma"/>
            <family val="2"/>
            <charset val="1"/>
          </rPr>
          <t>Canalyst (DL):</t>
        </r>
        <r>
          <rPr>
            <sz val="9"/>
            <rFont val="Tahoma"/>
            <family val="2"/>
            <charset val="1"/>
          </rPr>
          <t xml:space="preserve">
Segment numbers are restated by subtracting annual figures in 10-K and nine-months figures in Q3 10-Q</t>
        </r>
      </text>
    </comment>
    <comment ref="AP335" authorId="5" shapeId="0" xr:uid="{E505067D-92F7-45D8-A4EB-9EF771C6FF8A}">
      <text>
        <r>
          <rPr>
            <b/>
            <sz val="9"/>
            <rFont val="Tahoma"/>
            <family val="2"/>
          </rPr>
          <t>Canalyst (PA):</t>
        </r>
        <r>
          <rPr>
            <sz val="9"/>
            <rFont val="Tahoma"/>
            <family val="2"/>
          </rPr>
          <t xml:space="preserve">
Retail and wholesale sales of merchandise, food and beverage</t>
        </r>
      </text>
    </comment>
    <comment ref="AN336" authorId="0" shapeId="0" xr:uid="{FF0D0EF6-67E8-4F98-93EE-7E7FEA1AE8B2}">
      <text>
        <r>
          <rPr>
            <b/>
            <sz val="9"/>
            <rFont val="Tahoma"/>
            <family val="2"/>
            <charset val="1"/>
          </rPr>
          <t>Canalyst (DL):</t>
        </r>
        <r>
          <rPr>
            <sz val="9"/>
            <rFont val="Tahoma"/>
            <family val="2"/>
            <charset val="1"/>
          </rPr>
          <t xml:space="preserve">
derived by annual figure and nine months figure in Q3 </t>
        </r>
      </text>
    </comment>
    <comment ref="AN339" authorId="0" shapeId="0" xr:uid="{70329E1D-598C-41C2-A170-3EE540688C19}">
      <text>
        <r>
          <rPr>
            <b/>
            <sz val="9"/>
            <rFont val="Tahoma"/>
            <family val="2"/>
            <charset val="1"/>
          </rPr>
          <t>Canalyst (DL):</t>
        </r>
        <r>
          <rPr>
            <sz val="9"/>
            <rFont val="Tahoma"/>
            <family val="2"/>
            <charset val="1"/>
          </rPr>
          <t xml:space="preserve">
derived by annual figure and nine months figure in Q3 </t>
        </r>
      </text>
    </comment>
    <comment ref="AN340" authorId="0" shapeId="0" xr:uid="{8396CD74-3D37-46FB-A7ED-4F69C15FF819}">
      <text>
        <r>
          <rPr>
            <b/>
            <sz val="9"/>
            <rFont val="Tahoma"/>
            <family val="2"/>
            <charset val="1"/>
          </rPr>
          <t>Canalyst (DL):</t>
        </r>
        <r>
          <rPr>
            <sz val="9"/>
            <rFont val="Tahoma"/>
            <family val="2"/>
            <charset val="1"/>
          </rPr>
          <t xml:space="preserve">
derived by annual figure and nine months figure in Q3 </t>
        </r>
      </text>
    </comment>
    <comment ref="AN343" authorId="0" shapeId="0" xr:uid="{11A521B2-8914-4CB2-A939-01A1AB9E5C71}">
      <text>
        <r>
          <rPr>
            <b/>
            <sz val="9"/>
            <rFont val="Tahoma"/>
            <family val="2"/>
            <charset val="1"/>
          </rPr>
          <t>Canalyst (DL):</t>
        </r>
        <r>
          <rPr>
            <sz val="9"/>
            <rFont val="Tahoma"/>
            <family val="2"/>
            <charset val="1"/>
          </rPr>
          <t xml:space="preserve">
Segment numbers are restated by subtracting annual figures in 10-K and nine-months figures in Q3 10-Q</t>
        </r>
      </text>
    </comment>
    <comment ref="AN344" authorId="0" shapeId="0" xr:uid="{EEB86E1D-A4A4-44F4-97F0-1B91668DE7AE}">
      <text>
        <r>
          <rPr>
            <b/>
            <sz val="9"/>
            <rFont val="Tahoma"/>
            <family val="2"/>
            <charset val="1"/>
          </rPr>
          <t>Canalyst (DL):</t>
        </r>
        <r>
          <rPr>
            <sz val="9"/>
            <rFont val="Tahoma"/>
            <family val="2"/>
            <charset val="1"/>
          </rPr>
          <t xml:space="preserve">
derived by annual figure and nine months figure in Q3 </t>
        </r>
      </text>
    </comment>
    <comment ref="AN345" authorId="0" shapeId="0" xr:uid="{188E8603-2F04-41FB-B478-B822A0F32A26}">
      <text>
        <r>
          <rPr>
            <b/>
            <sz val="9"/>
            <rFont val="Tahoma"/>
            <family val="2"/>
            <charset val="1"/>
          </rPr>
          <t>Canalyst (DL):</t>
        </r>
        <r>
          <rPr>
            <sz val="9"/>
            <rFont val="Tahoma"/>
            <family val="2"/>
            <charset val="1"/>
          </rPr>
          <t xml:space="preserve">
derived by annual figure and nine months figure in Q3 </t>
        </r>
      </text>
    </comment>
    <comment ref="AN347" authorId="0" shapeId="0" xr:uid="{C3524094-A3AC-4BDB-9260-7BCD9E40D230}">
      <text>
        <r>
          <rPr>
            <b/>
            <sz val="9"/>
            <rFont val="Tahoma"/>
            <family val="2"/>
            <charset val="1"/>
          </rPr>
          <t>Canalyst (DL):</t>
        </r>
        <r>
          <rPr>
            <sz val="9"/>
            <rFont val="Tahoma"/>
            <family val="2"/>
            <charset val="1"/>
          </rPr>
          <t xml:space="preserve">
derived by annual figure and nine months figure in Q3 </t>
        </r>
      </text>
    </comment>
    <comment ref="AN348" authorId="0" shapeId="0" xr:uid="{A1549C87-EB1A-4628-B893-8F7C2A179F8F}">
      <text>
        <r>
          <rPr>
            <b/>
            <sz val="9"/>
            <rFont val="Tahoma"/>
            <family val="2"/>
            <charset val="1"/>
          </rPr>
          <t>Canalyst (DL):</t>
        </r>
        <r>
          <rPr>
            <sz val="9"/>
            <rFont val="Tahoma"/>
            <family val="2"/>
            <charset val="1"/>
          </rPr>
          <t xml:space="preserve">
derived by annual figure and nine months figure in Q3 </t>
        </r>
      </text>
    </comment>
    <comment ref="AN351" authorId="0" shapeId="0" xr:uid="{72D3AC01-57BA-4C93-93D2-A7EFE0CA2E56}">
      <text>
        <r>
          <rPr>
            <b/>
            <sz val="9"/>
            <rFont val="Tahoma"/>
            <family val="2"/>
            <charset val="1"/>
          </rPr>
          <t>Canalyst (DL):</t>
        </r>
        <r>
          <rPr>
            <sz val="9"/>
            <rFont val="Tahoma"/>
            <family val="2"/>
            <charset val="1"/>
          </rPr>
          <t xml:space="preserve">
Segment numbers are restated by subtracting annual figures in 10-K and nine-months figures in Q3 10-Q</t>
        </r>
      </text>
    </comment>
    <comment ref="AN352" authorId="0" shapeId="0" xr:uid="{DA57006D-137A-4923-A11D-F4B68EE90197}">
      <text>
        <r>
          <rPr>
            <b/>
            <sz val="9"/>
            <rFont val="Tahoma"/>
            <family val="2"/>
            <charset val="1"/>
          </rPr>
          <t>Canalyst (DL):</t>
        </r>
        <r>
          <rPr>
            <sz val="9"/>
            <rFont val="Tahoma"/>
            <family val="2"/>
            <charset val="1"/>
          </rPr>
          <t xml:space="preserve">
derived by annual figure and nine months figure in Q3 </t>
        </r>
      </text>
    </comment>
    <comment ref="AN353" authorId="0" shapeId="0" xr:uid="{C8759F0B-248A-4A28-922D-4712D1EBD2F7}">
      <text>
        <r>
          <rPr>
            <b/>
            <sz val="9"/>
            <rFont val="Tahoma"/>
            <family val="2"/>
            <charset val="1"/>
          </rPr>
          <t>Canalyst (DL):</t>
        </r>
        <r>
          <rPr>
            <sz val="9"/>
            <rFont val="Tahoma"/>
            <family val="2"/>
            <charset val="1"/>
          </rPr>
          <t xml:space="preserve">
derived by annual figure and nine months figure in Q3 </t>
        </r>
      </text>
    </comment>
    <comment ref="AN379" authorId="0" shapeId="0" xr:uid="{6E3ECD81-ED43-432C-A450-CDEB3F7226BF}">
      <text>
        <r>
          <rPr>
            <b/>
            <sz val="9"/>
            <rFont val="Tahoma"/>
            <family val="2"/>
            <charset val="1"/>
          </rPr>
          <t>Canalyst (DL):</t>
        </r>
        <r>
          <rPr>
            <sz val="9"/>
            <rFont val="Tahoma"/>
            <family val="2"/>
            <charset val="1"/>
          </rPr>
          <t xml:space="preserve">
segment numbers are restated by subtracting annual figures in 10-K and nine-months figures in Q3's 10-Q</t>
        </r>
      </text>
    </comment>
    <comment ref="AP380" authorId="0" shapeId="0" xr:uid="{89113384-E7DE-4C0E-AAD2-A4EFE867AB3F}">
      <text>
        <r>
          <rPr>
            <b/>
            <sz val="9"/>
            <rFont val="Tahoma"/>
            <family val="2"/>
          </rPr>
          <t>Canalyst (DL):</t>
        </r>
        <r>
          <rPr>
            <sz val="9"/>
            <rFont val="Tahoma"/>
            <family val="2"/>
          </rPr>
          <t xml:space="preserve">
due to acquisition of 21CF and Hulu</t>
        </r>
      </text>
    </comment>
    <comment ref="AN387" authorId="0" shapeId="0" xr:uid="{04FFB836-F46A-456E-811A-7CB73A1C8302}">
      <text>
        <r>
          <rPr>
            <b/>
            <sz val="9"/>
            <rFont val="Tahoma"/>
            <family val="2"/>
            <charset val="1"/>
          </rPr>
          <t>Canalyst (DL):</t>
        </r>
        <r>
          <rPr>
            <sz val="9"/>
            <rFont val="Tahoma"/>
            <family val="2"/>
            <charset val="1"/>
          </rPr>
          <t xml:space="preserve">
derived by annual figure and nine months figure in Q3 </t>
        </r>
      </text>
    </comment>
    <comment ref="AN388" authorId="0" shapeId="0" xr:uid="{D23401F8-3E38-43EF-A992-E5F68D3710F2}">
      <text>
        <r>
          <rPr>
            <b/>
            <sz val="9"/>
            <rFont val="Tahoma"/>
            <family val="2"/>
            <charset val="1"/>
          </rPr>
          <t>Canalyst (DL):</t>
        </r>
        <r>
          <rPr>
            <sz val="9"/>
            <rFont val="Tahoma"/>
            <family val="2"/>
            <charset val="1"/>
          </rPr>
          <t xml:space="preserve">
derived by annual figure and nine months figure in Q3 </t>
        </r>
      </text>
    </comment>
    <comment ref="AN389" authorId="0" shapeId="0" xr:uid="{CE191748-1E6E-49C4-B392-8A43974EAD00}">
      <text>
        <r>
          <rPr>
            <b/>
            <sz val="9"/>
            <rFont val="Tahoma"/>
            <family val="2"/>
            <charset val="1"/>
          </rPr>
          <t>Canalyst (DL):</t>
        </r>
        <r>
          <rPr>
            <sz val="9"/>
            <rFont val="Tahoma"/>
            <family val="2"/>
            <charset val="1"/>
          </rPr>
          <t xml:space="preserve">
derived by annual figure and nine months figure in Q3 </t>
        </r>
      </text>
    </comment>
    <comment ref="AN393" authorId="0" shapeId="0" xr:uid="{3A551304-C46F-495A-A222-3783A0B98B26}">
      <text>
        <r>
          <rPr>
            <b/>
            <sz val="9"/>
            <rFont val="Tahoma"/>
            <family val="2"/>
            <charset val="1"/>
          </rPr>
          <t>Canalyst (DL):</t>
        </r>
        <r>
          <rPr>
            <sz val="9"/>
            <rFont val="Tahoma"/>
            <family val="2"/>
            <charset val="1"/>
          </rPr>
          <t xml:space="preserve">
derived by annual figure and nine months figure in Q3 </t>
        </r>
      </text>
    </comment>
    <comment ref="AN394" authorId="0" shapeId="0" xr:uid="{8DF98DF7-F9BC-4970-9FEA-17C16A8C1BE5}">
      <text>
        <r>
          <rPr>
            <b/>
            <sz val="9"/>
            <rFont val="Tahoma"/>
            <family val="2"/>
            <charset val="1"/>
          </rPr>
          <t>Canalyst (DL):</t>
        </r>
        <r>
          <rPr>
            <sz val="9"/>
            <rFont val="Tahoma"/>
            <family val="2"/>
            <charset val="1"/>
          </rPr>
          <t xml:space="preserve">
derived by annual figure and nine months figure in Q3 </t>
        </r>
      </text>
    </comment>
    <comment ref="AN395" authorId="0" shapeId="0" xr:uid="{418421BD-13DE-4EE5-9C9A-ED621316D568}">
      <text>
        <r>
          <rPr>
            <b/>
            <sz val="9"/>
            <rFont val="Tahoma"/>
            <family val="2"/>
            <charset val="1"/>
          </rPr>
          <t>Canalyst (DL):</t>
        </r>
        <r>
          <rPr>
            <sz val="9"/>
            <rFont val="Tahoma"/>
            <family val="2"/>
            <charset val="1"/>
          </rPr>
          <t xml:space="preserve">
derived by annual figure and nine months figure in Q3 </t>
        </r>
      </text>
    </comment>
    <comment ref="AL398" authorId="0" shapeId="0" xr:uid="{821BB23D-5CDE-4475-98AF-CDD7E687088D}">
      <text>
        <r>
          <rPr>
            <b/>
            <sz val="9"/>
            <rFont val="Tahoma"/>
            <family val="2"/>
          </rPr>
          <t>Canalyst (DL):</t>
        </r>
        <r>
          <rPr>
            <sz val="9"/>
            <rFont val="Tahoma"/>
            <family val="2"/>
          </rPr>
          <t xml:space="preserve">
Derived from nine-months data reported in Q3-2019 because Q1-2019 has no amortization happened as reported in Q1-2020</t>
        </r>
      </text>
    </comment>
    <comment ref="AN398" authorId="0" shapeId="0" xr:uid="{001375D0-53A4-497E-9074-A19068C5DED0}">
      <text>
        <r>
          <rPr>
            <b/>
            <sz val="9"/>
            <rFont val="Tahoma"/>
            <family val="2"/>
            <charset val="1"/>
          </rPr>
          <t>Canalyst (DL):</t>
        </r>
        <r>
          <rPr>
            <sz val="9"/>
            <rFont val="Tahoma"/>
            <family val="2"/>
            <charset val="1"/>
          </rPr>
          <t xml:space="preserve">
derived by annual figure and nine months figure in Q3 </t>
        </r>
      </text>
    </comment>
    <comment ref="AL399" authorId="0" shapeId="0" xr:uid="{C5E4E58F-EB7C-49C8-8A8A-45B4EAF09500}">
      <text>
        <r>
          <rPr>
            <b/>
            <sz val="9"/>
            <rFont val="Tahoma"/>
            <family val="2"/>
          </rPr>
          <t>Canalyst (DL):</t>
        </r>
        <r>
          <rPr>
            <sz val="9"/>
            <rFont val="Tahoma"/>
            <family val="2"/>
          </rPr>
          <t xml:space="preserve">
Derived from nine-months data reported in Q3-2019 because Q1-2019 has no amortization happened as reported in Q1-2020</t>
        </r>
      </text>
    </comment>
    <comment ref="AN399" authorId="0" shapeId="0" xr:uid="{C1B90EE2-68BF-4791-A4FE-3C608690922D}">
      <text>
        <r>
          <rPr>
            <b/>
            <sz val="9"/>
            <rFont val="Tahoma"/>
            <family val="2"/>
            <charset val="1"/>
          </rPr>
          <t>Canalyst (DL):</t>
        </r>
        <r>
          <rPr>
            <sz val="9"/>
            <rFont val="Tahoma"/>
            <family val="2"/>
            <charset val="1"/>
          </rPr>
          <t xml:space="preserve">
derived by annual figure and nine months figure in Q3 </t>
        </r>
      </text>
    </comment>
    <comment ref="AL400" authorId="0" shapeId="0" xr:uid="{94138FC7-90D9-4EC2-8E0B-AABF32636EF4}">
      <text>
        <r>
          <rPr>
            <b/>
            <sz val="9"/>
            <rFont val="Tahoma"/>
            <family val="2"/>
          </rPr>
          <t>Canalyst (DL):</t>
        </r>
        <r>
          <rPr>
            <sz val="9"/>
            <rFont val="Tahoma"/>
            <family val="2"/>
          </rPr>
          <t xml:space="preserve">
Derived from nine-months data reported in Q3-2019 because Q1-2019 has no amortization happened as reported in Q1-2020</t>
        </r>
      </text>
    </comment>
    <comment ref="AN400" authorId="0" shapeId="0" xr:uid="{9A6023FE-A709-4B18-A2FB-6886D78B3093}">
      <text>
        <r>
          <rPr>
            <b/>
            <sz val="9"/>
            <rFont val="Tahoma"/>
            <family val="2"/>
            <charset val="1"/>
          </rPr>
          <t>Canalyst (DL):</t>
        </r>
        <r>
          <rPr>
            <sz val="9"/>
            <rFont val="Tahoma"/>
            <family val="2"/>
            <charset val="1"/>
          </rPr>
          <t xml:space="preserve">
derived by annual figure and nine months figure in Q3 </t>
        </r>
      </text>
    </comment>
    <comment ref="AL401" authorId="0" shapeId="0" xr:uid="{FEB406E2-0600-400C-933D-45D9ADE3A34F}">
      <text>
        <r>
          <rPr>
            <b/>
            <sz val="9"/>
            <rFont val="Tahoma"/>
            <family val="2"/>
          </rPr>
          <t>Canalyst (DL):</t>
        </r>
        <r>
          <rPr>
            <sz val="9"/>
            <rFont val="Tahoma"/>
            <family val="2"/>
          </rPr>
          <t xml:space="preserve">
Derived from nine-months data reported in Q3-2019 because Q1-2019 has no amortization happened as reported in Q1-2020</t>
        </r>
      </text>
    </comment>
    <comment ref="AN401" authorId="0" shapeId="0" xr:uid="{499B940F-0BF0-4E7E-A44B-405DB044C994}">
      <text>
        <r>
          <rPr>
            <b/>
            <sz val="9"/>
            <rFont val="Tahoma"/>
            <family val="2"/>
            <charset val="1"/>
          </rPr>
          <t>Canalyst (DL):</t>
        </r>
        <r>
          <rPr>
            <sz val="9"/>
            <rFont val="Tahoma"/>
            <family val="2"/>
            <charset val="1"/>
          </rPr>
          <t xml:space="preserve">
derived by annual figure and nine months figure in Q3 </t>
        </r>
      </text>
    </comment>
    <comment ref="AN415" authorId="0" shapeId="0" xr:uid="{69B14274-6647-49D0-A074-661E4020F55A}">
      <text>
        <r>
          <rPr>
            <b/>
            <sz val="9"/>
            <rFont val="Tahoma"/>
            <family val="2"/>
            <charset val="1"/>
          </rPr>
          <t>Canalyst (DL):</t>
        </r>
        <r>
          <rPr>
            <sz val="9"/>
            <rFont val="Tahoma"/>
            <family val="2"/>
            <charset val="1"/>
          </rPr>
          <t xml:space="preserve">
derived by annual figure and nine months figure in Q3 </t>
        </r>
      </text>
    </comment>
    <comment ref="AN416" authorId="0" shapeId="0" xr:uid="{69EE42F3-7008-4383-B15A-39E2F15F818C}">
      <text>
        <r>
          <rPr>
            <b/>
            <sz val="9"/>
            <rFont val="Tahoma"/>
            <family val="2"/>
            <charset val="1"/>
          </rPr>
          <t>Canalyst (DL):</t>
        </r>
        <r>
          <rPr>
            <sz val="9"/>
            <rFont val="Tahoma"/>
            <family val="2"/>
            <charset val="1"/>
          </rPr>
          <t xml:space="preserve">
derived by annual figure and nine months figure in Q3 </t>
        </r>
      </text>
    </comment>
    <comment ref="AN418" authorId="0" shapeId="0" xr:uid="{84B82984-931E-477F-AA36-BB716D700E6E}">
      <text>
        <r>
          <rPr>
            <b/>
            <sz val="9"/>
            <rFont val="Tahoma"/>
            <family val="2"/>
            <charset val="1"/>
          </rPr>
          <t>Canalyst (DL):</t>
        </r>
        <r>
          <rPr>
            <sz val="9"/>
            <rFont val="Tahoma"/>
            <family val="2"/>
            <charset val="1"/>
          </rPr>
          <t xml:space="preserve">
derived by annual figure and nine months figure in Q3 </t>
        </r>
      </text>
    </comment>
    <comment ref="AN419" authorId="0" shapeId="0" xr:uid="{0DE4CDDE-EDF2-4A1C-B939-F41FBE640877}">
      <text>
        <r>
          <rPr>
            <b/>
            <sz val="9"/>
            <rFont val="Tahoma"/>
            <family val="2"/>
            <charset val="1"/>
          </rPr>
          <t>Canalyst (DL):</t>
        </r>
        <r>
          <rPr>
            <sz val="9"/>
            <rFont val="Tahoma"/>
            <family val="2"/>
            <charset val="1"/>
          </rPr>
          <t xml:space="preserve">
derived by annual figure and nine months figure in Q3 </t>
        </r>
      </text>
    </comment>
    <comment ref="AL422" authorId="1" shapeId="0" xr:uid="{2FDCB8FD-B046-4847-900B-D7C547FEA2D3}">
      <text>
        <r>
          <rPr>
            <b/>
            <sz val="9"/>
            <rFont val="Tahoma"/>
            <family val="2"/>
          </rPr>
          <t>Canalyst (JH):</t>
        </r>
        <r>
          <rPr>
            <sz val="9"/>
            <rFont val="Tahoma"/>
            <family val="2"/>
          </rPr>
          <t xml:space="preserve">
In the current quarter, 100% of Hulu’s operating results from March 20, 2019 to March 30, 2019 are included in the Direct-to-Consumer &amp; International segment as a result of our acquisition of a controlling interest in Hulu. Prior to March 20, 2019, the Company’s ownership share of Hulu results was reported as equity in the loss of investees. </t>
        </r>
      </text>
    </comment>
    <comment ref="AN422" authorId="0" shapeId="0" xr:uid="{60132CD3-A1AE-45D0-BE00-E6FA6B547AB1}">
      <text>
        <r>
          <rPr>
            <b/>
            <sz val="9"/>
            <rFont val="Tahoma"/>
            <family val="2"/>
            <charset val="1"/>
          </rPr>
          <t>Canalyst (DL):</t>
        </r>
        <r>
          <rPr>
            <sz val="9"/>
            <rFont val="Tahoma"/>
            <family val="2"/>
            <charset val="1"/>
          </rPr>
          <t xml:space="preserve">
segment numbers are restated by subtracting annual figures in 10-K and nine-months figures in Q3's 10-Q</t>
        </r>
      </text>
    </comment>
    <comment ref="AP422" authorId="2" shapeId="0" xr:uid="{FB160006-8267-46FB-8F72-D5108181AC70}">
      <text>
        <r>
          <rPr>
            <b/>
            <sz val="9"/>
            <rFont val="Tahoma"/>
            <family val="2"/>
          </rPr>
          <t xml:space="preserve">Canalyst (DL):
</t>
        </r>
        <r>
          <rPr>
            <sz val="9"/>
            <rFont val="Tahoma"/>
            <family val="2"/>
          </rPr>
          <t xml:space="preserve">DTC segment Q4 results not equal to subtraction of annual results and other three quarters.
The discrepancy happened between Q2 and Q3 because Q3 nine-months data not matching sum of Q1, Q2, Q3. There is no disclosure document of divestiture of business. This issue will be settled with FY2021 10-K. </t>
        </r>
      </text>
    </comment>
    <comment ref="AQ422" authorId="2" shapeId="0" xr:uid="{0C4EEBA4-1E30-4ECB-BF84-A6602EAFEEC8}">
      <text>
        <r>
          <rPr>
            <b/>
            <sz val="9"/>
            <rFont val="Tahoma"/>
            <family val="2"/>
          </rPr>
          <t xml:space="preserve">Canalyst (DL):
</t>
        </r>
        <r>
          <rPr>
            <sz val="9"/>
            <rFont val="Tahoma"/>
            <family val="2"/>
          </rPr>
          <t xml:space="preserve">DTC segment Q4 results not equal to subtraction of annual results and other three quarters.
The discrepancy happened between Q2 and Q3 because Q3 nine-months data not matching sum of Q1, Q2, Q3. There is no disclosure document of divestiture of business. This issue will be settled with FY2021 10-K. </t>
        </r>
      </text>
    </comment>
    <comment ref="AP423" authorId="0" shapeId="0" xr:uid="{850866CA-D2E4-4C95-85DD-7D7B57A0745F}">
      <text>
        <r>
          <rPr>
            <b/>
            <sz val="9"/>
            <rFont val="Tahoma"/>
            <family val="2"/>
          </rPr>
          <t>Canalyst (DL):</t>
        </r>
        <r>
          <rPr>
            <sz val="9"/>
            <rFont val="Tahoma"/>
            <family val="2"/>
          </rPr>
          <t xml:space="preserve">
due to acquisition of 21CF and Hulu</t>
        </r>
      </text>
    </comment>
    <comment ref="AQ423" authorId="0" shapeId="0" xr:uid="{9266DBDF-7D04-4759-AE67-5D0D25CA7FE9}">
      <text>
        <r>
          <rPr>
            <b/>
            <sz val="9"/>
            <rFont val="Tahoma"/>
            <family val="2"/>
          </rPr>
          <t>Canalyst (DL):</t>
        </r>
        <r>
          <rPr>
            <sz val="9"/>
            <rFont val="Tahoma"/>
            <family val="2"/>
          </rPr>
          <t xml:space="preserve">
due to acquisition of 21CF and Hulu</t>
        </r>
      </text>
    </comment>
    <comment ref="AP424" authorId="0" shapeId="0" xr:uid="{C2445B93-7EC1-4878-AEB1-A5E2A7A20F14}">
      <text>
        <r>
          <rPr>
            <b/>
            <sz val="9"/>
            <rFont val="Tahoma"/>
            <family val="2"/>
          </rPr>
          <t>Canalyst (DL):</t>
        </r>
        <r>
          <rPr>
            <sz val="9"/>
            <rFont val="Tahoma"/>
            <family val="2"/>
          </rPr>
          <t xml:space="preserve">
due to acquisition of 21CF and Hulu</t>
        </r>
      </text>
    </comment>
    <comment ref="AQ424" authorId="0" shapeId="0" xr:uid="{F7B1D8A5-8764-4639-B9EA-69E760B79CF4}">
      <text>
        <r>
          <rPr>
            <b/>
            <sz val="9"/>
            <rFont val="Tahoma"/>
            <family val="2"/>
          </rPr>
          <t>Canalyst (DL):</t>
        </r>
        <r>
          <rPr>
            <sz val="9"/>
            <rFont val="Tahoma"/>
            <family val="2"/>
          </rPr>
          <t xml:space="preserve">
due to acquisition of 21CF and Hulu</t>
        </r>
      </text>
    </comment>
    <comment ref="AS427" authorId="2" shapeId="0" xr:uid="{443F9D8B-93E9-48C8-8298-312DEED62B97}">
      <text>
        <r>
          <rPr>
            <b/>
            <sz val="9"/>
            <rFont val="Tahoma"/>
            <family val="2"/>
          </rPr>
          <t xml:space="preserve">Canalyst (DL):
</t>
        </r>
        <r>
          <rPr>
            <sz val="9"/>
            <rFont val="Tahoma"/>
            <family val="2"/>
          </rPr>
          <t>Back-up with nine months data reported in Q3.
The discrepancy in International Channel revenue causes the dismatch of this segment, possible due to a reclassification. Will be restated with FY2021.</t>
        </r>
      </text>
    </comment>
    <comment ref="AK428" authorId="0" shapeId="0" xr:uid="{49F8F911-ADA2-4D74-A553-B000F6E230C1}">
      <text>
        <r>
          <rPr>
            <b/>
            <sz val="9"/>
            <rFont val="Tahoma"/>
            <family val="2"/>
          </rPr>
          <t>Canalyst (DL):</t>
        </r>
        <r>
          <rPr>
            <sz val="9"/>
            <rFont val="Tahoma"/>
            <family val="2"/>
          </rPr>
          <t xml:space="preserve">
Including addressable ad sales related to domestic Media Networks branded properties of 56, will be restated with FY 2020</t>
        </r>
      </text>
    </comment>
    <comment ref="A429" authorId="0" shapeId="0" xr:uid="{75843AC8-4CE5-4CC5-BA7E-C0259E6BD8B5}">
      <text>
        <r>
          <rPr>
            <b/>
            <sz val="9"/>
            <rFont val="Tahoma"/>
            <family val="2"/>
          </rPr>
          <t>Canalyst (DL):</t>
        </r>
        <r>
          <rPr>
            <sz val="9"/>
            <rFont val="Tahoma"/>
            <family val="2"/>
          </rPr>
          <t xml:space="preserve">
Primarily addressable ad sales related to domestic Media Networks branded properties</t>
        </r>
      </text>
    </comment>
    <comment ref="AN431" authorId="0" shapeId="0" xr:uid="{7FC0CAAD-6D3D-4455-8F6C-9950B36AA73C}">
      <text>
        <r>
          <rPr>
            <b/>
            <sz val="9"/>
            <rFont val="Tahoma"/>
            <family val="2"/>
            <charset val="1"/>
          </rPr>
          <t>Canalyst (DL):</t>
        </r>
        <r>
          <rPr>
            <sz val="9"/>
            <rFont val="Tahoma"/>
            <family val="2"/>
            <charset val="1"/>
          </rPr>
          <t xml:space="preserve">
derived by annual figure and nine months figure in Q3 </t>
        </r>
      </text>
    </comment>
    <comment ref="AS431" authorId="2" shapeId="0" xr:uid="{985D752C-A65A-4217-9EC6-2D0C6FE9B77B}">
      <text>
        <r>
          <rPr>
            <b/>
            <sz val="9"/>
            <rFont val="Tahoma"/>
            <family val="2"/>
          </rPr>
          <t xml:space="preserve">Canalyst (DL):
</t>
        </r>
        <r>
          <rPr>
            <sz val="9"/>
            <rFont val="Tahoma"/>
            <family val="2"/>
          </rPr>
          <t>Back-up with nine months data reported in Q3.
Will be restated with FY2021</t>
        </r>
      </text>
    </comment>
    <comment ref="AN432" authorId="0" shapeId="0" xr:uid="{70A42763-812C-42DD-9439-5C056257F738}">
      <text>
        <r>
          <rPr>
            <b/>
            <sz val="9"/>
            <rFont val="Tahoma"/>
            <family val="2"/>
            <charset val="1"/>
          </rPr>
          <t>Canalyst (DL):</t>
        </r>
        <r>
          <rPr>
            <sz val="9"/>
            <rFont val="Tahoma"/>
            <family val="2"/>
            <charset val="1"/>
          </rPr>
          <t xml:space="preserve">
derived by annual figure and nine months figure in Q3 </t>
        </r>
      </text>
    </comment>
    <comment ref="AS432" authorId="2" shapeId="0" xr:uid="{52AB1C4B-4590-4FBC-A46D-602FBA206D15}">
      <text>
        <r>
          <rPr>
            <b/>
            <sz val="9"/>
            <rFont val="Tahoma"/>
            <family val="2"/>
          </rPr>
          <t xml:space="preserve">Canalyst (DL):
</t>
        </r>
        <r>
          <rPr>
            <sz val="9"/>
            <rFont val="Tahoma"/>
            <family val="2"/>
          </rPr>
          <t>Back-up with nine months data reported in Q3.
Will be restated with FY2021</t>
        </r>
      </text>
    </comment>
    <comment ref="AN433" authorId="0" shapeId="0" xr:uid="{59671F4B-E029-4332-A5FE-03FEF7BEC1F4}">
      <text>
        <r>
          <rPr>
            <b/>
            <sz val="9"/>
            <rFont val="Tahoma"/>
            <family val="2"/>
            <charset val="1"/>
          </rPr>
          <t>Canalyst (DL):</t>
        </r>
        <r>
          <rPr>
            <sz val="9"/>
            <rFont val="Tahoma"/>
            <family val="2"/>
            <charset val="1"/>
          </rPr>
          <t xml:space="preserve">
derived by annual figure and nine months figure in Q3 </t>
        </r>
      </text>
    </comment>
    <comment ref="AS433" authorId="2" shapeId="0" xr:uid="{25CDDAA5-5A8D-4F9E-BA1A-5C3D5AB69D20}">
      <text>
        <r>
          <rPr>
            <b/>
            <sz val="9"/>
            <rFont val="Tahoma"/>
            <family val="2"/>
          </rPr>
          <t xml:space="preserve">Canalyst (DL):
</t>
        </r>
        <r>
          <rPr>
            <sz val="9"/>
            <rFont val="Tahoma"/>
            <family val="2"/>
          </rPr>
          <t>Back-up with nine months data reported in Q3.
Will be restated with FY2021</t>
        </r>
      </text>
    </comment>
    <comment ref="AN434" authorId="0" shapeId="0" xr:uid="{B2D4D1FD-D92F-4B31-A3FC-285B7CC1E7FB}">
      <text>
        <r>
          <rPr>
            <b/>
            <sz val="9"/>
            <rFont val="Tahoma"/>
            <family val="2"/>
            <charset val="1"/>
          </rPr>
          <t>Canalyst (DL):</t>
        </r>
        <r>
          <rPr>
            <sz val="9"/>
            <rFont val="Tahoma"/>
            <family val="2"/>
            <charset val="1"/>
          </rPr>
          <t xml:space="preserve">
derived by annual figure and nine months figure in Q3 </t>
        </r>
      </text>
    </comment>
    <comment ref="AS434" authorId="2" shapeId="0" xr:uid="{1F62ECF2-5A11-4935-ACE6-1E223929203F}">
      <text>
        <r>
          <rPr>
            <b/>
            <sz val="9"/>
            <rFont val="Tahoma"/>
            <family val="2"/>
          </rPr>
          <t xml:space="preserve">Canalyst (DL):
</t>
        </r>
        <r>
          <rPr>
            <sz val="9"/>
            <rFont val="Tahoma"/>
            <family val="2"/>
          </rPr>
          <t>Back-up with nine months data reported in Q3.
Will be restated with FY2021</t>
        </r>
      </text>
    </comment>
    <comment ref="AN436" authorId="0" shapeId="0" xr:uid="{752BF6D8-C2CA-480E-8AB5-8B7D14993467}">
      <text>
        <r>
          <rPr>
            <b/>
            <sz val="9"/>
            <rFont val="Tahoma"/>
            <family val="2"/>
            <charset val="1"/>
          </rPr>
          <t>Canalyst (DL):</t>
        </r>
        <r>
          <rPr>
            <sz val="9"/>
            <rFont val="Tahoma"/>
            <family val="2"/>
            <charset val="1"/>
          </rPr>
          <t xml:space="preserve">
derived by annual figure and nine months figure in Q3 </t>
        </r>
      </text>
    </comment>
    <comment ref="AM437" authorId="0" shapeId="0" xr:uid="{3C3D8CB2-0B82-4118-B2C5-74142EC67A04}">
      <text>
        <r>
          <rPr>
            <b/>
            <sz val="9"/>
            <rFont val="Tahoma"/>
            <family val="2"/>
          </rPr>
          <t>Canalyst (DL):</t>
        </r>
        <r>
          <rPr>
            <sz val="9"/>
            <rFont val="Tahoma"/>
            <family val="2"/>
          </rPr>
          <t xml:space="preserve">
benefit</t>
        </r>
      </text>
    </comment>
    <comment ref="AN437" authorId="0" shapeId="0" xr:uid="{87864D43-0E44-49C3-8EE7-87DC8AFF23CB}">
      <text>
        <r>
          <rPr>
            <b/>
            <sz val="9"/>
            <rFont val="Tahoma"/>
            <family val="2"/>
            <charset val="1"/>
          </rPr>
          <t>Canalyst (DL):</t>
        </r>
        <r>
          <rPr>
            <sz val="9"/>
            <rFont val="Tahoma"/>
            <family val="2"/>
            <charset val="1"/>
          </rPr>
          <t xml:space="preserve">
derived by annual figure and nine months figure in Q3 </t>
        </r>
      </text>
    </comment>
    <comment ref="AS437" authorId="2" shapeId="0" xr:uid="{AC8224AC-F279-4083-AB8F-ED4A0A6C0990}">
      <text>
        <r>
          <rPr>
            <b/>
            <sz val="9"/>
            <rFont val="Tahoma"/>
            <family val="2"/>
          </rPr>
          <t xml:space="preserve">Canalyst (DL):
</t>
        </r>
        <r>
          <rPr>
            <sz val="9"/>
            <rFont val="Tahoma"/>
            <family val="2"/>
          </rPr>
          <t>Back-up with nine months data reported in Q3.
Will be restated with FY2021</t>
        </r>
      </text>
    </comment>
    <comment ref="AN438" authorId="0" shapeId="0" xr:uid="{E1B56331-4FB5-4F2B-ABB6-3A590B9B7E30}">
      <text>
        <r>
          <rPr>
            <b/>
            <sz val="9"/>
            <rFont val="Tahoma"/>
            <family val="2"/>
            <charset val="1"/>
          </rPr>
          <t>Canalyst (DL):</t>
        </r>
        <r>
          <rPr>
            <sz val="9"/>
            <rFont val="Tahoma"/>
            <family val="2"/>
            <charset val="1"/>
          </rPr>
          <t xml:space="preserve">
derived by annual figure and nine months figure in Q3 </t>
        </r>
      </text>
    </comment>
    <comment ref="AS438" authorId="2" shapeId="0" xr:uid="{F91BDF90-82CD-40CA-984F-E4953E2DCEC6}">
      <text>
        <r>
          <rPr>
            <b/>
            <sz val="9"/>
            <rFont val="Tahoma"/>
            <family val="2"/>
          </rPr>
          <t xml:space="preserve">Canalyst (DL):
</t>
        </r>
        <r>
          <rPr>
            <sz val="9"/>
            <rFont val="Tahoma"/>
            <family val="2"/>
          </rPr>
          <t>Back-up with nine months data reported in Q3.
Will be restated with FY2021</t>
        </r>
      </text>
    </comment>
    <comment ref="AN440" authorId="0" shapeId="0" xr:uid="{6236F44E-5C00-44B3-9EE4-597EB076E809}">
      <text>
        <r>
          <rPr>
            <b/>
            <sz val="9"/>
            <rFont val="Tahoma"/>
            <family val="2"/>
            <charset val="1"/>
          </rPr>
          <t>Canalyst (DL):</t>
        </r>
        <r>
          <rPr>
            <sz val="9"/>
            <rFont val="Tahoma"/>
            <family val="2"/>
            <charset val="1"/>
          </rPr>
          <t xml:space="preserve">
derived by annual figure and nine months figure in Q3 </t>
        </r>
      </text>
    </comment>
    <comment ref="AR440" authorId="4" shapeId="0" xr:uid="{56757C35-942D-46D2-AF26-64BD35CCD3F8}">
      <text>
        <r>
          <rPr>
            <b/>
            <sz val="9"/>
            <rFont val="Tahoma"/>
            <family val="2"/>
          </rPr>
          <t>Canalyst (JK):</t>
        </r>
        <r>
          <rPr>
            <sz val="9"/>
            <rFont val="Tahoma"/>
            <family val="2"/>
          </rPr>
          <t xml:space="preserve">
Goodwill asset impairment at the International Channels business of $4,953mm</t>
        </r>
      </text>
    </comment>
    <comment ref="AN441" authorId="0" shapeId="0" xr:uid="{DFCBCA4B-ACF9-4F3B-B30E-A1C66ACF8597}">
      <text>
        <r>
          <rPr>
            <b/>
            <sz val="9"/>
            <rFont val="Tahoma"/>
            <family val="2"/>
            <charset val="1"/>
          </rPr>
          <t>Canalyst (DL):</t>
        </r>
        <r>
          <rPr>
            <sz val="9"/>
            <rFont val="Tahoma"/>
            <family val="2"/>
            <charset val="1"/>
          </rPr>
          <t xml:space="preserve">
derived by annual figure and nine months figure in Q3 </t>
        </r>
      </text>
    </comment>
    <comment ref="AN442" authorId="0" shapeId="0" xr:uid="{B42C3B41-1EB9-4088-8358-DF58C3E61FAC}">
      <text>
        <r>
          <rPr>
            <b/>
            <sz val="9"/>
            <rFont val="Tahoma"/>
            <family val="2"/>
            <charset val="1"/>
          </rPr>
          <t>Canalyst (DL):</t>
        </r>
        <r>
          <rPr>
            <sz val="9"/>
            <rFont val="Tahoma"/>
            <family val="2"/>
            <charset val="1"/>
          </rPr>
          <t xml:space="preserve">
derived by annual figure and nine months figure in Q3 </t>
        </r>
      </text>
    </comment>
    <comment ref="AS448" authorId="2" shapeId="0" xr:uid="{F0F52820-A87D-40E0-8B05-D7661EFE36BE}">
      <text>
        <r>
          <rPr>
            <b/>
            <sz val="9"/>
            <rFont val="Tahoma"/>
            <family val="2"/>
          </rPr>
          <t xml:space="preserve">Canalyst (DL):
</t>
        </r>
        <r>
          <rPr>
            <sz val="9"/>
            <rFont val="Tahoma"/>
            <family val="2"/>
          </rPr>
          <t>Back-up with nine months data reported in Q3.
Will be restated with FY2021</t>
        </r>
      </text>
    </comment>
    <comment ref="AN455" authorId="0" shapeId="0" xr:uid="{33E1EEEC-7F39-4736-B5CE-E7F32735E96A}">
      <text>
        <r>
          <rPr>
            <b/>
            <sz val="9"/>
            <rFont val="Tahoma"/>
            <family val="2"/>
            <charset val="1"/>
          </rPr>
          <t>Canalyst (DL):</t>
        </r>
        <r>
          <rPr>
            <sz val="9"/>
            <rFont val="Tahoma"/>
            <family val="2"/>
            <charset val="1"/>
          </rPr>
          <t xml:space="preserve">
Segment numbers are restated by subtracting annual figures in 10-K and nine-months figures in Q3 10-Q</t>
        </r>
      </text>
    </comment>
    <comment ref="AP455" authorId="2" shapeId="0" xr:uid="{598A14BB-914A-4E02-AC13-62C7FB2062D5}">
      <text>
        <r>
          <rPr>
            <b/>
            <sz val="9"/>
            <rFont val="Tahoma"/>
            <family val="2"/>
          </rPr>
          <t xml:space="preserve">Canalyst (DL):
</t>
        </r>
        <r>
          <rPr>
            <sz val="9"/>
            <rFont val="Tahoma"/>
            <family val="2"/>
          </rPr>
          <t xml:space="preserve">DTC segment Q4 results not equal to subtraction of annual results and other three quarters.
The discrepancy happened between Q2 and Q3 because Q3 nine-months data not matching sum of Q1, Q2, Q3. There is no disclosure document of divestiture of business. This issue will be settled with FY2021 10-K. </t>
        </r>
      </text>
    </comment>
    <comment ref="AQ455" authorId="2" shapeId="0" xr:uid="{CBEAE83A-48E7-4B83-8FF3-67B7ADB7BBA4}">
      <text>
        <r>
          <rPr>
            <b/>
            <sz val="9"/>
            <rFont val="Tahoma"/>
            <family val="2"/>
          </rPr>
          <t xml:space="preserve">Canalyst (DL):
</t>
        </r>
        <r>
          <rPr>
            <sz val="9"/>
            <rFont val="Tahoma"/>
            <family val="2"/>
          </rPr>
          <t xml:space="preserve">DTC segment Q4 results not equal to subtraction of annual results and other three quarters.
The discrepancy happened between Q2 and Q3 because Q3 nine-months data not matching sum of Q1, Q2, Q3. There is no disclosure document of divestiture of business. This issue will be settled with FY2021 10-K. </t>
        </r>
      </text>
    </comment>
    <comment ref="AN456" authorId="0" shapeId="0" xr:uid="{3D2C68B4-79CF-4A08-9D37-1BB24317B82E}">
      <text>
        <r>
          <rPr>
            <b/>
            <sz val="9"/>
            <rFont val="Tahoma"/>
            <family val="2"/>
            <charset val="1"/>
          </rPr>
          <t>Canalyst (DL):</t>
        </r>
        <r>
          <rPr>
            <sz val="9"/>
            <rFont val="Tahoma"/>
            <family val="2"/>
            <charset val="1"/>
          </rPr>
          <t xml:space="preserve">
derived by annual figure and nine months figure in Q3 </t>
        </r>
      </text>
    </comment>
    <comment ref="AS456" authorId="2" shapeId="0" xr:uid="{585FCB56-00E3-4C64-B636-3F873AF18B02}">
      <text>
        <r>
          <rPr>
            <b/>
            <sz val="9"/>
            <rFont val="Tahoma"/>
            <family val="2"/>
          </rPr>
          <t xml:space="preserve">Canalyst (DL):
</t>
        </r>
        <r>
          <rPr>
            <sz val="9"/>
            <rFont val="Tahoma"/>
            <family val="2"/>
          </rPr>
          <t>Back-up with nine months data reported in Q3.
Will be restated with FY2021</t>
        </r>
      </text>
    </comment>
    <comment ref="AN457" authorId="0" shapeId="0" xr:uid="{34B9F6D1-8B4B-4A72-B6AB-4C3B238177C1}">
      <text>
        <r>
          <rPr>
            <b/>
            <sz val="9"/>
            <rFont val="Tahoma"/>
            <family val="2"/>
            <charset val="1"/>
          </rPr>
          <t>Canalyst (DL):</t>
        </r>
        <r>
          <rPr>
            <sz val="9"/>
            <rFont val="Tahoma"/>
            <family val="2"/>
            <charset val="1"/>
          </rPr>
          <t xml:space="preserve">
derived by annual figure and nine months figure in Q3 </t>
        </r>
      </text>
    </comment>
    <comment ref="AS457" authorId="2" shapeId="0" xr:uid="{E3D6898C-EA11-45A5-B4CF-670F0F723C86}">
      <text>
        <r>
          <rPr>
            <b/>
            <sz val="9"/>
            <rFont val="Tahoma"/>
            <family val="2"/>
          </rPr>
          <t xml:space="preserve">Canalyst (DL):
</t>
        </r>
        <r>
          <rPr>
            <sz val="9"/>
            <rFont val="Tahoma"/>
            <family val="2"/>
          </rPr>
          <t>Back-up with nine months data reported in Q3.
Will be restated with FY2021</t>
        </r>
      </text>
    </comment>
    <comment ref="AI458" authorId="0" shapeId="0" xr:uid="{EEDA99D7-8F5F-436E-AE6A-2EA1F4D837B1}">
      <text>
        <r>
          <rPr>
            <b/>
            <sz val="9"/>
            <rFont val="Tahoma"/>
            <family val="2"/>
          </rPr>
          <t>Canalyst (DL):</t>
        </r>
        <r>
          <rPr>
            <sz val="9"/>
            <rFont val="Tahoma"/>
            <family val="2"/>
          </rPr>
          <t xml:space="preserve">
The firm starts to report a separated subscription fee item since 10-K of FY2019. Historical periods restatement are not provided by the company. Some discrepancies exist in 'Other' item</t>
        </r>
      </text>
    </comment>
    <comment ref="AJ458" authorId="0" shapeId="0" xr:uid="{69F8E644-33CD-4E75-9D92-16AC86B9E516}">
      <text>
        <r>
          <rPr>
            <b/>
            <sz val="9"/>
            <rFont val="Tahoma"/>
            <family val="2"/>
          </rPr>
          <t>Canalyst (DL):</t>
        </r>
        <r>
          <rPr>
            <sz val="9"/>
            <rFont val="Tahoma"/>
            <family val="2"/>
          </rPr>
          <t xml:space="preserve">
The firm starts to report a separated subscription fee item since 10-K of FY2019. Historical periods restatement are not provided by the company. Some discrepancies exist in 'Other' item</t>
        </r>
      </text>
    </comment>
    <comment ref="AN458" authorId="0" shapeId="0" xr:uid="{20713005-FE9F-4C23-AB2C-9388ED0BE12C}">
      <text>
        <r>
          <rPr>
            <b/>
            <sz val="9"/>
            <rFont val="Tahoma"/>
            <family val="2"/>
          </rPr>
          <t>Canalyst (DL):</t>
        </r>
        <r>
          <rPr>
            <sz val="9"/>
            <rFont val="Tahoma"/>
            <family val="2"/>
          </rPr>
          <t xml:space="preserve">
The firm starts to report a separated subscription fee item since 10-K of FY2019. Historical periods restatement are not provided by the company. Some discrepancies exist in 'Other' item</t>
        </r>
      </text>
    </comment>
    <comment ref="AO458" authorId="0" shapeId="0" xr:uid="{0CC0DAC5-11B0-4275-9B0D-305A0AFC0DCF}">
      <text>
        <r>
          <rPr>
            <b/>
            <sz val="9"/>
            <rFont val="Tahoma"/>
            <family val="2"/>
          </rPr>
          <t>Canalyst (DL):</t>
        </r>
        <r>
          <rPr>
            <sz val="9"/>
            <rFont val="Tahoma"/>
            <family val="2"/>
          </rPr>
          <t xml:space="preserve">
The firm starts to report a separated subscription fee item since 10-K of FY2019. Historical periods restatement are not provided by the company. Some discrepancies exist in 'Other' item</t>
        </r>
      </text>
    </comment>
    <comment ref="AN459" authorId="0" shapeId="0" xr:uid="{CE05E493-8908-49F1-8FC2-1F2080BD6C57}">
      <text>
        <r>
          <rPr>
            <b/>
            <sz val="9"/>
            <rFont val="Tahoma"/>
            <family val="2"/>
            <charset val="1"/>
          </rPr>
          <t>Canalyst (DL):</t>
        </r>
        <r>
          <rPr>
            <sz val="9"/>
            <rFont val="Tahoma"/>
            <family val="2"/>
            <charset val="1"/>
          </rPr>
          <t xml:space="preserve">
derived by annual figure and nine months figure in Q3 </t>
        </r>
      </text>
    </comment>
    <comment ref="AN460" authorId="0" shapeId="0" xr:uid="{A7C0CC2C-B0FC-42EF-8A02-12B0E83C00C9}">
      <text>
        <r>
          <rPr>
            <b/>
            <sz val="9"/>
            <rFont val="Tahoma"/>
            <family val="2"/>
            <charset val="1"/>
          </rPr>
          <t>Canalyst (DL):</t>
        </r>
        <r>
          <rPr>
            <sz val="9"/>
            <rFont val="Tahoma"/>
            <family val="2"/>
            <charset val="1"/>
          </rPr>
          <t xml:space="preserve">
derived by annual figure and nine months figure in Q3 </t>
        </r>
      </text>
    </comment>
    <comment ref="AI462" authorId="0" shapeId="0" xr:uid="{71E4F848-4A3A-438D-BB2C-2F907F597E32}">
      <text>
        <r>
          <rPr>
            <b/>
            <sz val="9"/>
            <rFont val="Tahoma"/>
            <family val="2"/>
          </rPr>
          <t>Canalyst (DL):</t>
        </r>
        <r>
          <rPr>
            <sz val="9"/>
            <rFont val="Tahoma"/>
            <family val="2"/>
          </rPr>
          <t xml:space="preserve">
The firm starts to report a separated subscription fee item since 10-K of FY2019. Historical periods restatement are not provided by the company. Some discrepancies exist in 'Other' item</t>
        </r>
      </text>
    </comment>
    <comment ref="AK462" authorId="0" shapeId="0" xr:uid="{98DD2636-9C53-43AB-8D9D-E089520C8C1C}">
      <text>
        <r>
          <rPr>
            <b/>
            <sz val="9"/>
            <rFont val="Tahoma"/>
            <family val="2"/>
          </rPr>
          <t>Canalyst (DL):</t>
        </r>
        <r>
          <rPr>
            <sz val="9"/>
            <rFont val="Tahoma"/>
            <family val="2"/>
          </rPr>
          <t xml:space="preserve">
Including 33 subscription fees, will be restated with FY2020</t>
        </r>
      </text>
    </comment>
    <comment ref="AN462" authorId="0" shapeId="0" xr:uid="{4D3B8FF1-651F-493C-AD98-10AE33E8B023}">
      <text>
        <r>
          <rPr>
            <b/>
            <sz val="9"/>
            <rFont val="Tahoma"/>
            <family val="2"/>
          </rPr>
          <t>Canalyst (DL):</t>
        </r>
        <r>
          <rPr>
            <sz val="9"/>
            <rFont val="Tahoma"/>
            <family val="2"/>
          </rPr>
          <t xml:space="preserve">
Calculated figure since the company reports subscription fee from FY2019 onwards</t>
        </r>
      </text>
    </comment>
    <comment ref="AN465" authorId="0" shapeId="0" xr:uid="{2B801010-717B-4930-BCFD-AECF87B9D646}">
      <text>
        <r>
          <rPr>
            <b/>
            <sz val="9"/>
            <rFont val="Tahoma"/>
            <family val="2"/>
          </rPr>
          <t>Canalyst (DL):</t>
        </r>
        <r>
          <rPr>
            <sz val="9"/>
            <rFont val="Tahoma"/>
            <family val="2"/>
          </rPr>
          <t xml:space="preserve">
The firm starts to report a separated subscription fee item since 10-K of FY2019. Historical periods restatement are not provided by the company. Some discrepancies exist in 'Other' item</t>
        </r>
      </text>
    </comment>
    <comment ref="AN466" authorId="0" shapeId="0" xr:uid="{36327DCA-464C-40F5-8F85-3AE03FB349DA}">
      <text>
        <r>
          <rPr>
            <b/>
            <sz val="9"/>
            <rFont val="Tahoma"/>
            <family val="2"/>
          </rPr>
          <t>Canalyst (DL):</t>
        </r>
        <r>
          <rPr>
            <sz val="9"/>
            <rFont val="Tahoma"/>
            <family val="2"/>
          </rPr>
          <t xml:space="preserve">
The firm starts to report a separated subscription fee item since 10-K of FY2019. Historical periods restatement are not provided by the company. Some discrepancies exist in 'Other' item</t>
        </r>
      </text>
    </comment>
    <comment ref="AS467" authorId="2" shapeId="0" xr:uid="{20978DB2-5353-475F-B15A-41E8E09010AB}">
      <text>
        <r>
          <rPr>
            <b/>
            <sz val="9"/>
            <rFont val="Tahoma"/>
            <family val="2"/>
          </rPr>
          <t xml:space="preserve">Canalyst (DL):
</t>
        </r>
        <r>
          <rPr>
            <sz val="9"/>
            <rFont val="Tahoma"/>
            <family val="2"/>
          </rPr>
          <t>Back-up with nine months data reported in Q3.
The discrepancy in International Channel revenue causes the dismatch of this segment, possible due to a reclassification. Will be restated with FY2021.</t>
        </r>
      </text>
    </comment>
    <comment ref="AN468" authorId="0" shapeId="0" xr:uid="{4A3AC4F9-D84D-4B82-BB1A-FCB278D3CE9C}">
      <text>
        <r>
          <rPr>
            <b/>
            <sz val="9"/>
            <rFont val="Tahoma"/>
            <family val="2"/>
          </rPr>
          <t>Canalyst (DL):</t>
        </r>
        <r>
          <rPr>
            <sz val="9"/>
            <rFont val="Tahoma"/>
            <family val="2"/>
          </rPr>
          <t xml:space="preserve">
The firm starts to report a separated subscription fee item since 10-K of FY2019. Historical periods restatement are not provided by the company. Some discrepancies exist in 'Other' item</t>
        </r>
      </text>
    </comment>
    <comment ref="AN469" authorId="0" shapeId="0" xr:uid="{916B3535-6A54-46EE-9B88-3BE10ADB334F}">
      <text>
        <r>
          <rPr>
            <b/>
            <sz val="9"/>
            <rFont val="Tahoma"/>
            <family val="2"/>
          </rPr>
          <t>Canalyst (DL):</t>
        </r>
        <r>
          <rPr>
            <sz val="9"/>
            <rFont val="Tahoma"/>
            <family val="2"/>
          </rPr>
          <t xml:space="preserve">
The firm starts to report a separated subscription fee item since 10-K of FY2019. Historical periods restatement are not provided by the company. Some discrepancies exist in 'Other' item</t>
        </r>
      </text>
    </comment>
    <comment ref="AN472" authorId="0" shapeId="0" xr:uid="{7AE71F12-85C8-422E-B90B-A8C10BA65A70}">
      <text>
        <r>
          <rPr>
            <b/>
            <sz val="9"/>
            <rFont val="Tahoma"/>
            <family val="2"/>
            <charset val="1"/>
          </rPr>
          <t>Canalyst (DL):</t>
        </r>
        <r>
          <rPr>
            <sz val="9"/>
            <rFont val="Tahoma"/>
            <family val="2"/>
            <charset val="1"/>
          </rPr>
          <t xml:space="preserve">
derived by annual figure and nine months figure in Q3 </t>
        </r>
      </text>
    </comment>
    <comment ref="AS472" authorId="2" shapeId="0" xr:uid="{E7995D56-1C96-48D6-9246-BC6338D34623}">
      <text>
        <r>
          <rPr>
            <b/>
            <sz val="9"/>
            <rFont val="Tahoma"/>
            <family val="2"/>
          </rPr>
          <t xml:space="preserve">Canalyst (DL):
</t>
        </r>
        <r>
          <rPr>
            <sz val="9"/>
            <rFont val="Tahoma"/>
            <family val="2"/>
          </rPr>
          <t>Back-up with nine months data reported in Q3.
The discrepancy in International Channel revenue causes the dismatch of this segment, possible due to a reclassification. Will be restated with FY2021.</t>
        </r>
      </text>
    </comment>
    <comment ref="AK473" authorId="0" shapeId="0" xr:uid="{9F261CCE-9862-46AD-8979-9E9860192428}">
      <text>
        <r>
          <rPr>
            <b/>
            <sz val="9"/>
            <rFont val="Tahoma"/>
            <family val="2"/>
          </rPr>
          <t>Canalyst (DL):</t>
        </r>
        <r>
          <rPr>
            <sz val="9"/>
            <rFont val="Tahoma"/>
            <family val="2"/>
          </rPr>
          <t xml:space="preserve">
including -117 direct-to-consumer services and -65 other, will be restated with FY2020</t>
        </r>
      </text>
    </comment>
    <comment ref="AN473" authorId="0" shapeId="0" xr:uid="{610CD107-DF80-4AF9-9824-23CB834D5F0F}">
      <text>
        <r>
          <rPr>
            <b/>
            <sz val="9"/>
            <rFont val="Tahoma"/>
            <family val="2"/>
            <charset val="1"/>
          </rPr>
          <t>Canalyst (DL):</t>
        </r>
        <r>
          <rPr>
            <sz val="9"/>
            <rFont val="Tahoma"/>
            <family val="2"/>
            <charset val="1"/>
          </rPr>
          <t xml:space="preserve">
derived by annual figure and nine months figure in Q3 </t>
        </r>
      </text>
    </comment>
    <comment ref="A474" authorId="0" shapeId="0" xr:uid="{02E009BC-BD57-45A8-B177-86C7C9247334}">
      <text>
        <r>
          <rPr>
            <b/>
            <sz val="9"/>
            <rFont val="Tahoma"/>
            <family val="2"/>
          </rPr>
          <t>Canalyst (DL):</t>
        </r>
        <r>
          <rPr>
            <sz val="9"/>
            <rFont val="Tahoma"/>
            <family val="2"/>
          </rPr>
          <t xml:space="preserve">
Primarily addressable ad sales related to domestic Media Networks branded properties</t>
        </r>
      </text>
    </comment>
    <comment ref="AN475" authorId="0" shapeId="0" xr:uid="{3747F46E-6961-42F0-93E2-31B2ABD4BF23}">
      <text>
        <r>
          <rPr>
            <b/>
            <sz val="9"/>
            <rFont val="Tahoma"/>
            <family val="2"/>
            <charset val="1"/>
          </rPr>
          <t>Canalyst (DL):</t>
        </r>
        <r>
          <rPr>
            <sz val="9"/>
            <rFont val="Tahoma"/>
            <family val="2"/>
            <charset val="1"/>
          </rPr>
          <t xml:space="preserve">
derived by annual figure and nine months figure in Q3 </t>
        </r>
      </text>
    </comment>
    <comment ref="AN478" authorId="0" shapeId="0" xr:uid="{7C088C15-4643-4F72-9038-0BB630B16B71}">
      <text>
        <r>
          <rPr>
            <b/>
            <sz val="9"/>
            <rFont val="Tahoma"/>
            <family val="2"/>
            <charset val="1"/>
          </rPr>
          <t>Canalyst (DL):</t>
        </r>
        <r>
          <rPr>
            <sz val="9"/>
            <rFont val="Tahoma"/>
            <family val="2"/>
            <charset val="1"/>
          </rPr>
          <t xml:space="preserve">
segment numbers are restated by subtracting annual figures in 10-K and nine-months figures in Q3's 10-Q</t>
        </r>
      </text>
    </comment>
    <comment ref="A481" authorId="2" shapeId="0" xr:uid="{0B58A060-491C-40CF-897C-01D2A554A23F}">
      <text>
        <r>
          <rPr>
            <b/>
            <sz val="9"/>
            <rFont val="Tahoma"/>
            <family val="2"/>
          </rPr>
          <t xml:space="preserve">Canalyst (DL):
</t>
        </r>
        <r>
          <rPr>
            <sz val="9"/>
            <rFont val="Tahoma"/>
            <family val="2"/>
          </rPr>
          <t>In DMED segment, e</t>
        </r>
        <r>
          <rPr>
            <sz val="9"/>
            <rFont val="Tahoma"/>
            <family val="2"/>
          </rPr>
          <t xml:space="preserve">limination of revenue is the fees received by the Linear Networks from other DMED businesses for the right to air linear networks and related services. That intersegment revenue is also expensed in Direct-to-Consumer operating expenses. So the operating income of Media and Entertainment Distribution is not affected. Thus, intersegment revenue is added back in calculating segment operating income.
</t>
        </r>
      </text>
    </comment>
    <comment ref="A482" authorId="2" shapeId="0" xr:uid="{74DB401B-AEBF-459F-B954-4D78143809C4}">
      <text>
        <r>
          <rPr>
            <b/>
            <sz val="9"/>
            <rFont val="Tahoma"/>
            <family val="2"/>
          </rPr>
          <t xml:space="preserve">Canalyst (DL):
</t>
        </r>
        <r>
          <rPr>
            <sz val="9"/>
            <rFont val="Tahoma"/>
            <family val="2"/>
          </rPr>
          <t>Discrepancy cannot be identified because Q1 Q2 IS and Segment Operating Income walkthrough to Consolidated Operating Income are not restated.</t>
        </r>
      </text>
    </comment>
    <comment ref="AP482" authorId="2" shapeId="0" xr:uid="{CFA9C8DB-69C7-4506-AE19-60CCABF53AD7}">
      <text>
        <r>
          <rPr>
            <b/>
            <sz val="9"/>
            <rFont val="Tahoma"/>
            <family val="2"/>
          </rPr>
          <t xml:space="preserve">Canalyst (DL):
</t>
        </r>
        <r>
          <rPr>
            <sz val="9"/>
            <rFont val="Tahoma"/>
            <family val="2"/>
          </rPr>
          <t>Discrepancy cannot be identified because Q1 Q2 IS and Segment Operating Income walkthrough to Consolidated Operating Income are not restated.</t>
        </r>
      </text>
    </comment>
    <comment ref="AQ482" authorId="2" shapeId="0" xr:uid="{92058F88-543A-4514-BF2A-AB23A7C834C7}">
      <text>
        <r>
          <rPr>
            <b/>
            <sz val="9"/>
            <rFont val="Tahoma"/>
            <family val="2"/>
          </rPr>
          <t xml:space="preserve">Canalyst (DL):
</t>
        </r>
        <r>
          <rPr>
            <sz val="9"/>
            <rFont val="Tahoma"/>
            <family val="2"/>
          </rPr>
          <t>Discrepancy cannot be identified because Q1 Q2 IS and Segment Operating Income walkthrough to Consolidated Operating Income are not restated.</t>
        </r>
      </text>
    </comment>
    <comment ref="AS482" authorId="2" shapeId="0" xr:uid="{10393531-5786-42FE-B147-C6FF44F9C9E5}">
      <text>
        <r>
          <rPr>
            <b/>
            <sz val="9"/>
            <rFont val="Tahoma"/>
            <family val="2"/>
          </rPr>
          <t xml:space="preserve">Canalyst (DL):
</t>
        </r>
        <r>
          <rPr>
            <sz val="9"/>
            <rFont val="Tahoma"/>
            <family val="2"/>
          </rPr>
          <t>Discrepancy cannot be identified because Q1 Q2 IS and Segment Operating Income walkthrough to Consolidated Operating Income are not restated.</t>
        </r>
      </text>
    </comment>
    <comment ref="A487" authorId="2" shapeId="0" xr:uid="{A108D04D-0465-4004-9E5B-E5389165938A}">
      <text>
        <r>
          <rPr>
            <b/>
            <sz val="9"/>
            <rFont val="Tahoma"/>
            <family val="2"/>
          </rPr>
          <t xml:space="preserve">Canalyst (DL):
</t>
        </r>
        <r>
          <rPr>
            <sz val="9"/>
            <rFont val="Tahoma"/>
            <family val="2"/>
          </rPr>
          <t>Discrepancy cannot be identified because Q1 Q2 IS and Segment Operating Income walkthrough to Consolidated Operating Income are not restated.</t>
        </r>
      </text>
    </comment>
    <comment ref="AP487" authorId="2" shapeId="0" xr:uid="{D3CCAA79-889F-4084-B2CD-C48900D9B946}">
      <text>
        <r>
          <rPr>
            <b/>
            <sz val="9"/>
            <rFont val="Tahoma"/>
            <family val="2"/>
          </rPr>
          <t xml:space="preserve">Canalyst (DL):
</t>
        </r>
        <r>
          <rPr>
            <sz val="9"/>
            <rFont val="Tahoma"/>
            <family val="2"/>
          </rPr>
          <t>Discrepancy cannot be identified because Q1 Q2 IS and Segment Operating Income walkthrough to Consolidated Operating Income are not restated.</t>
        </r>
      </text>
    </comment>
    <comment ref="AQ487" authorId="2" shapeId="0" xr:uid="{CEC0625D-2707-4A75-9B1F-2C395C50E2AA}">
      <text>
        <r>
          <rPr>
            <b/>
            <sz val="9"/>
            <rFont val="Tahoma"/>
            <family val="2"/>
          </rPr>
          <t xml:space="preserve">Canalyst (DL):
</t>
        </r>
        <r>
          <rPr>
            <sz val="9"/>
            <rFont val="Tahoma"/>
            <family val="2"/>
          </rPr>
          <t>Discrepancy cannot be identified because Q1 Q2 IS and Segment Operating Income walkthrough to Consolidated Operating Income are not restated.</t>
        </r>
      </text>
    </comment>
    <comment ref="AS505" authorId="2" shapeId="0" xr:uid="{0A60F8E7-5D4D-4DDD-9F1B-849AEE28A225}">
      <text>
        <r>
          <rPr>
            <b/>
            <sz val="9"/>
            <rFont val="Tahoma"/>
            <family val="2"/>
          </rPr>
          <t xml:space="preserve">Canalyst (DL):
</t>
        </r>
        <r>
          <rPr>
            <sz val="9"/>
            <rFont val="Tahoma"/>
            <family val="2"/>
          </rPr>
          <t>Back-up with nine months data reported in Q3. Will be restated with FY2021.</t>
        </r>
      </text>
    </comment>
    <comment ref="AS506" authorId="2" shapeId="0" xr:uid="{12C9CD0E-F916-4EF4-AF4F-0AB8E5E3F6F6}">
      <text>
        <r>
          <rPr>
            <b/>
            <sz val="9"/>
            <rFont val="Tahoma"/>
            <family val="2"/>
          </rPr>
          <t xml:space="preserve">Canalyst (DL):
</t>
        </r>
        <r>
          <rPr>
            <sz val="9"/>
            <rFont val="Tahoma"/>
            <family val="2"/>
          </rPr>
          <t>Back-up with nine months data reported in Q3. Will be restated with FY2021.</t>
        </r>
      </text>
    </comment>
    <comment ref="AS511" authorId="2" shapeId="0" xr:uid="{5FD29ED3-51FA-431D-A689-EBCCC9D0C012}">
      <text>
        <r>
          <rPr>
            <b/>
            <sz val="9"/>
            <rFont val="Tahoma"/>
            <family val="2"/>
          </rPr>
          <t xml:space="preserve">Canalyst (DL):
</t>
        </r>
        <r>
          <rPr>
            <sz val="9"/>
            <rFont val="Tahoma"/>
            <family val="2"/>
          </rPr>
          <t>Back-up with nine months data reported in Q3. Will be restated with FY2021.</t>
        </r>
      </text>
    </comment>
    <comment ref="AS512" authorId="2" shapeId="0" xr:uid="{C1CA182E-0646-4F37-8C7B-823DAE5836FB}">
      <text>
        <r>
          <rPr>
            <b/>
            <sz val="9"/>
            <rFont val="Tahoma"/>
            <family val="2"/>
          </rPr>
          <t xml:space="preserve">Canalyst (DL):
</t>
        </r>
        <r>
          <rPr>
            <sz val="9"/>
            <rFont val="Tahoma"/>
            <family val="2"/>
          </rPr>
          <t>Back-up with nine months data reported in Q3. Will be restated with FY2021.</t>
        </r>
      </text>
    </comment>
    <comment ref="AS513" authorId="2" shapeId="0" xr:uid="{A6651EB4-5026-4AA6-9EBC-1908EA9E029B}">
      <text>
        <r>
          <rPr>
            <b/>
            <sz val="9"/>
            <rFont val="Tahoma"/>
            <family val="2"/>
          </rPr>
          <t xml:space="preserve">Canalyst (DL):
</t>
        </r>
        <r>
          <rPr>
            <sz val="9"/>
            <rFont val="Tahoma"/>
            <family val="2"/>
          </rPr>
          <t>Back-up with nine months data reported in Q3. Will be restated with FY2021.</t>
        </r>
      </text>
    </comment>
    <comment ref="AK518" authorId="5" shapeId="0" xr:uid="{A3D4DC95-A85C-421D-9610-C041BF48D4E8}">
      <text>
        <r>
          <rPr>
            <b/>
            <sz val="9"/>
            <rFont val="Tahoma"/>
            <family val="2"/>
            <charset val="1"/>
          </rPr>
          <t>Canalyst (PA):</t>
        </r>
        <r>
          <rPr>
            <sz val="9"/>
            <rFont val="Tahoma"/>
            <family val="2"/>
            <charset val="1"/>
          </rPr>
          <t xml:space="preserve">
Figures are derived from 6-month figures since the company did not report these numbers.</t>
        </r>
      </text>
    </comment>
    <comment ref="AK519" authorId="5" shapeId="0" xr:uid="{ED195EEB-B2C2-42AC-81D0-E284852D8F17}">
      <text>
        <r>
          <rPr>
            <b/>
            <sz val="9"/>
            <rFont val="Tahoma"/>
            <family val="2"/>
            <charset val="1"/>
          </rPr>
          <t>Canalyst (PA):</t>
        </r>
        <r>
          <rPr>
            <sz val="9"/>
            <rFont val="Tahoma"/>
            <family val="2"/>
            <charset val="1"/>
          </rPr>
          <t xml:space="preserve">
Figures are derived from 6-month figures since the company did not report these numbers.</t>
        </r>
      </text>
    </comment>
    <comment ref="AN519" authorId="0" shapeId="0" xr:uid="{57A87EDB-0E82-496E-A2F2-B13422C78AF5}">
      <text>
        <r>
          <rPr>
            <b/>
            <sz val="9"/>
            <rFont val="Tahoma"/>
            <family val="2"/>
            <charset val="1"/>
          </rPr>
          <t>Canalyst (DL):</t>
        </r>
        <r>
          <rPr>
            <sz val="9"/>
            <rFont val="Tahoma"/>
            <family val="2"/>
            <charset val="1"/>
          </rPr>
          <t xml:space="preserve">
derived by annual figure and nine months figure in Q3 </t>
        </r>
      </text>
    </comment>
    <comment ref="AK520" authorId="5" shapeId="0" xr:uid="{9F6C44F3-3739-4275-99DC-A36830952329}">
      <text>
        <r>
          <rPr>
            <b/>
            <sz val="9"/>
            <rFont val="Tahoma"/>
            <family val="2"/>
            <charset val="1"/>
          </rPr>
          <t>Canalyst (PA):</t>
        </r>
        <r>
          <rPr>
            <sz val="9"/>
            <rFont val="Tahoma"/>
            <family val="2"/>
            <charset val="1"/>
          </rPr>
          <t xml:space="preserve">
Figures are derived from 6-month figures since the company did not report these numbers.</t>
        </r>
      </text>
    </comment>
    <comment ref="AN520" authorId="0" shapeId="0" xr:uid="{20158633-0B62-4723-B5E5-E5609C149B3B}">
      <text>
        <r>
          <rPr>
            <b/>
            <sz val="9"/>
            <rFont val="Tahoma"/>
            <family val="2"/>
            <charset val="1"/>
          </rPr>
          <t>Canalyst (DL):</t>
        </r>
        <r>
          <rPr>
            <sz val="9"/>
            <rFont val="Tahoma"/>
            <family val="2"/>
            <charset val="1"/>
          </rPr>
          <t xml:space="preserve">
derived by annual figure and nine months figure in Q3 </t>
        </r>
      </text>
    </comment>
    <comment ref="AK521" authorId="5" shapeId="0" xr:uid="{7E8F6818-84BF-4CC6-ACD0-5D34A0E6EF2E}">
      <text>
        <r>
          <rPr>
            <b/>
            <sz val="9"/>
            <rFont val="Tahoma"/>
            <family val="2"/>
            <charset val="1"/>
          </rPr>
          <t>Canalyst (PA):</t>
        </r>
        <r>
          <rPr>
            <sz val="9"/>
            <rFont val="Tahoma"/>
            <family val="2"/>
            <charset val="1"/>
          </rPr>
          <t xml:space="preserve">
Figures are derived from 6-month figures since the company did not report these numbers.</t>
        </r>
      </text>
    </comment>
    <comment ref="AN523" authorId="0" shapeId="0" xr:uid="{021A9070-8BC2-4A79-84C3-9EBCA83C0821}">
      <text>
        <r>
          <rPr>
            <b/>
            <sz val="9"/>
            <rFont val="Tahoma"/>
            <family val="2"/>
            <charset val="1"/>
          </rPr>
          <t>Canalyst (DL):</t>
        </r>
        <r>
          <rPr>
            <sz val="9"/>
            <rFont val="Tahoma"/>
            <family val="2"/>
            <charset val="1"/>
          </rPr>
          <t xml:space="preserve">
segment numbers are restated by subtracting annual figures in 10-K and nine-months figures in Q3's 10-Q</t>
        </r>
      </text>
    </comment>
    <comment ref="AP523" authorId="2" shapeId="0" xr:uid="{E19250A0-CC2A-4E29-808A-3A4D3CD67181}">
      <text>
        <r>
          <rPr>
            <b/>
            <sz val="9"/>
            <rFont val="Tahoma"/>
            <family val="2"/>
          </rPr>
          <t xml:space="preserve">Canalyst (DL):
</t>
        </r>
        <r>
          <rPr>
            <sz val="9"/>
            <rFont val="Tahoma"/>
            <family val="2"/>
          </rPr>
          <t>DTC segment Q4 results not equal to subtraction of annual results and other three quarters.
The discrepancy happened between Q2 and Q3 because Q3 nine-months data not matching sum of Q1, Q2, Q3.
Thus the segment operating income consolidation for quarters also not matching annual data. Q4 data hardcoded as reported in PR.
To be restated with FY2021 10-K</t>
        </r>
      </text>
    </comment>
    <comment ref="AQ523" authorId="2" shapeId="0" xr:uid="{DC4C8C66-FEDE-48F9-9293-28781B6DBFFC}">
      <text>
        <r>
          <rPr>
            <b/>
            <sz val="9"/>
            <rFont val="Tahoma"/>
            <family val="2"/>
          </rPr>
          <t xml:space="preserve">Canalyst (DL):
</t>
        </r>
        <r>
          <rPr>
            <sz val="9"/>
            <rFont val="Tahoma"/>
            <family val="2"/>
          </rPr>
          <t>DTC segment Q4 results not equal to subtraction of annual results and other three quarters.
The discrepancy happened between Q2 and Q3 because Q3 nine-months data not matching sum of Q1, Q2, Q3.
Thus the segment operating income consolidation for quarters also not matching annual data. Q4 data hardcoded as reported in PR.
To be restated with FY2021 10-K</t>
        </r>
      </text>
    </comment>
    <comment ref="AN524" authorId="0" shapeId="0" xr:uid="{81CBE376-2972-42CD-B9C8-203AEB3E8D85}">
      <text>
        <r>
          <rPr>
            <b/>
            <sz val="9"/>
            <rFont val="Tahoma"/>
            <family val="2"/>
          </rPr>
          <t>Canalyst (DL):</t>
        </r>
        <r>
          <rPr>
            <sz val="9"/>
            <rFont val="Tahoma"/>
            <family val="2"/>
          </rPr>
          <t xml:space="preserve">
formula changed to get rid of the impact of incorporating 21CF into other business segment</t>
        </r>
      </text>
    </comment>
    <comment ref="AM532" authorId="0" shapeId="0" xr:uid="{C0348C08-09EF-4B51-97D3-9B81E656DE53}">
      <text>
        <r>
          <rPr>
            <b/>
            <sz val="9"/>
            <rFont val="Tahoma"/>
            <family val="2"/>
          </rPr>
          <t>Canalyst (DL):</t>
        </r>
        <r>
          <rPr>
            <sz val="9"/>
            <rFont val="Tahoma"/>
            <family val="2"/>
          </rPr>
          <t xml:space="preserve">
Primary impairment of investment in a cable channel at A+E TV networks</t>
        </r>
      </text>
    </comment>
    <comment ref="AN532" authorId="0" shapeId="0" xr:uid="{35E08569-D9EA-46A4-917F-D85C98D384CB}">
      <text>
        <r>
          <rPr>
            <b/>
            <sz val="9"/>
            <rFont val="Tahoma"/>
            <family val="2"/>
            <charset val="1"/>
          </rPr>
          <t>Canalyst (DL):</t>
        </r>
        <r>
          <rPr>
            <sz val="9"/>
            <rFont val="Tahoma"/>
            <family val="2"/>
            <charset val="1"/>
          </rPr>
          <t xml:space="preserve">
derived by annual figure and nine months figure in Q3 </t>
        </r>
      </text>
    </comment>
    <comment ref="AO532" authorId="0" shapeId="0" xr:uid="{5E817D1B-7537-485B-A9B1-64F088E8238F}">
      <text>
        <r>
          <rPr>
            <b/>
            <sz val="9"/>
            <rFont val="Tahoma"/>
            <family val="2"/>
          </rPr>
          <t>Canalyst (DL):</t>
        </r>
        <r>
          <rPr>
            <sz val="9"/>
            <rFont val="Tahoma"/>
            <family val="2"/>
          </rPr>
          <t xml:space="preserve">
Impairment of equity investment of Vice Group Holdings of 353 and of a A+E TV networks of 170, respectively</t>
        </r>
      </text>
    </comment>
    <comment ref="AN542" authorId="0" shapeId="0" xr:uid="{B38E0F06-ECA8-478E-992F-C4EDFB9D64A8}">
      <text>
        <r>
          <rPr>
            <b/>
            <sz val="9"/>
            <rFont val="Tahoma"/>
            <family val="2"/>
            <charset val="1"/>
          </rPr>
          <t>Canalyst (DL):</t>
        </r>
        <r>
          <rPr>
            <sz val="9"/>
            <rFont val="Tahoma"/>
            <family val="2"/>
            <charset val="1"/>
          </rPr>
          <t xml:space="preserve">
derived by annual figure and nine months figure in Q3 </t>
        </r>
      </text>
    </comment>
    <comment ref="AS542" authorId="2" shapeId="0" xr:uid="{5D54B0C9-3703-4667-BE90-C6AC9EB0E046}">
      <text>
        <r>
          <rPr>
            <b/>
            <sz val="9"/>
            <rFont val="Tahoma"/>
            <family val="2"/>
          </rPr>
          <t xml:space="preserve">Canalyst (DL):
</t>
        </r>
        <r>
          <rPr>
            <sz val="9"/>
            <rFont val="Tahoma"/>
            <family val="2"/>
          </rPr>
          <t>Using segments sum because the discrepancy in DTC segment.</t>
        </r>
      </text>
    </comment>
    <comment ref="AL543" authorId="0" shapeId="0" xr:uid="{0825EA82-453E-41FB-8778-B4F3C571C313}">
      <text>
        <r>
          <rPr>
            <b/>
            <sz val="9"/>
            <rFont val="Tahoma"/>
            <family val="2"/>
          </rPr>
          <t>Canalyst (DL):</t>
        </r>
        <r>
          <rPr>
            <sz val="9"/>
            <rFont val="Tahoma"/>
            <family val="2"/>
          </rPr>
          <t xml:space="preserve">
derived from nine-months data reported in Q3-2019</t>
        </r>
      </text>
    </comment>
    <comment ref="AN543" authorId="0" shapeId="0" xr:uid="{D3046F25-5DFB-4DFD-9126-4EBACCB44F8B}">
      <text>
        <r>
          <rPr>
            <b/>
            <sz val="9"/>
            <rFont val="Tahoma"/>
            <family val="2"/>
            <charset val="1"/>
          </rPr>
          <t>Canalyst (DL):</t>
        </r>
        <r>
          <rPr>
            <sz val="9"/>
            <rFont val="Tahoma"/>
            <family val="2"/>
            <charset val="1"/>
          </rPr>
          <t xml:space="preserve">
derived by annual figure and nine months figure in Q3 </t>
        </r>
      </text>
    </comment>
    <comment ref="AO543" authorId="0" shapeId="0" xr:uid="{91EF3F60-306D-48A6-8F0B-07B79E007507}">
      <text>
        <r>
          <rPr>
            <b/>
            <sz val="9"/>
            <rFont val="Tahoma"/>
            <family val="2"/>
          </rPr>
          <t>Canalyst (DL):</t>
        </r>
        <r>
          <rPr>
            <sz val="9"/>
            <rFont val="Tahoma"/>
            <family val="2"/>
          </rPr>
          <t xml:space="preserve">
Amortization of intangibles related to TFCF equity investees is included in step-up film and tv costs</t>
        </r>
      </text>
    </comment>
    <comment ref="AS543" authorId="2" shapeId="0" xr:uid="{52ADF817-C990-438D-BE94-11C48F9FEF22}">
      <text>
        <r>
          <rPr>
            <b/>
            <sz val="9"/>
            <rFont val="Tahoma"/>
            <family val="2"/>
          </rPr>
          <t xml:space="preserve">Canalyst (DL):
</t>
        </r>
        <r>
          <rPr>
            <sz val="9"/>
            <rFont val="Tahoma"/>
            <family val="2"/>
          </rPr>
          <t>Using segments sum because the discrepancy in DTC segment.</t>
        </r>
      </text>
    </comment>
    <comment ref="AL544" authorId="0" shapeId="0" xr:uid="{9BFE1A04-36EB-4865-B5F7-013B4BB3D281}">
      <text>
        <r>
          <rPr>
            <b/>
            <sz val="9"/>
            <rFont val="Tahoma"/>
            <family val="2"/>
          </rPr>
          <t>Canalyst (DL):</t>
        </r>
        <r>
          <rPr>
            <sz val="9"/>
            <rFont val="Tahoma"/>
            <family val="2"/>
          </rPr>
          <t xml:space="preserve">
derived from nine-months data reported in Q3-2019</t>
        </r>
      </text>
    </comment>
    <comment ref="AN544" authorId="0" shapeId="0" xr:uid="{C722B3E0-8B8B-4911-9080-E533806A172B}">
      <text>
        <r>
          <rPr>
            <b/>
            <sz val="9"/>
            <rFont val="Tahoma"/>
            <family val="2"/>
            <charset val="1"/>
          </rPr>
          <t>Canalyst (DL):</t>
        </r>
        <r>
          <rPr>
            <sz val="9"/>
            <rFont val="Tahoma"/>
            <family val="2"/>
            <charset val="1"/>
          </rPr>
          <t xml:space="preserve">
derived by annual figure and nine months figure in Q3 </t>
        </r>
      </text>
    </comment>
    <comment ref="AS544" authorId="2" shapeId="0" xr:uid="{29C2279A-F150-4FDF-AD06-A64F59F4CD22}">
      <text>
        <r>
          <rPr>
            <b/>
            <sz val="9"/>
            <rFont val="Tahoma"/>
            <family val="2"/>
          </rPr>
          <t xml:space="preserve">Canalyst (DL):
</t>
        </r>
        <r>
          <rPr>
            <sz val="9"/>
            <rFont val="Tahoma"/>
            <family val="2"/>
          </rPr>
          <t>Using segments sum because the discrepancy in DTC segment.</t>
        </r>
      </text>
    </comment>
    <comment ref="AP545" authorId="0" shapeId="0" xr:uid="{508D5CB0-274F-491C-90C9-D2AD04ADD7E9}">
      <text>
        <r>
          <rPr>
            <b/>
            <sz val="9"/>
            <rFont val="Tahoma"/>
            <family val="2"/>
          </rPr>
          <t>Canalyst (DL):</t>
        </r>
        <r>
          <rPr>
            <sz val="9"/>
            <rFont val="Tahoma"/>
            <family val="2"/>
          </rPr>
          <t xml:space="preserve">
Start to including impairment of equity since this period</t>
        </r>
      </text>
    </comment>
    <comment ref="AN550" authorId="0" shapeId="0" xr:uid="{E785CAB9-6EDD-40DD-9DA2-039D16C67A50}">
      <text>
        <r>
          <rPr>
            <b/>
            <sz val="9"/>
            <rFont val="Tahoma"/>
            <family val="2"/>
            <charset val="1"/>
          </rPr>
          <t>Canalyst (DL):</t>
        </r>
        <r>
          <rPr>
            <sz val="9"/>
            <rFont val="Tahoma"/>
            <family val="2"/>
            <charset val="1"/>
          </rPr>
          <t xml:space="preserve">
segment numbers are restated by subtracting annual figures in 10-K and nine-months figures in Q3's 10-Q</t>
        </r>
      </text>
    </comment>
    <comment ref="AN551" authorId="0" shapeId="0" xr:uid="{4419BD1F-6725-4C2E-B2C4-709B76941405}">
      <text>
        <r>
          <rPr>
            <b/>
            <sz val="9"/>
            <rFont val="Tahoma"/>
            <family val="2"/>
            <charset val="1"/>
          </rPr>
          <t>Canalyst (DL):</t>
        </r>
        <r>
          <rPr>
            <sz val="9"/>
            <rFont val="Tahoma"/>
            <family val="2"/>
            <charset val="1"/>
          </rPr>
          <t xml:space="preserve">
derived by annual figure and nine months figure in Q3 </t>
        </r>
      </text>
    </comment>
    <comment ref="AN552" authorId="0" shapeId="0" xr:uid="{4774D297-423F-46FB-B2EE-2178DA7BB88D}">
      <text>
        <r>
          <rPr>
            <b/>
            <sz val="9"/>
            <rFont val="Tahoma"/>
            <family val="2"/>
            <charset val="1"/>
          </rPr>
          <t>Canalyst (DL):</t>
        </r>
        <r>
          <rPr>
            <sz val="9"/>
            <rFont val="Tahoma"/>
            <family val="2"/>
            <charset val="1"/>
          </rPr>
          <t xml:space="preserve">
derived by annual figure and nine months figure in Q3 </t>
        </r>
      </text>
    </comment>
    <comment ref="AS553" authorId="2" shapeId="0" xr:uid="{A3216612-5EE8-427A-9D1D-331323D4192E}">
      <text>
        <r>
          <rPr>
            <b/>
            <sz val="9"/>
            <rFont val="Tahoma"/>
            <family val="2"/>
          </rPr>
          <t xml:space="preserve">Canalyst (DL):
</t>
        </r>
        <r>
          <rPr>
            <sz val="9"/>
            <rFont val="Tahoma"/>
            <family val="2"/>
          </rPr>
          <t>Back-up with nine months data reported in Q3.
Will be restated with FY2021</t>
        </r>
      </text>
    </comment>
    <comment ref="AN554" authorId="0" shapeId="0" xr:uid="{2AC20F31-2EC8-4515-805A-CD671AA7639B}">
      <text>
        <r>
          <rPr>
            <b/>
            <sz val="9"/>
            <rFont val="Tahoma"/>
            <family val="2"/>
            <charset val="1"/>
          </rPr>
          <t>Canalyst (DL):</t>
        </r>
        <r>
          <rPr>
            <sz val="9"/>
            <rFont val="Tahoma"/>
            <family val="2"/>
            <charset val="1"/>
          </rPr>
          <t xml:space="preserve">
derived by annual figure and nine months figure in Q3 </t>
        </r>
      </text>
    </comment>
    <comment ref="AN555" authorId="0" shapeId="0" xr:uid="{80E309B0-B104-40B1-A488-B406853F3DD5}">
      <text>
        <r>
          <rPr>
            <b/>
            <sz val="9"/>
            <rFont val="Tahoma"/>
            <family val="2"/>
            <charset val="1"/>
          </rPr>
          <t>Canalyst (DL):</t>
        </r>
        <r>
          <rPr>
            <sz val="9"/>
            <rFont val="Tahoma"/>
            <family val="2"/>
            <charset val="1"/>
          </rPr>
          <t xml:space="preserve">
derived by annual figure and nine months figure in Q3 </t>
        </r>
      </text>
    </comment>
    <comment ref="AL559" authorId="0" shapeId="0" xr:uid="{CF73879E-9F68-408F-A606-FC36897346A0}">
      <text>
        <r>
          <rPr>
            <b/>
            <sz val="9"/>
            <rFont val="Tahoma"/>
            <family val="2"/>
          </rPr>
          <t>Canalyst (DL):</t>
        </r>
        <r>
          <rPr>
            <sz val="9"/>
            <rFont val="Tahoma"/>
            <family val="2"/>
          </rPr>
          <t xml:space="preserve">
21CF is no longer list as a separate segment</t>
        </r>
      </text>
    </comment>
    <comment ref="AM559" authorId="0" shapeId="0" xr:uid="{BE876591-343D-45C8-8321-983B5189BD27}">
      <text>
        <r>
          <rPr>
            <b/>
            <sz val="9"/>
            <rFont val="Tahoma"/>
            <family val="2"/>
          </rPr>
          <t>Canalyst (DL):</t>
        </r>
        <r>
          <rPr>
            <sz val="9"/>
            <rFont val="Tahoma"/>
            <family val="2"/>
          </rPr>
          <t xml:space="preserve">
21CF is no longer list as a separate segment</t>
        </r>
      </text>
    </comment>
    <comment ref="AO559" authorId="0" shapeId="0" xr:uid="{B689DD60-61CA-4F69-A17E-2B0D33BA5697}">
      <text>
        <r>
          <rPr>
            <b/>
            <sz val="9"/>
            <rFont val="Tahoma"/>
            <family val="2"/>
          </rPr>
          <t>Canalyst (DL):</t>
        </r>
        <r>
          <rPr>
            <sz val="9"/>
            <rFont val="Tahoma"/>
            <family val="2"/>
          </rPr>
          <t xml:space="preserve">
21CF is no longer list as a separate segment</t>
        </r>
      </text>
    </comment>
    <comment ref="AL568" authorId="6" shapeId="0" xr:uid="{15BBEBAA-FFCB-4A04-B3A5-0D5944ADACF5}">
      <text>
        <r>
          <rPr>
            <b/>
            <sz val="9"/>
            <rFont val="Tahoma"/>
            <family val="2"/>
          </rPr>
          <t>Canalyst (BW):</t>
        </r>
        <r>
          <rPr>
            <sz val="9"/>
            <rFont val="Tahoma"/>
            <family val="2"/>
          </rPr>
          <t xml:space="preserve">
includes amortization of intangible assets of Hulu</t>
        </r>
      </text>
    </comment>
    <comment ref="A650" authorId="7" shapeId="0" xr:uid="{00000000-0006-0000-0100-000001000000}">
      <text>
        <r>
          <rPr>
            <b/>
            <sz val="9"/>
            <rFont val="Tahoma"/>
            <family val="2"/>
          </rPr>
          <t>Canalyst (AE):</t>
        </r>
        <r>
          <rPr>
            <sz val="9"/>
            <rFont val="Tahoma"/>
            <family val="2"/>
          </rPr>
          <t xml:space="preserve">
Reported on a constant currency basis.
</t>
        </r>
      </text>
    </comment>
    <comment ref="AP714" authorId="2" shapeId="0" xr:uid="{CF004E7D-CB2A-474A-AE34-7DAC40115BEF}">
      <text>
        <r>
          <rPr>
            <b/>
            <sz val="9"/>
            <rFont val="Tahoma"/>
            <family val="2"/>
          </rPr>
          <t xml:space="preserve">Canalyst (DL):
</t>
        </r>
        <r>
          <rPr>
            <sz val="9"/>
            <rFont val="Tahoma"/>
            <family val="2"/>
          </rPr>
          <t>DTC segment Q4 results not equal to subtraction of annual results and other three quarters.
The discrepancy happened between Q2 and Q3 because Q3 nine-months data not matching sum of Q1, Q2, Q3.
Thus the segment operating income consolidation for quarters also not matching annual data. Q4 data hardcoded as reported in PR.
To be restated with FY2021 10-K</t>
        </r>
      </text>
    </comment>
    <comment ref="AQ714" authorId="2" shapeId="0" xr:uid="{087BDAE9-6BC3-4113-88F6-924334727864}">
      <text>
        <r>
          <rPr>
            <b/>
            <sz val="9"/>
            <rFont val="Tahoma"/>
            <family val="2"/>
          </rPr>
          <t xml:space="preserve">Canalyst (DL):
</t>
        </r>
        <r>
          <rPr>
            <sz val="9"/>
            <rFont val="Tahoma"/>
            <family val="2"/>
          </rPr>
          <t>DTC segment Q4 results not equal to subtraction of annual results and other three quarters.
The discrepancy happened between Q2 and Q3 because Q3 nine-months data not matching sum of Q1, Q2, Q3.
Thus the segment operating income consolidation for quarters also not matching annual data. Q4 data hardcoded as reported in PR.
To be restated with FY2021 10-K</t>
        </r>
      </text>
    </comment>
    <comment ref="AS718" authorId="2" shapeId="0" xr:uid="{32AB9DF5-5AB5-4A6E-A6AE-EA8168EE0645}">
      <text>
        <r>
          <rPr>
            <b/>
            <sz val="9"/>
            <rFont val="Tahoma"/>
            <family val="2"/>
          </rPr>
          <t xml:space="preserve">Canalyst (DL):
</t>
        </r>
        <r>
          <rPr>
            <sz val="9"/>
            <rFont val="Tahoma"/>
            <family val="2"/>
          </rPr>
          <t>Back-up with nine months data reported in Q3.
Will be restated with FY2021</t>
        </r>
      </text>
    </comment>
    <comment ref="AS719" authorId="2" shapeId="0" xr:uid="{12360116-6DA2-492D-A7D7-506F585E141F}">
      <text>
        <r>
          <rPr>
            <b/>
            <sz val="9"/>
            <rFont val="Tahoma"/>
            <family val="2"/>
          </rPr>
          <t xml:space="preserve">Canalyst (DL):
</t>
        </r>
        <r>
          <rPr>
            <sz val="9"/>
            <rFont val="Tahoma"/>
            <family val="2"/>
          </rPr>
          <t>Back-up with nine months data reported in Q3.
Will be restated with FY2021</t>
        </r>
      </text>
    </comment>
    <comment ref="AL720" authorId="0" shapeId="0" xr:uid="{53396454-4B02-49F9-96B7-17BAE6F0E346}">
      <text>
        <r>
          <rPr>
            <b/>
            <sz val="9"/>
            <rFont val="Tahoma"/>
            <family val="2"/>
          </rPr>
          <t>Canalyst (DL):</t>
        </r>
        <r>
          <rPr>
            <sz val="9"/>
            <rFont val="Tahoma"/>
            <family val="2"/>
          </rPr>
          <t xml:space="preserve">
Depreciation of 21CF of 72 million is attributed in SG&amp;A</t>
        </r>
      </text>
    </comment>
    <comment ref="AN720" authorId="5" shapeId="0" xr:uid="{4369D827-1AB5-43D6-930F-A8444F95BD69}">
      <text>
        <r>
          <rPr>
            <b/>
            <sz val="9"/>
            <rFont val="Tahoma"/>
            <family val="2"/>
          </rPr>
          <t>Canalyst (PA):</t>
        </r>
        <r>
          <rPr>
            <sz val="9"/>
            <rFont val="Tahoma"/>
            <family val="2"/>
          </rPr>
          <t xml:space="preserve">
Derived by subtracting nine month figure of Q3 from annual figure 2019</t>
        </r>
      </text>
    </comment>
    <comment ref="AS720" authorId="2" shapeId="0" xr:uid="{2928102D-DDB3-4086-939F-C3655A078FA4}">
      <text>
        <r>
          <rPr>
            <b/>
            <sz val="9"/>
            <rFont val="Tahoma"/>
            <family val="2"/>
          </rPr>
          <t xml:space="preserve">Canalyst (DL):
</t>
        </r>
        <r>
          <rPr>
            <sz val="9"/>
            <rFont val="Tahoma"/>
            <family val="2"/>
          </rPr>
          <t>Back-up with nine months data reported in Q3.
Will be restated with FY2021</t>
        </r>
      </text>
    </comment>
    <comment ref="AS721" authorId="2" shapeId="0" xr:uid="{5CB7A884-1AFB-4610-BC2F-452088A77F1D}">
      <text>
        <r>
          <rPr>
            <b/>
            <sz val="9"/>
            <rFont val="Tahoma"/>
            <family val="2"/>
          </rPr>
          <t xml:space="preserve">Canalyst (DL):
</t>
        </r>
        <r>
          <rPr>
            <sz val="9"/>
            <rFont val="Tahoma"/>
            <family val="2"/>
          </rPr>
          <t>Back-up with nine months data reported in Q3.
Will be restated with FY2021</t>
        </r>
      </text>
    </comment>
    <comment ref="AN726" authorId="5" shapeId="0" xr:uid="{D37D54AD-FE88-4A27-A64C-BE1439A9E58A}">
      <text>
        <r>
          <rPr>
            <b/>
            <sz val="9"/>
            <rFont val="Tahoma"/>
            <family val="2"/>
          </rPr>
          <t>Canalyst (PA):</t>
        </r>
        <r>
          <rPr>
            <sz val="9"/>
            <rFont val="Tahoma"/>
            <family val="2"/>
          </rPr>
          <t xml:space="preserve">
Derived by subtracting nine month figure of Q3 from annual figure 2019</t>
        </r>
      </text>
    </comment>
    <comment ref="AS728" authorId="2" shapeId="0" xr:uid="{BDE9E643-77C3-4B4E-84B0-43FDA87027E4}">
      <text>
        <r>
          <rPr>
            <b/>
            <sz val="9"/>
            <rFont val="Tahoma"/>
            <family val="2"/>
          </rPr>
          <t xml:space="preserve">Canalyst (DL):
</t>
        </r>
        <r>
          <rPr>
            <sz val="9"/>
            <rFont val="Tahoma"/>
            <family val="2"/>
          </rPr>
          <t>Back-up with nine months data reported in Q3.
Will be restated with FY2021</t>
        </r>
      </text>
    </comment>
    <comment ref="AS730" authorId="2" shapeId="0" xr:uid="{1930FFC5-1744-4E04-AC04-88BE92B8C591}">
      <text>
        <r>
          <rPr>
            <b/>
            <sz val="9"/>
            <rFont val="Tahoma"/>
            <family val="2"/>
          </rPr>
          <t xml:space="preserve">Canalyst (DL):
</t>
        </r>
        <r>
          <rPr>
            <sz val="9"/>
            <rFont val="Tahoma"/>
            <family val="2"/>
          </rPr>
          <t>Back-up with nine months data reported in Q3.
Will be restated with FY2021</t>
        </r>
      </text>
    </comment>
    <comment ref="AR736" authorId="4" shapeId="0" xr:uid="{95B450D1-5183-46D7-989E-943BF143CFE4}">
      <text>
        <r>
          <rPr>
            <b/>
            <sz val="9"/>
            <rFont val="Tahoma"/>
            <family val="2"/>
          </rPr>
          <t>Canalyst (JK):</t>
        </r>
        <r>
          <rPr>
            <sz val="9"/>
            <rFont val="Tahoma"/>
            <family val="2"/>
          </rPr>
          <t xml:space="preserve">
Net income on the IS  as reported as is net income on the CFS. 9M Net income from continued operations differs from sum of reported 3M values over this time period despite consolidated net income remaining the same. This likely reflects a change in definition for continued operations driving this discrepancy</t>
        </r>
      </text>
    </comment>
    <comment ref="K755" authorId="7" shapeId="0" xr:uid="{00000000-0006-0000-0100-000002000000}">
      <text>
        <r>
          <rPr>
            <b/>
            <sz val="9"/>
            <rFont val="Tahoma"/>
            <family val="2"/>
          </rPr>
          <t>Canalyst (AE):</t>
        </r>
        <r>
          <rPr>
            <sz val="9"/>
            <rFont val="Tahoma"/>
            <family val="2"/>
          </rPr>
          <t xml:space="preserve">
as reported</t>
        </r>
      </text>
    </comment>
    <comment ref="T755" authorId="7" shapeId="0" xr:uid="{00000000-0006-0000-0100-000003000000}">
      <text>
        <r>
          <rPr>
            <b/>
            <sz val="9"/>
            <rFont val="Tahoma"/>
            <family val="2"/>
          </rPr>
          <t>Canalyst (AE):</t>
        </r>
        <r>
          <rPr>
            <sz val="9"/>
            <rFont val="Tahoma"/>
            <family val="2"/>
          </rPr>
          <t xml:space="preserve">
as reported</t>
        </r>
      </text>
    </comment>
    <comment ref="AG755" authorId="4" shapeId="0" xr:uid="{00000000-0006-0000-0100-000004000000}">
      <text>
        <r>
          <rPr>
            <b/>
            <sz val="9"/>
            <rFont val="Tahoma"/>
            <family val="2"/>
          </rPr>
          <t>Canalyst (JK):</t>
        </r>
        <r>
          <rPr>
            <sz val="9"/>
            <rFont val="Tahoma"/>
            <family val="2"/>
          </rPr>
          <t xml:space="preserve">
Hardcoded as reported - rounding error</t>
        </r>
      </text>
    </comment>
    <comment ref="AH755" authorId="8" shapeId="0" xr:uid="{00000000-0006-0000-0100-000005000000}">
      <text>
        <r>
          <rPr>
            <b/>
            <sz val="9"/>
            <rFont val="Tahoma"/>
            <family val="2"/>
          </rPr>
          <t>Canalyst (SL):</t>
        </r>
        <r>
          <rPr>
            <sz val="9"/>
            <rFont val="Tahoma"/>
            <family val="2"/>
          </rPr>
          <t xml:space="preserve">
Hardcoded as reported, difference due to rounding error</t>
        </r>
      </text>
    </comment>
    <comment ref="AI755" authorId="9" shapeId="0" xr:uid="{00000000-0006-0000-0100-000006000000}">
      <text>
        <r>
          <rPr>
            <b/>
            <sz val="9"/>
            <rFont val="Tahoma"/>
            <family val="2"/>
          </rPr>
          <t>Canalyst (AlD):</t>
        </r>
        <r>
          <rPr>
            <sz val="9"/>
            <rFont val="Tahoma"/>
            <family val="2"/>
          </rPr>
          <t xml:space="preserve">
reported as 1.48</t>
        </r>
      </text>
    </comment>
    <comment ref="AO755" authorId="0" shapeId="0" xr:uid="{26D2F23E-BE8F-4601-A473-99A9FF21C055}">
      <text>
        <r>
          <rPr>
            <b/>
            <sz val="9"/>
            <rFont val="Tahoma"/>
            <family val="2"/>
          </rPr>
          <t>Canalyst (DL):</t>
        </r>
        <r>
          <rPr>
            <sz val="9"/>
            <rFont val="Tahoma"/>
            <family val="2"/>
          </rPr>
          <t xml:space="preserve">
reported as 5.77</t>
        </r>
      </text>
    </comment>
    <comment ref="AR755" authorId="4" shapeId="0" xr:uid="{E931C92F-2825-4EA4-90E0-C078A0FB949A}">
      <text>
        <r>
          <rPr>
            <b/>
            <sz val="9"/>
            <rFont val="Tahoma"/>
            <family val="2"/>
          </rPr>
          <t>Canalyst (JK):</t>
        </r>
        <r>
          <rPr>
            <sz val="9"/>
            <rFont val="Tahoma"/>
            <family val="2"/>
          </rPr>
          <t xml:space="preserve">
Hardcoded as reported</t>
        </r>
      </text>
    </comment>
    <comment ref="AV755" authorId="10" shapeId="0" xr:uid="{4B82DBE3-E90E-470A-B72D-DD40A2E3C235}">
      <text>
        <r>
          <rPr>
            <b/>
            <sz val="9"/>
            <rFont val="Tahoma"/>
            <family val="2"/>
            <charset val="1"/>
          </rPr>
          <t>Canalyst (HS):</t>
        </r>
        <r>
          <rPr>
            <sz val="9"/>
            <rFont val="Tahoma"/>
            <family val="2"/>
            <charset val="1"/>
          </rPr>
          <t xml:space="preserve">
Reported as 0.79</t>
        </r>
      </text>
    </comment>
    <comment ref="C764" authorId="7" shapeId="0" xr:uid="{00000000-0006-0000-0100-000007000000}">
      <text>
        <r>
          <rPr>
            <b/>
            <sz val="9"/>
            <rFont val="Tahoma"/>
            <family val="2"/>
          </rPr>
          <t>Canalyst (AE):</t>
        </r>
        <r>
          <rPr>
            <sz val="9"/>
            <rFont val="Tahoma"/>
            <family val="2"/>
          </rPr>
          <t xml:space="preserve">
this number is the total of COGS and SG&amp;A
</t>
        </r>
      </text>
    </comment>
    <comment ref="D764" authorId="7" shapeId="0" xr:uid="{00000000-0006-0000-0100-000008000000}">
      <text>
        <r>
          <rPr>
            <b/>
            <sz val="9"/>
            <rFont val="Tahoma"/>
            <family val="2"/>
          </rPr>
          <t>Canalyst (AE):</t>
        </r>
        <r>
          <rPr>
            <sz val="9"/>
            <rFont val="Tahoma"/>
            <family val="2"/>
          </rPr>
          <t xml:space="preserve">
this number is the total of COGS and SG&amp;A
</t>
        </r>
      </text>
    </comment>
    <comment ref="E764" authorId="7" shapeId="0" xr:uid="{00000000-0006-0000-0100-000009000000}">
      <text>
        <r>
          <rPr>
            <b/>
            <sz val="9"/>
            <rFont val="Tahoma"/>
            <family val="2"/>
          </rPr>
          <t>Canalyst (AE):</t>
        </r>
        <r>
          <rPr>
            <sz val="9"/>
            <rFont val="Tahoma"/>
            <family val="2"/>
          </rPr>
          <t xml:space="preserve">
this number is the total of COGS and SG&amp;A
</t>
        </r>
      </text>
    </comment>
    <comment ref="F764" authorId="7" shapeId="0" xr:uid="{00000000-0006-0000-0100-00000A000000}">
      <text>
        <r>
          <rPr>
            <b/>
            <sz val="9"/>
            <rFont val="Tahoma"/>
            <family val="2"/>
          </rPr>
          <t>Canalyst (AE):</t>
        </r>
        <r>
          <rPr>
            <sz val="9"/>
            <rFont val="Tahoma"/>
            <family val="2"/>
          </rPr>
          <t xml:space="preserve">
this number is the total of COGS and SG&amp;A
</t>
        </r>
      </text>
    </comment>
    <comment ref="G764" authorId="7" shapeId="0" xr:uid="{00000000-0006-0000-0100-00000B000000}">
      <text>
        <r>
          <rPr>
            <b/>
            <sz val="9"/>
            <rFont val="Tahoma"/>
            <family val="2"/>
          </rPr>
          <t>Canalyst (AE):</t>
        </r>
        <r>
          <rPr>
            <sz val="9"/>
            <rFont val="Tahoma"/>
            <family val="2"/>
          </rPr>
          <t xml:space="preserve">
this number is the total of COGS and SG&amp;A
</t>
        </r>
      </text>
    </comment>
    <comment ref="H764" authorId="7" shapeId="0" xr:uid="{00000000-0006-0000-0100-00000C000000}">
      <text>
        <r>
          <rPr>
            <b/>
            <sz val="9"/>
            <rFont val="Tahoma"/>
            <family val="2"/>
          </rPr>
          <t>Canalyst (AE):</t>
        </r>
        <r>
          <rPr>
            <sz val="9"/>
            <rFont val="Tahoma"/>
            <family val="2"/>
          </rPr>
          <t xml:space="preserve">
this number is the total of COGS and SG&amp;A
</t>
        </r>
      </text>
    </comment>
    <comment ref="I764" authorId="7" shapeId="0" xr:uid="{00000000-0006-0000-0100-00000D000000}">
      <text>
        <r>
          <rPr>
            <b/>
            <sz val="9"/>
            <rFont val="Tahoma"/>
            <family val="2"/>
          </rPr>
          <t>Canalyst (AE):</t>
        </r>
        <r>
          <rPr>
            <sz val="9"/>
            <rFont val="Tahoma"/>
            <family val="2"/>
          </rPr>
          <t xml:space="preserve">
this number is the total of COGS and SG&amp;A
</t>
        </r>
      </text>
    </comment>
    <comment ref="J764" authorId="7" shapeId="0" xr:uid="{00000000-0006-0000-0100-00000E000000}">
      <text>
        <r>
          <rPr>
            <b/>
            <sz val="9"/>
            <rFont val="Tahoma"/>
            <family val="2"/>
          </rPr>
          <t>Canalyst (AE):</t>
        </r>
        <r>
          <rPr>
            <sz val="9"/>
            <rFont val="Tahoma"/>
            <family val="2"/>
          </rPr>
          <t xml:space="preserve">
this number is the total of COGS and SG&amp;A
</t>
        </r>
      </text>
    </comment>
    <comment ref="AL791" authorId="1" shapeId="0" xr:uid="{19D72BC3-3E17-4DF4-A332-F0DB88D74B12}">
      <text>
        <r>
          <rPr>
            <b/>
            <sz val="9"/>
            <rFont val="Tahoma"/>
            <family val="2"/>
          </rPr>
          <t>Canalyst (JH):</t>
        </r>
        <r>
          <rPr>
            <sz val="9"/>
            <rFont val="Tahoma"/>
            <family val="2"/>
          </rPr>
          <t xml:space="preserve">
formula adjusted for discontinuing operation</t>
        </r>
      </text>
    </comment>
    <comment ref="AM791" authorId="1" shapeId="0" xr:uid="{5F2FD692-17D4-4C10-9957-45E9851840F8}">
      <text>
        <r>
          <rPr>
            <b/>
            <sz val="9"/>
            <rFont val="Tahoma"/>
            <family val="2"/>
          </rPr>
          <t>Canalyst (JH):</t>
        </r>
        <r>
          <rPr>
            <sz val="9"/>
            <rFont val="Tahoma"/>
            <family val="2"/>
          </rPr>
          <t xml:space="preserve">
formula adjusted for discontinuing operation</t>
        </r>
      </text>
    </comment>
    <comment ref="AG798" authorId="4" shapeId="0" xr:uid="{00000000-0006-0000-0100-00000F000000}">
      <text>
        <r>
          <rPr>
            <b/>
            <sz val="9"/>
            <rFont val="Tahoma"/>
            <family val="2"/>
          </rPr>
          <t>Canalyst (JK):</t>
        </r>
        <r>
          <rPr>
            <sz val="9"/>
            <rFont val="Tahoma"/>
            <family val="2"/>
          </rPr>
          <t xml:space="preserve">
Reported as $1.84 - rounding error due to adjustments being reported on a per share basis</t>
        </r>
      </text>
    </comment>
    <comment ref="AH798" authorId="8" shapeId="0" xr:uid="{00000000-0006-0000-0100-000010000000}">
      <text>
        <r>
          <rPr>
            <b/>
            <sz val="9"/>
            <rFont val="Tahoma"/>
            <family val="2"/>
          </rPr>
          <t>Canalyst (SL):</t>
        </r>
        <r>
          <rPr>
            <sz val="9"/>
            <rFont val="Tahoma"/>
            <family val="2"/>
          </rPr>
          <t xml:space="preserve">
Reported as 1.87, difference due to rounding error</t>
        </r>
      </text>
    </comment>
    <comment ref="AO798" authorId="0" shapeId="0" xr:uid="{77B841DC-C61F-4A95-AAE7-FFBFE5032DE4}">
      <text>
        <r>
          <rPr>
            <b/>
            <sz val="9"/>
            <rFont val="Tahoma"/>
            <family val="2"/>
          </rPr>
          <t>Canalyst (DL):</t>
        </r>
        <r>
          <rPr>
            <sz val="9"/>
            <rFont val="Tahoma"/>
            <family val="2"/>
          </rPr>
          <t xml:space="preserve">
reported as 5.77</t>
        </r>
      </text>
    </comment>
    <comment ref="AR798" authorId="4" shapeId="0" xr:uid="{0E806B7F-9039-48B0-95E6-A66D4323B5C0}">
      <text>
        <r>
          <rPr>
            <b/>
            <sz val="9"/>
            <rFont val="Tahoma"/>
            <family val="2"/>
          </rPr>
          <t>Canalyst (JK):</t>
        </r>
        <r>
          <rPr>
            <sz val="9"/>
            <rFont val="Tahoma"/>
            <family val="2"/>
          </rPr>
          <t xml:space="preserve">
Reported as $0.08</t>
        </r>
      </text>
    </comment>
    <comment ref="AV798" authorId="10" shapeId="0" xr:uid="{23D575F5-C0CE-4150-ADA7-75207A69AD47}">
      <text>
        <r>
          <rPr>
            <b/>
            <sz val="9"/>
            <rFont val="Tahoma"/>
            <family val="2"/>
            <charset val="1"/>
          </rPr>
          <t>Canalyst (HS):</t>
        </r>
        <r>
          <rPr>
            <sz val="9"/>
            <rFont val="Tahoma"/>
            <family val="2"/>
            <charset val="1"/>
          </rPr>
          <t xml:space="preserve">
Reported as 0.79</t>
        </r>
      </text>
    </comment>
    <comment ref="AM801" authorId="1" shapeId="0" xr:uid="{0B1F71D4-AAA1-476B-A3A5-F2F95BD2C77F}">
      <text>
        <r>
          <rPr>
            <b/>
            <sz val="9"/>
            <rFont val="Tahoma"/>
            <family val="2"/>
          </rPr>
          <t>Canalyst (JH):</t>
        </r>
        <r>
          <rPr>
            <sz val="9"/>
            <rFont val="Tahoma"/>
            <family val="2"/>
          </rPr>
          <t xml:space="preserve">
shares outstanding as of March 30 2019</t>
        </r>
      </text>
    </comment>
    <comment ref="AM802" authorId="1" shapeId="0" xr:uid="{C7783B0F-185A-4614-B029-7F0A9AD198C9}">
      <text>
        <r>
          <rPr>
            <b/>
            <sz val="9"/>
            <rFont val="Tahoma"/>
            <family val="2"/>
          </rPr>
          <t>Canalyst (JH):</t>
        </r>
        <r>
          <rPr>
            <sz val="9"/>
            <rFont val="Tahoma"/>
            <family val="2"/>
          </rPr>
          <t xml:space="preserve">
shares outstanding as of March 30 2019</t>
        </r>
      </text>
    </comment>
    <comment ref="AM803" authorId="1" shapeId="0" xr:uid="{50371F31-DBB9-4768-A2A7-55E774951BDC}">
      <text>
        <r>
          <rPr>
            <b/>
            <sz val="9"/>
            <rFont val="Tahoma"/>
            <family val="2"/>
          </rPr>
          <t>Canalyst (JH):</t>
        </r>
        <r>
          <rPr>
            <sz val="9"/>
            <rFont val="Tahoma"/>
            <family val="2"/>
          </rPr>
          <t xml:space="preserve">
shares outstanding as of March 30 2019</t>
        </r>
      </text>
    </comment>
    <comment ref="V811" authorId="11" shapeId="0" xr:uid="{00000000-0006-0000-0100-000011000000}">
      <text>
        <r>
          <rPr>
            <b/>
            <sz val="9"/>
            <rFont val="Tahoma"/>
            <family val="2"/>
          </rPr>
          <t>Canalyst (BP):</t>
        </r>
        <r>
          <rPr>
            <sz val="9"/>
            <rFont val="Tahoma"/>
            <family val="2"/>
          </rPr>
          <t xml:space="preserve">
Acquisition of 11% interest in Vice.</t>
        </r>
      </text>
    </comment>
    <comment ref="Y811" authorId="11" shapeId="0" xr:uid="{00000000-0006-0000-0100-000012000000}">
      <text>
        <r>
          <rPr>
            <b/>
            <sz val="9"/>
            <rFont val="Tahoma"/>
            <family val="2"/>
          </rPr>
          <t>Canalyst (BP):</t>
        </r>
        <r>
          <rPr>
            <sz val="9"/>
            <rFont val="Tahoma"/>
            <family val="2"/>
          </rPr>
          <t xml:space="preserve">
Acquisition of 15% interest in BAMTech.</t>
        </r>
      </text>
    </comment>
    <comment ref="AB811" authorId="11" shapeId="0" xr:uid="{00000000-0006-0000-0100-000013000000}">
      <text>
        <r>
          <rPr>
            <b/>
            <sz val="9"/>
            <rFont val="Tahoma"/>
            <family val="2"/>
          </rPr>
          <t>Canalyst (BP):</t>
        </r>
        <r>
          <rPr>
            <sz val="9"/>
            <rFont val="Tahoma"/>
            <family val="2"/>
          </rPr>
          <t xml:space="preserve">
Acquisition of additional 18% interest in BAMTech.</t>
        </r>
      </text>
    </comment>
    <comment ref="AD914" authorId="9" shapeId="0" xr:uid="{00000000-0006-0000-0100-000014000000}">
      <text>
        <r>
          <rPr>
            <b/>
            <sz val="9"/>
            <rFont val="Tahoma"/>
            <family val="2"/>
          </rPr>
          <t>Canalyst (AlD):</t>
        </r>
        <r>
          <rPr>
            <sz val="9"/>
            <rFont val="Tahoma"/>
            <family val="2"/>
          </rPr>
          <t xml:space="preserve">
Adjusted since company began to include Restricted cash to the ending CFS balance.</t>
        </r>
      </text>
    </comment>
    <comment ref="AE914" authorId="9" shapeId="0" xr:uid="{00000000-0006-0000-0100-000015000000}">
      <text>
        <r>
          <rPr>
            <b/>
            <sz val="9"/>
            <rFont val="Tahoma"/>
            <family val="2"/>
          </rPr>
          <t>Canalyst (AlD):</t>
        </r>
        <r>
          <rPr>
            <sz val="9"/>
            <rFont val="Tahoma"/>
            <family val="2"/>
          </rPr>
          <t xml:space="preserve">
Adjusted since company began to include Restricted cash to the ending CFS balance.</t>
        </r>
      </text>
    </comment>
    <comment ref="AD965" authorId="9" shapeId="0" xr:uid="{00000000-0006-0000-0100-000016000000}">
      <text>
        <r>
          <rPr>
            <b/>
            <sz val="9"/>
            <rFont val="Tahoma"/>
            <family val="2"/>
          </rPr>
          <t>Canalyst (AlD):</t>
        </r>
        <r>
          <rPr>
            <sz val="9"/>
            <rFont val="Tahoma"/>
            <family val="2"/>
          </rPr>
          <t xml:space="preserve">
Adjusted since company began to include Restricted cash to the ending CFS balance.</t>
        </r>
      </text>
    </comment>
    <comment ref="AE965" authorId="9" shapeId="0" xr:uid="{00000000-0006-0000-0100-000017000000}">
      <text>
        <r>
          <rPr>
            <b/>
            <sz val="9"/>
            <rFont val="Tahoma"/>
            <family val="2"/>
          </rPr>
          <t>Canalyst (AlD):</t>
        </r>
        <r>
          <rPr>
            <sz val="9"/>
            <rFont val="Tahoma"/>
            <family val="2"/>
          </rPr>
          <t xml:space="preserve">
Adjusted since company began to include Restricted cash to the ending CFS balance.</t>
        </r>
      </text>
    </comment>
    <comment ref="AD968" authorId="9" shapeId="0" xr:uid="{00000000-0006-0000-0100-000018000000}">
      <text>
        <r>
          <rPr>
            <b/>
            <sz val="9"/>
            <rFont val="Tahoma"/>
            <family val="2"/>
          </rPr>
          <t>Canalyst (AlD):</t>
        </r>
        <r>
          <rPr>
            <sz val="9"/>
            <rFont val="Tahoma"/>
            <family val="2"/>
          </rPr>
          <t xml:space="preserve">
Adjusted since company began to include Restricted cash to the ending CFS balance.</t>
        </r>
      </text>
    </comment>
    <comment ref="AL968" authorId="6" shapeId="0" xr:uid="{6E128A89-AE31-48A0-B01B-D828B8F03A35}">
      <text>
        <r>
          <rPr>
            <b/>
            <sz val="9"/>
            <rFont val="Tahoma"/>
            <family val="2"/>
          </rPr>
          <t>Canalyst (BW):</t>
        </r>
        <r>
          <rPr>
            <sz val="9"/>
            <rFont val="Tahoma"/>
            <family val="2"/>
          </rPr>
          <t xml:space="preserve">
adjusted for restricted cash not report in PR</t>
        </r>
      </text>
    </comment>
    <comment ref="AM968" authorId="0" shapeId="0" xr:uid="{880678B7-330B-44D5-B610-D99DDC1CBBCF}">
      <text>
        <r>
          <rPr>
            <b/>
            <sz val="9"/>
            <rFont val="Tahoma"/>
            <family val="2"/>
          </rPr>
          <t>Canalyst (DL):</t>
        </r>
        <r>
          <rPr>
            <sz val="9"/>
            <rFont val="Tahoma"/>
            <family val="2"/>
          </rPr>
          <t xml:space="preserve">
formula changed due to restricted cash in asset hold for sale</t>
        </r>
      </text>
    </comment>
    <comment ref="AL989" authorId="1" shapeId="0" xr:uid="{AA1F49DB-8864-485A-A787-0C8D6CA11E1D}">
      <text>
        <r>
          <rPr>
            <b/>
            <sz val="9"/>
            <rFont val="Tahoma"/>
            <family val="2"/>
          </rPr>
          <t>Canalyst (JH):</t>
        </r>
        <r>
          <rPr>
            <sz val="9"/>
            <rFont val="Tahoma"/>
            <family val="2"/>
          </rPr>
          <t xml:space="preserve">
On March 20, 2019 the Company acquired Twenty-First Century Fox, Inc. (“21CF”) . As part of the acquisition, the Company agreed to sell 21CF’s Regional Sports Networks and certain sports operations in Brazil and Mexico. The assets and liabilities of these operations are reported as held for sale and the income and cash flows are reported as discontinued operations. In addition, as a result of the 21CF acquisition the Company’s ownership interest in Hulu LLC (Hulu) increased to 60% and the Company started consolidating the results of Hulu. 21CF and Hulu results are consolidated from the acquisition date through March 30, 2019.</t>
        </r>
      </text>
    </comment>
    <comment ref="A990" authorId="2" shapeId="0" xr:uid="{2C597137-A604-4A37-8E45-73618771DC79}">
      <text>
        <r>
          <rPr>
            <b/>
            <sz val="9"/>
            <rFont val="Tahoma"/>
            <family val="2"/>
          </rPr>
          <t xml:space="preserve">Canalyst (DL):
</t>
        </r>
        <r>
          <rPr>
            <sz val="9"/>
            <rFont val="Tahoma"/>
            <family val="2"/>
          </rPr>
          <t>Linked to Film and television costs</t>
        </r>
      </text>
    </comment>
    <comment ref="AP1011" authorId="4" shapeId="0" xr:uid="{0A79B0B5-2F91-4FB2-B4C7-A431A9D6016F}">
      <text>
        <r>
          <rPr>
            <b/>
            <sz val="9"/>
            <rFont val="Tahoma"/>
            <family val="2"/>
          </rPr>
          <t>Canalyst (JK):</t>
        </r>
        <r>
          <rPr>
            <sz val="9"/>
            <rFont val="Tahoma"/>
            <family val="2"/>
          </rPr>
          <t xml:space="preserve">
Adjusted for restricted cash</t>
        </r>
      </text>
    </comment>
    <comment ref="AQ1011" authorId="4" shapeId="0" xr:uid="{B66489ED-3337-477A-B48D-DC5310373D0E}">
      <text>
        <r>
          <rPr>
            <b/>
            <sz val="9"/>
            <rFont val="Tahoma"/>
            <family val="2"/>
          </rPr>
          <t>Canalyst (JK):</t>
        </r>
        <r>
          <rPr>
            <sz val="9"/>
            <rFont val="Tahoma"/>
            <family val="2"/>
          </rPr>
          <t xml:space="preserve">
Adjusted for restricted cash</t>
        </r>
      </text>
    </comment>
    <comment ref="AR1011" authorId="4" shapeId="0" xr:uid="{BC4D083A-49C4-4352-A3D6-BEF67E9F7937}">
      <text>
        <r>
          <rPr>
            <b/>
            <sz val="9"/>
            <rFont val="Tahoma"/>
            <family val="2"/>
          </rPr>
          <t>Canalyst (JK):</t>
        </r>
        <r>
          <rPr>
            <sz val="9"/>
            <rFont val="Tahoma"/>
            <family val="2"/>
          </rPr>
          <t xml:space="preserve">
Adjusted for restricted cash</t>
        </r>
      </text>
    </comment>
    <comment ref="AS1011" authorId="4" shapeId="0" xr:uid="{8E548E99-F0CA-4896-80F6-7B778F285FC5}">
      <text>
        <r>
          <rPr>
            <b/>
            <sz val="9"/>
            <rFont val="Tahoma"/>
            <family val="2"/>
          </rPr>
          <t>Canalyst (JK):</t>
        </r>
        <r>
          <rPr>
            <sz val="9"/>
            <rFont val="Tahoma"/>
            <family val="2"/>
          </rPr>
          <t xml:space="preserve">
Adjusted for restricted cash</t>
        </r>
      </text>
    </comment>
    <comment ref="AT1011" authorId="4" shapeId="0" xr:uid="{A8A6D5AA-7C2A-417C-B042-042D22F072A9}">
      <text>
        <r>
          <rPr>
            <b/>
            <sz val="9"/>
            <rFont val="Tahoma"/>
            <family val="2"/>
          </rPr>
          <t>Canalyst (JK):</t>
        </r>
        <r>
          <rPr>
            <sz val="9"/>
            <rFont val="Tahoma"/>
            <family val="2"/>
          </rPr>
          <t xml:space="preserve">
Adjusted for restricted cash</t>
        </r>
      </text>
    </comment>
    <comment ref="AU1011" authorId="4" shapeId="0" xr:uid="{70072271-DE93-47E7-8C72-B59203F1C97C}">
      <text>
        <r>
          <rPr>
            <b/>
            <sz val="9"/>
            <rFont val="Tahoma"/>
            <family val="2"/>
          </rPr>
          <t>Canalyst (LZ):</t>
        </r>
        <r>
          <rPr>
            <sz val="9"/>
            <rFont val="Tahoma"/>
            <family val="2"/>
          </rPr>
          <t xml:space="preserve">
Adjusted for restricted cash</t>
        </r>
      </text>
    </comment>
    <comment ref="AV1011" authorId="4" shapeId="0" xr:uid="{356592B1-B50B-4D0D-8BAF-D399BC707E63}">
      <text>
        <r>
          <rPr>
            <b/>
            <sz val="9"/>
            <rFont val="Tahoma"/>
            <family val="2"/>
          </rPr>
          <t>Canalyst (LZ):</t>
        </r>
        <r>
          <rPr>
            <sz val="9"/>
            <rFont val="Tahoma"/>
            <family val="2"/>
          </rPr>
          <t xml:space="preserve">
Adjusted for restricted cash</t>
        </r>
      </text>
    </comment>
    <comment ref="AW1011" authorId="4" shapeId="0" xr:uid="{4425C5FC-2E7F-4DC4-BE4B-2618048F1951}">
      <text>
        <r>
          <rPr>
            <b/>
            <sz val="9"/>
            <rFont val="Tahoma"/>
            <family val="2"/>
          </rPr>
          <t>Canalyst (SK):</t>
        </r>
        <r>
          <rPr>
            <sz val="9"/>
            <rFont val="Tahoma"/>
            <family val="2"/>
          </rPr>
          <t xml:space="preserve">
Adjusted for restricted cash</t>
        </r>
      </text>
    </comment>
    <comment ref="AP1027" authorId="4" shapeId="0" xr:uid="{10DFA068-5441-4A96-B41B-BFEF5155AB83}">
      <text>
        <r>
          <rPr>
            <b/>
            <sz val="9"/>
            <rFont val="Tahoma"/>
            <family val="2"/>
          </rPr>
          <t>Canalyst (JK):</t>
        </r>
        <r>
          <rPr>
            <sz val="9"/>
            <rFont val="Tahoma"/>
            <family val="2"/>
          </rPr>
          <t xml:space="preserve">
Adjusted for restricted cash</t>
        </r>
      </text>
    </comment>
    <comment ref="AQ1027" authorId="4" shapeId="0" xr:uid="{0D6ED9CE-8427-4A7B-B952-FBD21ECD05D4}">
      <text>
        <r>
          <rPr>
            <b/>
            <sz val="9"/>
            <rFont val="Tahoma"/>
            <family val="2"/>
          </rPr>
          <t>Canalyst (JK):</t>
        </r>
        <r>
          <rPr>
            <sz val="9"/>
            <rFont val="Tahoma"/>
            <family val="2"/>
          </rPr>
          <t xml:space="preserve">
Adjusted for restricted cash</t>
        </r>
      </text>
    </comment>
    <comment ref="AR1027" authorId="4" shapeId="0" xr:uid="{D58B88DF-46B8-4F70-B37C-6C7A26AE3ECE}">
      <text>
        <r>
          <rPr>
            <b/>
            <sz val="9"/>
            <rFont val="Tahoma"/>
            <family val="2"/>
          </rPr>
          <t>Canalyst (JK):</t>
        </r>
        <r>
          <rPr>
            <sz val="9"/>
            <rFont val="Tahoma"/>
            <family val="2"/>
          </rPr>
          <t xml:space="preserve">
Adjusted for restricted cash</t>
        </r>
      </text>
    </comment>
    <comment ref="AS1027" authorId="4" shapeId="0" xr:uid="{615071B4-F127-4750-8551-B755883F59B0}">
      <text>
        <r>
          <rPr>
            <b/>
            <sz val="9"/>
            <rFont val="Tahoma"/>
            <family val="2"/>
          </rPr>
          <t>Canalyst (JK):</t>
        </r>
        <r>
          <rPr>
            <sz val="9"/>
            <rFont val="Tahoma"/>
            <family val="2"/>
          </rPr>
          <t xml:space="preserve">
Adjusted for restricted cash</t>
        </r>
      </text>
    </comment>
    <comment ref="AT1027" authorId="4" shapeId="0" xr:uid="{AF30E511-192C-40A8-90F0-EFFD801CE233}">
      <text>
        <r>
          <rPr>
            <b/>
            <sz val="9"/>
            <rFont val="Tahoma"/>
            <family val="2"/>
          </rPr>
          <t>Canalyst (JK):</t>
        </r>
        <r>
          <rPr>
            <sz val="9"/>
            <rFont val="Tahoma"/>
            <family val="2"/>
          </rPr>
          <t xml:space="preserve">
Adjusted for restricted cash</t>
        </r>
      </text>
    </comment>
    <comment ref="AU1027" authorId="4" shapeId="0" xr:uid="{03BED949-799C-4A61-98F4-BCC6DD0DE4EB}">
      <text>
        <r>
          <rPr>
            <b/>
            <sz val="9"/>
            <rFont val="Tahoma"/>
            <family val="2"/>
          </rPr>
          <t>Canalyst (LZ):</t>
        </r>
        <r>
          <rPr>
            <sz val="9"/>
            <rFont val="Tahoma"/>
            <family val="2"/>
          </rPr>
          <t xml:space="preserve">
Adjusted for restricted cash</t>
        </r>
      </text>
    </comment>
    <comment ref="AV1027" authorId="4" shapeId="0" xr:uid="{75BFA885-6D26-4678-9024-33D59966DFA4}">
      <text>
        <r>
          <rPr>
            <b/>
            <sz val="9"/>
            <rFont val="Tahoma"/>
            <family val="2"/>
          </rPr>
          <t>Canalyst (LZ):</t>
        </r>
        <r>
          <rPr>
            <sz val="9"/>
            <rFont val="Tahoma"/>
            <family val="2"/>
          </rPr>
          <t xml:space="preserve">
Adjusted for restricted cash</t>
        </r>
      </text>
    </comment>
    <comment ref="AW1027" authorId="4" shapeId="0" xr:uid="{663D4550-355A-4807-A52B-DF498782BF17}">
      <text>
        <r>
          <rPr>
            <b/>
            <sz val="9"/>
            <rFont val="Tahoma"/>
            <family val="2"/>
          </rPr>
          <t>Canalyst (SK):</t>
        </r>
        <r>
          <rPr>
            <sz val="9"/>
            <rFont val="Tahoma"/>
            <family val="2"/>
          </rPr>
          <t xml:space="preserve">
Adjusted for restricted cash</t>
        </r>
      </text>
    </comment>
    <comment ref="AR1060" authorId="4" shapeId="0" xr:uid="{9B58DCCD-E1C5-418A-A52F-54E2395EC740}">
      <text>
        <r>
          <rPr>
            <b/>
            <sz val="9"/>
            <rFont val="Tahoma"/>
            <family val="2"/>
          </rPr>
          <t>Canalyst (JK):</t>
        </r>
        <r>
          <rPr>
            <sz val="9"/>
            <rFont val="Tahoma"/>
            <family val="2"/>
          </rPr>
          <t xml:space="preserve">
Net income on the IS  as reported as is net income on the CFS. 9M Net income from continued operations differs from sum of reported 3M values over this time period despite consolidated net income remaining the same. This likely reflects a change in definition for continued operations driving this discrepancy</t>
        </r>
      </text>
    </comment>
    <comment ref="AM1065" authorId="0" shapeId="0" xr:uid="{84E09F84-3477-4842-9F98-B89BBA77AF55}">
      <text>
        <r>
          <rPr>
            <b/>
            <sz val="9"/>
            <rFont val="Tahoma"/>
            <family val="2"/>
          </rPr>
          <t>Canalyst (DL):</t>
        </r>
        <r>
          <rPr>
            <sz val="9"/>
            <rFont val="Tahoma"/>
            <family val="2"/>
          </rPr>
          <t xml:space="preserve">
5 million of capex attributed to 21CF in Q2 is not reconcile</t>
        </r>
      </text>
    </comment>
    <comment ref="AG1066" authorId="2" shapeId="0" xr:uid="{5CBA9E10-3D55-4B53-9E7E-F04C6137FFD8}">
      <text>
        <r>
          <rPr>
            <b/>
            <sz val="9"/>
            <rFont val="Tahoma"/>
            <family val="2"/>
          </rPr>
          <t xml:space="preserve">Canalyst (DL):
</t>
        </r>
        <r>
          <rPr>
            <sz val="9"/>
            <rFont val="Tahoma"/>
            <family val="2"/>
          </rPr>
          <t>Formula changed because amortization of intangible information split out from total DA since this period</t>
        </r>
      </text>
    </comment>
    <comment ref="C1072" authorId="7" shapeId="0" xr:uid="{00000000-0006-0000-0100-000019000000}">
      <text>
        <r>
          <rPr>
            <b/>
            <sz val="9"/>
            <rFont val="Tahoma"/>
            <family val="2"/>
          </rPr>
          <t>Canalyst (AE):</t>
        </r>
        <r>
          <rPr>
            <sz val="9"/>
            <rFont val="Tahoma"/>
            <family val="2"/>
          </rPr>
          <t xml:space="preserve">
due to COGS &amp; SG&amp;A being reported as one number</t>
        </r>
      </text>
    </comment>
    <comment ref="D1072" authorId="7" shapeId="0" xr:uid="{00000000-0006-0000-0100-00001A000000}">
      <text>
        <r>
          <rPr>
            <b/>
            <sz val="9"/>
            <rFont val="Tahoma"/>
            <family val="2"/>
          </rPr>
          <t>Canalyst (AE):</t>
        </r>
        <r>
          <rPr>
            <sz val="9"/>
            <rFont val="Tahoma"/>
            <family val="2"/>
          </rPr>
          <t xml:space="preserve">
due to COGS &amp; SG&amp;A being reported as one number</t>
        </r>
      </text>
    </comment>
    <comment ref="E1072" authorId="7" shapeId="0" xr:uid="{00000000-0006-0000-0100-00001B000000}">
      <text>
        <r>
          <rPr>
            <b/>
            <sz val="9"/>
            <rFont val="Tahoma"/>
            <family val="2"/>
          </rPr>
          <t>Canalyst (AE):</t>
        </r>
        <r>
          <rPr>
            <sz val="9"/>
            <rFont val="Tahoma"/>
            <family val="2"/>
          </rPr>
          <t xml:space="preserve">
due to COGS &amp; SG&amp;A being reported as one number</t>
        </r>
      </text>
    </comment>
    <comment ref="G1072" authorId="7" shapeId="0" xr:uid="{00000000-0006-0000-0100-00001C000000}">
      <text>
        <r>
          <rPr>
            <b/>
            <sz val="9"/>
            <rFont val="Tahoma"/>
            <family val="2"/>
          </rPr>
          <t>Canalyst (AE):</t>
        </r>
        <r>
          <rPr>
            <sz val="9"/>
            <rFont val="Tahoma"/>
            <family val="2"/>
          </rPr>
          <t xml:space="preserve">
due to COGS &amp; SG&amp;A being reported as one number</t>
        </r>
      </text>
    </comment>
    <comment ref="H1072" authorId="7" shapeId="0" xr:uid="{00000000-0006-0000-0100-00001D000000}">
      <text>
        <r>
          <rPr>
            <b/>
            <sz val="9"/>
            <rFont val="Tahoma"/>
            <family val="2"/>
          </rPr>
          <t>Canalyst (AE):</t>
        </r>
        <r>
          <rPr>
            <sz val="9"/>
            <rFont val="Tahoma"/>
            <family val="2"/>
          </rPr>
          <t xml:space="preserve">
due to COGS &amp; SG&amp;A being reported as one number</t>
        </r>
      </text>
    </comment>
    <comment ref="I1072" authorId="7" shapeId="0" xr:uid="{00000000-0006-0000-0100-00001E000000}">
      <text>
        <r>
          <rPr>
            <b/>
            <sz val="9"/>
            <rFont val="Tahoma"/>
            <family val="2"/>
          </rPr>
          <t>Canalyst (AE):</t>
        </r>
        <r>
          <rPr>
            <sz val="9"/>
            <rFont val="Tahoma"/>
            <family val="2"/>
          </rPr>
          <t xml:space="preserve">
due to COGS &amp; SG&amp;A being reported as one number</t>
        </r>
      </text>
    </comment>
    <comment ref="J1072" authorId="7" shapeId="0" xr:uid="{00000000-0006-0000-0100-00001F000000}">
      <text>
        <r>
          <rPr>
            <b/>
            <sz val="9"/>
            <rFont val="Tahoma"/>
            <family val="2"/>
          </rPr>
          <t>Canalyst (AE):</t>
        </r>
        <r>
          <rPr>
            <sz val="9"/>
            <rFont val="Tahoma"/>
            <family val="2"/>
          </rPr>
          <t xml:space="preserve">
due to COGS &amp; SG&amp;A being reported as one number</t>
        </r>
      </text>
    </comment>
    <comment ref="K1073" authorId="7" shapeId="0" xr:uid="{00000000-0006-0000-0100-000020000000}">
      <text>
        <r>
          <rPr>
            <b/>
            <sz val="9"/>
            <rFont val="Tahoma"/>
            <family val="2"/>
          </rPr>
          <t>Canalyst (AE):</t>
        </r>
        <r>
          <rPr>
            <sz val="9"/>
            <rFont val="Tahoma"/>
            <family val="2"/>
          </rPr>
          <t xml:space="preserve">
rounding error</t>
        </r>
      </text>
    </comment>
    <comment ref="Z1073" authorId="7" shapeId="0" xr:uid="{00000000-0006-0000-0100-000021000000}">
      <text>
        <r>
          <rPr>
            <b/>
            <sz val="9"/>
            <rFont val="Tahoma"/>
            <family val="2"/>
          </rPr>
          <t>Canalyst (AE):</t>
        </r>
        <r>
          <rPr>
            <sz val="9"/>
            <rFont val="Tahoma"/>
            <family val="2"/>
          </rPr>
          <t xml:space="preserve">
rounding error</t>
        </r>
      </text>
    </comment>
    <comment ref="AJ1073" authorId="7" shapeId="0" xr:uid="{00000000-0006-0000-0100-000022000000}">
      <text>
        <r>
          <rPr>
            <b/>
            <sz val="9"/>
            <rFont val="Tahoma"/>
            <family val="2"/>
          </rPr>
          <t>Canalyst (AE):</t>
        </r>
        <r>
          <rPr>
            <sz val="9"/>
            <rFont val="Tahoma"/>
            <family val="2"/>
          </rPr>
          <t xml:space="preserve">
rounding error</t>
        </r>
      </text>
    </comment>
    <comment ref="AO1073" authorId="0" shapeId="0" xr:uid="{F6A24166-01F9-4908-B3DB-B4C1547827C6}">
      <text>
        <r>
          <rPr>
            <b/>
            <sz val="9"/>
            <rFont val="Tahoma"/>
            <family val="2"/>
          </rPr>
          <t>Canalyst (DL):</t>
        </r>
        <r>
          <rPr>
            <sz val="9"/>
            <rFont val="Tahoma"/>
            <family val="2"/>
          </rPr>
          <t xml:space="preserve">
rounding error</t>
        </r>
      </text>
    </comment>
    <comment ref="AT1073" authorId="0" shapeId="0" xr:uid="{EB918F0A-B0D1-430A-9747-E73E0E0C4AC6}">
      <text>
        <r>
          <rPr>
            <b/>
            <sz val="9"/>
            <rFont val="Tahoma"/>
            <family val="2"/>
          </rPr>
          <t>Canalyst (DL):</t>
        </r>
        <r>
          <rPr>
            <sz val="9"/>
            <rFont val="Tahoma"/>
            <family val="2"/>
          </rPr>
          <t xml:space="preserve">
rounding error</t>
        </r>
      </text>
    </comment>
    <comment ref="AD1075" authorId="12" shapeId="0" xr:uid="{00000000-0006-0000-0100-000023000000}">
      <text>
        <r>
          <rPr>
            <b/>
            <sz val="9"/>
            <rFont val="Tahoma"/>
            <family val="2"/>
          </rPr>
          <t>Canalyst (DC):</t>
        </r>
        <r>
          <rPr>
            <sz val="9"/>
            <rFont val="Tahoma"/>
            <family val="2"/>
          </rPr>
          <t xml:space="preserve">
As reported</t>
        </r>
      </text>
    </comment>
    <comment ref="AT1076" authorId="10" shapeId="0" xr:uid="{0C969EAD-728E-4ECD-9D62-0F800BD6730E}">
      <text>
        <r>
          <rPr>
            <b/>
            <sz val="9"/>
            <rFont val="Tahoma"/>
            <family val="2"/>
          </rPr>
          <t>Canalyst (DL):</t>
        </r>
        <r>
          <rPr>
            <sz val="9"/>
            <rFont val="Tahoma"/>
            <family val="2"/>
          </rPr>
          <t xml:space="preserve">
Same reason as the discrepancy in DTC segment. Will be restated with FY2021.</t>
        </r>
      </text>
    </comment>
    <comment ref="K1077" authorId="7" shapeId="0" xr:uid="{00000000-0006-0000-0100-000024000000}">
      <text>
        <r>
          <rPr>
            <b/>
            <sz val="9"/>
            <rFont val="Tahoma"/>
            <family val="2"/>
          </rPr>
          <t>Canalyst (AE):</t>
        </r>
        <r>
          <rPr>
            <sz val="9"/>
            <rFont val="Tahoma"/>
            <family val="2"/>
          </rPr>
          <t xml:space="preserve">
adjusted net income was calculated using adjusted EPS and weighted average shares outstanding.</t>
        </r>
      </text>
    </comment>
    <comment ref="P1077" authorId="7" shapeId="0" xr:uid="{00000000-0006-0000-0100-000025000000}">
      <text>
        <r>
          <rPr>
            <b/>
            <sz val="9"/>
            <rFont val="Tahoma"/>
            <family val="2"/>
          </rPr>
          <t>Canalyst (AE):</t>
        </r>
        <r>
          <rPr>
            <sz val="9"/>
            <rFont val="Tahoma"/>
            <family val="2"/>
          </rPr>
          <t xml:space="preserve">
adjusted net income was calculated using adjusted EPS and weighted average shares outstanding.</t>
        </r>
      </text>
    </comment>
    <comment ref="U1077" authorId="7" shapeId="0" xr:uid="{00000000-0006-0000-0100-000026000000}">
      <text>
        <r>
          <rPr>
            <b/>
            <sz val="9"/>
            <rFont val="Tahoma"/>
            <family val="2"/>
          </rPr>
          <t>Canalyst (AE):</t>
        </r>
        <r>
          <rPr>
            <sz val="9"/>
            <rFont val="Tahoma"/>
            <family val="2"/>
          </rPr>
          <t xml:space="preserve">
adjusted net income was calculated using adjusted EPS and weighted average shares outstanding.</t>
        </r>
      </text>
    </comment>
    <comment ref="Z1077" authorId="7" shapeId="0" xr:uid="{00000000-0006-0000-0100-000027000000}">
      <text>
        <r>
          <rPr>
            <b/>
            <sz val="9"/>
            <rFont val="Tahoma"/>
            <family val="2"/>
          </rPr>
          <t>Canalyst (AE):</t>
        </r>
        <r>
          <rPr>
            <sz val="9"/>
            <rFont val="Tahoma"/>
            <family val="2"/>
          </rPr>
          <t xml:space="preserve">
adjusted net income was calculated using adjusted EPS and weighted average shares outstanding.</t>
        </r>
      </text>
    </comment>
    <comment ref="AE1077" authorId="7" shapeId="0" xr:uid="{00000000-0006-0000-0100-000028000000}">
      <text>
        <r>
          <rPr>
            <b/>
            <sz val="9"/>
            <rFont val="Tahoma"/>
            <family val="2"/>
          </rPr>
          <t>Canalyst (AE):</t>
        </r>
        <r>
          <rPr>
            <sz val="9"/>
            <rFont val="Tahoma"/>
            <family val="2"/>
          </rPr>
          <t xml:space="preserve">
adjusted net income was calculated using adjusted EPS and weighted average shares outstanding.</t>
        </r>
      </text>
    </comment>
    <comment ref="AJ1077" authorId="7" shapeId="0" xr:uid="{00000000-0006-0000-0100-000029000000}">
      <text>
        <r>
          <rPr>
            <b/>
            <sz val="9"/>
            <rFont val="Tahoma"/>
            <family val="2"/>
          </rPr>
          <t>Canalyst (AE):</t>
        </r>
        <r>
          <rPr>
            <sz val="9"/>
            <rFont val="Tahoma"/>
            <family val="2"/>
          </rPr>
          <t xml:space="preserve">
adjusted net income was calculated using adjusted EPS and weighted average shares outstanding.</t>
        </r>
      </text>
    </comment>
    <comment ref="AO1077" authorId="0" shapeId="0" xr:uid="{249DFE6F-1BAB-4C97-9130-FA61B56F1C51}">
      <text>
        <r>
          <rPr>
            <b/>
            <sz val="9"/>
            <rFont val="Tahoma"/>
            <family val="2"/>
          </rPr>
          <t>Canalyst (DL):</t>
        </r>
        <r>
          <rPr>
            <sz val="9"/>
            <rFont val="Tahoma"/>
            <family val="2"/>
          </rPr>
          <t xml:space="preserve">
adjusted net income was calculated using adjusted EPS and weighted average shares outstanding.</t>
        </r>
      </text>
    </comment>
    <comment ref="AT1077" authorId="0" shapeId="0" xr:uid="{B4806592-9EED-415B-B75C-208672B4A48C}">
      <text>
        <r>
          <rPr>
            <b/>
            <sz val="9"/>
            <rFont val="Tahoma"/>
            <family val="2"/>
          </rPr>
          <t>Canalyst (DL):</t>
        </r>
        <r>
          <rPr>
            <sz val="9"/>
            <rFont val="Tahoma"/>
            <family val="2"/>
          </rPr>
          <t xml:space="preserve">
adjusted net income was calculated using adjusted EPS and weighted average shares outstanding.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Canalyst (SK)</author>
  </authors>
  <commentList>
    <comment ref="A1" authorId="0" shapeId="0" xr:uid="{00000000-0006-0000-0300-000001000000}">
      <text>
        <r>
          <rPr>
            <b/>
            <sz val="9"/>
            <rFont val="Tahoma"/>
            <family val="2"/>
          </rPr>
          <t>Canalyst:</t>
        </r>
        <r>
          <rPr>
            <sz val="9"/>
            <rFont val="Tahoma"/>
            <family val="2"/>
          </rPr>
          <t xml:space="preserve">
Customizations on this worksheet are not supported by the Updater.</t>
        </r>
      </text>
    </comment>
  </commentList>
</comments>
</file>

<file path=xl/sharedStrings.xml><?xml version="1.0" encoding="utf-8"?>
<sst xmlns="http://schemas.openxmlformats.org/spreadsheetml/2006/main" count="1214" uniqueCount="906">
  <si>
    <t xml:space="preserve">Please contact this email for any model-specific questions: </t>
  </si>
  <si>
    <t>support@canalyst.com</t>
  </si>
  <si>
    <t>Company Model:</t>
  </si>
  <si>
    <t>Comments on Model:</t>
  </si>
  <si>
    <t xml:space="preserve">Updated: </t>
  </si>
  <si>
    <t>For:</t>
  </si>
  <si>
    <t>Consensus Data and Real-Time Stock Price:</t>
  </si>
  <si>
    <t>Bloomberg</t>
  </si>
  <si>
    <t>Real-Time Stock Price:</t>
  </si>
  <si>
    <t>Stock Price Override:</t>
  </si>
  <si>
    <t>The Walt Disney Company</t>
  </si>
  <si>
    <t>USD</t>
  </si>
  <si>
    <t>FY2009</t>
  </si>
  <si>
    <t>Growth Analysis</t>
  </si>
  <si>
    <t>Cable Networks revenues growth, %</t>
  </si>
  <si>
    <t>Broadcasting revenues growth, %</t>
  </si>
  <si>
    <t>Media Networks Revenue Growth, %</t>
  </si>
  <si>
    <t>Domestic Parks &amp; Experiences revenues growth, %</t>
  </si>
  <si>
    <t>International Parks &amp; Experiences revenues growth, %</t>
  </si>
  <si>
    <t>Consumer Products revenues growth, %</t>
  </si>
  <si>
    <t>Parks, Experiences &amp; Consumer Products Revenue Growth, %</t>
  </si>
  <si>
    <t>Theatrical distribution revenues growth, %</t>
  </si>
  <si>
    <t>Home entertainment revenues growth, %</t>
  </si>
  <si>
    <t>TV/SVOD distribution and other revenues growth, %</t>
  </si>
  <si>
    <t>Merchandise licensing revenues growth, %</t>
  </si>
  <si>
    <t>Other revenues growth, %</t>
  </si>
  <si>
    <t>Studio Entertainment Revenue Growth, %</t>
  </si>
  <si>
    <t>International channels revenues growth, %</t>
  </si>
  <si>
    <t>DTC businesses and other revenues growth, %</t>
  </si>
  <si>
    <t>Direct-to-Consumer &amp; International Revenue Growth, %</t>
  </si>
  <si>
    <t>Total Revenue Growth, %</t>
  </si>
  <si>
    <t>Cable Networks revenues, mm</t>
  </si>
  <si>
    <t>Broadcasting revenues, mm</t>
  </si>
  <si>
    <t>Media Networks Total Revenues, mm</t>
  </si>
  <si>
    <t>Operating expenses, mm</t>
  </si>
  <si>
    <t>Selling, general, administrative, and other expenses, mm</t>
  </si>
  <si>
    <t>Depreciation and amortization expenses, mm</t>
  </si>
  <si>
    <t>Equity in the income of investees, mm</t>
  </si>
  <si>
    <t>Media Networks Operating Income, mm</t>
  </si>
  <si>
    <t>Media Networks OPEX Margin, %</t>
  </si>
  <si>
    <t>Media Networks SG&amp;A Margin, %</t>
  </si>
  <si>
    <t>Media Networks EBIT Margin, %</t>
  </si>
  <si>
    <t>Media Networks Cumulative Capital Expenditures, mm</t>
  </si>
  <si>
    <t>Media Networks Capital Expenditures, mm</t>
  </si>
  <si>
    <t>Affiliated fees, mm</t>
  </si>
  <si>
    <t>Advertising revenues, mm</t>
  </si>
  <si>
    <t>TV/SVOD distribution and other revenues, mm</t>
  </si>
  <si>
    <t>Other revenues, mm</t>
  </si>
  <si>
    <t>Cable Networks operating income, mm</t>
  </si>
  <si>
    <t>Broadcasting operating income, mm</t>
  </si>
  <si>
    <t>Domestic Parks &amp; Experiences revenues, mm</t>
  </si>
  <si>
    <t>International Parks &amp; Experiences revenues, mm</t>
  </si>
  <si>
    <t>Parks &amp; Experiences total revenues, mm</t>
  </si>
  <si>
    <t>Consumer Products revenues, mm</t>
  </si>
  <si>
    <t>Parks, Experiences &amp; Consumer Products Total Revenues, mm</t>
  </si>
  <si>
    <t>Parks, Experiences &amp; Consumer Products Operating Income, mm</t>
  </si>
  <si>
    <t>Parks, Experiences &amp; Consumer Products OPEX Margin, %</t>
  </si>
  <si>
    <t>Parks, Experiences &amp; Consumer Products SG&amp;A Margin, %</t>
  </si>
  <si>
    <t>Parks, Experiences &amp; Consumer Products EBIT Margin, %</t>
  </si>
  <si>
    <t>Parks, Experiences &amp; Consumer Products Cumulative Capital Expenditures, mm</t>
  </si>
  <si>
    <t>Parks, Experiences &amp; Consumer Products Capital Expenditures, mm</t>
  </si>
  <si>
    <t>Theme park admissions revenues, mm</t>
  </si>
  <si>
    <t>Resorts and vacations revenues, mm</t>
  </si>
  <si>
    <t>Parks licensing and other revenues, mm</t>
  </si>
  <si>
    <t>Domestic Parks &amp; Experiences operating income, mm</t>
  </si>
  <si>
    <t>International Parks &amp; Experiences operating income, mm</t>
  </si>
  <si>
    <t>Parks &amp; Experiences total operating income, mm</t>
  </si>
  <si>
    <t>Consumer Products operating income, mm</t>
  </si>
  <si>
    <t>Domestic increase/(decrease) in parks attendance, %</t>
  </si>
  <si>
    <t>International increase/(decrease) in parks attendance, %</t>
  </si>
  <si>
    <t>Total Increase/(Decrease) in Parks Attendance, %</t>
  </si>
  <si>
    <t>Domestic increase/(decrease) in parks per capita guest spending, %</t>
  </si>
  <si>
    <t>International increase/(decrease) in parks per capita guest spending, %</t>
  </si>
  <si>
    <t>Total Increase/(Decrease) in Parks Per Capita Guest Spending, %</t>
  </si>
  <si>
    <t>Domestic resorts occupancy, %</t>
  </si>
  <si>
    <t>International resorts occupancy, %</t>
  </si>
  <si>
    <t>Total Resorts Occupancy, %</t>
  </si>
  <si>
    <t>Domestic resorts available room nights, 000s</t>
  </si>
  <si>
    <t>International resorts available room nights, 000s</t>
  </si>
  <si>
    <t>Total Resorts Available Room Nights, 000s</t>
  </si>
  <si>
    <t>Domestic resorts per room guest spending, $</t>
  </si>
  <si>
    <t>International resorts per room guest spending, $</t>
  </si>
  <si>
    <t>Total Resorts Per Room Guest Spending, $</t>
  </si>
  <si>
    <t>Theatrical distribution revenues, mm</t>
  </si>
  <si>
    <t>Home entertainment revenues, mm</t>
  </si>
  <si>
    <t>Merchandise licensing revenues, mm</t>
  </si>
  <si>
    <t>Studio Entertainment Total Revenues, mm</t>
  </si>
  <si>
    <t>Studio Entertainment Operating Income, mm</t>
  </si>
  <si>
    <t>Studio Entertainment OPEX Margin, %</t>
  </si>
  <si>
    <t>Studio Entertainment SG&amp;A Margin, %</t>
  </si>
  <si>
    <t>Studio Entertainment EBIT Margin, %</t>
  </si>
  <si>
    <t>Studio Entertainment Cumulative Capital Expenditures, mm</t>
  </si>
  <si>
    <t>Studio Entertainment Capital Expenditures, mm</t>
  </si>
  <si>
    <t>International Channels revenues, mm</t>
  </si>
  <si>
    <t>DTC businesses and other revenues, mm</t>
  </si>
  <si>
    <t>Direct-to-Consumer &amp; International Total Revenues, mm</t>
  </si>
  <si>
    <t>Direct-to-Consumer &amp; International Operating Income, mm</t>
  </si>
  <si>
    <t>Direct-to-Consumer &amp; International OPEX Margin, %</t>
  </si>
  <si>
    <t>Direct-to-Consumer &amp; International SG&amp;A Margin, %</t>
  </si>
  <si>
    <t>Direct-to-Consumer &amp; International EBIT Margin, %</t>
  </si>
  <si>
    <t>Direct-to-Consumer &amp; International Cumulative Capital Expenditures, mm</t>
  </si>
  <si>
    <t>Direct-to-Consumer &amp; International Capital Expenditures, mm</t>
  </si>
  <si>
    <t>Subscription fees and other revenues, mm</t>
  </si>
  <si>
    <t>TV/SVOD distribution licensing revenues, mm</t>
  </si>
  <si>
    <t>International Channels operating income, mm</t>
  </si>
  <si>
    <t>DTC businesses and other operating income, mm</t>
  </si>
  <si>
    <t>Segmented Results - Eliminations (MD&amp;A)</t>
  </si>
  <si>
    <t>Total Intersegment Content Transaction Operating Income, mm</t>
  </si>
  <si>
    <t>Segment Operating Income, mm</t>
  </si>
  <si>
    <t>Corporate operating expenses, mm</t>
  </si>
  <si>
    <t>Corporate depreciation and amortization expenses, mm</t>
  </si>
  <si>
    <t>Corporate and unallocated shared expenses, mm</t>
  </si>
  <si>
    <t>Restructuring and impairment charges, mm</t>
  </si>
  <si>
    <t>Other expense/(income), net, mm</t>
  </si>
  <si>
    <t>Interest expense/(income), net, mm</t>
  </si>
  <si>
    <t>Amortization of 21CF and Hulu intangible assets and fair value step-up on film and television costs, mm</t>
  </si>
  <si>
    <t>Impairment of equity investments, mm</t>
  </si>
  <si>
    <t>Vice gain, mm</t>
  </si>
  <si>
    <t>Infinity charge, mm</t>
  </si>
  <si>
    <t>Income Before Income Taxes, mm</t>
  </si>
  <si>
    <t>Corporate Cumulative Total Capital Expenditures, mm</t>
  </si>
  <si>
    <t>Corporate Capital Expenditures, mm</t>
  </si>
  <si>
    <t>Key Metrics - Geographic Breakdown (FS)</t>
  </si>
  <si>
    <t>United States and Canada Revenue, mm</t>
  </si>
  <si>
    <t>Europe Revenue, mm</t>
  </si>
  <si>
    <t>Asia Pacific Revenue, mm</t>
  </si>
  <si>
    <t>Latin America and Other Revenue, mm</t>
  </si>
  <si>
    <t>Total Revenue, mm</t>
  </si>
  <si>
    <t>Segmented Results - Prior to 2019 Resegmentation</t>
  </si>
  <si>
    <t>Segmented Results - Media Networks - Prior to 2019 Resegmentation (MD&amp;A)</t>
  </si>
  <si>
    <t>Cable Networks cumulative Capital Expenditures, mm</t>
  </si>
  <si>
    <t>Broadcasting cumulative Capital Expenditures, mm</t>
  </si>
  <si>
    <t>Media Networks Cumulative Total Capital Expenditures, mm</t>
  </si>
  <si>
    <t>Cable Networks Capital Expenditures, mm</t>
  </si>
  <si>
    <t>Broadcasting Capital Expenditures, mm</t>
  </si>
  <si>
    <t>Media Networks Total Capital Expenditures, mm</t>
  </si>
  <si>
    <t>Key Metrics - Supplemental Revenue and Segment Operating Income (MD&amp;A)</t>
  </si>
  <si>
    <t>Cable Networks segment operating income, mm</t>
  </si>
  <si>
    <t>Broadcasting segment operating income, mm</t>
  </si>
  <si>
    <t>Segmented Results - Parks and Resorts - Prior to 2019 Resegmentation (MD&amp;A)</t>
  </si>
  <si>
    <t>Domestic revenues, mm</t>
  </si>
  <si>
    <t>International revenues, mm</t>
  </si>
  <si>
    <t>Parks and Resorts Total Revenues, mm</t>
  </si>
  <si>
    <t>Parks and Resorts Operating Income, mm</t>
  </si>
  <si>
    <t>Parks and Resorts OPEX Margin, %</t>
  </si>
  <si>
    <t>Parks and Resorts SG&amp;A Margin, %</t>
  </si>
  <si>
    <t>Parks and Resorts EBIT Margin, %</t>
  </si>
  <si>
    <t>Domestic Parks and Resorts cumulative Capital Expenditures, mm</t>
  </si>
  <si>
    <t>International Parks and Resorts cumulative Capital Expenditures, mm</t>
  </si>
  <si>
    <t>Parks and Resorts Cumulative Total Capital Expenditures, mm</t>
  </si>
  <si>
    <t>Domestic Parks and Resorts Capital Expenditures, mm</t>
  </si>
  <si>
    <t>International Parks and Resorts Capital Expenditures, mm</t>
  </si>
  <si>
    <t>Parks and Resorts Total Capital Expenditures, mm</t>
  </si>
  <si>
    <t>Domestic parks increase in attendance, %</t>
  </si>
  <si>
    <t>Domestic parks increase in per capita guest spending, %</t>
  </si>
  <si>
    <t>Domestic hotels occupancy, %</t>
  </si>
  <si>
    <t>Domestic hotels available room nights, 000s</t>
  </si>
  <si>
    <t>Domestic hotels per room guest spending, $</t>
  </si>
  <si>
    <t>International parks increase in attendance, %</t>
  </si>
  <si>
    <t>International parks increase in per capita guest spending, %</t>
  </si>
  <si>
    <t>International hotels occupancy, %</t>
  </si>
  <si>
    <t>International hotels available room nights, 000s</t>
  </si>
  <si>
    <t>International hotels per room guest spending, $</t>
  </si>
  <si>
    <t>Segmented Results - Studio Entertainment - Prior to 2019 Resegmentation (MD&amp;A)</t>
  </si>
  <si>
    <t>Studio Entertainment Cumulative Total Capital Expenditures, mm</t>
  </si>
  <si>
    <t>Studio Entertainment Total Capital Expenditures, mm</t>
  </si>
  <si>
    <t>Segmented Results - Consumer Products &amp; Interactive Media - Prior to 2019 Resegmentation (MD&amp;A)</t>
  </si>
  <si>
    <t>Licensing, publishing and games revenues, mm</t>
  </si>
  <si>
    <t>Retail and other revenues, mm</t>
  </si>
  <si>
    <t>Consumer Products &amp; Interactive Media Total Revenues, mm</t>
  </si>
  <si>
    <t>Consumer Products &amp; Interactive Media Operating Income, mm</t>
  </si>
  <si>
    <t>Consumer Products &amp; Interactive Media OPEX Margin, %</t>
  </si>
  <si>
    <t>Consumer Products &amp; Interactive Media SG&amp;A Margin, %</t>
  </si>
  <si>
    <t>Consumer Products &amp; Interactive Media EBIT Margin, %</t>
  </si>
  <si>
    <t>Consumer Products &amp; Interactive Media Cumulative Total Capital Expenditures, mm</t>
  </si>
  <si>
    <t>Consumer Products &amp; Interactive Media Total Capital Expenditures, mm</t>
  </si>
  <si>
    <t>Segmented Results - Corporate and Unallocated Shared Expenses - Prior to 2019 Resegmentation (MD&amp;A)</t>
  </si>
  <si>
    <t>Vice Gain, mm</t>
  </si>
  <si>
    <t>Infinity Charge, mm</t>
  </si>
  <si>
    <t>Hulu Equity Redemption Charge, mm</t>
  </si>
  <si>
    <t>Corporate Total Capital Expenditures, mm</t>
  </si>
  <si>
    <t>Margin Analysis</t>
  </si>
  <si>
    <t>COGS Margin, %</t>
  </si>
  <si>
    <t>Gross Margin, %</t>
  </si>
  <si>
    <t>Consensus Estimates - Gross Margin, %</t>
  </si>
  <si>
    <t>SG&amp;A (adj. for SBC) Margin, %</t>
  </si>
  <si>
    <t>EBITDA Margin, %</t>
  </si>
  <si>
    <t>Consensus Estimates - Adjusted EBITDA Margin, %</t>
  </si>
  <si>
    <t>Income Statement - As Reported</t>
  </si>
  <si>
    <t>Services Revenue</t>
  </si>
  <si>
    <t>Products Revenue</t>
  </si>
  <si>
    <t>Total revenues</t>
  </si>
  <si>
    <t>Cost of services (exclusive of depreciation and amortization)</t>
  </si>
  <si>
    <t>Cost of products (exclusive of depreciation and amortization)</t>
  </si>
  <si>
    <t>Selling, general, administrative and other</t>
  </si>
  <si>
    <t>Depreciation and amortization</t>
  </si>
  <si>
    <t>Total costs and expenses</t>
  </si>
  <si>
    <t>Restructuring and impairment charges</t>
  </si>
  <si>
    <t>Other income, net</t>
  </si>
  <si>
    <t>Interest income/(expense), net</t>
  </si>
  <si>
    <t>Equity in the income of investees</t>
  </si>
  <si>
    <t>Income before income taxes</t>
  </si>
  <si>
    <t>Income taxes</t>
  </si>
  <si>
    <t>Net income</t>
  </si>
  <si>
    <t>Income from discontinued operations</t>
  </si>
  <si>
    <t>Consolidated net income</t>
  </si>
  <si>
    <t>Less: Net income attributable to noncontrolling interests</t>
  </si>
  <si>
    <t>Net income attributable to The Walt Disney Company (Disney)</t>
  </si>
  <si>
    <t>IS Check</t>
  </si>
  <si>
    <t>Adjusted Numbers - As Reported</t>
  </si>
  <si>
    <t>EPS as reported</t>
  </si>
  <si>
    <t>Vice Gain</t>
  </si>
  <si>
    <t>Gain related to the acquisition of BAMTech</t>
  </si>
  <si>
    <t>Tax benefit from prior-year foreign earnings indefinitely reinvested outside the U.S.</t>
  </si>
  <si>
    <t>Favorable tax adjustments related to pre-tax earnings of prior years</t>
  </si>
  <si>
    <t>Deferred tax asset write-off due to Disneyland Paris recapitalization</t>
  </si>
  <si>
    <t>Hulu Equity Redemption Charge</t>
  </si>
  <si>
    <t>Infinity Charge</t>
  </si>
  <si>
    <t>Other expense, net</t>
  </si>
  <si>
    <t>Settlement of litigation</t>
  </si>
  <si>
    <t>Gain on sale of real estate</t>
  </si>
  <si>
    <t>Impairment of equity investments</t>
  </si>
  <si>
    <t>One-time net benefit from the Tax Act</t>
  </si>
  <si>
    <t>Gain from sale of property rights</t>
  </si>
  <si>
    <t>Amortization of 21CF and Hulu intangible assets and fair value step-up on film and television costs</t>
  </si>
  <si>
    <t>EPS excluding certain items affecting comparability</t>
  </si>
  <si>
    <t>Revised Income Statement</t>
  </si>
  <si>
    <t>Net Revenue</t>
  </si>
  <si>
    <t>COGS</t>
  </si>
  <si>
    <t>Gross Profit</t>
  </si>
  <si>
    <t>SG&amp;A (adj. for SBC)</t>
  </si>
  <si>
    <t>EBITDA</t>
  </si>
  <si>
    <t>D&amp;A</t>
  </si>
  <si>
    <t>SBC</t>
  </si>
  <si>
    <t>EBIT</t>
  </si>
  <si>
    <t>Earnings from Equity Investments</t>
  </si>
  <si>
    <t>Interest expense</t>
  </si>
  <si>
    <t>Other items</t>
  </si>
  <si>
    <t>One-time item</t>
  </si>
  <si>
    <t>EBT</t>
  </si>
  <si>
    <t>Current tax</t>
  </si>
  <si>
    <t>Deferred tax</t>
  </si>
  <si>
    <t>Net Income from Continued Operation</t>
  </si>
  <si>
    <t>Discontinued Operations</t>
  </si>
  <si>
    <t>Net Income to NCI</t>
  </si>
  <si>
    <t>Earnings to Preferred and Other Securities</t>
  </si>
  <si>
    <t>Net Income to Common Shareholders</t>
  </si>
  <si>
    <t>Adjustments for Convertible Securities</t>
  </si>
  <si>
    <t>Diluted Net Income to Common Shareholders</t>
  </si>
  <si>
    <t>Non-GAAP Adjustments</t>
  </si>
  <si>
    <t>Non-GAAP Adjustments for Dilutive Securities</t>
  </si>
  <si>
    <t>Adjusted Net Income</t>
  </si>
  <si>
    <t>Current tax rate</t>
  </si>
  <si>
    <t>Deferred tax rate</t>
  </si>
  <si>
    <t>Earnings Per Share - WAB</t>
  </si>
  <si>
    <t>Earnings Per Share - WAD</t>
  </si>
  <si>
    <t>Adjusted Earnings Per Share - WAD</t>
  </si>
  <si>
    <t>Shares Outstanding - WAB</t>
  </si>
  <si>
    <t>Shares Outstanding - WAD</t>
  </si>
  <si>
    <t>Adjusted Shares Outstanding - WAD</t>
  </si>
  <si>
    <t>Cash Flow Summary</t>
  </si>
  <si>
    <t>Operating Cash Flow before WC</t>
  </si>
  <si>
    <t>Cash Flow Per Diluted Share</t>
  </si>
  <si>
    <t>Capex</t>
  </si>
  <si>
    <t>Acquisitions</t>
  </si>
  <si>
    <t>Divestiture</t>
  </si>
  <si>
    <t>Dividend Paid</t>
  </si>
  <si>
    <t>Dividend Per Share</t>
  </si>
  <si>
    <t>FCF, Pre Div</t>
  </si>
  <si>
    <t>FCF, Post Div Pre A/D</t>
  </si>
  <si>
    <t>FCF, Post Div Post A/D</t>
  </si>
  <si>
    <t>Balance Sheet Summary</t>
  </si>
  <si>
    <t>Cash</t>
  </si>
  <si>
    <t>Debt</t>
  </si>
  <si>
    <t>Net Debt</t>
  </si>
  <si>
    <t>Net Debt / EBITDA</t>
  </si>
  <si>
    <t>Net Debt / Cash Flow</t>
  </si>
  <si>
    <t>Valuation</t>
  </si>
  <si>
    <t>Avg</t>
  </si>
  <si>
    <t>Enterprise Value Components</t>
  </si>
  <si>
    <t>Noncontrolling Interest</t>
  </si>
  <si>
    <t>Preferred Shares</t>
  </si>
  <si>
    <t>Other EV Components</t>
  </si>
  <si>
    <t>Cumulative Cash Flow Statement</t>
  </si>
  <si>
    <t>CFO</t>
  </si>
  <si>
    <t>Gain on acquisition</t>
  </si>
  <si>
    <t>Gains on sales of investments</t>
  </si>
  <si>
    <t>Deferred income taxes</t>
  </si>
  <si>
    <t>Cash distributions received from equity investees</t>
  </si>
  <si>
    <t>Net change in film and television costs and advances</t>
  </si>
  <si>
    <t>Equity-based compensation</t>
  </si>
  <si>
    <t>Impairment charges</t>
  </si>
  <si>
    <t>Other</t>
  </si>
  <si>
    <t>CFO before WC</t>
  </si>
  <si>
    <t>Receivables</t>
  </si>
  <si>
    <t>Inventories</t>
  </si>
  <si>
    <t>Other assets</t>
  </si>
  <si>
    <t>Accounts payable and other accrued liabilities</t>
  </si>
  <si>
    <t>Net CFO</t>
  </si>
  <si>
    <t>CFI</t>
  </si>
  <si>
    <t>Investments in parks, resorts and other property</t>
  </si>
  <si>
    <t>Sales of investments/ proceeds from dispositions</t>
  </si>
  <si>
    <t>Net CFI</t>
  </si>
  <si>
    <t>CFF</t>
  </si>
  <si>
    <t>Commercial paper borrowings, net</t>
  </si>
  <si>
    <t>Borrowings</t>
  </si>
  <si>
    <t>Reduction of borrowings</t>
  </si>
  <si>
    <t>Dividends</t>
  </si>
  <si>
    <t>Repurchases of common stock</t>
  </si>
  <si>
    <t>Proceeds from exercise of stock options</t>
  </si>
  <si>
    <t>Contributions from Noncontrolling Interest Holders</t>
  </si>
  <si>
    <t>Net CFF</t>
  </si>
  <si>
    <t>Cash used in operations - discontinued operations</t>
  </si>
  <si>
    <t>FX</t>
  </si>
  <si>
    <t>Net Change in Cash Balance</t>
  </si>
  <si>
    <t>Beginning Cash Balance</t>
  </si>
  <si>
    <t>Ending Cash Balance</t>
  </si>
  <si>
    <t>Cash Flow Statement</t>
  </si>
  <si>
    <t>CF Check</t>
  </si>
  <si>
    <t>Working Capital Forecasting</t>
  </si>
  <si>
    <t>Receivables, % of LTM Sales</t>
  </si>
  <si>
    <t>Inventories, % of LTM Sales</t>
  </si>
  <si>
    <t>Accounts payable and other accrued liabilities, % of LTM Sales</t>
  </si>
  <si>
    <t>Balance Sheet</t>
  </si>
  <si>
    <t>Current Assets</t>
  </si>
  <si>
    <t>Cash and Cash Equivalents</t>
  </si>
  <si>
    <t>Television costs and advances</t>
  </si>
  <si>
    <t>Restricted cash included in other current assets</t>
  </si>
  <si>
    <t>Assets held for sale</t>
  </si>
  <si>
    <t>Other current assets</t>
  </si>
  <si>
    <t>Total Current Assets</t>
  </si>
  <si>
    <t>Non-Current Assets</t>
  </si>
  <si>
    <t>Film and television costs</t>
  </si>
  <si>
    <t>Investments</t>
  </si>
  <si>
    <t>Attractions, buildings and equipment</t>
  </si>
  <si>
    <t>Accumulated depreciation</t>
  </si>
  <si>
    <t>Parks, resorts and other property before projects in progress and land</t>
  </si>
  <si>
    <t>Projects in progress</t>
  </si>
  <si>
    <t>Land</t>
  </si>
  <si>
    <t>Parks, resorts and other property</t>
  </si>
  <si>
    <t>Intangible assets, net</t>
  </si>
  <si>
    <t>Goodwill</t>
  </si>
  <si>
    <t>Restricted cash included in other assets</t>
  </si>
  <si>
    <t>Noncurrent assets held for sale - discontinued operations</t>
  </si>
  <si>
    <t>Total Non-Current Assets</t>
  </si>
  <si>
    <t>Total Assets</t>
  </si>
  <si>
    <t>Current Liabilities</t>
  </si>
  <si>
    <t>Current portion of borrowings</t>
  </si>
  <si>
    <t>Liabilities held for sale</t>
  </si>
  <si>
    <t>Unearned royalties and other advances</t>
  </si>
  <si>
    <t>Total Current Liabilities</t>
  </si>
  <si>
    <t>Non-Current Liabilities</t>
  </si>
  <si>
    <t>Noncurrent liabilities held for sale - discontinued operations</t>
  </si>
  <si>
    <t>Other long-term liabilities</t>
  </si>
  <si>
    <t>Redeemable noncontrolling interest</t>
  </si>
  <si>
    <t>Total Non-Current liabilities</t>
  </si>
  <si>
    <t>Total Liabilities</t>
  </si>
  <si>
    <t>Shareholders' Equity</t>
  </si>
  <si>
    <t>Preferred stock</t>
  </si>
  <si>
    <t>Common stock</t>
  </si>
  <si>
    <t>Retained earnings</t>
  </si>
  <si>
    <t>Accumulated other comprehensive loss</t>
  </si>
  <si>
    <t>Treasury stock, at cost</t>
  </si>
  <si>
    <t>Total SE</t>
  </si>
  <si>
    <t>NCI</t>
  </si>
  <si>
    <t>Total Liabilities &amp; SE</t>
  </si>
  <si>
    <t>BS Check</t>
  </si>
  <si>
    <t>Model Checks</t>
  </si>
  <si>
    <t>Net Income on Revised IS = NI on CF statement</t>
  </si>
  <si>
    <t>Net Income on Reported IS = NI on Revised</t>
  </si>
  <si>
    <t>Segmented EBT = EBT in RIS</t>
  </si>
  <si>
    <t>Segmented CAPEX = CAPEX</t>
  </si>
  <si>
    <t>Segmented D&amp;A = D&amp;A</t>
  </si>
  <si>
    <t>Cash Flow is not Repeated</t>
  </si>
  <si>
    <t>Income Statement is not Repeated</t>
  </si>
  <si>
    <t>Balance Sheet is not Repeated</t>
  </si>
  <si>
    <t>Ending CF = Ending Cumulative CF</t>
  </si>
  <si>
    <t>Capex is Updated</t>
  </si>
  <si>
    <t>Margin is Updated</t>
  </si>
  <si>
    <t>Adjusted Numbers FY = Sum of Qs</t>
  </si>
  <si>
    <t>*Margin adds up to 100%</t>
  </si>
  <si>
    <t>*Cash Flow Summary Signs are Correct</t>
  </si>
  <si>
    <t>*RIS NI FY = Sum of Qs</t>
  </si>
  <si>
    <t>*RIS Adjusted NI FY = Sum of Qs</t>
  </si>
  <si>
    <t>*CFO Before WC subtotal FY = Sum of Qs</t>
  </si>
  <si>
    <t>*CFO subtotal FY = Sum of Qs</t>
  </si>
  <si>
    <t>*CFI subtotal FY = Sum of Qs</t>
  </si>
  <si>
    <t>*CFF subtotal FY = Sum of Qs</t>
  </si>
  <si>
    <t>*CF Summary FY = Sum of Qs</t>
  </si>
  <si>
    <t>Other Tables</t>
  </si>
  <si>
    <t>Ticker Symbol</t>
  </si>
  <si>
    <t>DIS US</t>
  </si>
  <si>
    <t>NYSE:DIS</t>
  </si>
  <si>
    <t>DIS-US</t>
  </si>
  <si>
    <t>DIS.N</t>
  </si>
  <si>
    <t>Valuation Toggle Table</t>
  </si>
  <si>
    <t>High</t>
  </si>
  <si>
    <t>Low</t>
  </si>
  <si>
    <t>Consensus Estimate Table</t>
  </si>
  <si>
    <t>FY or FQ</t>
  </si>
  <si>
    <t>Period</t>
  </si>
  <si>
    <t>Stock Price Table</t>
  </si>
  <si>
    <t>Fiscal Period Start Date</t>
  </si>
  <si>
    <t>Is Historical Period</t>
  </si>
  <si>
    <t>Real-Time Off Source</t>
  </si>
  <si>
    <t>Capital IQ</t>
  </si>
  <si>
    <t>FactSet</t>
  </si>
  <si>
    <t>General Table</t>
  </si>
  <si>
    <t>Last Price</t>
  </si>
  <si>
    <t>Last Price Date</t>
  </si>
  <si>
    <t>Real-Time Stock Price</t>
  </si>
  <si>
    <t>Last Price Formula</t>
  </si>
  <si>
    <t>Trade Currency</t>
  </si>
  <si>
    <t>Trade Currency Hardcoded</t>
  </si>
  <si>
    <t>Model Sheet Currency Hardcoded</t>
  </si>
  <si>
    <t>Most Recent FX</t>
  </si>
  <si>
    <t>Most Recent FX Hardcoded</t>
  </si>
  <si>
    <t>MRFP Column Number</t>
  </si>
  <si>
    <t>Most Recent Fiscal Period (MRFP)</t>
  </si>
  <si>
    <t>Current Fiscal Year</t>
  </si>
  <si>
    <t>Data Source Index</t>
  </si>
  <si>
    <t>Reports</t>
  </si>
  <si>
    <t>Capitalization Summary</t>
  </si>
  <si>
    <t>Company-Specific Operational Data</t>
  </si>
  <si>
    <t>GAAP Financials</t>
  </si>
  <si>
    <t>Other Items</t>
  </si>
  <si>
    <t>Tax</t>
  </si>
  <si>
    <t>GAAP EPS</t>
  </si>
  <si>
    <t>Non-GAAP Financials</t>
  </si>
  <si>
    <t>Cash Flow Analysis</t>
  </si>
  <si>
    <t>Core FCF, Pre Div</t>
  </si>
  <si>
    <t>Core FCF, Post Div</t>
  </si>
  <si>
    <t>Change in WC</t>
  </si>
  <si>
    <t>New Equity Issuance</t>
  </si>
  <si>
    <t>New Debt Issuance</t>
  </si>
  <si>
    <t>Change in Cash Position</t>
  </si>
  <si>
    <t>Operating Cash Flow Per Share</t>
  </si>
  <si>
    <t>Core Free Cash Flow Per Share, Pre Div</t>
  </si>
  <si>
    <t>Dividend Payout Ratio vs Core FCF, Pre Div</t>
  </si>
  <si>
    <t>Dividend Payout Ratio vs Earnings Per Share</t>
  </si>
  <si>
    <t>Net Debt / Capital</t>
  </si>
  <si>
    <t>LTM EBITDA</t>
  </si>
  <si>
    <t>LTM Cash Flow</t>
  </si>
  <si>
    <t>Net Income</t>
  </si>
  <si>
    <t>LTM Net Income</t>
  </si>
  <si>
    <t>Shareholder's Equity</t>
  </si>
  <si>
    <t>Average Shareholder's Equity</t>
  </si>
  <si>
    <t>ROE</t>
  </si>
  <si>
    <t>Net Operating Profit</t>
  </si>
  <si>
    <t>LTM Net Operating Profit</t>
  </si>
  <si>
    <t>Average Total Assets</t>
  </si>
  <si>
    <t>ROA</t>
  </si>
  <si>
    <t>Average Book Value of Debt</t>
  </si>
  <si>
    <t>Average Invested Capital</t>
  </si>
  <si>
    <t>ROIC</t>
  </si>
  <si>
    <t>LTM EBIT</t>
  </si>
  <si>
    <t>Average Current Liabilities</t>
  </si>
  <si>
    <t>Average Capital Employed</t>
  </si>
  <si>
    <t>ROCE</t>
  </si>
  <si>
    <t>Per-Share Growth Metrics</t>
  </si>
  <si>
    <t>Revenue Per Share Growth</t>
  </si>
  <si>
    <t>Adj. EBITDA Per Share Growth</t>
  </si>
  <si>
    <t>Adj. Earnings Per Share Growth</t>
  </si>
  <si>
    <t>Operating Cash Flow Per Share Growth</t>
  </si>
  <si>
    <t>Free Cash Flow Per Share Growth</t>
  </si>
  <si>
    <t>Valuation Metrics</t>
  </si>
  <si>
    <t>Check</t>
  </si>
  <si>
    <t>Adjusted EBITDA</t>
  </si>
  <si>
    <t>Non GAAP NI</t>
  </si>
  <si>
    <t>GAAP NI</t>
  </si>
  <si>
    <t>Change in Cash Summary = Change in Cash Model</t>
  </si>
  <si>
    <t>Update Date</t>
  </si>
  <si>
    <t>Updated By (Initials)</t>
  </si>
  <si>
    <t>Update Type</t>
  </si>
  <si>
    <t>Special Comments</t>
  </si>
  <si>
    <t>Link to Press Release / News Item</t>
  </si>
  <si>
    <t>DL</t>
  </si>
  <si>
    <t>Q2-2019</t>
  </si>
  <si>
    <t>Earnings Press Release</t>
  </si>
  <si>
    <t>BW</t>
  </si>
  <si>
    <t>Q1-2019</t>
  </si>
  <si>
    <t>Resegmentation</t>
  </si>
  <si>
    <t>8-K</t>
  </si>
  <si>
    <t>Model Improvement</t>
  </si>
  <si>
    <t>KT</t>
  </si>
  <si>
    <t>WC Forecast</t>
  </si>
  <si>
    <t>AlD</t>
  </si>
  <si>
    <t>FY2018</t>
  </si>
  <si>
    <t>AV &amp; SL</t>
  </si>
  <si>
    <t>Q3-2018</t>
  </si>
  <si>
    <t>JK</t>
  </si>
  <si>
    <t>Q2-2018</t>
  </si>
  <si>
    <t>IT &amp; AlD</t>
  </si>
  <si>
    <t>Q1-2018</t>
  </si>
  <si>
    <t>FL &amp; DC</t>
  </si>
  <si>
    <t>FY2017</t>
  </si>
  <si>
    <t>DS &amp; AlD</t>
  </si>
  <si>
    <t>Q3-2017</t>
  </si>
  <si>
    <t>JN &amp; CS</t>
  </si>
  <si>
    <t>Q2-2017</t>
  </si>
  <si>
    <t>MB &amp; RX</t>
  </si>
  <si>
    <t>Q1-2017</t>
  </si>
  <si>
    <t>CD</t>
  </si>
  <si>
    <t>FY2016</t>
  </si>
  <si>
    <t>Q3-2016</t>
  </si>
  <si>
    <t>AE</t>
  </si>
  <si>
    <t>New Build</t>
  </si>
  <si>
    <r>
      <rPr>
        <b/>
        <sz val="7"/>
        <color rgb="FF000000"/>
        <rFont val="Calibri"/>
        <family val="2"/>
        <scheme val="minor"/>
      </rPr>
      <t>DISCLAIMER</t>
    </r>
    <r>
      <rPr>
        <sz val="7"/>
        <color rgb="FF000000"/>
        <rFont val="Calibri"/>
        <family val="2"/>
        <scheme val="minor"/>
      </rPr>
      <t xml:space="preserve">
Access to and use of this model, including the data contained herein (this "Model") is subject to Canalyst Financial Modeling Corporation's ("Company") Terms of Use that you accepted prior to accessing this Model, the applicable Service Agreement between the Company and you (or a corporate entity that has authorized you to access and use this Model on its behalf in accordance with the terms of such Service Agreement) or other similar agreement between you and the Company. BY CONTINUING TO ACCESS OR USE THIS MODEL, YOU EXPRESSLY AGREE TO THE TERMS AND CONDITIONS OF SUCH AGREEMENTS.
</t>
    </r>
    <r>
      <rPr>
        <b/>
        <sz val="7"/>
        <color rgb="FF000000"/>
        <rFont val="Calibri"/>
        <family val="2"/>
        <scheme val="minor"/>
      </rPr>
      <t>The Company and certain of its licensors have exclusive proprietary rights in this Model. This Model is being provided for internal use only. Unless prior written consent by the Company and its licensors has been provided to you, you may not distribute or otherwise furnish this Model to any third party, nor use or permit anyone to use this Model for any unlawful or unauthorized purpose. IF YOU HAVE UNLAWFULLY OBTAINED, OR ARE NOT AUTHORIZED TO USE THIS MODEL, YOU ARE OBLIGATED TO PROMPTLY: (I) RETURN THIS MODEL (AND ANY DERIVATIVE WORKS ARISING FROM OR RELATING THERETO) TO THE AUTHORIZED USER OF THIS MODEL; (II) PROVIDE NOTICE TO THE COMPANY AT LEGAL@CANALYST.COM OF SUCH UNLAWFUL OR UNAUTHORIZED ACCESS AND USE; AND, (III) CERTIFY THAT YOU HAVE DESTROYED THIS MODEL (AND ANY DERIVATIVE WORKS ARISING FROM OR RELATING THERETO) AND ANY COPIES FROM YOUR SYSTEMS SO AS TO ENSURE THEY ARE INCAPABLE OF RETRIEVAL.</t>
    </r>
    <r>
      <rPr>
        <sz val="7"/>
        <color rgb="FF000000"/>
        <rFont val="Calibri"/>
        <family val="2"/>
        <scheme val="minor"/>
      </rPr>
      <t xml:space="preserve">
A portion of the data contained in this Model may be powered by third party contributors and their respective licensors, or derived from data provided by such contributors, including (but not limited to): (i) </t>
    </r>
    <r>
      <rPr>
        <b/>
        <sz val="7"/>
        <color rgb="FF000000"/>
        <rFont val="Calibri"/>
        <family val="2"/>
        <scheme val="minor"/>
      </rPr>
      <t>QuoteMedia Inc.</t>
    </r>
    <r>
      <rPr>
        <sz val="7"/>
        <color rgb="FF000000"/>
        <rFont val="Calibri"/>
        <family val="2"/>
        <scheme val="minor"/>
      </rPr>
      <t xml:space="preserve">: A portion of the market data is powered by Quotemedia.com. All rights reserved. Data delayed 15 minutes unless otherwise indicated; (ii) </t>
    </r>
    <r>
      <rPr>
        <b/>
        <sz val="7"/>
        <color rgb="FF000000"/>
        <rFont val="Calibri"/>
        <family val="2"/>
        <scheme val="minor"/>
      </rPr>
      <t>S&amp;P Global Market Intelligence LLC</t>
    </r>
    <r>
      <rPr>
        <sz val="7"/>
        <color rgb="FF000000"/>
        <rFont val="Calibri"/>
        <family val="2"/>
        <scheme val="minor"/>
      </rPr>
      <t xml:space="preserve">: Copyright (c) 2020 S&amp;P Global Market Intelligence LLC (and its affiliates as applicable). All rights reserved. Reproduction of any information, opinions, views, data or material, including ratings ("Content") in any form is prohibited except with the prior written permission of the relevant party. Such party, its affiliates and suppliers ("Content Providers") do not guarantee the accuracy, adequacy, completeness, timeliness or availability of any Content and are not responsible for any errors or omissions (negligent or otherwise), regardless of the cause, or for the results obtained from the use of such Content. In no event shall Content Providers be liable for any damages, costs, expenses, legal fees, or losses (including lost income or lost profit and opportunity costs) in connection with any use of the Content. A reference to a particular investment or security, a rating or any observation concerning an investment that is part of the Content is not a recommendation to buy, sell or hold such investment or security, does not address the suitability of an investment or security and should not be relied on as investment advice. Credit ratings are statements of opinions and are not statements of fact; and, (iii) </t>
    </r>
    <r>
      <rPr>
        <b/>
        <sz val="7"/>
        <color rgb="FF000000"/>
        <rFont val="Calibri"/>
        <family val="2"/>
        <scheme val="minor"/>
      </rPr>
      <t>Refinitiv Canada Holdings Limited</t>
    </r>
    <r>
      <rPr>
        <sz val="7"/>
        <color rgb="FF000000"/>
        <rFont val="Calibri"/>
        <family val="2"/>
        <scheme val="minor"/>
      </rPr>
      <t xml:space="preserve">: A portion of the information may be provided by or derived from data provided by Refinitiv.
By accessing or using this Model (including any portion of the data contained herein) you expressly represent that such access or use does not constitute a violation of any applicable law or regulation to which you or the securities are subject.
This Model does not constitute investment advice by the Company or any of its licensors. Reference to a particular investment or security, credit rating or any observation concerning a security or investment in this Model is not a recommendation or solicitation to buy, sell or hold such investment or security or make any other investment decisions. For greater certainty, any forecasts or forward-looking information expressed herein are for illustrative purposes only and do not purport to express any view on what may transpire. Neither the Company nor any of its licensors have performed company-specific research on any projected information, as such, it is your responsibility to express your own views on projected results. This Model does not guarantee future performance and undue reliance should not be placed on such. You are solely responsible for evaluating the merits and risks of any investment based on your own business and financial expertise, the business and financial expertise of professional advisors with whom you have consulted, your financial situation and risk tolerance. Neither the Company, nor any of its licensors, undertake any liability with respect to your reliance on this Model.
This Model is a quantitative tool with no investment views. The Company and its respective directors, officers, employees, agents, contractors, and affiliates may hold long or short positions in the security to which this Model relates, based on their personal views, and may initiate or close out any positions in such security at any time without any notice.
</t>
    </r>
    <r>
      <rPr>
        <b/>
        <sz val="7"/>
        <color rgb="FF000000"/>
        <rFont val="Calibri"/>
        <family val="2"/>
        <scheme val="minor"/>
      </rPr>
      <t>THIS MODEL IS PROVIDED "AS IS" AND ON AN "AS AVAILABLE" BASIS ONLY, WITHOUT WARRANTIES OR CONDITIONS OF ANY KIND. NEITHER THE COMPANY NOR ANY OF ITS LICENSORS NOR THEIR RESPECTIVE AFFILIATES OR SUPPLIERS HAVE LIABILITY FOR THE ACCURACY, TIMELINESS OR COMPLETENESS OF THIS MODEL, OR FOR DELAYS, INTERRUPTIONS OR OMISSIONS HEREIN, NOR FOR ANY LOST PROFITS, INDIRECT, SPECIAL OR CONSEQUENTIAL DAMAGES.</t>
    </r>
    <r>
      <rPr>
        <sz val="7"/>
        <color rgb="FF000000"/>
        <rFont val="Calibri"/>
        <family val="2"/>
        <scheme val="minor"/>
      </rPr>
      <t xml:space="preserve"> Access to data in this Model that is sourced from third party contributors is subject to termination in the event that any agreement between the Company and such third party contributors terminates for any reason.
</t>
    </r>
    <r>
      <rPr>
        <b/>
        <sz val="7"/>
        <color rgb="FF000000"/>
        <rFont val="Calibri"/>
        <family val="2"/>
        <scheme val="minor"/>
      </rPr>
      <t>(c) 2015-2021 Canalyst. All rights reserved.</t>
    </r>
  </si>
  <si>
    <t>Twenty-First Century Fox Revenue Growth, %</t>
  </si>
  <si>
    <t>Less: Net income from discontinued operation attributable to noncontrolling interests</t>
  </si>
  <si>
    <t>Acquisition of noncontrolling and redeemable noncontrolling interests</t>
  </si>
  <si>
    <t>Balance Sheet Ratios - Debt</t>
  </si>
  <si>
    <t>Balance Sheet Ratios - Return</t>
  </si>
  <si>
    <t>Key Metrics - Parks and Resorts Statistics - Prior to 2019(MD&amp;A)</t>
  </si>
  <si>
    <t>Restricted cash included in current assets hold for sale</t>
  </si>
  <si>
    <t>Quarterly (Earnings Report)</t>
  </si>
  <si>
    <t>Segmented Results - Twenty-First Century Fox and Hulu (MD&amp;A)</t>
  </si>
  <si>
    <t>21CF and Hulu Revenues, mm</t>
  </si>
  <si>
    <t>21CF and Hulu operating expenses, mm</t>
  </si>
  <si>
    <t>21CF and Hulu depreciation and amortization expenses, mm</t>
  </si>
  <si>
    <t>21CF and Hulu Operating Income, mm</t>
  </si>
  <si>
    <t>21CF and Hulu Cumulative Capital Expenditures, mm</t>
  </si>
  <si>
    <t>21CF and Hulu Capital Expenditures, mm</t>
  </si>
  <si>
    <t>ON</t>
  </si>
  <si>
    <t>21CF Operating Income, mm</t>
  </si>
  <si>
    <t>Affiliate fees, mm</t>
  </si>
  <si>
    <t>Advertising, mm</t>
  </si>
  <si>
    <t>Theme park admissions, mm</t>
  </si>
  <si>
    <t>Resort and vacations, mm</t>
  </si>
  <si>
    <t>TV/SVOD distribution licensing, mm</t>
  </si>
  <si>
    <t>Theatrical distribution licensing, mm</t>
  </si>
  <si>
    <t>Merchandise licensing, mm</t>
  </si>
  <si>
    <t>Financial Summary - Operating Income &amp; Revenue by Major Source</t>
  </si>
  <si>
    <t>Home entertainment, mm</t>
  </si>
  <si>
    <t>Other, mm</t>
  </si>
  <si>
    <t>Market</t>
  </si>
  <si>
    <t>Mkt. Rank</t>
  </si>
  <si>
    <t>Stations</t>
  </si>
  <si>
    <t>License Expiration</t>
  </si>
  <si>
    <t>FCC Profile</t>
  </si>
  <si>
    <t>WABC</t>
  </si>
  <si>
    <t>KABC</t>
  </si>
  <si>
    <t>WLS</t>
  </si>
  <si>
    <t>WPVI</t>
  </si>
  <si>
    <t>KTRK</t>
  </si>
  <si>
    <t>KGO</t>
  </si>
  <si>
    <t>WTVD</t>
  </si>
  <si>
    <t>KFSN</t>
  </si>
  <si>
    <t>New York, NY</t>
  </si>
  <si>
    <t>Log Angeles, CA</t>
  </si>
  <si>
    <t>Chicago, IL</t>
  </si>
  <si>
    <t>Philadephia, PA</t>
  </si>
  <si>
    <t>Houston, TX</t>
  </si>
  <si>
    <t>San Francisco, CA</t>
  </si>
  <si>
    <t>Raleigh - Durham, NC</t>
  </si>
  <si>
    <t>Fresno, CA</t>
  </si>
  <si>
    <t>06-01-2023</t>
  </si>
  <si>
    <t>12-01-2022</t>
  </si>
  <si>
    <t>12-01-2021</t>
  </si>
  <si>
    <t>08-01-2023</t>
  </si>
  <si>
    <t>08-01-2022</t>
  </si>
  <si>
    <t>12-01-2020</t>
  </si>
  <si>
    <t xml:space="preserve">Total </t>
  </si>
  <si>
    <t>First Forecast Fiscal Year</t>
  </si>
  <si>
    <t>FY2019</t>
  </si>
  <si>
    <t>Cash used in financing activities - discontinued operations</t>
  </si>
  <si>
    <t>Cash from discontinued investing activities</t>
  </si>
  <si>
    <t>Cash provided by discontinued operations</t>
  </si>
  <si>
    <t>Subscription fee, mm</t>
  </si>
  <si>
    <t>Most Recent Period</t>
  </si>
  <si>
    <t>Annual (Earnings Report)</t>
  </si>
  <si>
    <t>Q3-2019</t>
  </si>
  <si>
    <t>Q2-2016</t>
  </si>
  <si>
    <t>Q1-2020</t>
  </si>
  <si>
    <t>Initial (Press Release)</t>
  </si>
  <si>
    <t>Disney+ Subscribers, mm subscribers</t>
  </si>
  <si>
    <t>ESPN+ Subscribers, mm subscribers</t>
  </si>
  <si>
    <t>Disney+ ARPU, $/Subscriber</t>
  </si>
  <si>
    <t>ESPN+ ARPU, $/Subscriber</t>
  </si>
  <si>
    <t>Hulu - Live TV+ SVOD ARPU, $/Subscriber</t>
  </si>
  <si>
    <t>Hulu - Live TV+ SVOD, mm subscribers</t>
  </si>
  <si>
    <t>Receivables, Y/Y Change, %</t>
  </si>
  <si>
    <t>Inventories, Y/Y Change, %</t>
  </si>
  <si>
    <t>Accounts payable and other accrued liabilities, Y/Y Change, %</t>
  </si>
  <si>
    <t>PA</t>
  </si>
  <si>
    <t>Total Media Networks Geographic Revenue, mm</t>
  </si>
  <si>
    <t>Total Parks, Experience and Products Geographic Revenue, mm</t>
  </si>
  <si>
    <t>Total Studio Entertainment Geographic Revenue, mm</t>
  </si>
  <si>
    <t>Total Direct-to-Consumer &amp; International Geographic Revenue, mm</t>
  </si>
  <si>
    <t>Cable Networks Depreciation expenses, mm</t>
  </si>
  <si>
    <t>Broadcasting Depreciation expenses, mm</t>
  </si>
  <si>
    <t>Media Networks Depreciation expenses, mm</t>
  </si>
  <si>
    <t>Media Networks Amortization expenses, mm</t>
  </si>
  <si>
    <t>Media Networks Depreciation and Amortization expenses, mm</t>
  </si>
  <si>
    <t>Parks, Experiences &amp; Consumer Products Depreciation expenses, mm</t>
  </si>
  <si>
    <t>Parks, Experiences &amp; Consumer Products Amortization expenses, mm</t>
  </si>
  <si>
    <t>Parks, Experiences &amp; Consumer Products Depreciation and Amortization expenses, mm</t>
  </si>
  <si>
    <t>Studio Entertainment Depreciation expenses, mm</t>
  </si>
  <si>
    <t>Studio Entertainment Amortization expenses, mm</t>
  </si>
  <si>
    <t>Studio Entertainment Depreciation and Amortization expenses, mm</t>
  </si>
  <si>
    <t>Direct-to-Consumer &amp; International Depreciation expenses, mm</t>
  </si>
  <si>
    <t>Direct-to-Consumer &amp; International Amortization expenses, mm</t>
  </si>
  <si>
    <t>Direct-to-Consumer &amp; International Depreciation and Amortization expenses, mm</t>
  </si>
  <si>
    <t>Amortization of TFCF Intangible assets, mm</t>
  </si>
  <si>
    <t>Amortization of TFCF Intangible assets and Fair value step-up on film and tv costs, mm</t>
  </si>
  <si>
    <t>Cable Media Networks Cumulative Capital Expenditures, mm</t>
  </si>
  <si>
    <t>Broadcasting Networks Cumulative Capital Expenditures, mm</t>
  </si>
  <si>
    <t>Domestic Parks, Experiences &amp; Consumer Products Cumulative Capital Expenditures, mm</t>
  </si>
  <si>
    <t>International Parks, Experiences &amp; Consumer Products Cumulative Capital Expenditures, mm</t>
  </si>
  <si>
    <t>Domestic Parks, Experiences &amp; Consumer Products Depreciation expenses, mm</t>
  </si>
  <si>
    <t>International Parks, Experiences &amp; Consumer Products Depreciation expenses, mm</t>
  </si>
  <si>
    <t>Amortization of intangible assets, mm</t>
  </si>
  <si>
    <t>Amortization of Intangible assets and Fair value step-up on film and tv costs, mm</t>
  </si>
  <si>
    <t>Amortization of step-up film and tv costs, mm</t>
  </si>
  <si>
    <t>Amortization of intangible related to TFCF equity investees, mm</t>
  </si>
  <si>
    <t>Amortization of value step-up film and tv costs, mm</t>
  </si>
  <si>
    <t>Amortization of TFCF related equity investees, mm</t>
  </si>
  <si>
    <t>Amortization of step-up on film and tv costs, mm</t>
  </si>
  <si>
    <t>Amortization of TFCF Intangible assets (calculated), mm</t>
  </si>
  <si>
    <t>Amortization of step-up on film and tv costs (calculated), mm</t>
  </si>
  <si>
    <t>Amortization of Intangible assets and Fair value step-up on film and tv costs (Calculated), mm</t>
  </si>
  <si>
    <t>Restructuring and impairment charges (Calculated), mm</t>
  </si>
  <si>
    <t>Other revenue, mm</t>
  </si>
  <si>
    <t>Impairment of equity investment, mm</t>
  </si>
  <si>
    <t>Hulu Gain, mm</t>
  </si>
  <si>
    <t>Total 21CF and Hulu Geographic Revenue, mm</t>
  </si>
  <si>
    <t>21CF and Hulu Depreciation expenses, mm</t>
  </si>
  <si>
    <t>21CF and Hulu Amortization expenses, mm</t>
  </si>
  <si>
    <t>21CF and Hulu Depreciation and Amortization expenses, mm</t>
  </si>
  <si>
    <t>Parks, Experience and Products - United States and Canada Revenue, mm</t>
  </si>
  <si>
    <t>Parks, Experience and Products - Europe Revenue, mm</t>
  </si>
  <si>
    <t>Parks, Experience and Products - Asia Pacific Revenue, mm</t>
  </si>
  <si>
    <t>Parks, Experience and Products - Latin America Revenue, mm</t>
  </si>
  <si>
    <t>Media Networks - United States and Canada Revenue, mm</t>
  </si>
  <si>
    <t>Media Networks - Europe Revenue, mm</t>
  </si>
  <si>
    <t>Media Networks - Asia Pacific Revenue, mm</t>
  </si>
  <si>
    <t>Media Networks - Latin America Revenue, mm</t>
  </si>
  <si>
    <t>Studio Entertainments - United States and Canada Revenue, mm</t>
  </si>
  <si>
    <t>Studio Entertainments - Europe Revenue, mm</t>
  </si>
  <si>
    <t>Studio Entertainments - Asia Pacific Revenue, mm</t>
  </si>
  <si>
    <t>Studio Entertainments - Latin America Revenue, mm</t>
  </si>
  <si>
    <t>Direct-to-Consumer &amp; Internationals - United States and Canada Revenue, mm</t>
  </si>
  <si>
    <t>Direct-to-Consumer &amp; Internationals - Europe Revenue, mm</t>
  </si>
  <si>
    <t>Direct-to-Consumer &amp; Internationals - Asia Pacific Revenue, mm</t>
  </si>
  <si>
    <t>Direct-to-Consumer &amp; Internationals - Latin America Revenue, mm</t>
  </si>
  <si>
    <t>21CF and Hulu - United States and Canada Revenue, mm</t>
  </si>
  <si>
    <t>21CF and Hulu - Europe Revenue, mm</t>
  </si>
  <si>
    <t>21CF and Hulu - Asia Pacific Revenue, mm</t>
  </si>
  <si>
    <t>21CF and Hulu - Latin America Revenue, mm</t>
  </si>
  <si>
    <t>Amortization of fair value step-up film and tv costs, mm</t>
  </si>
  <si>
    <t>Total Amortization of 21CF and Hulu intangible assets and fair value step-up on film and television costs, mm</t>
  </si>
  <si>
    <t>Key Outputs</t>
  </si>
  <si>
    <t>EBIT Reported in RIS, mm</t>
  </si>
  <si>
    <t>Q2-2020</t>
  </si>
  <si>
    <t>Net change in operating lease right of use assets/liabilities</t>
  </si>
  <si>
    <t>Interest Expense</t>
  </si>
  <si>
    <t>Effective Interest Rate on Debt</t>
  </si>
  <si>
    <t>Interest Income</t>
  </si>
  <si>
    <t>Effective Interest Rate on Cash</t>
  </si>
  <si>
    <t>Net Interest Expense (Income)</t>
  </si>
  <si>
    <t>Effective Net Interest Rate on Debt</t>
  </si>
  <si>
    <t>EBITDA / Net Interest Expense</t>
  </si>
  <si>
    <t>ST Debt</t>
  </si>
  <si>
    <t>LT Debt</t>
  </si>
  <si>
    <t>Net Debt Issuance (Repayment)</t>
  </si>
  <si>
    <t>Cash is Positive</t>
  </si>
  <si>
    <t>Debt is Positive</t>
  </si>
  <si>
    <t>Net Share Issuance (Buybacks)</t>
  </si>
  <si>
    <t>Estimated Share Price for Issuance/Buybacks, USD</t>
  </si>
  <si>
    <t>FCF, Post Div, Debt, Buyback, A/D</t>
  </si>
  <si>
    <t>Q3-2020</t>
  </si>
  <si>
    <t>nm</t>
  </si>
  <si>
    <t>Canalyst</t>
  </si>
  <si>
    <t>Amortization of intangible</t>
  </si>
  <si>
    <t>D&amp;A Forecasting</t>
  </si>
  <si>
    <t>PP&amp;E EoP, mm</t>
  </si>
  <si>
    <t>PP&amp;E BoP, mm</t>
  </si>
  <si>
    <t>Depreciation of fixed assets, mm</t>
  </si>
  <si>
    <t>Depreciation as percentage of PP&amp;E BoP, %</t>
  </si>
  <si>
    <t>Capex of PP&amp;E, mm</t>
  </si>
  <si>
    <t>Other net additions to PP&amp;E, mm</t>
  </si>
  <si>
    <t>Intangibles EoP, mm</t>
  </si>
  <si>
    <t>Intangibles BoP, mm</t>
  </si>
  <si>
    <t>Amortization of intangibles, mm</t>
  </si>
  <si>
    <t>Amortization as percentage of Intangibles BoP, %</t>
  </si>
  <si>
    <t>Capex of intangibles, mm</t>
  </si>
  <si>
    <t>Other net additions to intangibles, mm</t>
  </si>
  <si>
    <t>Implied life of fixed assets, yr</t>
  </si>
  <si>
    <t>Implied life of intangibles, yr</t>
  </si>
  <si>
    <t>Total D&amp;A, mm</t>
  </si>
  <si>
    <t>Total Capex, mm</t>
  </si>
  <si>
    <t>Percentage of capex allocated to intangible assets, %</t>
  </si>
  <si>
    <t>Total Debt</t>
  </si>
  <si>
    <t>FY2020</t>
  </si>
  <si>
    <t>HS</t>
  </si>
  <si>
    <t>Parks &amp; Experiences Retail and Wholesales of merchandise, food and beverage revenues, mm</t>
  </si>
  <si>
    <t>Retail and wholesales of merchandise, food and beverage, mm</t>
  </si>
  <si>
    <t>Media Networks - Americas Revenue, mm</t>
  </si>
  <si>
    <t>Parks, Experience and Products - Americas Revenue, mm</t>
  </si>
  <si>
    <t>Studio Entertainments - Americas Revenue, mm</t>
  </si>
  <si>
    <t>Direct-to-Consumer &amp; Internationals - Americas Revenue, mm</t>
  </si>
  <si>
    <t>Unrestated</t>
  </si>
  <si>
    <t>Americas Revenue, mm</t>
  </si>
  <si>
    <t>Disney+ revenue (calculated), mm</t>
  </si>
  <si>
    <t>Q/Q Disney+ subscriber growth, %</t>
  </si>
  <si>
    <t>Q/Q Disney+ ARPU growth, %</t>
  </si>
  <si>
    <t>ESPN+ revenue (calculated), mm</t>
  </si>
  <si>
    <t>Q/Q ESPN+ ARPU growth, %</t>
  </si>
  <si>
    <t>Q/Q ESPN+ subscriber growth, %</t>
  </si>
  <si>
    <t>Hulu SVOD only revenue (calculated), mm</t>
  </si>
  <si>
    <t>Hulu - SVOD only ARPU, $/Subscriber</t>
  </si>
  <si>
    <t>Hulu - SVOD only, mm subscribers</t>
  </si>
  <si>
    <t>Hulu - Live TV+ SVOD revenue (calculated), mm</t>
  </si>
  <si>
    <t>Q/Q SVOD only subscriber growth, %</t>
  </si>
  <si>
    <t>Q/Q SVOD only ARPU growth, %</t>
  </si>
  <si>
    <t>Q/Q Live TV+ SVOD subscriber growth, %</t>
  </si>
  <si>
    <t>Q/Q Live TV+ SVOD ARPU growth, %</t>
  </si>
  <si>
    <t>Total DTC revenue (calculated), mm</t>
  </si>
  <si>
    <t>Total DTC revenue (reported), mm</t>
  </si>
  <si>
    <t>DTC discrepancy, mm</t>
  </si>
  <si>
    <t>Total Hulu revenue, mm</t>
  </si>
  <si>
    <t>Total Hulu subscribers, mm subscribers</t>
  </si>
  <si>
    <t>Y/Y SVOD only ARPU growth, %</t>
  </si>
  <si>
    <t>Y/Y ESPN+ ARPU growth, %</t>
  </si>
  <si>
    <t>Y/Y Disney+ ARPU growth, %</t>
  </si>
  <si>
    <t>Y/Y Disney+ subscriber growth, %</t>
  </si>
  <si>
    <t>Y/Y ESPN+ subscriber growth, %</t>
  </si>
  <si>
    <t>Y/Y SVOD only subscriber growth, %</t>
  </si>
  <si>
    <t>Y/Y Live TV+ SVOD subscriber growth, %</t>
  </si>
  <si>
    <t>Y/Y Live TV+ SVOD ARPU growth, %</t>
  </si>
  <si>
    <t>Operating Stats - Direct-to-Consumer Subscriber Counts and ARPU (FS)</t>
  </si>
  <si>
    <t>Hulu blended ARPU (calculated), $/subscriber</t>
  </si>
  <si>
    <t>Y/Y total Hulu subscriber growth, %</t>
  </si>
  <si>
    <t>Refinitiv</t>
  </si>
  <si>
    <t>Segmented Results - Media and Entertainment Distribution (FS)</t>
  </si>
  <si>
    <t>Linear Network - Affiliate fees revenue, mm</t>
  </si>
  <si>
    <t>Linear Network - Advertising revenue, mm</t>
  </si>
  <si>
    <t>Linear Network - Other revenue, mm</t>
  </si>
  <si>
    <t>Linear Network - Total revenue, mm</t>
  </si>
  <si>
    <t>Linear Network - Operating expenses, mm</t>
  </si>
  <si>
    <t>Linear Network - D&amp;A, mm</t>
  </si>
  <si>
    <t>Linear Network - SG&amp;A, mm</t>
  </si>
  <si>
    <t>Linear Network - Equity in the income of investees, mm</t>
  </si>
  <si>
    <t>Linear Network - Operating Income, mm</t>
  </si>
  <si>
    <t>Linear Network - Operating expenses margin, %</t>
  </si>
  <si>
    <t>Linear Network - SG&amp;A margin, %</t>
  </si>
  <si>
    <t>Linear Network - Operating income margin, %</t>
  </si>
  <si>
    <t>Direct-to-Consumer - Advertising revenue, mm</t>
  </si>
  <si>
    <t>Direct-to-Consumer - Total revenue, mm</t>
  </si>
  <si>
    <t>Direct-to-Consumer - Operating expenses, mm</t>
  </si>
  <si>
    <t>Direct-to-Consumer - SG&amp;A, mm</t>
  </si>
  <si>
    <t>Direct-to-Consumer - D&amp;A, mm</t>
  </si>
  <si>
    <t>Direct-to-Consumer - Equity in the income of investees, mm</t>
  </si>
  <si>
    <t>Direct-to-Consumer - Operating Income, mm</t>
  </si>
  <si>
    <t>Direct-to-Consumer - Subscription fees revenue, mm</t>
  </si>
  <si>
    <t>Direct-to-Consumer - TV/SVOD distribution and other revenue, mm</t>
  </si>
  <si>
    <t>Direct-to-Consumer - SG&amp;A margin, %</t>
  </si>
  <si>
    <t>Direct-to-Consumer - Operating income margin, %</t>
  </si>
  <si>
    <t>Direct-to-Consumer - Operating expenses margin, %</t>
  </si>
  <si>
    <t>Content Sales/Licensing - Total revenue, mm</t>
  </si>
  <si>
    <t>Content Sales/Licensing - Operating expenses, mm</t>
  </si>
  <si>
    <t>Content Sales/Licensing - SG&amp;A, mm</t>
  </si>
  <si>
    <t>Content Sales/Licensing - D&amp;A, mm</t>
  </si>
  <si>
    <t>Content Sales/Licensing - Equity in the income of investees, mm</t>
  </si>
  <si>
    <t>Content Sales/Licensing - Operating Income, mm</t>
  </si>
  <si>
    <t>Content Sales/Licensing - Operating expenses margin, %</t>
  </si>
  <si>
    <t>Content Sales/Licensing - SG&amp;A margin, %</t>
  </si>
  <si>
    <t>Content Sales/Licensing - Operating income margin, %</t>
  </si>
  <si>
    <t>Content Sales/Licensing - TV/SVOD distribution revenue, mm</t>
  </si>
  <si>
    <t>Content Sales/Licensing - Theatrical distribution revenue, mm</t>
  </si>
  <si>
    <t>Content Sales/Licensing - Home entertainment revenue, mm</t>
  </si>
  <si>
    <t>Content Sales/Licensing - Other revenue, mm</t>
  </si>
  <si>
    <t>Segmented Results - Parks, Experiences and Products (FS)</t>
  </si>
  <si>
    <t>Parks, Experiences and Products - SG&amp;A margin, %</t>
  </si>
  <si>
    <t>Parks, Experiences and Products - Operating income margin, %</t>
  </si>
  <si>
    <t>Parks, Experiences and Products - Operating expenses margin, %</t>
  </si>
  <si>
    <t>Media and Entertainment Distribution - Linear Networks revenue, mm</t>
  </si>
  <si>
    <t>Media and Entertainment Distribution - Direct-to-Consumer revenue, mm</t>
  </si>
  <si>
    <t>Media and Entertainment Distribution - Content Sales/Licensing and Other revenue, mm</t>
  </si>
  <si>
    <t>Media and Entertainment Distribution - Total revenue, mm</t>
  </si>
  <si>
    <t>Media and Entertainment Distribution - SG&amp;A, mm</t>
  </si>
  <si>
    <t>Media and Entertainment Distribution - D&amp;A, mm</t>
  </si>
  <si>
    <t>Media and Entertainment Distribution - Equity in the income of investees, mm</t>
  </si>
  <si>
    <t>Media and Entertainment Distribution - Operating Income, mm</t>
  </si>
  <si>
    <t>Media and Entertainment Distribution - Operating expenses, mm</t>
  </si>
  <si>
    <t>Media and Entertainment Distribution - Operating income margin, %</t>
  </si>
  <si>
    <t>Linear Network - Affiliate fees revenue growth rate, %</t>
  </si>
  <si>
    <t>Linear Network - Advertising revenue growth rate, %</t>
  </si>
  <si>
    <t>Linear Network - Total revenue growth rate, %</t>
  </si>
  <si>
    <t>Direct-to-Consumer - Total revenue growth rate, %</t>
  </si>
  <si>
    <t>Content Sales/Licensing - TV/SVOD distribution revenue growth, %</t>
  </si>
  <si>
    <t>Content Sales/Licensing - Theatrical distribution revenue growth, %</t>
  </si>
  <si>
    <t>Content Sales/Licensing - Home entertainment revenue growth, %</t>
  </si>
  <si>
    <t>Content Sales/Licensing - Total revenue growth, %</t>
  </si>
  <si>
    <t>Media and Entertainment Distribution - Total revenue growth, %</t>
  </si>
  <si>
    <t>Parks, Experiences and Products - Parks &amp; Experiences merchandise, food and beverage revenue, mm</t>
  </si>
  <si>
    <t>Parks, Experiences and Products - Resorts and Vacations revenue, mm</t>
  </si>
  <si>
    <t>Parks, Experiences and Products - Merchandise licensing and retail revenue, mm</t>
  </si>
  <si>
    <t>Parks, Experiences and Products - Parks licensing and other revenue, mm</t>
  </si>
  <si>
    <t>Parks, Experiences and Products - Total revenue, mm</t>
  </si>
  <si>
    <t>Parks, Experiences and Products - Operating expenses, mm</t>
  </si>
  <si>
    <t>Parks, Experiences and Products - SG&amp;A, mm</t>
  </si>
  <si>
    <t>Parks, Experiences and Products - D&amp;A, mm</t>
  </si>
  <si>
    <t>Parks, Experiences and Products - Equity in the income of investees, mm</t>
  </si>
  <si>
    <t>Parks, Experiences and Products - Operating income, mm</t>
  </si>
  <si>
    <t>Parks, Experiences and Products - Theme park admissions revenue, mm</t>
  </si>
  <si>
    <t>Media and Entertainment Distribution D&amp;A, mm</t>
  </si>
  <si>
    <t>Media and Entertainment Distribution Depreciation, mm</t>
  </si>
  <si>
    <t>Media and Entertainment Distribution Amortization, mm</t>
  </si>
  <si>
    <t>Media and Entertainment Distribution D&amp;A Discrepancy, mm</t>
  </si>
  <si>
    <t>Parks, Experiences and Products - Total revenue growth, %</t>
  </si>
  <si>
    <t>Theme park admissions revenue growth, %</t>
  </si>
  <si>
    <t>Parks &amp; Experiences merchandise, food and beverage revenue growth, %</t>
  </si>
  <si>
    <t>Resorts and Vacations revenue growth, %</t>
  </si>
  <si>
    <t>Merchandise licensing and retail revenue growth, %</t>
  </si>
  <si>
    <t>Parks licensing and other revenue growth, %</t>
  </si>
  <si>
    <t>Media and Entertainment Distribution Operating Income, mm</t>
  </si>
  <si>
    <t>Parks, Experiences and Products Operating Income, mm</t>
  </si>
  <si>
    <t>Media and Entertainment Distribution Capex, mm</t>
  </si>
  <si>
    <t>Parks, Experiences and Products Amortization, mm</t>
  </si>
  <si>
    <t>Parks, Experiences and Products D&amp;A Discrepancy, mm</t>
  </si>
  <si>
    <t>Parks, Experiences and Products D&amp;A, mm</t>
  </si>
  <si>
    <t>Parks, Experiences and Products Capex, mm</t>
  </si>
  <si>
    <t>Parks, Experiences and Products Depreciation, mm</t>
  </si>
  <si>
    <t>Segmented Results - Media Networks (MD&amp;A) (Historical)</t>
  </si>
  <si>
    <t>Segmented Results - Prior Q1 2021 Segment Reorganization (Historical)</t>
  </si>
  <si>
    <t>Key Metrics - Media Networks Supplemental Revenue and Segment Operating Income (MD&amp;A) (Historical)</t>
  </si>
  <si>
    <t>Segmented Results - Parks, Experiences &amp; Consumer Products (MD&amp;A) (Historical)</t>
  </si>
  <si>
    <t>Key Metrics - Parks, Experiences &amp; Consumer Products Revenue by Major Source (FS) (Historical)</t>
  </si>
  <si>
    <t>Key Metrics - Parks, Experiences &amp; Consumer Products Revenue by Region (FS) (Historical)</t>
  </si>
  <si>
    <t>Key Metrics - Parks, Experiences &amp; Consumer Products Segment Operating Income (MD&amp;A) (Historical)</t>
  </si>
  <si>
    <t>Key Metrics - Parks and Resorts Statistics (MD&amp;A) (Historical)</t>
  </si>
  <si>
    <t>Segmented Results - Studio Entertainment (MD&amp;A) (Historical)</t>
  </si>
  <si>
    <t>Key Metrics - Studio Entertainment (MD&amp;A) (Historical)</t>
  </si>
  <si>
    <t>Segmented Results - Direct-to-Consumer &amp; International (MD&amp;A) (Historical)</t>
  </si>
  <si>
    <t>Key Metrics - Direct-to-Consumer &amp; International Supplemental Revenue and Segment Operating Income (MD&amp;A) (Historical)</t>
  </si>
  <si>
    <t>Historical Studio Entertainment content transactions with Media Networks revenue, mm</t>
  </si>
  <si>
    <t>Historical Studio Entertainment content transactions with DTCI revenue, mm</t>
  </si>
  <si>
    <t>Historical Media Networks content transactions with DTCI revenue, mm</t>
  </si>
  <si>
    <t>Historical Total Intersegment Content Transaction Revenues, mm</t>
  </si>
  <si>
    <t>Historical Affiliate fees elimination, mm</t>
  </si>
  <si>
    <t>Historical TV/SVOD distribution licensing elimination, mm</t>
  </si>
  <si>
    <t>Historical Total Intersegment Content Transaction Revenues - by source, mm</t>
  </si>
  <si>
    <t>Historical Eliminations - United States and Canada Revenue, mm</t>
  </si>
  <si>
    <t>Historical Eliminations - Latin America Revenue, mm</t>
  </si>
  <si>
    <t>Historical Eliminations - Americas, mm</t>
  </si>
  <si>
    <t>Historical Eliminations - Europe Revenue, mm</t>
  </si>
  <si>
    <t>Historical Eliminations - Asia Pacific Revenue, mm</t>
  </si>
  <si>
    <t>Historical Total Eliminations Geographic Revenue, mm</t>
  </si>
  <si>
    <t>Historical Elimination of expenses, mm</t>
  </si>
  <si>
    <t>Historical Studio Entertainment content transactions with Media Networks operating income, mm</t>
  </si>
  <si>
    <t>Historical Studio Entertainment content transactions with DTCI operating income, mm</t>
  </si>
  <si>
    <t>Historical Media Networks content transactions with DTCI operating income, mm</t>
  </si>
  <si>
    <t>Historical Total Intersegment Content Transaction Operating Income, mm</t>
  </si>
  <si>
    <t>Total revenue, mm</t>
  </si>
  <si>
    <t>Discrepancy in Segment COGS, mm</t>
  </si>
  <si>
    <t>Consolidated COGS, mm</t>
  </si>
  <si>
    <t>Segment SG&amp;A, mm</t>
  </si>
  <si>
    <t>Corporate operating Expenses, mm</t>
  </si>
  <si>
    <t>Discrepancy in Segment S&amp;GA, mm</t>
  </si>
  <si>
    <t>Consolidated SG&amp;A, mm</t>
  </si>
  <si>
    <t>Segment D&amp;A, mm</t>
  </si>
  <si>
    <t>Corporate D&amp;A expenses, mm</t>
  </si>
  <si>
    <t>Discrepancy in Segment D&amp;A, mm</t>
  </si>
  <si>
    <t>Consolidated D&amp;A, mm</t>
  </si>
  <si>
    <t>Segment Equity Investment, mm</t>
  </si>
  <si>
    <t>Consolidated Equity Investment, mm</t>
  </si>
  <si>
    <t>Segmented Results - Corporate and Unallocated Shared Expenses and EBIT walk (MD&amp;A)</t>
  </si>
  <si>
    <t>Segment operating expense, mm</t>
  </si>
  <si>
    <t>Other corporate amortization of intangible assets, mm</t>
  </si>
  <si>
    <t>Q1-2021</t>
  </si>
  <si>
    <t>Q2-2021</t>
  </si>
  <si>
    <t>Linear Network - Domestic affiliate fees revenue, mm</t>
  </si>
  <si>
    <t>Linear Network - International affiliate fees revenue, mm</t>
  </si>
  <si>
    <t>Linear Network - Cable advertising revenue, mm</t>
  </si>
  <si>
    <t>Linear Network - Broadcasting advertising revenue, mm</t>
  </si>
  <si>
    <t>Linear Network - Domestic channels advertising revenue, mm</t>
  </si>
  <si>
    <t>Linear Network - International channels advertising revenue, mm</t>
  </si>
  <si>
    <t>Linear Network - Domestic affiliate fees revenue growth rate, %</t>
  </si>
  <si>
    <t>Linear Network - International affiliate fees revenue growth rate, %</t>
  </si>
  <si>
    <t>Linear Network - Cable advertising revenue growth rate, %</t>
  </si>
  <si>
    <t>Linear Network - Broadcasting advertising revenue growth rate, %</t>
  </si>
  <si>
    <t>Linear Network - Domestic channels advertising revenue growth rate, %</t>
  </si>
  <si>
    <t>Linear Network - International channels advertising revenue growth rate, %</t>
  </si>
  <si>
    <t>Q3-2021</t>
  </si>
  <si>
    <t>SK</t>
  </si>
  <si>
    <t>Parks &amp; Experiences  - Domestic revenue, mm</t>
  </si>
  <si>
    <t>Parks &amp; Experiences - International revenue, mm</t>
  </si>
  <si>
    <t>Consumer Products revenue, mm</t>
  </si>
  <si>
    <t>Parks &amp; Experiences  - Domestic operating income, mm</t>
  </si>
  <si>
    <t>Parks &amp; Experiences - International operating income, mm</t>
  </si>
  <si>
    <t>Linear Network  - Domestic channels revenue, mm</t>
  </si>
  <si>
    <t>Linear Network - International channels revenue, mm</t>
  </si>
  <si>
    <t>Linear Networks  - Domestic channels operating income, mm</t>
  </si>
  <si>
    <t>Linear Networks - International channels operating income, mm</t>
  </si>
  <si>
    <t>Linear Network - Domestic channels operating income margin, %</t>
  </si>
  <si>
    <t>Linear Network - International channels operating income margin, %</t>
  </si>
  <si>
    <t>Parks, Experiences and Products - Domestic Operating income margin, %</t>
  </si>
  <si>
    <t>Parks, Experiences and Products - International Operating income margin, %</t>
  </si>
  <si>
    <t>Parks, Experiences and Products - Consumer Products Operating income margin, %</t>
  </si>
  <si>
    <t>Media and Entertainment Distribution - Elimination of Intersegment revenue, mm</t>
  </si>
  <si>
    <t>Operating labor, mm</t>
  </si>
  <si>
    <t>Infrastructure costs, mm</t>
  </si>
  <si>
    <t>Cost of goods sold and distribution costs, mm</t>
  </si>
  <si>
    <t>Other operating expense, mm</t>
  </si>
  <si>
    <t>Total operating expenses,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</si>
</sst>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0">
    <numFmt numFmtId="44" formatCode="_(&quot;$&quot;* #,##0.00_);_(&quot;$&quot;* \(#,##0.00\);_(&quot;$&quot;* &quot;-&quot;??_);_(@_)"/>
    <numFmt numFmtId="43" formatCode="_(* #,##0.00_);_(* \(#,##0.00\);_(* &quot;-&quot;??_);_(@_)"/>
    <numFmt numFmtId="164" formatCode="_(* #,##0.0_);_(* \(#,##0.0\);_(* &quot;-&quot;??_);_(@_)"/>
    <numFmt numFmtId="165" formatCode="_(&quot;$&quot;* #,##0_);_(&quot;$&quot;* \(#,##0\);_(&quot;$&quot;* &quot;-&quot;??_);_(@_)"/>
    <numFmt numFmtId="166" formatCode="_(* #,##0_);_(* \(#,##0\);_(* &quot;-&quot;??_);_(@_)"/>
    <numFmt numFmtId="167" formatCode="_(* 0.0%_);_(* \-0.0%_);_(* &quot;-&quot;??_);_(@_)"/>
    <numFmt numFmtId="168" formatCode="_(* #,##0.0_);_(* \(#,##0.0\);_(* &quot;-&quot;??_);@"/>
    <numFmt numFmtId="169" formatCode="_(&quot;$&quot;* 0.00_);_(&quot;$&quot;* \(0.00\);_(&quot;$&quot;* &quot;-&quot;??_);_(@_)"/>
    <numFmt numFmtId="170" formatCode="_(* 0.0\ \x_);\ _(* &quot;n/a&quot;_);_(* &quot;-&quot;??_);_(@_)"/>
    <numFmt numFmtId="171" formatCode=";;;"/>
    <numFmt numFmtId="172" formatCode="_(&quot;$&quot;* 0.000_);_(&quot;$&quot;* \(0.000\);_(&quot;$&quot;* &quot;-&quot;??_);_(@_)"/>
    <numFmt numFmtId="173" formatCode="_(&quot;$&quot;* #,##0.000_);_(&quot;$&quot;* \(#,##0.000\);_(&quot;$&quot;* &quot;-&quot;??_);_(@_)"/>
    <numFmt numFmtId="174" formatCode="_(* #,##0.0_);_(* \(#,##0.0\);_(* &quot;-&quot;??_);_(&quot;Bloomberg &gt;&gt; &quot;@_)"/>
    <numFmt numFmtId="175" formatCode="_(* #,##0.0_);_(* \(#,##0.0\);_(* &quot;-&quot;??_);_(&quot;Capital IQ &gt;&gt; &quot;@_)"/>
    <numFmt numFmtId="176" formatCode="_(* #,##0.0_);_(* \(#,##0.0\);_(* &quot;-&quot;??_);_(&quot;FactSet &gt;&gt; &quot;@_)"/>
    <numFmt numFmtId="177" formatCode="_(* #,##0.0_);_(* \(#,##0.0\);_(* &quot;-&quot;??_);_(&quot;Ticker :   &quot;@_)"/>
    <numFmt numFmtId="178" formatCode="_(&quot;$&quot;* 0.00_);_(&quot;$&quot;* \(0.00\);_(&quot;$&quot;* &quot;-&quot;??_);_(@\ * \ &quot;Toggle  &gt;&gt;&gt;&quot;_)"/>
    <numFmt numFmtId="179" formatCode="_(* 0%_);_(* \-0%_);_(* &quot;-&quot;??_);_(@_)"/>
    <numFmt numFmtId="180" formatCode="_(* 0.0%_);_(* &quot;n/a&quot;_);_(* &quot;-&quot;??_);_(@_)"/>
    <numFmt numFmtId="181" formatCode="_(* 0.0%_);_(* &quot;NMF&quot;_);_(* &quot;-&quot;??_);_(@_)"/>
    <numFmt numFmtId="182" formatCode="_(* #,##0.0_);_(* \(#,##0.0\);_(* &quot;-&quot;??_);_(&quot;Model Sheet Currency :   &quot;@_)"/>
    <numFmt numFmtId="183" formatCode="_(* #,##0.0_);_(* \(#,##0.0\);_(* &quot;-&quot;??_);_(&quot;Canalyst Security Identification #: &quot;@_)"/>
    <numFmt numFmtId="184" formatCode="_(* #,##0.0_);_(* \(#,##0.0\);_(* &quot;-&quot;??_);_(&quot;Model Version #: &quot;@_)"/>
    <numFmt numFmtId="185" formatCode="_(* #,##0.0_);_(* \(#,##0.0\);_(* &quot; - &quot;??_);_(&quot;Last Price (&quot;@&quot;) &quot;_)"/>
    <numFmt numFmtId="186" formatCode="_(* #,##0.0_);_(* \(#,##0.0\);_(* &quot;-&quot;??_);_(&quot;Real-Time Stock Price :   &quot;@_)"/>
    <numFmt numFmtId="187" formatCode="_(&quot;$&quot;* 0.00_);_(&quot;$&quot;* \(0.00\);_(&quot;$&quot;* &quot; - &quot;??_);_(@_)"/>
    <numFmt numFmtId="188" formatCode="_(* #,##0.000_);_(* \(#,##0.000\);_(* &quot;-&quot;??_);_(@_)"/>
    <numFmt numFmtId="189" formatCode="&quot;Most Recent Period:&quot;"/>
    <numFmt numFmtId="190" formatCode="_(* #,##0.0_);_(* \(#,##0.0\);_(* &quot; -&quot;??_);_(&quot;Refinitiv &gt;&gt; &quot;@_)"/>
    <numFmt numFmtId="191" formatCode="yyyy\-mm\-dd"/>
  </numFmts>
  <fonts count="53" x14ac:knownFonts="1">
    <font>
      <sz val="11"/>
      <name val="Calibri"/>
      <family val="2"/>
    </font>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sz val="11"/>
      <name val="Calibri"/>
      <family val="2"/>
    </font>
    <font>
      <sz val="11"/>
      <name val="Calibri"/>
      <family val="2"/>
      <scheme val="minor"/>
    </font>
    <font>
      <sz val="11"/>
      <color rgb="FFFF0000"/>
      <name val="Calibri"/>
      <family val="2"/>
    </font>
    <font>
      <sz val="11"/>
      <color theme="0"/>
      <name val="Calibri"/>
      <family val="2"/>
      <scheme val="minor"/>
    </font>
    <font>
      <sz val="22"/>
      <color theme="1"/>
      <name val="Calibri"/>
      <family val="2"/>
      <scheme val="minor"/>
    </font>
    <font>
      <u/>
      <sz val="11"/>
      <color theme="10"/>
      <name val="Calibri"/>
      <family val="2"/>
    </font>
    <font>
      <sz val="14"/>
      <color theme="1"/>
      <name val="Calibri"/>
      <family val="2"/>
      <scheme val="minor"/>
    </font>
    <font>
      <b/>
      <sz val="11"/>
      <color rgb="FFFF0000"/>
      <name val="Calibri"/>
      <family val="2"/>
    </font>
    <font>
      <sz val="11"/>
      <color rgb="FF006100"/>
      <name val="Calibri"/>
      <family val="2"/>
      <scheme val="minor"/>
    </font>
    <font>
      <sz val="10"/>
      <color theme="1"/>
      <name val="Calibri"/>
      <family val="2"/>
      <scheme val="minor"/>
    </font>
    <font>
      <b/>
      <sz val="10"/>
      <color theme="1"/>
      <name val="Calibri"/>
      <family val="2"/>
      <scheme val="minor"/>
    </font>
    <font>
      <b/>
      <sz val="14"/>
      <color rgb="FFFF0000"/>
      <name val="Calibri"/>
      <family val="2"/>
      <scheme val="minor"/>
    </font>
    <font>
      <b/>
      <sz val="14"/>
      <color theme="1"/>
      <name val="Calibri"/>
      <family val="2"/>
      <scheme val="minor"/>
    </font>
    <font>
      <sz val="14"/>
      <name val="Calibri"/>
      <family val="2"/>
      <scheme val="minor"/>
    </font>
    <font>
      <i/>
      <sz val="11"/>
      <name val="Calibri"/>
      <family val="2"/>
    </font>
    <font>
      <u/>
      <sz val="22"/>
      <color theme="10"/>
      <name val="Calibri"/>
      <family val="2"/>
      <scheme val="minor"/>
    </font>
    <font>
      <sz val="11"/>
      <color rgb="FF000000"/>
      <name val="Calibri"/>
      <family val="2"/>
      <scheme val="minor"/>
    </font>
    <font>
      <b/>
      <sz val="11"/>
      <color rgb="FFFFFFFF"/>
      <name val="Calibri"/>
      <family val="2"/>
    </font>
    <font>
      <b/>
      <sz val="11"/>
      <color rgb="FF000000"/>
      <name val="Calibri"/>
      <family val="2"/>
    </font>
    <font>
      <b/>
      <sz val="11"/>
      <color rgb="FF000000"/>
      <name val="Calibri"/>
      <family val="2"/>
      <scheme val="minor"/>
    </font>
    <font>
      <sz val="11"/>
      <color rgb="FF000000"/>
      <name val="Calibri"/>
      <family val="2"/>
    </font>
    <font>
      <i/>
      <sz val="11"/>
      <color rgb="FF000000"/>
      <name val="Calibri"/>
      <family val="2"/>
    </font>
    <font>
      <i/>
      <sz val="11"/>
      <color rgb="FF000000"/>
      <name val="Calibri"/>
      <family val="2"/>
      <scheme val="minor"/>
    </font>
    <font>
      <b/>
      <i/>
      <sz val="11"/>
      <color rgb="FF000000"/>
      <name val="Calibri"/>
      <family val="2"/>
    </font>
    <font>
      <b/>
      <i/>
      <sz val="11"/>
      <color rgb="FF000000"/>
      <name val="Calibri"/>
      <family val="2"/>
      <scheme val="minor"/>
    </font>
    <font>
      <sz val="10"/>
      <color theme="0"/>
      <name val="Calibri"/>
      <family val="2"/>
      <scheme val="minor"/>
    </font>
    <font>
      <b/>
      <sz val="11"/>
      <color theme="1"/>
      <name val="Calibri"/>
      <family val="2"/>
    </font>
    <font>
      <sz val="11"/>
      <color theme="1"/>
      <name val="Calibri"/>
      <family val="2"/>
    </font>
    <font>
      <i/>
      <sz val="11"/>
      <color theme="1"/>
      <name val="Calibri"/>
      <family val="2"/>
    </font>
    <font>
      <b/>
      <sz val="11"/>
      <color rgb="FFFFFFFF"/>
      <name val="Calibri"/>
      <family val="2"/>
      <scheme val="minor"/>
    </font>
    <font>
      <sz val="11"/>
      <color rgb="FFFFFFFF"/>
      <name val="Calibri"/>
      <family val="2"/>
    </font>
    <font>
      <u/>
      <sz val="22"/>
      <color rgb="FF000000"/>
      <name val="Calibri"/>
      <family val="2"/>
      <scheme val="minor"/>
    </font>
    <font>
      <u/>
      <sz val="14"/>
      <color rgb="FF0000FF"/>
      <name val="Calibri"/>
      <family val="2"/>
      <scheme val="minor"/>
    </font>
    <font>
      <b/>
      <i/>
      <sz val="11"/>
      <name val="Calibri"/>
      <family val="2"/>
    </font>
    <font>
      <b/>
      <i/>
      <sz val="11"/>
      <color theme="1"/>
      <name val="Calibri"/>
      <family val="2"/>
    </font>
    <font>
      <b/>
      <i/>
      <sz val="11"/>
      <color rgb="FFFF0000"/>
      <name val="Calibri"/>
      <family val="2"/>
    </font>
    <font>
      <i/>
      <sz val="11"/>
      <color rgb="FFFF0000"/>
      <name val="Calibri"/>
      <family val="2"/>
    </font>
    <font>
      <b/>
      <sz val="9"/>
      <name val="Tahoma"/>
      <family val="2"/>
    </font>
    <font>
      <sz val="9"/>
      <name val="Tahoma"/>
      <family val="2"/>
    </font>
    <font>
      <b/>
      <sz val="11"/>
      <color theme="0"/>
      <name val="Calibri"/>
      <family val="2"/>
    </font>
    <font>
      <b/>
      <i/>
      <sz val="11"/>
      <color rgb="FFFFFFFF"/>
      <name val="Calibri"/>
      <family val="2"/>
    </font>
    <font>
      <b/>
      <i/>
      <sz val="11"/>
      <color theme="0"/>
      <name val="Calibri"/>
      <family val="2"/>
    </font>
    <font>
      <b/>
      <i/>
      <sz val="11"/>
      <color rgb="FFFFFFFF"/>
      <name val="Calibri"/>
      <family val="2"/>
      <scheme val="minor"/>
    </font>
    <font>
      <sz val="7"/>
      <color rgb="FF000000"/>
      <name val="Calibri"/>
      <family val="2"/>
      <scheme val="minor"/>
    </font>
    <font>
      <b/>
      <sz val="7"/>
      <color rgb="FF000000"/>
      <name val="Calibri"/>
      <family val="2"/>
      <scheme val="minor"/>
    </font>
    <font>
      <sz val="11"/>
      <name val="Calibri"/>
      <family val="2"/>
    </font>
    <font>
      <b/>
      <sz val="9"/>
      <name val="Tahoma"/>
      <family val="2"/>
      <charset val="1"/>
    </font>
    <font>
      <sz val="9"/>
      <name val="Tahoma"/>
      <family val="2"/>
      <charset val="1"/>
    </font>
  </fonts>
  <fills count="13">
    <fill>
      <patternFill patternType="none"/>
    </fill>
    <fill>
      <patternFill patternType="gray125"/>
    </fill>
    <fill>
      <patternFill patternType="solid">
        <fgColor rgb="FFC6EFCE"/>
        <bgColor indexed="64"/>
      </patternFill>
    </fill>
    <fill>
      <patternFill patternType="solid">
        <fgColor rgb="FFF2F2F2"/>
        <bgColor indexed="64"/>
      </patternFill>
    </fill>
    <fill>
      <patternFill patternType="solid">
        <fgColor theme="0"/>
        <bgColor indexed="64"/>
      </patternFill>
    </fill>
    <fill>
      <patternFill patternType="solid">
        <fgColor theme="0" tint="-4.4648579363383893E-2"/>
        <bgColor indexed="64"/>
      </patternFill>
    </fill>
    <fill>
      <patternFill patternType="solid">
        <fgColor rgb="FF89E0FF"/>
        <bgColor indexed="64"/>
      </patternFill>
    </fill>
    <fill>
      <patternFill patternType="solid">
        <fgColor theme="0" tint="-0.24463637195959351"/>
        <bgColor indexed="64"/>
      </patternFill>
    </fill>
    <fill>
      <patternFill patternType="solid">
        <fgColor rgb="FFFBCE20"/>
        <bgColor indexed="64"/>
      </patternFill>
    </fill>
    <fill>
      <patternFill patternType="solid">
        <fgColor rgb="FFFFFFFF"/>
        <bgColor indexed="64"/>
      </patternFill>
    </fill>
    <fill>
      <patternFill patternType="solid">
        <fgColor rgb="FF000000"/>
        <bgColor indexed="64"/>
      </patternFill>
    </fill>
    <fill>
      <patternFill patternType="solid">
        <fgColor theme="1"/>
        <bgColor indexed="64"/>
      </patternFill>
    </fill>
    <fill>
      <patternFill patternType="solid">
        <fgColor rgb="FFBFBFBF"/>
        <bgColor indexed="64"/>
      </patternFill>
    </fill>
  </fills>
  <borders count="38">
    <border>
      <left/>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rgb="FF000000"/>
      </bottom>
      <diagonal/>
    </border>
    <border>
      <left style="thin">
        <color rgb="FF000000"/>
      </left>
      <right style="thin">
        <color auto="1"/>
      </right>
      <top style="thin">
        <color auto="1"/>
      </top>
      <bottom style="thin">
        <color rgb="FF000000"/>
      </bottom>
      <diagonal/>
    </border>
    <border>
      <left/>
      <right/>
      <top style="thin">
        <color rgb="FF000000"/>
      </top>
      <bottom/>
      <diagonal/>
    </border>
    <border>
      <left/>
      <right style="thick">
        <color auto="1"/>
      </right>
      <top/>
      <bottom/>
      <diagonal/>
    </border>
    <border>
      <left style="thin">
        <color rgb="FF000000"/>
      </left>
      <right style="thin">
        <color auto="1"/>
      </right>
      <top/>
      <bottom style="thin">
        <color rgb="FF000000"/>
      </bottom>
      <diagonal/>
    </border>
    <border>
      <left style="thin">
        <color auto="1"/>
      </left>
      <right style="thin">
        <color auto="1"/>
      </right>
      <top/>
      <bottom style="thin">
        <color rgb="FF000000"/>
      </bottom>
      <diagonal/>
    </border>
    <border>
      <left style="thin">
        <color auto="1"/>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ck">
        <color auto="1"/>
      </right>
      <top/>
      <bottom style="thin">
        <color rgb="FF000000"/>
      </bottom>
      <diagonal/>
    </border>
    <border>
      <left/>
      <right style="thick">
        <color auto="1"/>
      </right>
      <top style="thin">
        <color rgb="FF000000"/>
      </top>
      <bottom/>
      <diagonal/>
    </border>
    <border>
      <left/>
      <right/>
      <top/>
      <bottom style="thick">
        <color auto="1"/>
      </bottom>
      <diagonal/>
    </border>
    <border>
      <left/>
      <right/>
      <top style="thick">
        <color auto="1"/>
      </top>
      <bottom/>
      <diagonal/>
    </border>
    <border>
      <left/>
      <right style="thick">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ck">
        <color auto="1"/>
      </right>
      <top style="thin">
        <color auto="1"/>
      </top>
      <bottom/>
      <diagonal/>
    </border>
    <border>
      <left/>
      <right style="thick">
        <color auto="1"/>
      </right>
      <top style="thin">
        <color auto="1"/>
      </top>
      <bottom style="thin">
        <color auto="1"/>
      </bottom>
      <diagonal/>
    </border>
  </borders>
  <cellStyleXfs count="14">
    <xf numFmtId="0" fontId="0" fillId="0" borderId="0"/>
    <xf numFmtId="44" fontId="50" fillId="0" borderId="0"/>
    <xf numFmtId="44" fontId="1" fillId="0" borderId="0"/>
    <xf numFmtId="0" fontId="13" fillId="2" borderId="0"/>
    <xf numFmtId="0" fontId="3" fillId="0" borderId="0"/>
    <xf numFmtId="0" fontId="10" fillId="0" borderId="0">
      <alignment vertical="top"/>
      <protection locked="0"/>
    </xf>
    <xf numFmtId="0" fontId="1" fillId="0" borderId="0"/>
    <xf numFmtId="0" fontId="1" fillId="0" borderId="0"/>
    <xf numFmtId="0" fontId="50" fillId="0" borderId="0"/>
    <xf numFmtId="9" fontId="1" fillId="0" borderId="0"/>
    <xf numFmtId="44" fontId="1" fillId="0" borderId="0"/>
    <xf numFmtId="0" fontId="1" fillId="0" borderId="0"/>
    <xf numFmtId="0" fontId="1" fillId="0" borderId="0"/>
    <xf numFmtId="9" fontId="1" fillId="0" borderId="0"/>
  </cellStyleXfs>
  <cellXfs count="1017">
    <xf numFmtId="0" fontId="0" fillId="0" borderId="0" xfId="0" applyNumberFormat="1" applyFont="1" applyFill="1" applyBorder="1"/>
    <xf numFmtId="0" fontId="37" fillId="3" borderId="0" xfId="4" applyFont="1" applyFill="1"/>
    <xf numFmtId="0" fontId="1" fillId="0" borderId="1" xfId="7" applyNumberFormat="1" applyFont="1" applyFill="1" applyBorder="1" applyAlignment="1">
      <alignment vertical="top" wrapText="1"/>
    </xf>
    <xf numFmtId="0" fontId="1" fillId="0" borderId="2" xfId="7" applyNumberFormat="1" applyFont="1" applyFill="1" applyBorder="1" applyAlignment="1">
      <alignment vertical="top" wrapText="1"/>
    </xf>
    <xf numFmtId="0" fontId="1" fillId="0" borderId="3" xfId="7" applyNumberFormat="1" applyFont="1" applyFill="1" applyBorder="1" applyAlignment="1">
      <alignment vertical="top" wrapText="1"/>
    </xf>
    <xf numFmtId="0" fontId="1" fillId="0" borderId="4" xfId="7" applyNumberFormat="1" applyFont="1" applyFill="1" applyBorder="1" applyAlignment="1">
      <alignment vertical="top" wrapText="1"/>
    </xf>
    <xf numFmtId="0" fontId="1" fillId="0" borderId="0" xfId="7" applyNumberFormat="1" applyFont="1" applyFill="1" applyBorder="1" applyAlignment="1">
      <alignment vertical="top" wrapText="1"/>
    </xf>
    <xf numFmtId="0" fontId="1" fillId="0" borderId="5" xfId="7" applyNumberFormat="1" applyFont="1" applyFill="1" applyBorder="1" applyAlignment="1">
      <alignment vertical="top" wrapText="1"/>
    </xf>
    <xf numFmtId="0" fontId="1" fillId="0" borderId="6" xfId="7" applyNumberFormat="1" applyFont="1" applyFill="1" applyBorder="1" applyAlignment="1">
      <alignment vertical="top" wrapText="1"/>
    </xf>
    <xf numFmtId="0" fontId="1" fillId="0" borderId="7" xfId="7" applyNumberFormat="1" applyFont="1" applyFill="1" applyBorder="1" applyAlignment="1">
      <alignment vertical="top" wrapText="1"/>
    </xf>
    <xf numFmtId="0" fontId="48" fillId="0" borderId="8" xfId="7" applyNumberFormat="1" applyFont="1" applyFill="1" applyBorder="1" applyAlignment="1">
      <alignment vertical="top" wrapText="1"/>
    </xf>
    <xf numFmtId="0" fontId="1" fillId="4" borderId="0" xfId="7" quotePrefix="1" applyNumberFormat="1" applyFont="1" applyFill="1" applyBorder="1" applyAlignment="1">
      <alignment horizontal="left" vertical="top" wrapText="1"/>
    </xf>
    <xf numFmtId="0" fontId="9" fillId="5" borderId="0" xfId="7" applyNumberFormat="1" applyFont="1" applyFill="1" applyBorder="1" applyAlignment="1">
      <alignment horizontal="center"/>
    </xf>
    <xf numFmtId="0" fontId="1" fillId="0" borderId="0" xfId="7" applyNumberFormat="1" applyFont="1" applyFill="1" applyBorder="1"/>
    <xf numFmtId="0" fontId="0" fillId="0" borderId="0" xfId="8" applyNumberFormat="1" applyFont="1" applyFill="1" applyBorder="1"/>
    <xf numFmtId="164" fontId="0" fillId="0" borderId="0" xfId="0" applyNumberFormat="1" applyFont="1" applyFill="1" applyBorder="1"/>
    <xf numFmtId="167" fontId="5" fillId="6" borderId="0" xfId="0" applyNumberFormat="1" applyFont="1" applyFill="1" applyBorder="1"/>
    <xf numFmtId="169" fontId="5" fillId="6" borderId="0" xfId="1" applyNumberFormat="1" applyFont="1" applyFill="1" applyBorder="1" applyAlignment="1">
      <alignment horizontal="right" indent="1"/>
    </xf>
    <xf numFmtId="169" fontId="5" fillId="6" borderId="0" xfId="1" applyNumberFormat="1" applyFont="1" applyFill="1" applyBorder="1"/>
    <xf numFmtId="164" fontId="5" fillId="0" borderId="0" xfId="0" applyNumberFormat="1" applyFont="1" applyFill="1" applyBorder="1"/>
    <xf numFmtId="0" fontId="1" fillId="4" borderId="0" xfId="7" applyNumberFormat="1" applyFont="1" applyFill="1" applyBorder="1"/>
    <xf numFmtId="0" fontId="1" fillId="5" borderId="0" xfId="7" applyNumberFormat="1" applyFont="1" applyFill="1" applyBorder="1"/>
    <xf numFmtId="0" fontId="14" fillId="5" borderId="0" xfId="7" applyNumberFormat="1" applyFont="1" applyFill="1" applyBorder="1"/>
    <xf numFmtId="0" fontId="15" fillId="5" borderId="0" xfId="7" applyNumberFormat="1" applyFont="1" applyFill="1" applyBorder="1"/>
    <xf numFmtId="1" fontId="14" fillId="5" borderId="0" xfId="7" applyNumberFormat="1" applyFont="1" applyFill="1" applyBorder="1" applyAlignment="1">
      <alignment horizontal="center"/>
    </xf>
    <xf numFmtId="0" fontId="11" fillId="5" borderId="0" xfId="7" applyNumberFormat="1" applyFont="1" applyFill="1" applyBorder="1"/>
    <xf numFmtId="1" fontId="16" fillId="7" borderId="0" xfId="7" applyNumberFormat="1" applyFont="1" applyFill="1" applyBorder="1" applyAlignment="1">
      <alignment horizontal="center" vertical="center"/>
    </xf>
    <xf numFmtId="0" fontId="1" fillId="5" borderId="0" xfId="7" applyNumberFormat="1" applyFont="1" applyFill="1" applyBorder="1" applyAlignment="1">
      <alignment vertical="center"/>
    </xf>
    <xf numFmtId="0" fontId="17" fillId="5" borderId="0" xfId="7" applyNumberFormat="1" applyFont="1" applyFill="1" applyBorder="1" applyAlignment="1">
      <alignment vertical="center"/>
    </xf>
    <xf numFmtId="14" fontId="11" fillId="8" borderId="0" xfId="7" applyNumberFormat="1" applyFont="1" applyFill="1" applyBorder="1" applyAlignment="1">
      <alignment horizontal="center" vertical="center"/>
    </xf>
    <xf numFmtId="0" fontId="11" fillId="5" borderId="0" xfId="7" applyNumberFormat="1" applyFont="1" applyFill="1" applyBorder="1" applyAlignment="1">
      <alignment horizontal="center"/>
    </xf>
    <xf numFmtId="0" fontId="6" fillId="4" borderId="9" xfId="7" applyNumberFormat="1" applyFont="1" applyFill="1" applyBorder="1" applyAlignment="1">
      <alignment horizontal="center"/>
    </xf>
    <xf numFmtId="14" fontId="6" fillId="4" borderId="9" xfId="7" applyNumberFormat="1" applyFont="1" applyFill="1" applyBorder="1" applyAlignment="1">
      <alignment horizontal="center"/>
    </xf>
    <xf numFmtId="0" fontId="11" fillId="0" borderId="0" xfId="7" applyNumberFormat="1" applyFont="1" applyFill="1" applyBorder="1" applyAlignment="1">
      <alignment vertical="center"/>
    </xf>
    <xf numFmtId="170" fontId="5" fillId="6" borderId="0" xfId="0" applyNumberFormat="1" applyFont="1" applyFill="1" applyBorder="1" applyAlignment="1">
      <alignment horizontal="right"/>
    </xf>
    <xf numFmtId="170" fontId="0" fillId="6" borderId="0" xfId="0" applyNumberFormat="1" applyFont="1" applyFill="1" applyBorder="1" applyAlignment="1">
      <alignment horizontal="right"/>
    </xf>
    <xf numFmtId="0" fontId="11" fillId="5" borderId="0" xfId="7" applyNumberFormat="1" applyFont="1" applyFill="1" applyBorder="1" applyAlignment="1">
      <alignment vertical="center"/>
    </xf>
    <xf numFmtId="167" fontId="12" fillId="6" borderId="0" xfId="0" applyNumberFormat="1" applyFont="1" applyFill="1" applyBorder="1" applyAlignment="1">
      <alignment horizontal="right"/>
    </xf>
    <xf numFmtId="172" fontId="0" fillId="6" borderId="0" xfId="0" applyNumberFormat="1" applyFont="1" applyFill="1" applyBorder="1"/>
    <xf numFmtId="166" fontId="0" fillId="6" borderId="0" xfId="0" applyNumberFormat="1" applyFont="1" applyFill="1" applyBorder="1"/>
    <xf numFmtId="164" fontId="0" fillId="0" borderId="0" xfId="0" applyNumberFormat="1" applyFont="1" applyFill="1" applyBorder="1"/>
    <xf numFmtId="172" fontId="7" fillId="6" borderId="0" xfId="0" applyNumberFormat="1" applyFont="1" applyFill="1" applyBorder="1"/>
    <xf numFmtId="167" fontId="12" fillId="6" borderId="0" xfId="0" applyNumberFormat="1" applyFont="1" applyFill="1" applyBorder="1"/>
    <xf numFmtId="164" fontId="5" fillId="0" borderId="0" xfId="0" applyNumberFormat="1" applyFont="1" applyFill="1" applyBorder="1" applyAlignment="1">
      <alignment horizontal="center"/>
    </xf>
    <xf numFmtId="167" fontId="5" fillId="0" borderId="0" xfId="0" applyNumberFormat="1" applyFont="1" applyFill="1" applyBorder="1"/>
    <xf numFmtId="169" fontId="5" fillId="0" borderId="0" xfId="0" applyNumberFormat="1" applyFont="1" applyFill="1" applyBorder="1"/>
    <xf numFmtId="172" fontId="0" fillId="0" borderId="0" xfId="0" applyNumberFormat="1" applyFont="1" applyFill="1" applyBorder="1"/>
    <xf numFmtId="170" fontId="5" fillId="0" borderId="0" xfId="0" applyNumberFormat="1" applyFont="1" applyFill="1" applyBorder="1"/>
    <xf numFmtId="170" fontId="0" fillId="0" borderId="0" xfId="0" applyNumberFormat="1" applyFont="1" applyFill="1" applyBorder="1"/>
    <xf numFmtId="166" fontId="0" fillId="0" borderId="0" xfId="0" applyNumberFormat="1" applyFont="1" applyFill="1" applyBorder="1"/>
    <xf numFmtId="167" fontId="5" fillId="6" borderId="7" xfId="0" applyNumberFormat="1" applyFont="1" applyFill="1" applyBorder="1" applyAlignment="1">
      <alignment horizontal="right"/>
    </xf>
    <xf numFmtId="166" fontId="5" fillId="6" borderId="0" xfId="0" applyNumberFormat="1" applyFont="1" applyFill="1" applyBorder="1"/>
    <xf numFmtId="166" fontId="5" fillId="0" borderId="0" xfId="0" applyNumberFormat="1" applyFont="1" applyFill="1" applyBorder="1"/>
    <xf numFmtId="166" fontId="5" fillId="6" borderId="7" xfId="0" applyNumberFormat="1" applyFont="1" applyFill="1" applyBorder="1"/>
    <xf numFmtId="166" fontId="5" fillId="6" borderId="10" xfId="0" applyNumberFormat="1" applyFont="1" applyFill="1" applyBorder="1"/>
    <xf numFmtId="166" fontId="12" fillId="6" borderId="0" xfId="0" applyNumberFormat="1" applyFont="1" applyFill="1" applyBorder="1"/>
    <xf numFmtId="166" fontId="19" fillId="0" borderId="0" xfId="0" applyNumberFormat="1" applyFont="1" applyFill="1" applyBorder="1"/>
    <xf numFmtId="166" fontId="7" fillId="6" borderId="0" xfId="0" applyNumberFormat="1" applyFont="1" applyFill="1" applyBorder="1"/>
    <xf numFmtId="0" fontId="1" fillId="4" borderId="9" xfId="7" applyNumberFormat="1" applyFont="1" applyFill="1" applyBorder="1" applyAlignment="1">
      <alignment horizontal="center"/>
    </xf>
    <xf numFmtId="0" fontId="2" fillId="9" borderId="0" xfId="0" applyNumberFormat="1" applyFont="1" applyFill="1" applyBorder="1" applyAlignment="1">
      <alignment horizontal="center"/>
    </xf>
    <xf numFmtId="167" fontId="5" fillId="9" borderId="7" xfId="0" applyNumberFormat="1" applyFont="1" applyFill="1" applyBorder="1" applyAlignment="1">
      <alignment horizontal="right"/>
    </xf>
    <xf numFmtId="166" fontId="5" fillId="9" borderId="7" xfId="0" applyNumberFormat="1" applyFont="1" applyFill="1" applyBorder="1"/>
    <xf numFmtId="166" fontId="5" fillId="9" borderId="10" xfId="0" applyNumberFormat="1" applyFont="1" applyFill="1" applyBorder="1"/>
    <xf numFmtId="164" fontId="0" fillId="9" borderId="0" xfId="0" applyNumberFormat="1" applyFont="1" applyFill="1" applyBorder="1"/>
    <xf numFmtId="166" fontId="19" fillId="9" borderId="0" xfId="0" applyNumberFormat="1" applyFont="1" applyFill="1" applyBorder="1"/>
    <xf numFmtId="169" fontId="5" fillId="9" borderId="0" xfId="0" applyNumberFormat="1" applyFont="1" applyFill="1" applyBorder="1"/>
    <xf numFmtId="169" fontId="5" fillId="9" borderId="0" xfId="1" applyNumberFormat="1" applyFont="1" applyFill="1" applyBorder="1"/>
    <xf numFmtId="172" fontId="0" fillId="9" borderId="0" xfId="0" applyNumberFormat="1" applyFont="1" applyFill="1" applyBorder="1"/>
    <xf numFmtId="179" fontId="0" fillId="9" borderId="0" xfId="0" applyNumberFormat="1" applyFont="1" applyFill="1" applyBorder="1" applyAlignment="1">
      <alignment horizontal="right"/>
    </xf>
    <xf numFmtId="166" fontId="7" fillId="9" borderId="0" xfId="0" applyNumberFormat="1" applyFont="1" applyFill="1" applyBorder="1"/>
    <xf numFmtId="167" fontId="12" fillId="9" borderId="0" xfId="0" applyNumberFormat="1" applyFont="1" applyFill="1" applyBorder="1" applyAlignment="1">
      <alignment horizontal="right"/>
    </xf>
    <xf numFmtId="44" fontId="5" fillId="0" borderId="0" xfId="1" applyNumberFormat="1" applyFont="1" applyFill="1" applyBorder="1"/>
    <xf numFmtId="164" fontId="19" fillId="0" borderId="0" xfId="0" applyNumberFormat="1" applyFont="1" applyFill="1" applyBorder="1"/>
    <xf numFmtId="166" fontId="12" fillId="9" borderId="0" xfId="0" applyNumberFormat="1" applyFont="1" applyFill="1" applyBorder="1"/>
    <xf numFmtId="166" fontId="21" fillId="2" borderId="0" xfId="3" applyNumberFormat="1" applyFont="1" applyFill="1" applyBorder="1"/>
    <xf numFmtId="166" fontId="21" fillId="2" borderId="0" xfId="3" applyNumberFormat="1" applyFont="1" applyFill="1" applyBorder="1" applyAlignment="1">
      <alignment horizontal="right"/>
    </xf>
    <xf numFmtId="0" fontId="17" fillId="5" borderId="0" xfId="7" applyNumberFormat="1" applyFont="1" applyFill="1" applyBorder="1" applyAlignment="1">
      <alignment horizontal="center" vertical="center"/>
    </xf>
    <xf numFmtId="0" fontId="18" fillId="8" borderId="0" xfId="7" applyNumberFormat="1" applyFont="1" applyFill="1" applyBorder="1" applyAlignment="1">
      <alignment horizontal="center" vertical="center"/>
    </xf>
    <xf numFmtId="0" fontId="1" fillId="5" borderId="0" xfId="7" applyNumberFormat="1" applyFont="1" applyFill="1" applyBorder="1" applyAlignment="1">
      <alignment vertical="center"/>
    </xf>
    <xf numFmtId="0" fontId="15" fillId="5" borderId="0" xfId="7" quotePrefix="1" applyNumberFormat="1" applyFont="1" applyFill="1" applyBorder="1"/>
    <xf numFmtId="0" fontId="17" fillId="5" borderId="0" xfId="7" applyNumberFormat="1" applyFont="1" applyFill="1" applyBorder="1"/>
    <xf numFmtId="0" fontId="5" fillId="0" borderId="0" xfId="0" applyNumberFormat="1" applyFont="1" applyFill="1" applyBorder="1"/>
    <xf numFmtId="0" fontId="0" fillId="0" borderId="0" xfId="0" applyNumberFormat="1" applyFont="1" applyFill="1" applyBorder="1"/>
    <xf numFmtId="167" fontId="0" fillId="0" borderId="0" xfId="0" applyNumberFormat="1" applyFont="1" applyFill="1" applyBorder="1"/>
    <xf numFmtId="167" fontId="5" fillId="9" borderId="0" xfId="0" applyNumberFormat="1" applyFont="1" applyFill="1" applyBorder="1" applyAlignment="1">
      <alignment horizontal="left" indent="1"/>
    </xf>
    <xf numFmtId="167" fontId="5" fillId="9" borderId="7" xfId="0" applyNumberFormat="1" applyFont="1" applyFill="1" applyBorder="1" applyAlignment="1">
      <alignment horizontal="left"/>
    </xf>
    <xf numFmtId="179" fontId="0" fillId="0" borderId="0" xfId="0" applyNumberFormat="1" applyFont="1" applyFill="1" applyBorder="1"/>
    <xf numFmtId="170" fontId="2" fillId="9" borderId="0" xfId="0" applyNumberFormat="1" applyFont="1" applyFill="1" applyBorder="1"/>
    <xf numFmtId="166" fontId="5" fillId="9" borderId="10" xfId="0" applyNumberFormat="1" applyFont="1" applyFill="1" applyBorder="1" applyAlignment="1">
      <alignment horizontal="left"/>
    </xf>
    <xf numFmtId="43" fontId="0" fillId="0" borderId="0" xfId="0" applyNumberFormat="1" applyFont="1" applyFill="1" applyBorder="1"/>
    <xf numFmtId="44" fontId="5" fillId="9" borderId="7" xfId="1" applyNumberFormat="1" applyFont="1" applyFill="1" applyBorder="1" applyAlignment="1">
      <alignment horizontal="left"/>
    </xf>
    <xf numFmtId="169" fontId="2" fillId="9" borderId="0" xfId="1" applyNumberFormat="1" applyFont="1" applyFill="1" applyBorder="1"/>
    <xf numFmtId="169" fontId="2" fillId="9" borderId="0" xfId="0" applyNumberFormat="1" applyFont="1" applyFill="1" applyBorder="1" applyAlignment="1">
      <alignment horizontal="left"/>
    </xf>
    <xf numFmtId="166" fontId="2" fillId="9" borderId="0" xfId="0" applyNumberFormat="1" applyFont="1" applyFill="1" applyBorder="1"/>
    <xf numFmtId="167" fontId="0" fillId="9" borderId="0" xfId="0" applyNumberFormat="1" applyFont="1" applyFill="1" applyBorder="1" applyAlignment="1">
      <alignment horizontal="left"/>
    </xf>
    <xf numFmtId="164" fontId="5" fillId="9" borderId="0" xfId="0" applyNumberFormat="1" applyFont="1" applyFill="1" applyBorder="1" applyAlignment="1">
      <alignment horizontal="left" indent="1"/>
    </xf>
    <xf numFmtId="166" fontId="0" fillId="9" borderId="0" xfId="0" applyNumberFormat="1" applyFont="1" applyFill="1" applyBorder="1" applyAlignment="1">
      <alignment horizontal="left" indent="2"/>
    </xf>
    <xf numFmtId="164" fontId="0" fillId="9" borderId="0" xfId="0" applyNumberFormat="1" applyFont="1" applyFill="1" applyBorder="1" applyAlignment="1">
      <alignment horizontal="left" indent="2"/>
    </xf>
    <xf numFmtId="167" fontId="22" fillId="10" borderId="0" xfId="0" applyNumberFormat="1" applyFont="1" applyFill="1" applyBorder="1"/>
    <xf numFmtId="0" fontId="24" fillId="9" borderId="0" xfId="0" applyNumberFormat="1" applyFont="1" applyFill="1" applyBorder="1" applyAlignment="1">
      <alignment horizontal="center"/>
    </xf>
    <xf numFmtId="167" fontId="23" fillId="9" borderId="7" xfId="0" applyNumberFormat="1" applyFont="1" applyFill="1" applyBorder="1" applyAlignment="1">
      <alignment horizontal="right"/>
    </xf>
    <xf numFmtId="167" fontId="25" fillId="9" borderId="0" xfId="0" applyNumberFormat="1" applyFont="1" applyFill="1" applyBorder="1" applyAlignment="1">
      <alignment horizontal="right"/>
    </xf>
    <xf numFmtId="167" fontId="23" fillId="6" borderId="7" xfId="0" applyNumberFormat="1" applyFont="1" applyFill="1" applyBorder="1" applyAlignment="1">
      <alignment horizontal="right"/>
    </xf>
    <xf numFmtId="167" fontId="25" fillId="6" borderId="0" xfId="0" applyNumberFormat="1" applyFont="1" applyFill="1" applyBorder="1" applyAlignment="1">
      <alignment horizontal="right"/>
    </xf>
    <xf numFmtId="166" fontId="25" fillId="6" borderId="0" xfId="0" applyNumberFormat="1" applyFont="1" applyFill="1" applyBorder="1"/>
    <xf numFmtId="166" fontId="23" fillId="9" borderId="7" xfId="0" applyNumberFormat="1" applyFont="1" applyFill="1" applyBorder="1"/>
    <xf numFmtId="166" fontId="23" fillId="6" borderId="7" xfId="0" applyNumberFormat="1" applyFont="1" applyFill="1" applyBorder="1"/>
    <xf numFmtId="179" fontId="25" fillId="6" borderId="0" xfId="0" applyNumberFormat="1" applyFont="1" applyFill="1" applyBorder="1" applyAlignment="1">
      <alignment horizontal="right"/>
    </xf>
    <xf numFmtId="170" fontId="23" fillId="6" borderId="0" xfId="0" applyNumberFormat="1" applyFont="1" applyFill="1" applyBorder="1" applyAlignment="1">
      <alignment horizontal="right"/>
    </xf>
    <xf numFmtId="166" fontId="23" fillId="9" borderId="10" xfId="0" applyNumberFormat="1" applyFont="1" applyFill="1" applyBorder="1"/>
    <xf numFmtId="166" fontId="23" fillId="6" borderId="10" xfId="0" applyNumberFormat="1" applyFont="1" applyFill="1" applyBorder="1"/>
    <xf numFmtId="166" fontId="23" fillId="6" borderId="0" xfId="0" applyNumberFormat="1" applyFont="1" applyFill="1" applyBorder="1"/>
    <xf numFmtId="166" fontId="26" fillId="6" borderId="0" xfId="0" applyNumberFormat="1" applyFont="1" applyFill="1" applyBorder="1" applyAlignment="1">
      <alignment horizontal="right"/>
    </xf>
    <xf numFmtId="166" fontId="25" fillId="9" borderId="0" xfId="0" applyNumberFormat="1" applyFont="1" applyFill="1" applyBorder="1"/>
    <xf numFmtId="166" fontId="23" fillId="9" borderId="0" xfId="0" applyNumberFormat="1" applyFont="1" applyFill="1" applyBorder="1"/>
    <xf numFmtId="167" fontId="23" fillId="6" borderId="0" xfId="0" applyNumberFormat="1" applyFont="1" applyFill="1" applyBorder="1"/>
    <xf numFmtId="169" fontId="23" fillId="6" borderId="0" xfId="0" applyNumberFormat="1" applyFont="1" applyFill="1" applyBorder="1"/>
    <xf numFmtId="169" fontId="26" fillId="6" borderId="0" xfId="0" applyNumberFormat="1" applyFont="1" applyFill="1" applyBorder="1" applyAlignment="1">
      <alignment horizontal="right"/>
    </xf>
    <xf numFmtId="169" fontId="23" fillId="6" borderId="0" xfId="1" applyNumberFormat="1" applyFont="1" applyFill="1" applyBorder="1"/>
    <xf numFmtId="169" fontId="27" fillId="6" borderId="0" xfId="1" applyNumberFormat="1" applyFont="1" applyFill="1" applyBorder="1" applyAlignment="1">
      <alignment horizontal="right"/>
    </xf>
    <xf numFmtId="166" fontId="27" fillId="6" borderId="0" xfId="0" applyNumberFormat="1" applyFont="1" applyFill="1" applyBorder="1" applyAlignment="1">
      <alignment horizontal="right"/>
    </xf>
    <xf numFmtId="170" fontId="25" fillId="6" borderId="0" xfId="0" applyNumberFormat="1" applyFont="1" applyFill="1" applyBorder="1" applyAlignment="1">
      <alignment horizontal="right"/>
    </xf>
    <xf numFmtId="0" fontId="14" fillId="0" borderId="0" xfId="7" applyNumberFormat="1" applyFont="1" applyFill="1" applyBorder="1"/>
    <xf numFmtId="1" fontId="5" fillId="9" borderId="0" xfId="0" applyNumberFormat="1" applyFont="1" applyFill="1" applyBorder="1" applyAlignment="1">
      <alignment horizontal="center"/>
    </xf>
    <xf numFmtId="1" fontId="23" fillId="9" borderId="0" xfId="0" applyNumberFormat="1" applyFont="1" applyFill="1" applyBorder="1" applyAlignment="1">
      <alignment horizontal="center"/>
    </xf>
    <xf numFmtId="164" fontId="24" fillId="9" borderId="0" xfId="8" applyNumberFormat="1" applyFont="1" applyFill="1" applyBorder="1" applyAlignment="1">
      <alignment horizontal="center"/>
    </xf>
    <xf numFmtId="169" fontId="23" fillId="6" borderId="0" xfId="8" applyNumberFormat="1" applyFont="1" applyFill="1" applyBorder="1"/>
    <xf numFmtId="179" fontId="25" fillId="9" borderId="0" xfId="0" applyNumberFormat="1" applyFont="1" applyFill="1" applyBorder="1" applyAlignment="1">
      <alignment horizontal="right"/>
    </xf>
    <xf numFmtId="169" fontId="23" fillId="9" borderId="0" xfId="8" applyNumberFormat="1" applyFont="1" applyFill="1" applyBorder="1"/>
    <xf numFmtId="167" fontId="23" fillId="6" borderId="0" xfId="8" applyNumberFormat="1" applyFont="1" applyFill="1" applyBorder="1" applyAlignment="1">
      <alignment horizontal="center"/>
    </xf>
    <xf numFmtId="167" fontId="23" fillId="9" borderId="0" xfId="8" applyNumberFormat="1" applyFont="1" applyFill="1" applyBorder="1" applyAlignment="1">
      <alignment horizontal="center"/>
    </xf>
    <xf numFmtId="167" fontId="25" fillId="9" borderId="0" xfId="8" applyNumberFormat="1" applyFont="1" applyFill="1" applyBorder="1" applyAlignment="1">
      <alignment horizontal="center"/>
    </xf>
    <xf numFmtId="167" fontId="25" fillId="6" borderId="0" xfId="8" applyNumberFormat="1" applyFont="1" applyFill="1" applyBorder="1"/>
    <xf numFmtId="167" fontId="25" fillId="6" borderId="0" xfId="8" applyNumberFormat="1" applyFont="1" applyFill="1" applyBorder="1" applyAlignment="1">
      <alignment horizontal="right"/>
    </xf>
    <xf numFmtId="167" fontId="25" fillId="9" borderId="0" xfId="8" applyNumberFormat="1" applyFont="1" applyFill="1" applyBorder="1" applyAlignment="1">
      <alignment horizontal="right"/>
    </xf>
    <xf numFmtId="167" fontId="23" fillId="6" borderId="7" xfId="8" applyNumberFormat="1" applyFont="1" applyFill="1" applyBorder="1" applyAlignment="1">
      <alignment horizontal="right"/>
    </xf>
    <xf numFmtId="167" fontId="23" fillId="9" borderId="7" xfId="8" applyNumberFormat="1" applyFont="1" applyFill="1" applyBorder="1" applyAlignment="1">
      <alignment horizontal="right"/>
    </xf>
    <xf numFmtId="167" fontId="23" fillId="6" borderId="0" xfId="8" applyNumberFormat="1" applyFont="1" applyFill="1" applyBorder="1" applyAlignment="1">
      <alignment horizontal="right"/>
    </xf>
    <xf numFmtId="167" fontId="23" fillId="9" borderId="0" xfId="8" applyNumberFormat="1" applyFont="1" applyFill="1" applyBorder="1" applyAlignment="1">
      <alignment horizontal="right"/>
    </xf>
    <xf numFmtId="181" fontId="23" fillId="6" borderId="0" xfId="8" applyNumberFormat="1" applyFont="1" applyFill="1" applyBorder="1" applyAlignment="1">
      <alignment horizontal="right"/>
    </xf>
    <xf numFmtId="181" fontId="23" fillId="9" borderId="0" xfId="8" applyNumberFormat="1" applyFont="1" applyFill="1" applyBorder="1" applyAlignment="1">
      <alignment horizontal="right"/>
    </xf>
    <xf numFmtId="170" fontId="23" fillId="9" borderId="0" xfId="8" applyNumberFormat="1" applyFont="1" applyFill="1" applyBorder="1" applyAlignment="1">
      <alignment horizontal="right"/>
    </xf>
    <xf numFmtId="170" fontId="23" fillId="9" borderId="0" xfId="8" applyNumberFormat="1" applyFont="1" applyFill="1" applyBorder="1"/>
    <xf numFmtId="180" fontId="23" fillId="9" borderId="0" xfId="8" applyNumberFormat="1" applyFont="1" applyFill="1" applyBorder="1" applyAlignment="1">
      <alignment horizontal="right"/>
    </xf>
    <xf numFmtId="170" fontId="25" fillId="6" borderId="0" xfId="8" applyNumberFormat="1" applyFont="1" applyFill="1" applyBorder="1" applyAlignment="1">
      <alignment horizontal="right"/>
    </xf>
    <xf numFmtId="170" fontId="25" fillId="9" borderId="0" xfId="8" applyNumberFormat="1" applyFont="1" applyFill="1" applyBorder="1" applyAlignment="1">
      <alignment horizontal="right"/>
    </xf>
    <xf numFmtId="170" fontId="25" fillId="9" borderId="0" xfId="8" applyNumberFormat="1" applyFont="1" applyFill="1" applyBorder="1"/>
    <xf numFmtId="0" fontId="3" fillId="4" borderId="9" xfId="4" applyNumberFormat="1" applyFont="1" applyFill="1" applyBorder="1" applyAlignment="1">
      <alignment horizontal="left"/>
    </xf>
    <xf numFmtId="182" fontId="2" fillId="9" borderId="0" xfId="0" applyNumberFormat="1" applyFont="1" applyFill="1" applyBorder="1"/>
    <xf numFmtId="0" fontId="30" fillId="5" borderId="0" xfId="7" applyNumberFormat="1" applyFont="1" applyFill="1" applyBorder="1" applyAlignment="1">
      <alignment horizontal="center"/>
    </xf>
    <xf numFmtId="183" fontId="2" fillId="5" borderId="0" xfId="7" applyNumberFormat="1" applyFont="1" applyFill="1" applyBorder="1" applyAlignment="1">
      <alignment horizontal="right"/>
    </xf>
    <xf numFmtId="170" fontId="5" fillId="9" borderId="0" xfId="0" applyNumberFormat="1" applyFont="1" applyFill="1" applyBorder="1"/>
    <xf numFmtId="170" fontId="0" fillId="9" borderId="0" xfId="0" applyNumberFormat="1" applyFont="1" applyFill="1" applyBorder="1"/>
    <xf numFmtId="166" fontId="25" fillId="6" borderId="0" xfId="8" applyNumberFormat="1" applyFont="1" applyFill="1" applyBorder="1"/>
    <xf numFmtId="166" fontId="25" fillId="9" borderId="0" xfId="8" applyNumberFormat="1" applyFont="1" applyFill="1" applyBorder="1"/>
    <xf numFmtId="166" fontId="23" fillId="6" borderId="7" xfId="8" applyNumberFormat="1" applyFont="1" applyFill="1" applyBorder="1"/>
    <xf numFmtId="166" fontId="23" fillId="9" borderId="7" xfId="8" applyNumberFormat="1" applyFont="1" applyFill="1" applyBorder="1"/>
    <xf numFmtId="166" fontId="23" fillId="6" borderId="0" xfId="8" applyNumberFormat="1" applyFont="1" applyFill="1" applyBorder="1"/>
    <xf numFmtId="166" fontId="23" fillId="9" borderId="0" xfId="8" applyNumberFormat="1" applyFont="1" applyFill="1" applyBorder="1"/>
    <xf numFmtId="166" fontId="27" fillId="9" borderId="0" xfId="0" applyNumberFormat="1" applyFont="1" applyFill="1" applyBorder="1" applyAlignment="1">
      <alignment horizontal="left" indent="1"/>
    </xf>
    <xf numFmtId="166" fontId="26" fillId="6" borderId="0" xfId="0" applyNumberFormat="1" applyFont="1" applyFill="1" applyBorder="1"/>
    <xf numFmtId="166" fontId="26" fillId="9" borderId="0" xfId="0" applyNumberFormat="1" applyFont="1" applyFill="1" applyBorder="1"/>
    <xf numFmtId="166" fontId="26" fillId="0" borderId="0" xfId="0" applyNumberFormat="1" applyFont="1" applyFill="1" applyBorder="1"/>
    <xf numFmtId="169" fontId="27" fillId="9" borderId="0" xfId="0" applyNumberFormat="1" applyFont="1" applyFill="1" applyBorder="1" applyAlignment="1">
      <alignment horizontal="left" indent="1"/>
    </xf>
    <xf numFmtId="169" fontId="26" fillId="6" borderId="0" xfId="0" applyNumberFormat="1" applyFont="1" applyFill="1" applyBorder="1"/>
    <xf numFmtId="169" fontId="26" fillId="9" borderId="0" xfId="0" applyNumberFormat="1" applyFont="1" applyFill="1" applyBorder="1"/>
    <xf numFmtId="169" fontId="26" fillId="0" borderId="0" xfId="0" applyNumberFormat="1" applyFont="1" applyFill="1" applyBorder="1"/>
    <xf numFmtId="167" fontId="19" fillId="6" borderId="0" xfId="0" applyNumberFormat="1" applyFont="1" applyFill="1" applyBorder="1" applyAlignment="1">
      <alignment horizontal="left" indent="1"/>
    </xf>
    <xf numFmtId="167" fontId="19" fillId="9" borderId="0" xfId="0" applyNumberFormat="1" applyFont="1" applyFill="1" applyBorder="1" applyAlignment="1">
      <alignment horizontal="left" indent="1"/>
    </xf>
    <xf numFmtId="167" fontId="26" fillId="6" borderId="0" xfId="0" applyNumberFormat="1" applyFont="1" applyFill="1" applyBorder="1" applyAlignment="1">
      <alignment horizontal="left" indent="1"/>
    </xf>
    <xf numFmtId="167" fontId="19" fillId="0" borderId="0" xfId="0" applyNumberFormat="1" applyFont="1" applyFill="1" applyBorder="1" applyAlignment="1">
      <alignment horizontal="left" indent="1"/>
    </xf>
    <xf numFmtId="166" fontId="0" fillId="9" borderId="0" xfId="0" applyNumberFormat="1" applyFont="1" applyFill="1" applyBorder="1" applyAlignment="1">
      <alignment horizontal="left" indent="3"/>
    </xf>
    <xf numFmtId="17" fontId="21" fillId="9" borderId="0" xfId="0" applyNumberFormat="1" applyFont="1" applyFill="1" applyBorder="1" applyAlignment="1">
      <alignment horizontal="center"/>
    </xf>
    <xf numFmtId="164" fontId="34" fillId="10" borderId="0" xfId="8" applyNumberFormat="1" applyFont="1" applyFill="1" applyBorder="1"/>
    <xf numFmtId="167" fontId="22" fillId="10" borderId="0" xfId="8" applyNumberFormat="1" applyFont="1" applyFill="1" applyBorder="1"/>
    <xf numFmtId="167" fontId="35" fillId="10" borderId="0" xfId="8" applyNumberFormat="1" applyFont="1" applyFill="1" applyBorder="1"/>
    <xf numFmtId="164" fontId="22" fillId="10" borderId="0" xfId="8" applyNumberFormat="1" applyFont="1" applyFill="1" applyBorder="1"/>
    <xf numFmtId="167" fontId="23" fillId="0" borderId="0" xfId="0" applyNumberFormat="1" applyFont="1" applyFill="1" applyBorder="1"/>
    <xf numFmtId="167" fontId="23" fillId="9" borderId="7" xfId="0" applyNumberFormat="1" applyFont="1" applyFill="1" applyBorder="1" applyAlignment="1">
      <alignment horizontal="left" indent="1"/>
    </xf>
    <xf numFmtId="167" fontId="24" fillId="9" borderId="7" xfId="1" applyNumberFormat="1" applyFont="1" applyFill="1" applyBorder="1"/>
    <xf numFmtId="167" fontId="27" fillId="9" borderId="0" xfId="0" applyNumberFormat="1" applyFont="1" applyFill="1" applyBorder="1" applyAlignment="1">
      <alignment horizontal="left" indent="1"/>
    </xf>
    <xf numFmtId="167" fontId="26" fillId="6" borderId="0" xfId="0" applyNumberFormat="1" applyFont="1" applyFill="1" applyBorder="1"/>
    <xf numFmtId="167" fontId="26" fillId="9" borderId="0" xfId="0" applyNumberFormat="1" applyFont="1" applyFill="1" applyBorder="1"/>
    <xf numFmtId="167" fontId="26" fillId="6" borderId="0" xfId="0" applyNumberFormat="1" applyFont="1" applyFill="1" applyBorder="1" applyAlignment="1">
      <alignment horizontal="right"/>
    </xf>
    <xf numFmtId="167" fontId="26" fillId="0" borderId="0" xfId="0" applyNumberFormat="1" applyFont="1" applyFill="1" applyBorder="1"/>
    <xf numFmtId="167" fontId="21" fillId="9" borderId="0" xfId="6" applyNumberFormat="1" applyFont="1" applyFill="1" applyBorder="1"/>
    <xf numFmtId="167" fontId="25" fillId="9" borderId="0" xfId="0" applyNumberFormat="1" applyFont="1" applyFill="1" applyBorder="1"/>
    <xf numFmtId="164" fontId="21" fillId="9" borderId="0" xfId="6" applyNumberFormat="1" applyFont="1" applyFill="1" applyBorder="1"/>
    <xf numFmtId="173" fontId="21" fillId="9" borderId="0" xfId="1" applyNumberFormat="1" applyFont="1" applyFill="1" applyBorder="1"/>
    <xf numFmtId="1" fontId="31" fillId="9" borderId="0" xfId="0" applyNumberFormat="1" applyFont="1" applyFill="1" applyBorder="1" applyAlignment="1">
      <alignment horizontal="center"/>
    </xf>
    <xf numFmtId="167" fontId="31" fillId="9" borderId="7" xfId="0" applyNumberFormat="1" applyFont="1" applyFill="1" applyBorder="1" applyAlignment="1">
      <alignment horizontal="right"/>
    </xf>
    <xf numFmtId="166" fontId="32" fillId="9" borderId="0" xfId="0" applyNumberFormat="1" applyFont="1" applyFill="1" applyBorder="1"/>
    <xf numFmtId="166" fontId="31" fillId="9" borderId="7" xfId="0" applyNumberFormat="1" applyFont="1" applyFill="1" applyBorder="1"/>
    <xf numFmtId="166" fontId="31" fillId="9" borderId="10" xfId="0" applyNumberFormat="1" applyFont="1" applyFill="1" applyBorder="1"/>
    <xf numFmtId="166" fontId="31" fillId="9" borderId="0" xfId="0" applyNumberFormat="1" applyFont="1" applyFill="1" applyBorder="1"/>
    <xf numFmtId="167" fontId="31" fillId="9" borderId="0" xfId="0" applyNumberFormat="1" applyFont="1" applyFill="1" applyBorder="1"/>
    <xf numFmtId="169" fontId="31" fillId="9" borderId="0" xfId="1" applyNumberFormat="1" applyFont="1" applyFill="1" applyBorder="1"/>
    <xf numFmtId="14" fontId="6" fillId="4" borderId="9" xfId="7" applyNumberFormat="1" applyFont="1" applyFill="1" applyBorder="1" applyAlignment="1">
      <alignment horizontal="center"/>
    </xf>
    <xf numFmtId="0" fontId="6" fillId="4" borderId="9" xfId="7" applyNumberFormat="1" applyFont="1" applyFill="1" applyBorder="1" applyAlignment="1">
      <alignment horizontal="center"/>
    </xf>
    <xf numFmtId="0" fontId="1" fillId="4" borderId="9" xfId="7" applyNumberFormat="1" applyFont="1" applyFill="1" applyBorder="1" applyAlignment="1">
      <alignment horizontal="center"/>
    </xf>
    <xf numFmtId="0" fontId="3" fillId="4" borderId="9" xfId="4" applyNumberFormat="1" applyFont="1" applyFill="1" applyBorder="1" applyAlignment="1">
      <alignment horizontal="left"/>
    </xf>
    <xf numFmtId="167" fontId="5" fillId="9" borderId="0" xfId="0" applyNumberFormat="1" applyFont="1" applyFill="1" applyBorder="1" applyAlignment="1">
      <alignment horizontal="left" indent="2"/>
    </xf>
    <xf numFmtId="44" fontId="5" fillId="9" borderId="0" xfId="1" applyNumberFormat="1" applyFont="1" applyFill="1" applyBorder="1" applyAlignment="1">
      <alignment horizontal="left"/>
    </xf>
    <xf numFmtId="43" fontId="0" fillId="9" borderId="0" xfId="0" applyNumberFormat="1" applyFont="1" applyFill="1" applyBorder="1" applyAlignment="1">
      <alignment horizontal="left" indent="1"/>
    </xf>
    <xf numFmtId="178" fontId="5" fillId="9" borderId="0" xfId="0" applyNumberFormat="1" applyFont="1" applyFill="1" applyBorder="1" applyAlignment="1">
      <alignment horizontal="left"/>
    </xf>
    <xf numFmtId="166" fontId="0" fillId="9" borderId="0" xfId="0" applyNumberFormat="1" applyFont="1" applyFill="1" applyBorder="1" applyAlignment="1">
      <alignment horizontal="left"/>
    </xf>
    <xf numFmtId="167" fontId="26" fillId="9" borderId="0" xfId="0" applyNumberFormat="1" applyFont="1" applyFill="1" applyBorder="1" applyAlignment="1">
      <alignment horizontal="left" indent="3"/>
    </xf>
    <xf numFmtId="166" fontId="26" fillId="9" borderId="0" xfId="0" applyNumberFormat="1" applyFont="1" applyFill="1" applyBorder="1" applyAlignment="1">
      <alignment horizontal="left" indent="3"/>
    </xf>
    <xf numFmtId="169" fontId="26" fillId="9" borderId="0" xfId="0" applyNumberFormat="1" applyFont="1" applyFill="1" applyBorder="1" applyAlignment="1">
      <alignment horizontal="left" indent="3"/>
    </xf>
    <xf numFmtId="166" fontId="25" fillId="9" borderId="0" xfId="0" applyNumberFormat="1" applyFont="1" applyFill="1" applyBorder="1" applyAlignment="1">
      <alignment horizontal="left" indent="3"/>
    </xf>
    <xf numFmtId="167" fontId="26" fillId="9" borderId="0" xfId="0" applyNumberFormat="1" applyFont="1" applyFill="1" applyBorder="1" applyAlignment="1">
      <alignment horizontal="left" indent="1"/>
    </xf>
    <xf numFmtId="167" fontId="12" fillId="9" borderId="0" xfId="0" applyNumberFormat="1" applyFont="1" applyFill="1" applyBorder="1"/>
    <xf numFmtId="169" fontId="23" fillId="9" borderId="0" xfId="0" applyNumberFormat="1" applyFont="1" applyFill="1" applyBorder="1"/>
    <xf numFmtId="169" fontId="23" fillId="9" borderId="0" xfId="1" applyNumberFormat="1" applyFont="1" applyFill="1" applyBorder="1"/>
    <xf numFmtId="172" fontId="7" fillId="9" borderId="0" xfId="0" applyNumberFormat="1" applyFont="1" applyFill="1" applyBorder="1"/>
    <xf numFmtId="166" fontId="25" fillId="9" borderId="2" xfId="0" applyNumberFormat="1" applyFont="1" applyFill="1" applyBorder="1"/>
    <xf numFmtId="172" fontId="1" fillId="9" borderId="0" xfId="1" applyNumberFormat="1" applyFont="1" applyFill="1" applyBorder="1"/>
    <xf numFmtId="170" fontId="1" fillId="9" borderId="0" xfId="0" applyNumberFormat="1" applyFont="1" applyFill="1" applyBorder="1"/>
    <xf numFmtId="166" fontId="0" fillId="9" borderId="2" xfId="0" applyNumberFormat="1" applyFont="1" applyFill="1" applyBorder="1" applyAlignment="1">
      <alignment horizontal="left" indent="1"/>
    </xf>
    <xf numFmtId="166" fontId="0" fillId="6" borderId="2" xfId="0" applyNumberFormat="1" applyFont="1" applyFill="1" applyBorder="1"/>
    <xf numFmtId="166" fontId="0" fillId="9" borderId="2" xfId="0" applyNumberFormat="1" applyFont="1" applyFill="1" applyBorder="1"/>
    <xf numFmtId="166" fontId="32" fillId="9" borderId="2" xfId="0" applyNumberFormat="1" applyFont="1" applyFill="1" applyBorder="1"/>
    <xf numFmtId="17" fontId="29" fillId="9" borderId="0" xfId="8" applyNumberFormat="1" applyFont="1" applyFill="1" applyBorder="1" applyAlignment="1">
      <alignment horizontal="center"/>
    </xf>
    <xf numFmtId="166" fontId="25" fillId="0" borderId="0" xfId="0" applyNumberFormat="1" applyFont="1" applyFill="1" applyBorder="1"/>
    <xf numFmtId="166" fontId="0" fillId="0" borderId="0" xfId="0" applyNumberFormat="1" applyFont="1" applyFill="1" applyBorder="1" applyAlignment="1">
      <alignment horizontal="left" indent="1"/>
    </xf>
    <xf numFmtId="166" fontId="0" fillId="6" borderId="0" xfId="0" applyNumberFormat="1" applyFont="1" applyFill="1" applyBorder="1" applyAlignment="1">
      <alignment horizontal="left" indent="1"/>
    </xf>
    <xf numFmtId="166" fontId="25" fillId="9" borderId="0" xfId="0" applyNumberFormat="1" applyFont="1" applyFill="1" applyBorder="1" applyAlignment="1">
      <alignment horizontal="left" indent="1"/>
    </xf>
    <xf numFmtId="166" fontId="32" fillId="9" borderId="0" xfId="0" applyNumberFormat="1" applyFont="1" applyFill="1" applyBorder="1" applyAlignment="1">
      <alignment horizontal="left" indent="1"/>
    </xf>
    <xf numFmtId="166" fontId="25" fillId="6" borderId="0" xfId="0" applyNumberFormat="1" applyFont="1" applyFill="1" applyBorder="1" applyAlignment="1">
      <alignment horizontal="left" indent="1"/>
    </xf>
    <xf numFmtId="166" fontId="0" fillId="9" borderId="2" xfId="0" applyNumberFormat="1" applyFont="1" applyFill="1" applyBorder="1" applyAlignment="1">
      <alignment horizontal="left" indent="3"/>
    </xf>
    <xf numFmtId="166" fontId="25" fillId="6" borderId="2" xfId="0" applyNumberFormat="1" applyFont="1" applyFill="1" applyBorder="1"/>
    <xf numFmtId="184" fontId="2" fillId="5" borderId="0" xfId="7" applyNumberFormat="1" applyFont="1" applyFill="1" applyBorder="1" applyAlignment="1">
      <alignment horizontal="right"/>
    </xf>
    <xf numFmtId="17" fontId="1" fillId="9" borderId="0" xfId="0" applyNumberFormat="1" applyFont="1" applyFill="1" applyBorder="1" applyAlignment="1">
      <alignment horizontal="center"/>
    </xf>
    <xf numFmtId="179" fontId="21" fillId="9" borderId="0" xfId="1" applyNumberFormat="1" applyFont="1" applyFill="1" applyBorder="1"/>
    <xf numFmtId="166" fontId="25" fillId="9" borderId="0" xfId="0" applyNumberFormat="1" applyFont="1" applyFill="1" applyBorder="1" applyAlignment="1">
      <alignment horizontal="left" indent="4"/>
    </xf>
    <xf numFmtId="171" fontId="0" fillId="9" borderId="0" xfId="0" applyNumberFormat="1" applyFont="1" applyFill="1" applyBorder="1"/>
    <xf numFmtId="168" fontId="36" fillId="9" borderId="0" xfId="4" applyNumberFormat="1" applyFont="1" applyFill="1" applyBorder="1" applyAlignment="1">
      <alignment horizontal="left"/>
    </xf>
    <xf numFmtId="164" fontId="24" fillId="9" borderId="0" xfId="8" applyNumberFormat="1" applyFont="1" applyFill="1" applyBorder="1" applyAlignment="1">
      <alignment horizontal="left"/>
    </xf>
    <xf numFmtId="164" fontId="29" fillId="9" borderId="0" xfId="8" applyNumberFormat="1" applyFont="1" applyFill="1" applyBorder="1" applyAlignment="1">
      <alignment horizontal="center"/>
    </xf>
    <xf numFmtId="164" fontId="23" fillId="9" borderId="0" xfId="8" applyNumberFormat="1" applyFont="1" applyFill="1" applyBorder="1" applyAlignment="1">
      <alignment horizontal="left"/>
    </xf>
    <xf numFmtId="166" fontId="25" fillId="9" borderId="0" xfId="8" applyNumberFormat="1" applyFont="1" applyFill="1" applyBorder="1" applyAlignment="1">
      <alignment horizontal="left" indent="1"/>
    </xf>
    <xf numFmtId="166" fontId="25" fillId="9" borderId="0" xfId="8" applyNumberFormat="1" applyFont="1" applyFill="1" applyBorder="1" applyAlignment="1">
      <alignment horizontal="left" indent="3"/>
    </xf>
    <xf numFmtId="166" fontId="23" fillId="9" borderId="7" xfId="8" applyNumberFormat="1" applyFont="1" applyFill="1" applyBorder="1" applyAlignment="1">
      <alignment horizontal="left"/>
    </xf>
    <xf numFmtId="166" fontId="23" fillId="9" borderId="7" xfId="8" applyNumberFormat="1" applyFont="1" applyFill="1" applyBorder="1" applyAlignment="1">
      <alignment horizontal="left" indent="3"/>
    </xf>
    <xf numFmtId="164" fontId="23" fillId="9" borderId="0" xfId="8" applyNumberFormat="1" applyFont="1" applyFill="1" applyBorder="1" applyAlignment="1">
      <alignment horizontal="left" indent="3"/>
    </xf>
    <xf numFmtId="167" fontId="21" fillId="9" borderId="0" xfId="1" applyNumberFormat="1" applyFont="1" applyFill="1" applyBorder="1"/>
    <xf numFmtId="167" fontId="24" fillId="9" borderId="0" xfId="1" applyNumberFormat="1" applyFont="1" applyFill="1" applyBorder="1"/>
    <xf numFmtId="164" fontId="25" fillId="9" borderId="0" xfId="8" applyNumberFormat="1" applyFont="1" applyFill="1" applyBorder="1" applyAlignment="1">
      <alignment horizontal="left" indent="1"/>
    </xf>
    <xf numFmtId="164" fontId="25" fillId="9" borderId="0" xfId="8" applyNumberFormat="1" applyFont="1" applyFill="1" applyBorder="1" applyAlignment="1">
      <alignment horizontal="left" indent="4"/>
    </xf>
    <xf numFmtId="166" fontId="23" fillId="9" borderId="0" xfId="8" applyNumberFormat="1" applyFont="1" applyFill="1" applyBorder="1" applyAlignment="1">
      <alignment horizontal="left"/>
    </xf>
    <xf numFmtId="166" fontId="23" fillId="9" borderId="0" xfId="8" applyNumberFormat="1" applyFont="1" applyFill="1" applyBorder="1" applyAlignment="1">
      <alignment horizontal="left" indent="3"/>
    </xf>
    <xf numFmtId="169" fontId="24" fillId="9" borderId="0" xfId="1" applyNumberFormat="1" applyFont="1" applyFill="1" applyBorder="1"/>
    <xf numFmtId="169" fontId="23" fillId="9" borderId="0" xfId="8" applyNumberFormat="1" applyFont="1" applyFill="1" applyBorder="1" applyAlignment="1">
      <alignment horizontal="left" indent="3"/>
    </xf>
    <xf numFmtId="164" fontId="25" fillId="9" borderId="0" xfId="8" applyNumberFormat="1" applyFont="1" applyFill="1" applyBorder="1" applyAlignment="1">
      <alignment horizontal="left" indent="3"/>
    </xf>
    <xf numFmtId="167" fontId="25" fillId="9" borderId="0" xfId="8" applyNumberFormat="1" applyFont="1" applyFill="1" applyBorder="1"/>
    <xf numFmtId="167" fontId="25" fillId="9" borderId="0" xfId="8" applyNumberFormat="1" applyFont="1" applyFill="1" applyBorder="1" applyAlignment="1">
      <alignment horizontal="left" indent="1"/>
    </xf>
    <xf numFmtId="167" fontId="23" fillId="9" borderId="7" xfId="8" applyNumberFormat="1" applyFont="1" applyFill="1" applyBorder="1" applyAlignment="1">
      <alignment horizontal="left"/>
    </xf>
    <xf numFmtId="167" fontId="23" fillId="9" borderId="0" xfId="8" applyNumberFormat="1" applyFont="1" applyFill="1" applyBorder="1" applyAlignment="1">
      <alignment horizontal="left"/>
    </xf>
    <xf numFmtId="181" fontId="23" fillId="9" borderId="0" xfId="8" applyNumberFormat="1" applyFont="1" applyFill="1" applyBorder="1" applyAlignment="1">
      <alignment horizontal="left"/>
    </xf>
    <xf numFmtId="181" fontId="24" fillId="9" borderId="0" xfId="1" applyNumberFormat="1" applyFont="1" applyFill="1" applyBorder="1"/>
    <xf numFmtId="170" fontId="24" fillId="9" borderId="0" xfId="8" applyNumberFormat="1" applyFont="1" applyFill="1" applyBorder="1"/>
    <xf numFmtId="170" fontId="23" fillId="9" borderId="0" xfId="8" applyNumberFormat="1" applyFont="1" applyFill="1" applyBorder="1" applyAlignment="1">
      <alignment horizontal="left" indent="3"/>
    </xf>
    <xf numFmtId="180" fontId="23" fillId="9" borderId="0" xfId="8" applyNumberFormat="1" applyFont="1" applyFill="1" applyBorder="1" applyAlignment="1">
      <alignment horizontal="left"/>
    </xf>
    <xf numFmtId="180" fontId="24" fillId="9" borderId="0" xfId="1" applyNumberFormat="1" applyFont="1" applyFill="1" applyBorder="1"/>
    <xf numFmtId="166" fontId="24" fillId="9" borderId="0" xfId="1" applyNumberFormat="1" applyFont="1" applyFill="1" applyBorder="1"/>
    <xf numFmtId="167" fontId="25" fillId="9" borderId="0" xfId="8" applyNumberFormat="1" applyFont="1" applyFill="1" applyBorder="1" applyAlignment="1">
      <alignment horizontal="left"/>
    </xf>
    <xf numFmtId="170" fontId="21" fillId="9" borderId="0" xfId="8" applyNumberFormat="1" applyFont="1" applyFill="1" applyBorder="1"/>
    <xf numFmtId="170" fontId="25" fillId="9" borderId="0" xfId="8" applyNumberFormat="1" applyFont="1" applyFill="1" applyBorder="1" applyAlignment="1">
      <alignment horizontal="left" indent="3"/>
    </xf>
    <xf numFmtId="0" fontId="25" fillId="9" borderId="0" xfId="8" applyNumberFormat="1" applyFont="1" applyFill="1" applyBorder="1"/>
    <xf numFmtId="164" fontId="25" fillId="9" borderId="11" xfId="0" applyNumberFormat="1" applyFont="1" applyFill="1" applyBorder="1"/>
    <xf numFmtId="164" fontId="21" fillId="9" borderId="11" xfId="6" applyNumberFormat="1" applyFont="1" applyFill="1" applyBorder="1"/>
    <xf numFmtId="164" fontId="25" fillId="9" borderId="12" xfId="0" applyNumberFormat="1" applyFont="1" applyFill="1" applyBorder="1"/>
    <xf numFmtId="164" fontId="25" fillId="9" borderId="13" xfId="0" applyNumberFormat="1" applyFont="1" applyFill="1" applyBorder="1"/>
    <xf numFmtId="164" fontId="21" fillId="9" borderId="14" xfId="6" applyNumberFormat="1" applyFont="1" applyFill="1" applyBorder="1" applyAlignment="1">
      <alignment horizontal="left" indent="1"/>
    </xf>
    <xf numFmtId="164" fontId="21" fillId="9" borderId="15" xfId="6" applyNumberFormat="1" applyFont="1" applyFill="1" applyBorder="1" applyAlignment="1">
      <alignment horizontal="left" indent="1"/>
    </xf>
    <xf numFmtId="14" fontId="6" fillId="4" borderId="16" xfId="7" applyNumberFormat="1" applyFont="1" applyFill="1" applyBorder="1" applyAlignment="1">
      <alignment horizontal="center"/>
    </xf>
    <xf numFmtId="0" fontId="6" fillId="4" borderId="16" xfId="7" applyNumberFormat="1" applyFont="1" applyFill="1" applyBorder="1" applyAlignment="1">
      <alignment horizontal="center"/>
    </xf>
    <xf numFmtId="0" fontId="1" fillId="4" borderId="16" xfId="7" applyNumberFormat="1" applyFont="1" applyFill="1" applyBorder="1" applyAlignment="1">
      <alignment horizontal="center"/>
    </xf>
    <xf numFmtId="0" fontId="3" fillId="4" borderId="16" xfId="4" applyNumberFormat="1" applyFont="1" applyFill="1" applyBorder="1" applyAlignment="1">
      <alignment horizontal="left"/>
    </xf>
    <xf numFmtId="0" fontId="6" fillId="4" borderId="17" xfId="7" applyNumberFormat="1" applyFont="1" applyFill="1" applyBorder="1" applyAlignment="1">
      <alignment horizontal="center"/>
    </xf>
    <xf numFmtId="14" fontId="6" fillId="4" borderId="18" xfId="7" applyNumberFormat="1" applyFont="1" applyFill="1" applyBorder="1" applyAlignment="1">
      <alignment horizontal="center"/>
    </xf>
    <xf numFmtId="164" fontId="5" fillId="9" borderId="19" xfId="0" applyNumberFormat="1" applyFont="1" applyFill="1" applyBorder="1"/>
    <xf numFmtId="187" fontId="0" fillId="0" borderId="0" xfId="0" applyNumberFormat="1" applyFont="1" applyFill="1" applyBorder="1"/>
    <xf numFmtId="166" fontId="0" fillId="0" borderId="0" xfId="0" applyNumberFormat="1" applyFont="1" applyFill="1" applyBorder="1"/>
    <xf numFmtId="0" fontId="0" fillId="9" borderId="0" xfId="0" applyNumberFormat="1" applyFont="1" applyFill="1" applyBorder="1"/>
    <xf numFmtId="164" fontId="0" fillId="9" borderId="0" xfId="0" applyNumberFormat="1" applyFont="1" applyFill="1" applyBorder="1" applyAlignment="1">
      <alignment horizontal="left" indent="1"/>
    </xf>
    <xf numFmtId="166" fontId="0" fillId="9" borderId="11" xfId="0" applyNumberFormat="1" applyFont="1" applyFill="1" applyBorder="1" applyAlignment="1">
      <alignment horizontal="left" indent="1"/>
    </xf>
    <xf numFmtId="166" fontId="0" fillId="9" borderId="11" xfId="0" applyNumberFormat="1" applyFont="1" applyFill="1" applyBorder="1"/>
    <xf numFmtId="0" fontId="35" fillId="10" borderId="0" xfId="0" applyNumberFormat="1" applyFont="1" applyFill="1" applyBorder="1"/>
    <xf numFmtId="166" fontId="0" fillId="9" borderId="20" xfId="0" applyNumberFormat="1" applyFont="1" applyFill="1" applyBorder="1"/>
    <xf numFmtId="0" fontId="5" fillId="9" borderId="0" xfId="0" applyNumberFormat="1" applyFont="1" applyFill="1" applyBorder="1"/>
    <xf numFmtId="179" fontId="0" fillId="9" borderId="0" xfId="0" applyNumberFormat="1" applyFont="1" applyFill="1" applyBorder="1"/>
    <xf numFmtId="167" fontId="23" fillId="9" borderId="0" xfId="0" applyNumberFormat="1" applyFont="1" applyFill="1" applyBorder="1"/>
    <xf numFmtId="167" fontId="23" fillId="9" borderId="0" xfId="8" applyNumberFormat="1" applyFont="1" applyFill="1" applyBorder="1"/>
    <xf numFmtId="181" fontId="23" fillId="9" borderId="0" xfId="8" applyNumberFormat="1" applyFont="1" applyFill="1" applyBorder="1"/>
    <xf numFmtId="180" fontId="23" fillId="9" borderId="0" xfId="8" applyNumberFormat="1" applyFont="1" applyFill="1" applyBorder="1"/>
    <xf numFmtId="14" fontId="6" fillId="4" borderId="21" xfId="7" applyNumberFormat="1" applyFont="1" applyFill="1" applyBorder="1" applyAlignment="1">
      <alignment horizontal="center"/>
    </xf>
    <xf numFmtId="0" fontId="6" fillId="4" borderId="22" xfId="7" applyNumberFormat="1" applyFont="1" applyFill="1" applyBorder="1" applyAlignment="1">
      <alignment horizontal="center"/>
    </xf>
    <xf numFmtId="0" fontId="1" fillId="4" borderId="22" xfId="7" applyNumberFormat="1" applyFont="1" applyFill="1" applyBorder="1" applyAlignment="1">
      <alignment horizontal="center"/>
    </xf>
    <xf numFmtId="0" fontId="3" fillId="4" borderId="23" xfId="4" applyNumberFormat="1" applyFont="1" applyFill="1" applyBorder="1" applyAlignment="1">
      <alignment horizontal="left"/>
    </xf>
    <xf numFmtId="166" fontId="22" fillId="10" borderId="0" xfId="0" applyNumberFormat="1" applyFont="1" applyFill="1" applyBorder="1" applyAlignment="1">
      <alignment horizontal="left"/>
    </xf>
    <xf numFmtId="166" fontId="22" fillId="10" borderId="0" xfId="0" applyNumberFormat="1" applyFont="1" applyFill="1" applyBorder="1" applyAlignment="1">
      <alignment horizontal="left" indent="3"/>
    </xf>
    <xf numFmtId="167" fontId="38" fillId="6" borderId="0" xfId="0" applyNumberFormat="1" applyFont="1" applyFill="1" applyBorder="1"/>
    <xf numFmtId="167" fontId="38" fillId="9" borderId="0" xfId="0" applyNumberFormat="1" applyFont="1" applyFill="1" applyBorder="1"/>
    <xf numFmtId="167" fontId="39" fillId="9" borderId="0" xfId="0" applyNumberFormat="1" applyFont="1" applyFill="1" applyBorder="1"/>
    <xf numFmtId="167" fontId="40" fillId="9" borderId="0" xfId="0" applyNumberFormat="1" applyFont="1" applyFill="1" applyBorder="1"/>
    <xf numFmtId="167" fontId="40" fillId="6" borderId="0" xfId="0" applyNumberFormat="1" applyFont="1" applyFill="1" applyBorder="1"/>
    <xf numFmtId="0" fontId="1" fillId="4" borderId="22" xfId="7" applyNumberFormat="1" applyFont="1" applyFill="1" applyBorder="1" applyAlignment="1">
      <alignment horizontal="center"/>
    </xf>
    <xf numFmtId="165" fontId="25" fillId="9" borderId="0" xfId="1" applyNumberFormat="1" applyFont="1" applyFill="1" applyBorder="1" applyAlignment="1">
      <alignment horizontal="left" indent="4"/>
    </xf>
    <xf numFmtId="165" fontId="25" fillId="6" borderId="0" xfId="1" applyNumberFormat="1" applyFont="1" applyFill="1" applyBorder="1"/>
    <xf numFmtId="165" fontId="25" fillId="9" borderId="0" xfId="1" applyNumberFormat="1" applyFont="1" applyFill="1" applyBorder="1"/>
    <xf numFmtId="165" fontId="0" fillId="9" borderId="0" xfId="1" applyNumberFormat="1" applyFont="1" applyFill="1" applyBorder="1"/>
    <xf numFmtId="165" fontId="0" fillId="0" borderId="0" xfId="1" applyNumberFormat="1" applyFont="1" applyFill="1" applyBorder="1"/>
    <xf numFmtId="179" fontId="25" fillId="9" borderId="0" xfId="0" applyNumberFormat="1" applyFont="1" applyFill="1" applyBorder="1" applyAlignment="1">
      <alignment horizontal="left"/>
    </xf>
    <xf numFmtId="166" fontId="25" fillId="9" borderId="0" xfId="0" applyNumberFormat="1" applyFont="1" applyFill="1" applyBorder="1" applyAlignment="1">
      <alignment horizontal="left"/>
    </xf>
    <xf numFmtId="165" fontId="25" fillId="9" borderId="0" xfId="1" applyNumberFormat="1" applyFont="1" applyFill="1" applyBorder="1" applyAlignment="1">
      <alignment horizontal="left"/>
    </xf>
    <xf numFmtId="179" fontId="0" fillId="9" borderId="0" xfId="0" applyNumberFormat="1" applyFont="1" applyFill="1" applyBorder="1" applyAlignment="1">
      <alignment horizontal="left"/>
    </xf>
    <xf numFmtId="165" fontId="0" fillId="9" borderId="0" xfId="1" applyNumberFormat="1" applyFont="1" applyFill="1" applyBorder="1" applyAlignment="1">
      <alignment horizontal="left"/>
    </xf>
    <xf numFmtId="166" fontId="0" fillId="6" borderId="2" xfId="0" applyNumberFormat="1" applyFont="1" applyFill="1" applyBorder="1" applyAlignment="1">
      <alignment horizontal="right"/>
    </xf>
    <xf numFmtId="166" fontId="0" fillId="9" borderId="2" xfId="0" applyNumberFormat="1" applyFont="1" applyFill="1" applyBorder="1" applyAlignment="1">
      <alignment horizontal="right"/>
    </xf>
    <xf numFmtId="166" fontId="32" fillId="9" borderId="2" xfId="0" applyNumberFormat="1" applyFont="1" applyFill="1" applyBorder="1" applyAlignment="1">
      <alignment horizontal="right"/>
    </xf>
    <xf numFmtId="166" fontId="25" fillId="9" borderId="2" xfId="0" applyNumberFormat="1" applyFont="1" applyFill="1" applyBorder="1" applyAlignment="1">
      <alignment horizontal="right"/>
    </xf>
    <xf numFmtId="166" fontId="25" fillId="6" borderId="2" xfId="0" applyNumberFormat="1" applyFont="1" applyFill="1" applyBorder="1" applyAlignment="1">
      <alignment horizontal="right"/>
    </xf>
    <xf numFmtId="167" fontId="0" fillId="9" borderId="7" xfId="0" applyNumberFormat="1" applyFont="1" applyFill="1" applyBorder="1" applyAlignment="1">
      <alignment horizontal="left" indent="1"/>
    </xf>
    <xf numFmtId="167" fontId="0" fillId="6" borderId="7" xfId="0" applyNumberFormat="1" applyFont="1" applyFill="1" applyBorder="1" applyAlignment="1">
      <alignment horizontal="right"/>
    </xf>
    <xf numFmtId="167" fontId="0" fillId="9" borderId="7" xfId="0" applyNumberFormat="1" applyFont="1" applyFill="1" applyBorder="1" applyAlignment="1">
      <alignment horizontal="right"/>
    </xf>
    <xf numFmtId="167" fontId="32" fillId="9" borderId="7" xfId="0" applyNumberFormat="1" applyFont="1" applyFill="1" applyBorder="1" applyAlignment="1">
      <alignment horizontal="right"/>
    </xf>
    <xf numFmtId="167" fontId="25" fillId="9" borderId="7" xfId="0" applyNumberFormat="1" applyFont="1" applyFill="1" applyBorder="1" applyAlignment="1">
      <alignment horizontal="right"/>
    </xf>
    <xf numFmtId="167" fontId="25" fillId="6" borderId="7" xfId="0" applyNumberFormat="1" applyFont="1" applyFill="1" applyBorder="1" applyAlignment="1">
      <alignment horizontal="right"/>
    </xf>
    <xf numFmtId="179" fontId="25" fillId="9" borderId="0" xfId="1" applyNumberFormat="1" applyFont="1" applyFill="1" applyBorder="1" applyAlignment="1">
      <alignment horizontal="left" indent="4"/>
    </xf>
    <xf numFmtId="179" fontId="25" fillId="6" borderId="0" xfId="1" applyNumberFormat="1" applyFont="1" applyFill="1" applyBorder="1"/>
    <xf numFmtId="179" fontId="25" fillId="9" borderId="0" xfId="1" applyNumberFormat="1" applyFont="1" applyFill="1" applyBorder="1"/>
    <xf numFmtId="179" fontId="0" fillId="9" borderId="0" xfId="1" applyNumberFormat="1" applyFont="1" applyFill="1" applyBorder="1"/>
    <xf numFmtId="179" fontId="0" fillId="0" borderId="0" xfId="1" applyNumberFormat="1" applyFont="1" applyFill="1" applyBorder="1"/>
    <xf numFmtId="179" fontId="25" fillId="9" borderId="0" xfId="1" applyNumberFormat="1" applyFont="1" applyFill="1" applyBorder="1" applyAlignment="1">
      <alignment horizontal="left"/>
    </xf>
    <xf numFmtId="166" fontId="7" fillId="9" borderId="0" xfId="1" applyNumberFormat="1" applyFont="1" applyFill="1" applyBorder="1"/>
    <xf numFmtId="166" fontId="25" fillId="6" borderId="0" xfId="1" applyNumberFormat="1" applyFont="1" applyFill="1" applyBorder="1"/>
    <xf numFmtId="166" fontId="7" fillId="6" borderId="0" xfId="1" applyNumberFormat="1" applyFont="1" applyFill="1" applyBorder="1"/>
    <xf numFmtId="166" fontId="0" fillId="0" borderId="0" xfId="1" applyNumberFormat="1" applyFont="1" applyFill="1" applyBorder="1"/>
    <xf numFmtId="167" fontId="19" fillId="6" borderId="0" xfId="0" applyNumberFormat="1" applyFont="1" applyFill="1" applyBorder="1" applyAlignment="1">
      <alignment horizontal="right"/>
    </xf>
    <xf numFmtId="167" fontId="19" fillId="9" borderId="0" xfId="0" applyNumberFormat="1" applyFont="1" applyFill="1" applyBorder="1" applyAlignment="1">
      <alignment horizontal="right"/>
    </xf>
    <xf numFmtId="167" fontId="33" fillId="9" borderId="0" xfId="0" applyNumberFormat="1" applyFont="1" applyFill="1" applyBorder="1" applyAlignment="1">
      <alignment horizontal="right"/>
    </xf>
    <xf numFmtId="167" fontId="19" fillId="9" borderId="0" xfId="0" applyNumberFormat="1" applyFont="1" applyFill="1" applyBorder="1"/>
    <xf numFmtId="167" fontId="19" fillId="0" borderId="0" xfId="0" applyNumberFormat="1" applyFont="1" applyFill="1" applyBorder="1"/>
    <xf numFmtId="167" fontId="19" fillId="9" borderId="2" xfId="0" applyNumberFormat="1" applyFont="1" applyFill="1" applyBorder="1" applyAlignment="1">
      <alignment horizontal="left" indent="1"/>
    </xf>
    <xf numFmtId="167" fontId="19" fillId="6" borderId="2" xfId="0" applyNumberFormat="1" applyFont="1" applyFill="1" applyBorder="1" applyAlignment="1">
      <alignment horizontal="right"/>
    </xf>
    <xf numFmtId="167" fontId="19" fillId="9" borderId="2" xfId="0" applyNumberFormat="1" applyFont="1" applyFill="1" applyBorder="1" applyAlignment="1">
      <alignment horizontal="right"/>
    </xf>
    <xf numFmtId="167" fontId="33" fillId="9" borderId="2" xfId="0" applyNumberFormat="1" applyFont="1" applyFill="1" applyBorder="1" applyAlignment="1">
      <alignment horizontal="right"/>
    </xf>
    <xf numFmtId="167" fontId="26" fillId="6" borderId="2" xfId="0" applyNumberFormat="1" applyFont="1" applyFill="1" applyBorder="1" applyAlignment="1">
      <alignment horizontal="right"/>
    </xf>
    <xf numFmtId="167" fontId="38" fillId="9" borderId="0" xfId="0" applyNumberFormat="1" applyFont="1" applyFill="1" applyBorder="1" applyAlignment="1">
      <alignment horizontal="left"/>
    </xf>
    <xf numFmtId="167" fontId="38" fillId="6" borderId="0" xfId="0" applyNumberFormat="1" applyFont="1" applyFill="1" applyBorder="1" applyAlignment="1">
      <alignment horizontal="right"/>
    </xf>
    <xf numFmtId="167" fontId="38" fillId="9" borderId="0" xfId="0" applyNumberFormat="1" applyFont="1" applyFill="1" applyBorder="1" applyAlignment="1">
      <alignment horizontal="right"/>
    </xf>
    <xf numFmtId="167" fontId="39" fillId="9" borderId="0" xfId="0" applyNumberFormat="1" applyFont="1" applyFill="1" applyBorder="1" applyAlignment="1">
      <alignment horizontal="right"/>
    </xf>
    <xf numFmtId="167" fontId="28" fillId="9" borderId="0" xfId="0" applyNumberFormat="1" applyFont="1" applyFill="1" applyBorder="1" applyAlignment="1">
      <alignment horizontal="right"/>
    </xf>
    <xf numFmtId="167" fontId="28" fillId="6" borderId="0" xfId="0" applyNumberFormat="1" applyFont="1" applyFill="1" applyBorder="1" applyAlignment="1">
      <alignment horizontal="right"/>
    </xf>
    <xf numFmtId="167" fontId="38" fillId="0" borderId="0" xfId="0" applyNumberFormat="1" applyFont="1" applyFill="1" applyBorder="1"/>
    <xf numFmtId="167" fontId="41" fillId="9" borderId="0" xfId="0" applyNumberFormat="1" applyFont="1" applyFill="1" applyBorder="1" applyAlignment="1">
      <alignment horizontal="right"/>
    </xf>
    <xf numFmtId="167" fontId="41" fillId="9" borderId="2" xfId="0" applyNumberFormat="1" applyFont="1" applyFill="1" applyBorder="1" applyAlignment="1">
      <alignment horizontal="right"/>
    </xf>
    <xf numFmtId="167" fontId="41" fillId="6" borderId="0" xfId="0" applyNumberFormat="1" applyFont="1" applyFill="1" applyBorder="1" applyAlignment="1">
      <alignment horizontal="right"/>
    </xf>
    <xf numFmtId="167" fontId="41" fillId="6" borderId="2" xfId="0" applyNumberFormat="1" applyFont="1" applyFill="1" applyBorder="1" applyAlignment="1">
      <alignment horizontal="right"/>
    </xf>
    <xf numFmtId="166" fontId="7" fillId="9" borderId="2" xfId="0" applyNumberFormat="1" applyFont="1" applyFill="1" applyBorder="1" applyAlignment="1">
      <alignment horizontal="right"/>
    </xf>
    <xf numFmtId="166" fontId="7" fillId="6" borderId="0" xfId="0" applyNumberFormat="1" applyFont="1" applyFill="1" applyBorder="1" applyAlignment="1">
      <alignment horizontal="right"/>
    </xf>
    <xf numFmtId="166" fontId="7" fillId="6" borderId="2" xfId="0" applyNumberFormat="1" applyFont="1" applyFill="1" applyBorder="1" applyAlignment="1">
      <alignment horizontal="right"/>
    </xf>
    <xf numFmtId="166" fontId="0" fillId="9" borderId="2" xfId="0" applyNumberFormat="1" applyFont="1" applyFill="1" applyBorder="1" applyAlignment="1">
      <alignment horizontal="left" indent="2"/>
    </xf>
    <xf numFmtId="167" fontId="25" fillId="9" borderId="0" xfId="8" applyNumberFormat="1" applyFont="1" applyFill="1" applyBorder="1" applyAlignment="1">
      <alignment horizontal="left" indent="4"/>
    </xf>
    <xf numFmtId="167" fontId="25" fillId="9" borderId="0" xfId="8" applyNumberFormat="1" applyFont="1" applyFill="1" applyBorder="1" applyAlignment="1">
      <alignment horizontal="left" indent="2"/>
    </xf>
    <xf numFmtId="167" fontId="25" fillId="9" borderId="2" xfId="8" applyNumberFormat="1" applyFont="1" applyFill="1" applyBorder="1" applyAlignment="1">
      <alignment horizontal="left" indent="2"/>
    </xf>
    <xf numFmtId="167" fontId="25" fillId="9" borderId="2" xfId="8" applyNumberFormat="1" applyFont="1" applyFill="1" applyBorder="1" applyAlignment="1">
      <alignment horizontal="left" indent="4"/>
    </xf>
    <xf numFmtId="167" fontId="25" fillId="6" borderId="2" xfId="8" applyNumberFormat="1" applyFont="1" applyFill="1" applyBorder="1"/>
    <xf numFmtId="167" fontId="25" fillId="9" borderId="2" xfId="8" applyNumberFormat="1" applyFont="1" applyFill="1" applyBorder="1"/>
    <xf numFmtId="167" fontId="25" fillId="9" borderId="10" xfId="8" applyNumberFormat="1" applyFont="1" applyFill="1" applyBorder="1" applyAlignment="1">
      <alignment horizontal="left" indent="1"/>
    </xf>
    <xf numFmtId="167" fontId="25" fillId="9" borderId="10" xfId="8" applyNumberFormat="1" applyFont="1" applyFill="1" applyBorder="1" applyAlignment="1">
      <alignment horizontal="left" indent="4"/>
    </xf>
    <xf numFmtId="167" fontId="25" fillId="6" borderId="10" xfId="8" applyNumberFormat="1" applyFont="1" applyFill="1" applyBorder="1"/>
    <xf numFmtId="167" fontId="25" fillId="9" borderId="10" xfId="8" applyNumberFormat="1" applyFont="1" applyFill="1" applyBorder="1"/>
    <xf numFmtId="0" fontId="25" fillId="0" borderId="0" xfId="8" applyNumberFormat="1" applyFont="1" applyFill="1" applyBorder="1"/>
    <xf numFmtId="164" fontId="25" fillId="0" borderId="0" xfId="8" applyNumberFormat="1" applyFont="1" applyFill="1" applyBorder="1"/>
    <xf numFmtId="169" fontId="23" fillId="0" borderId="0" xfId="8" applyNumberFormat="1" applyFont="1" applyFill="1" applyBorder="1"/>
    <xf numFmtId="166" fontId="25" fillId="0" borderId="0" xfId="8" applyNumberFormat="1" applyFont="1" applyFill="1" applyBorder="1"/>
    <xf numFmtId="166" fontId="23" fillId="0" borderId="0" xfId="8" applyNumberFormat="1" applyFont="1" applyFill="1" applyBorder="1"/>
    <xf numFmtId="164" fontId="23" fillId="0" borderId="0" xfId="8" applyNumberFormat="1" applyFont="1" applyFill="1" applyBorder="1"/>
    <xf numFmtId="167" fontId="25" fillId="0" borderId="0" xfId="8" applyNumberFormat="1" applyFont="1" applyFill="1" applyBorder="1"/>
    <xf numFmtId="167" fontId="23" fillId="0" borderId="0" xfId="8" applyNumberFormat="1" applyFont="1" applyFill="1" applyBorder="1"/>
    <xf numFmtId="181" fontId="23" fillId="0" borderId="0" xfId="8" applyNumberFormat="1" applyFont="1" applyFill="1" applyBorder="1"/>
    <xf numFmtId="170" fontId="23" fillId="0" borderId="0" xfId="8" applyNumberFormat="1" applyFont="1" applyFill="1" applyBorder="1"/>
    <xf numFmtId="180" fontId="23" fillId="0" borderId="0" xfId="8" applyNumberFormat="1" applyFont="1" applyFill="1" applyBorder="1"/>
    <xf numFmtId="170" fontId="25" fillId="0" borderId="0" xfId="8" applyNumberFormat="1" applyFont="1" applyFill="1" applyBorder="1"/>
    <xf numFmtId="0" fontId="1" fillId="4" borderId="22" xfId="7" applyNumberFormat="1" applyFont="1" applyFill="1" applyBorder="1" applyAlignment="1">
      <alignment horizontal="center"/>
    </xf>
    <xf numFmtId="179" fontId="0" fillId="9" borderId="0" xfId="0" applyNumberFormat="1" applyFont="1" applyFill="1" applyBorder="1" applyAlignment="1">
      <alignment horizontal="left" indent="1"/>
    </xf>
    <xf numFmtId="179" fontId="0" fillId="9" borderId="2" xfId="0" applyNumberFormat="1" applyFont="1" applyFill="1" applyBorder="1" applyAlignment="1">
      <alignment horizontal="left" indent="1"/>
    </xf>
    <xf numFmtId="179" fontId="25" fillId="9" borderId="2" xfId="0" applyNumberFormat="1" applyFont="1" applyFill="1" applyBorder="1" applyAlignment="1">
      <alignment horizontal="right"/>
    </xf>
    <xf numFmtId="179" fontId="25" fillId="6" borderId="2" xfId="0" applyNumberFormat="1" applyFont="1" applyFill="1" applyBorder="1" applyAlignment="1">
      <alignment horizontal="right"/>
    </xf>
    <xf numFmtId="179" fontId="5" fillId="9" borderId="0" xfId="0" applyNumberFormat="1" applyFont="1" applyFill="1" applyBorder="1" applyAlignment="1">
      <alignment horizontal="left"/>
    </xf>
    <xf numFmtId="179" fontId="23" fillId="9" borderId="0" xfId="0" applyNumberFormat="1" applyFont="1" applyFill="1" applyBorder="1" applyAlignment="1">
      <alignment horizontal="right"/>
    </xf>
    <xf numFmtId="179" fontId="23" fillId="6" borderId="0" xfId="0" applyNumberFormat="1" applyFont="1" applyFill="1" applyBorder="1" applyAlignment="1">
      <alignment horizontal="right"/>
    </xf>
    <xf numFmtId="179" fontId="5" fillId="9" borderId="0" xfId="0" applyNumberFormat="1" applyFont="1" applyFill="1" applyBorder="1"/>
    <xf numFmtId="179" fontId="5" fillId="0" borderId="0" xfId="0" applyNumberFormat="1" applyFont="1" applyFill="1" applyBorder="1"/>
    <xf numFmtId="165" fontId="0" fillId="9" borderId="0" xfId="0" applyNumberFormat="1" applyFont="1" applyFill="1" applyBorder="1" applyAlignment="1">
      <alignment horizontal="left" indent="1"/>
    </xf>
    <xf numFmtId="165" fontId="25" fillId="9" borderId="0" xfId="0" applyNumberFormat="1" applyFont="1" applyFill="1" applyBorder="1" applyAlignment="1">
      <alignment horizontal="right"/>
    </xf>
    <xf numFmtId="165" fontId="25" fillId="6" borderId="0" xfId="0" applyNumberFormat="1" applyFont="1" applyFill="1" applyBorder="1" applyAlignment="1">
      <alignment horizontal="right"/>
    </xf>
    <xf numFmtId="165" fontId="0" fillId="9" borderId="0" xfId="0" applyNumberFormat="1" applyFont="1" applyFill="1" applyBorder="1"/>
    <xf numFmtId="165" fontId="0" fillId="0" borderId="0" xfId="0" applyNumberFormat="1" applyFont="1" applyFill="1" applyBorder="1"/>
    <xf numFmtId="165" fontId="0" fillId="9" borderId="2" xfId="0" applyNumberFormat="1" applyFont="1" applyFill="1" applyBorder="1" applyAlignment="1">
      <alignment horizontal="left" indent="1"/>
    </xf>
    <xf numFmtId="165" fontId="25" fillId="9" borderId="2" xfId="0" applyNumberFormat="1" applyFont="1" applyFill="1" applyBorder="1" applyAlignment="1">
      <alignment horizontal="right"/>
    </xf>
    <xf numFmtId="165" fontId="25" fillId="6" borderId="2" xfId="0" applyNumberFormat="1" applyFont="1" applyFill="1" applyBorder="1" applyAlignment="1">
      <alignment horizontal="right"/>
    </xf>
    <xf numFmtId="165" fontId="5" fillId="9" borderId="0" xfId="0" applyNumberFormat="1" applyFont="1" applyFill="1" applyBorder="1" applyAlignment="1">
      <alignment horizontal="left"/>
    </xf>
    <xf numFmtId="165" fontId="23" fillId="9" borderId="0" xfId="0" applyNumberFormat="1" applyFont="1" applyFill="1" applyBorder="1" applyAlignment="1">
      <alignment horizontal="right"/>
    </xf>
    <xf numFmtId="165" fontId="23" fillId="6" borderId="0" xfId="0" applyNumberFormat="1" applyFont="1" applyFill="1" applyBorder="1" applyAlignment="1">
      <alignment horizontal="right"/>
    </xf>
    <xf numFmtId="165" fontId="5" fillId="9" borderId="0" xfId="0" applyNumberFormat="1" applyFont="1" applyFill="1" applyBorder="1"/>
    <xf numFmtId="165" fontId="5" fillId="0" borderId="0" xfId="0" applyNumberFormat="1" applyFont="1" applyFill="1" applyBorder="1"/>
    <xf numFmtId="167" fontId="25" fillId="9" borderId="10" xfId="8" applyNumberFormat="1" applyFont="1" applyFill="1" applyBorder="1" applyAlignment="1">
      <alignment horizontal="left" indent="2"/>
    </xf>
    <xf numFmtId="0" fontId="1" fillId="4" borderId="22" xfId="7" applyNumberFormat="1" applyFont="1" applyFill="1" applyBorder="1" applyAlignment="1">
      <alignment horizontal="center"/>
    </xf>
    <xf numFmtId="0" fontId="3" fillId="0" borderId="13" xfId="4" applyNumberFormat="1" applyFont="1" applyFill="1" applyBorder="1"/>
    <xf numFmtId="188" fontId="7" fillId="9" borderId="0" xfId="0" applyNumberFormat="1" applyFont="1" applyFill="1" applyBorder="1"/>
    <xf numFmtId="164" fontId="21" fillId="9" borderId="0" xfId="6" applyNumberFormat="1" applyFont="1" applyFill="1" applyBorder="1" applyAlignment="1">
      <alignment horizontal="left" indent="1"/>
    </xf>
    <xf numFmtId="164" fontId="25" fillId="9" borderId="19" xfId="0" applyNumberFormat="1" applyFont="1" applyFill="1" applyBorder="1"/>
    <xf numFmtId="164" fontId="21" fillId="9" borderId="19" xfId="6" applyNumberFormat="1" applyFont="1" applyFill="1" applyBorder="1"/>
    <xf numFmtId="164" fontId="25" fillId="9" borderId="24" xfId="0" applyNumberFormat="1" applyFont="1" applyFill="1" applyBorder="1"/>
    <xf numFmtId="165" fontId="24" fillId="9" borderId="25" xfId="6" applyNumberFormat="1" applyFont="1" applyFill="1" applyBorder="1" applyAlignment="1">
      <alignment horizontal="left"/>
    </xf>
    <xf numFmtId="165" fontId="21" fillId="9" borderId="14" xfId="6" applyNumberFormat="1" applyFont="1" applyFill="1" applyBorder="1" applyAlignment="1">
      <alignment horizontal="left"/>
    </xf>
    <xf numFmtId="17" fontId="21" fillId="9" borderId="0" xfId="6" applyNumberFormat="1" applyFont="1" applyFill="1" applyBorder="1"/>
    <xf numFmtId="17" fontId="25" fillId="9" borderId="0" xfId="0" applyNumberFormat="1" applyFont="1" applyFill="1" applyBorder="1"/>
    <xf numFmtId="17" fontId="25" fillId="9" borderId="12" xfId="0" applyNumberFormat="1" applyFont="1" applyFill="1" applyBorder="1"/>
    <xf numFmtId="187" fontId="21" fillId="9" borderId="14" xfId="6" applyNumberFormat="1" applyFont="1" applyFill="1" applyBorder="1" applyAlignment="1">
      <alignment horizontal="left" indent="1"/>
    </xf>
    <xf numFmtId="187" fontId="25" fillId="9" borderId="0" xfId="0" applyNumberFormat="1" applyFont="1" applyFill="1" applyBorder="1"/>
    <xf numFmtId="187" fontId="21" fillId="9" borderId="0" xfId="6" applyNumberFormat="1" applyFont="1" applyFill="1" applyBorder="1"/>
    <xf numFmtId="187" fontId="25" fillId="9" borderId="12" xfId="0" applyNumberFormat="1" applyFont="1" applyFill="1" applyBorder="1"/>
    <xf numFmtId="187" fontId="0" fillId="9" borderId="0" xfId="0" applyNumberFormat="1" applyFont="1" applyFill="1" applyBorder="1"/>
    <xf numFmtId="187" fontId="0" fillId="0" borderId="0" xfId="0" applyNumberFormat="1" applyFont="1" applyFill="1" applyBorder="1"/>
    <xf numFmtId="187" fontId="21" fillId="9" borderId="14" xfId="6" applyNumberFormat="1" applyFont="1" applyFill="1" applyBorder="1" applyAlignment="1">
      <alignment horizontal="left" indent="2"/>
    </xf>
    <xf numFmtId="188" fontId="21" fillId="9" borderId="14" xfId="6" applyNumberFormat="1" applyFont="1" applyFill="1" applyBorder="1" applyAlignment="1">
      <alignment horizontal="left" indent="1"/>
    </xf>
    <xf numFmtId="188" fontId="0" fillId="9" borderId="0" xfId="0" applyNumberFormat="1" applyFont="1" applyFill="1" applyBorder="1"/>
    <xf numFmtId="188" fontId="0" fillId="0" borderId="0" xfId="0" applyNumberFormat="1" applyFont="1" applyFill="1" applyBorder="1"/>
    <xf numFmtId="188" fontId="21" fillId="9" borderId="14" xfId="6" applyNumberFormat="1" applyFont="1" applyFill="1" applyBorder="1" applyAlignment="1">
      <alignment horizontal="left" indent="2"/>
    </xf>
    <xf numFmtId="187" fontId="0" fillId="9" borderId="0" xfId="0" applyNumberFormat="1" applyFont="1" applyFill="1" applyBorder="1" applyAlignment="1">
      <alignment horizontal="left" indent="1"/>
    </xf>
    <xf numFmtId="187" fontId="0" fillId="6" borderId="0" xfId="0" applyNumberFormat="1" applyFont="1" applyFill="1" applyBorder="1" applyAlignment="1">
      <alignment horizontal="right"/>
    </xf>
    <xf numFmtId="187" fontId="0" fillId="9" borderId="0" xfId="0" applyNumberFormat="1" applyFont="1" applyFill="1" applyBorder="1" applyAlignment="1">
      <alignment horizontal="right"/>
    </xf>
    <xf numFmtId="187" fontId="32" fillId="9" borderId="0" xfId="0" applyNumberFormat="1" applyFont="1" applyFill="1" applyBorder="1" applyAlignment="1">
      <alignment horizontal="right"/>
    </xf>
    <xf numFmtId="187" fontId="25" fillId="6" borderId="0" xfId="0" applyNumberFormat="1" applyFont="1" applyFill="1" applyBorder="1"/>
    <xf numFmtId="188" fontId="0" fillId="9" borderId="0" xfId="0" applyNumberFormat="1" applyFont="1" applyFill="1" applyBorder="1" applyAlignment="1">
      <alignment horizontal="left" indent="1"/>
    </xf>
    <xf numFmtId="188" fontId="0" fillId="6" borderId="0" xfId="0" applyNumberFormat="1" applyFont="1" applyFill="1" applyBorder="1" applyAlignment="1">
      <alignment horizontal="right"/>
    </xf>
    <xf numFmtId="188" fontId="0" fillId="9" borderId="0" xfId="0" applyNumberFormat="1" applyFont="1" applyFill="1" applyBorder="1" applyAlignment="1">
      <alignment horizontal="right"/>
    </xf>
    <xf numFmtId="188" fontId="32" fillId="9" borderId="0" xfId="0" applyNumberFormat="1" applyFont="1" applyFill="1" applyBorder="1" applyAlignment="1">
      <alignment horizontal="right"/>
    </xf>
    <xf numFmtId="188" fontId="25" fillId="6" borderId="0" xfId="0" applyNumberFormat="1" applyFont="1" applyFill="1" applyBorder="1"/>
    <xf numFmtId="187" fontId="12" fillId="9" borderId="0" xfId="0" applyNumberFormat="1" applyFont="1" applyFill="1" applyBorder="1" applyAlignment="1">
      <alignment horizontal="left"/>
    </xf>
    <xf numFmtId="187" fontId="5" fillId="6" borderId="0" xfId="0" applyNumberFormat="1" applyFont="1" applyFill="1" applyBorder="1" applyAlignment="1">
      <alignment horizontal="right"/>
    </xf>
    <xf numFmtId="187" fontId="5" fillId="9" borderId="0" xfId="0" applyNumberFormat="1" applyFont="1" applyFill="1" applyBorder="1" applyAlignment="1">
      <alignment horizontal="right"/>
    </xf>
    <xf numFmtId="187" fontId="31" fillId="9" borderId="0" xfId="0" applyNumberFormat="1" applyFont="1" applyFill="1" applyBorder="1" applyAlignment="1">
      <alignment horizontal="right"/>
    </xf>
    <xf numFmtId="187" fontId="23" fillId="6" borderId="0" xfId="0" applyNumberFormat="1" applyFont="1" applyFill="1" applyBorder="1"/>
    <xf numFmtId="187" fontId="5" fillId="9" borderId="0" xfId="0" applyNumberFormat="1" applyFont="1" applyFill="1" applyBorder="1"/>
    <xf numFmtId="187" fontId="5" fillId="0" borderId="0" xfId="0" applyNumberFormat="1" applyFont="1" applyFill="1" applyBorder="1"/>
    <xf numFmtId="164" fontId="25" fillId="9" borderId="26" xfId="0" applyNumberFormat="1" applyFont="1" applyFill="1" applyBorder="1"/>
    <xf numFmtId="164" fontId="25" fillId="9" borderId="27" xfId="0" applyNumberFormat="1" applyFont="1" applyFill="1" applyBorder="1"/>
    <xf numFmtId="17" fontId="25" fillId="9" borderId="20" xfId="0" applyNumberFormat="1" applyFont="1" applyFill="1" applyBorder="1"/>
    <xf numFmtId="187" fontId="25" fillId="9" borderId="20" xfId="0" applyNumberFormat="1" applyFont="1" applyFill="1" applyBorder="1"/>
    <xf numFmtId="166" fontId="7" fillId="9" borderId="0" xfId="0" applyNumberFormat="1" applyFont="1" applyFill="1" applyBorder="1" applyAlignment="1">
      <alignment horizontal="left" indent="1"/>
    </xf>
    <xf numFmtId="166" fontId="7" fillId="9" borderId="2" xfId="0" applyNumberFormat="1" applyFont="1" applyFill="1" applyBorder="1" applyAlignment="1">
      <alignment horizontal="left" indent="1"/>
    </xf>
    <xf numFmtId="166" fontId="7" fillId="6" borderId="0" xfId="0" applyNumberFormat="1" applyFont="1" applyFill="1" applyBorder="1" applyAlignment="1">
      <alignment horizontal="left" indent="1"/>
    </xf>
    <xf numFmtId="166" fontId="7" fillId="6" borderId="2" xfId="0" applyNumberFormat="1" applyFont="1" applyFill="1" applyBorder="1" applyAlignment="1">
      <alignment horizontal="left" indent="1"/>
    </xf>
    <xf numFmtId="0" fontId="1" fillId="4" borderId="22" xfId="7" applyNumberFormat="1" applyFont="1" applyFill="1" applyBorder="1" applyAlignment="1">
      <alignment horizontal="center"/>
    </xf>
    <xf numFmtId="166" fontId="12" fillId="9" borderId="0" xfId="0" applyNumberFormat="1" applyFont="1" applyFill="1" applyBorder="1" applyAlignment="1">
      <alignment horizontal="right"/>
    </xf>
    <xf numFmtId="166" fontId="12" fillId="6" borderId="0" xfId="0" applyNumberFormat="1" applyFont="1" applyFill="1" applyBorder="1" applyAlignment="1">
      <alignment horizontal="right"/>
    </xf>
    <xf numFmtId="189" fontId="17" fillId="5" borderId="0" xfId="7" applyNumberFormat="1" applyFont="1" applyFill="1" applyBorder="1" applyAlignment="1">
      <alignment horizontal="center" vertical="center"/>
    </xf>
    <xf numFmtId="167" fontId="25" fillId="9" borderId="0" xfId="0" applyNumberFormat="1" applyFont="1" applyFill="1" applyBorder="1" applyAlignment="1">
      <alignment horizontal="left" indent="1"/>
    </xf>
    <xf numFmtId="0" fontId="5" fillId="9" borderId="0" xfId="0" applyNumberFormat="1" applyFont="1" applyFill="1" applyBorder="1" applyAlignment="1">
      <alignment horizontal="center"/>
    </xf>
    <xf numFmtId="0" fontId="3" fillId="0" borderId="13" xfId="4" applyBorder="1"/>
    <xf numFmtId="0" fontId="1" fillId="4" borderId="17" xfId="7" applyNumberFormat="1" applyFont="1" applyFill="1" applyBorder="1" applyAlignment="1">
      <alignment horizontal="center"/>
    </xf>
    <xf numFmtId="167" fontId="5" fillId="6" borderId="0" xfId="0" applyNumberFormat="1" applyFont="1" applyFill="1" applyBorder="1" applyAlignment="1">
      <alignment horizontal="right"/>
    </xf>
    <xf numFmtId="167" fontId="7" fillId="6" borderId="0" xfId="0" applyNumberFormat="1" applyFont="1" applyFill="1" applyBorder="1" applyAlignment="1">
      <alignment horizontal="right"/>
    </xf>
    <xf numFmtId="167" fontId="0" fillId="6" borderId="0" xfId="0" applyNumberFormat="1" applyFont="1" applyFill="1" applyBorder="1" applyAlignment="1">
      <alignment horizontal="right"/>
    </xf>
    <xf numFmtId="167" fontId="5" fillId="0" borderId="0" xfId="0" applyNumberFormat="1" applyFont="1" applyFill="1" applyBorder="1"/>
    <xf numFmtId="166" fontId="0" fillId="0" borderId="0" xfId="0" applyNumberFormat="1" applyFont="1" applyFill="1" applyBorder="1"/>
    <xf numFmtId="167" fontId="0" fillId="9" borderId="0" xfId="0" applyNumberFormat="1" applyFont="1" applyFill="1" applyBorder="1" applyAlignment="1">
      <alignment horizontal="right"/>
    </xf>
    <xf numFmtId="167" fontId="5" fillId="9" borderId="0" xfId="0" applyNumberFormat="1" applyFont="1" applyFill="1" applyBorder="1" applyAlignment="1">
      <alignment horizontal="right"/>
    </xf>
    <xf numFmtId="167" fontId="5" fillId="9" borderId="0" xfId="0" applyNumberFormat="1" applyFont="1" applyFill="1" applyBorder="1"/>
    <xf numFmtId="167" fontId="7" fillId="9" borderId="0" xfId="0" applyNumberFormat="1" applyFont="1" applyFill="1" applyBorder="1" applyAlignment="1">
      <alignment horizontal="right"/>
    </xf>
    <xf numFmtId="167" fontId="0" fillId="0" borderId="0" xfId="0" applyNumberFormat="1" applyFont="1" applyFill="1" applyBorder="1"/>
    <xf numFmtId="167" fontId="0" fillId="9" borderId="0" xfId="0" applyNumberFormat="1" applyFont="1" applyFill="1" applyBorder="1" applyAlignment="1">
      <alignment horizontal="left" indent="2"/>
    </xf>
    <xf numFmtId="167" fontId="0" fillId="9" borderId="0" xfId="0" applyNumberFormat="1" applyFont="1" applyFill="1" applyBorder="1"/>
    <xf numFmtId="167" fontId="23" fillId="6" borderId="0" xfId="0" applyNumberFormat="1" applyFont="1" applyFill="1" applyBorder="1" applyAlignment="1">
      <alignment horizontal="right"/>
    </xf>
    <xf numFmtId="167" fontId="5" fillId="9" borderId="0" xfId="0" applyNumberFormat="1" applyFont="1" applyFill="1" applyBorder="1" applyAlignment="1">
      <alignment horizontal="left"/>
    </xf>
    <xf numFmtId="167" fontId="23" fillId="9" borderId="0" xfId="0" applyNumberFormat="1" applyFont="1" applyFill="1" applyBorder="1" applyAlignment="1">
      <alignment horizontal="right"/>
    </xf>
    <xf numFmtId="167" fontId="32" fillId="9" borderId="0" xfId="0" applyNumberFormat="1" applyFont="1" applyFill="1" applyBorder="1" applyAlignment="1">
      <alignment horizontal="right"/>
    </xf>
    <xf numFmtId="167" fontId="31" fillId="9" borderId="0" xfId="0" applyNumberFormat="1" applyFont="1" applyFill="1" applyBorder="1" applyAlignment="1">
      <alignment horizontal="right"/>
    </xf>
    <xf numFmtId="166" fontId="0" fillId="9" borderId="0" xfId="0" applyNumberFormat="1" applyFont="1" applyFill="1" applyBorder="1" applyAlignment="1">
      <alignment horizontal="left" indent="1"/>
    </xf>
    <xf numFmtId="166" fontId="0" fillId="9" borderId="0" xfId="0" applyNumberFormat="1" applyFont="1" applyFill="1" applyBorder="1"/>
    <xf numFmtId="167" fontId="0" fillId="9" borderId="0" xfId="0" applyNumberFormat="1" applyFont="1" applyFill="1" applyBorder="1" applyAlignment="1">
      <alignment horizontal="left" indent="1"/>
    </xf>
    <xf numFmtId="167" fontId="0" fillId="6" borderId="2" xfId="0" applyNumberFormat="1" applyFont="1" applyFill="1" applyBorder="1" applyAlignment="1">
      <alignment horizontal="right"/>
    </xf>
    <xf numFmtId="167" fontId="0" fillId="9" borderId="2" xfId="0" applyNumberFormat="1" applyFont="1" applyFill="1" applyBorder="1" applyAlignment="1">
      <alignment horizontal="right"/>
    </xf>
    <xf numFmtId="167" fontId="32" fillId="9" borderId="2" xfId="0" applyNumberFormat="1" applyFont="1" applyFill="1" applyBorder="1" applyAlignment="1">
      <alignment horizontal="right"/>
    </xf>
    <xf numFmtId="166" fontId="0" fillId="6" borderId="0" xfId="0" applyNumberFormat="1" applyFont="1" applyFill="1" applyBorder="1" applyAlignment="1">
      <alignment horizontal="right"/>
    </xf>
    <xf numFmtId="166" fontId="0" fillId="9" borderId="0" xfId="0" applyNumberFormat="1" applyFont="1" applyFill="1" applyBorder="1" applyAlignment="1">
      <alignment horizontal="right"/>
    </xf>
    <xf numFmtId="166" fontId="25" fillId="9" borderId="0" xfId="0" applyNumberFormat="1" applyFont="1" applyFill="1" applyBorder="1" applyAlignment="1">
      <alignment horizontal="right"/>
    </xf>
    <xf numFmtId="166" fontId="25" fillId="6" borderId="0" xfId="0" applyNumberFormat="1" applyFont="1" applyFill="1" applyBorder="1" applyAlignment="1">
      <alignment horizontal="right"/>
    </xf>
    <xf numFmtId="167" fontId="0" fillId="9" borderId="2" xfId="0" applyNumberFormat="1" applyFont="1" applyFill="1" applyBorder="1" applyAlignment="1">
      <alignment horizontal="left" indent="2"/>
    </xf>
    <xf numFmtId="167" fontId="7" fillId="9" borderId="2" xfId="0" applyNumberFormat="1" applyFont="1" applyFill="1" applyBorder="1" applyAlignment="1">
      <alignment horizontal="right"/>
    </xf>
    <xf numFmtId="167" fontId="7" fillId="6" borderId="2" xfId="0" applyNumberFormat="1" applyFont="1" applyFill="1" applyBorder="1" applyAlignment="1">
      <alignment horizontal="right"/>
    </xf>
    <xf numFmtId="166" fontId="7" fillId="9" borderId="0" xfId="0" applyNumberFormat="1" applyFont="1" applyFill="1" applyBorder="1" applyAlignment="1">
      <alignment horizontal="right"/>
    </xf>
    <xf numFmtId="166" fontId="32" fillId="9" borderId="0" xfId="0" applyNumberFormat="1" applyFont="1" applyFill="1" applyBorder="1" applyAlignment="1">
      <alignment horizontal="right"/>
    </xf>
    <xf numFmtId="166" fontId="5" fillId="0" borderId="0" xfId="0" applyNumberFormat="1" applyFont="1" applyFill="1" applyBorder="1"/>
    <xf numFmtId="166" fontId="5" fillId="9" borderId="0" xfId="0" applyNumberFormat="1" applyFont="1" applyFill="1" applyBorder="1"/>
    <xf numFmtId="166" fontId="5" fillId="9" borderId="7" xfId="0" applyNumberFormat="1" applyFont="1" applyFill="1" applyBorder="1" applyAlignment="1">
      <alignment horizontal="left"/>
    </xf>
    <xf numFmtId="166" fontId="5" fillId="9" borderId="0" xfId="0" applyNumberFormat="1" applyFont="1" applyFill="1" applyBorder="1" applyAlignment="1">
      <alignment horizontal="left"/>
    </xf>
    <xf numFmtId="166" fontId="5" fillId="6" borderId="0" xfId="0" applyNumberFormat="1" applyFont="1" applyFill="1" applyBorder="1" applyAlignment="1">
      <alignment horizontal="right"/>
    </xf>
    <xf numFmtId="166" fontId="5" fillId="9" borderId="0" xfId="0" applyNumberFormat="1" applyFont="1" applyFill="1" applyBorder="1" applyAlignment="1">
      <alignment horizontal="right"/>
    </xf>
    <xf numFmtId="166" fontId="31" fillId="9" borderId="0" xfId="0" applyNumberFormat="1" applyFont="1" applyFill="1" applyBorder="1" applyAlignment="1">
      <alignment horizontal="right"/>
    </xf>
    <xf numFmtId="166" fontId="23" fillId="9" borderId="0" xfId="0" applyNumberFormat="1" applyFont="1" applyFill="1" applyBorder="1" applyAlignment="1">
      <alignment horizontal="right"/>
    </xf>
    <xf numFmtId="166" fontId="23" fillId="6" borderId="0" xfId="0" applyNumberFormat="1" applyFont="1" applyFill="1" applyBorder="1" applyAlignment="1">
      <alignment horizontal="right"/>
    </xf>
    <xf numFmtId="166" fontId="5" fillId="6" borderId="7" xfId="0" applyNumberFormat="1" applyFont="1" applyFill="1" applyBorder="1" applyAlignment="1">
      <alignment horizontal="right"/>
    </xf>
    <xf numFmtId="166" fontId="5" fillId="9" borderId="7" xfId="0" applyNumberFormat="1" applyFont="1" applyFill="1" applyBorder="1" applyAlignment="1">
      <alignment horizontal="right"/>
    </xf>
    <xf numFmtId="166" fontId="31" fillId="9" borderId="7" xfId="0" applyNumberFormat="1" applyFont="1" applyFill="1" applyBorder="1" applyAlignment="1">
      <alignment horizontal="right"/>
    </xf>
    <xf numFmtId="166" fontId="23" fillId="9" borderId="7" xfId="0" applyNumberFormat="1" applyFont="1" applyFill="1" applyBorder="1" applyAlignment="1">
      <alignment horizontal="right"/>
    </xf>
    <xf numFmtId="166" fontId="23" fillId="6" borderId="7" xfId="0" applyNumberFormat="1" applyFont="1" applyFill="1" applyBorder="1" applyAlignment="1">
      <alignment horizontal="right"/>
    </xf>
    <xf numFmtId="167" fontId="34" fillId="10" borderId="0" xfId="1" applyNumberFormat="1" applyFont="1" applyFill="1" applyBorder="1"/>
    <xf numFmtId="167" fontId="22" fillId="10" borderId="0" xfId="0" applyNumberFormat="1" applyFont="1" applyFill="1" applyBorder="1" applyAlignment="1">
      <alignment horizontal="right"/>
    </xf>
    <xf numFmtId="166" fontId="21" fillId="9" borderId="0" xfId="1" applyNumberFormat="1" applyFont="1" applyFill="1" applyBorder="1"/>
    <xf numFmtId="166" fontId="23" fillId="9" borderId="7" xfId="0" applyNumberFormat="1" applyFont="1" applyFill="1" applyBorder="1" applyAlignment="1">
      <alignment horizontal="left"/>
    </xf>
    <xf numFmtId="166" fontId="24" fillId="9" borderId="7" xfId="1" applyNumberFormat="1" applyFont="1" applyFill="1" applyBorder="1"/>
    <xf numFmtId="0" fontId="5" fillId="6" borderId="28" xfId="0" applyFont="1" applyFill="1" applyBorder="1"/>
    <xf numFmtId="0" fontId="5" fillId="6" borderId="29" xfId="0" applyFont="1" applyFill="1" applyBorder="1"/>
    <xf numFmtId="0" fontId="0" fillId="4" borderId="0" xfId="0" applyNumberFormat="1" applyFont="1" applyFill="1" applyBorder="1"/>
    <xf numFmtId="0" fontId="3" fillId="4" borderId="0" xfId="4" applyFill="1"/>
    <xf numFmtId="44" fontId="5" fillId="6" borderId="0" xfId="1" applyNumberFormat="1" applyFont="1" applyFill="1" applyBorder="1"/>
    <xf numFmtId="44" fontId="5" fillId="9" borderId="0" xfId="1" applyNumberFormat="1" applyFont="1" applyFill="1" applyBorder="1"/>
    <xf numFmtId="43" fontId="0" fillId="9" borderId="0" xfId="0" applyNumberFormat="1" applyFont="1" applyFill="1" applyBorder="1"/>
    <xf numFmtId="44" fontId="5" fillId="6" borderId="7" xfId="1" applyNumberFormat="1" applyFont="1" applyFill="1" applyBorder="1"/>
    <xf numFmtId="44" fontId="5" fillId="9" borderId="7" xfId="1" applyNumberFormat="1" applyFont="1" applyFill="1" applyBorder="1"/>
    <xf numFmtId="44" fontId="31" fillId="9" borderId="7" xfId="1" applyNumberFormat="1" applyFont="1" applyFill="1" applyBorder="1"/>
    <xf numFmtId="167" fontId="22" fillId="10" borderId="20" xfId="0" applyNumberFormat="1" applyFont="1" applyFill="1" applyBorder="1"/>
    <xf numFmtId="166" fontId="21" fillId="2" borderId="20" xfId="3" applyNumberFormat="1" applyFont="1" applyFill="1" applyBorder="1" applyAlignment="1">
      <alignment horizontal="right"/>
    </xf>
    <xf numFmtId="166" fontId="22" fillId="10" borderId="20" xfId="0" applyNumberFormat="1" applyFont="1" applyFill="1" applyBorder="1"/>
    <xf numFmtId="17" fontId="29" fillId="9" borderId="20" xfId="8" applyNumberFormat="1" applyFont="1" applyFill="1" applyBorder="1" applyAlignment="1">
      <alignment horizontal="center"/>
    </xf>
    <xf numFmtId="164" fontId="24" fillId="9" borderId="20" xfId="8" applyNumberFormat="1" applyFont="1" applyFill="1" applyBorder="1" applyAlignment="1">
      <alignment horizontal="center"/>
    </xf>
    <xf numFmtId="164" fontId="34" fillId="10" borderId="20" xfId="8" applyNumberFormat="1" applyFont="1" applyFill="1" applyBorder="1"/>
    <xf numFmtId="167" fontId="35" fillId="10" borderId="20" xfId="8" applyNumberFormat="1" applyFont="1" applyFill="1" applyBorder="1"/>
    <xf numFmtId="166" fontId="25" fillId="9" borderId="0" xfId="0" applyNumberFormat="1" applyFont="1" applyFill="1" applyBorder="1" applyAlignment="1">
      <alignment horizontal="left" indent="2"/>
    </xf>
    <xf numFmtId="166" fontId="25" fillId="9" borderId="2" xfId="0" applyNumberFormat="1" applyFont="1" applyFill="1" applyBorder="1" applyAlignment="1">
      <alignment horizontal="left" indent="2"/>
    </xf>
    <xf numFmtId="166" fontId="25" fillId="9" borderId="2" xfId="0" applyNumberFormat="1" applyFont="1" applyFill="1" applyBorder="1" applyAlignment="1">
      <alignment horizontal="left" indent="4"/>
    </xf>
    <xf numFmtId="166" fontId="25" fillId="6" borderId="2" xfId="0" applyNumberFormat="1" applyFont="1" applyFill="1" applyBorder="1" applyAlignment="1">
      <alignment horizontal="left" indent="1"/>
    </xf>
    <xf numFmtId="166" fontId="25" fillId="9" borderId="2" xfId="0" applyNumberFormat="1" applyFont="1" applyFill="1" applyBorder="1" applyAlignment="1">
      <alignment horizontal="left" indent="1"/>
    </xf>
    <xf numFmtId="164" fontId="25" fillId="9" borderId="2" xfId="0" applyNumberFormat="1" applyFont="1" applyFill="1" applyBorder="1"/>
    <xf numFmtId="164" fontId="21" fillId="9" borderId="2" xfId="6" applyNumberFormat="1" applyFont="1" applyFill="1" applyBorder="1"/>
    <xf numFmtId="164" fontId="25" fillId="9" borderId="30" xfId="0" applyNumberFormat="1" applyFont="1" applyFill="1" applyBorder="1"/>
    <xf numFmtId="167" fontId="25" fillId="9" borderId="4" xfId="0" applyNumberFormat="1" applyFont="1" applyFill="1" applyBorder="1"/>
    <xf numFmtId="164" fontId="25" fillId="9" borderId="4" xfId="0" applyNumberFormat="1" applyFont="1" applyFill="1" applyBorder="1"/>
    <xf numFmtId="164" fontId="25" fillId="9" borderId="1" xfId="0" applyNumberFormat="1" applyFont="1" applyFill="1" applyBorder="1"/>
    <xf numFmtId="164" fontId="21" fillId="9" borderId="5" xfId="6" applyNumberFormat="1" applyFont="1" applyFill="1" applyBorder="1" applyAlignment="1">
      <alignment horizontal="left" indent="1"/>
    </xf>
    <xf numFmtId="164" fontId="21" fillId="9" borderId="3" xfId="6" applyNumberFormat="1" applyFont="1" applyFill="1" applyBorder="1" applyAlignment="1">
      <alignment horizontal="left" indent="1"/>
    </xf>
    <xf numFmtId="164" fontId="24" fillId="9" borderId="31" xfId="6" applyNumberFormat="1" applyFont="1" applyFill="1" applyBorder="1"/>
    <xf numFmtId="174" fontId="21" fillId="9" borderId="32" xfId="6" applyNumberFormat="1" applyFont="1" applyFill="1" applyBorder="1" applyAlignment="1">
      <alignment horizontal="left" indent="1"/>
    </xf>
    <xf numFmtId="175" fontId="21" fillId="9" borderId="32" xfId="6" applyNumberFormat="1" applyFont="1" applyFill="1" applyBorder="1" applyAlignment="1">
      <alignment horizontal="left" indent="1"/>
    </xf>
    <xf numFmtId="176" fontId="21" fillId="9" borderId="32" xfId="6" applyNumberFormat="1" applyFont="1" applyFill="1" applyBorder="1" applyAlignment="1">
      <alignment horizontal="left" indent="1"/>
    </xf>
    <xf numFmtId="0" fontId="23" fillId="9" borderId="6" xfId="0" applyNumberFormat="1" applyFont="1" applyFill="1" applyBorder="1"/>
    <xf numFmtId="166" fontId="21" fillId="9" borderId="4" xfId="6" applyNumberFormat="1" applyFont="1" applyFill="1" applyBorder="1"/>
    <xf numFmtId="166" fontId="21" fillId="9" borderId="1" xfId="6" applyNumberFormat="1" applyFont="1" applyFill="1" applyBorder="1"/>
    <xf numFmtId="164" fontId="24" fillId="9" borderId="8" xfId="6" applyNumberFormat="1" applyFont="1" applyFill="1" applyBorder="1"/>
    <xf numFmtId="0" fontId="8" fillId="11" borderId="9" xfId="7" applyNumberFormat="1" applyFont="1" applyFill="1" applyBorder="1" applyAlignment="1">
      <alignment horizontal="center"/>
    </xf>
    <xf numFmtId="0" fontId="5" fillId="0" borderId="0" xfId="0" applyFont="1" applyFill="1" applyBorder="1"/>
    <xf numFmtId="0" fontId="3" fillId="0" borderId="0" xfId="4" applyFill="1" applyBorder="1"/>
    <xf numFmtId="0" fontId="1" fillId="4" borderId="9" xfId="7" applyNumberFormat="1" applyFont="1" applyFill="1" applyBorder="1" applyAlignment="1">
      <alignment horizontal="center"/>
    </xf>
    <xf numFmtId="14" fontId="11" fillId="3" borderId="0" xfId="7" applyNumberFormat="1" applyFont="1" applyFill="1" applyBorder="1" applyAlignment="1">
      <alignment horizontal="center" vertical="center"/>
    </xf>
    <xf numFmtId="0" fontId="6" fillId="4" borderId="9" xfId="7" applyNumberFormat="1" applyFont="1" applyFill="1" applyBorder="1" applyAlignment="1">
      <alignment horizontal="left"/>
    </xf>
    <xf numFmtId="0" fontId="6" fillId="4" borderId="17" xfId="7" applyNumberFormat="1" applyFont="1" applyFill="1" applyBorder="1" applyAlignment="1">
      <alignment horizontal="left"/>
    </xf>
    <xf numFmtId="0" fontId="6" fillId="4" borderId="22" xfId="7" applyNumberFormat="1" applyFont="1" applyFill="1" applyBorder="1" applyAlignment="1">
      <alignment horizontal="left"/>
    </xf>
    <xf numFmtId="0" fontId="6" fillId="4" borderId="16" xfId="7" applyNumberFormat="1" applyFont="1" applyFill="1" applyBorder="1" applyAlignment="1">
      <alignment horizontal="left"/>
    </xf>
    <xf numFmtId="166" fontId="44" fillId="9" borderId="0" xfId="0" applyNumberFormat="1" applyFont="1" applyFill="1" applyBorder="1"/>
    <xf numFmtId="166" fontId="44" fillId="0" borderId="0" xfId="0" applyNumberFormat="1" applyFont="1" applyFill="1" applyBorder="1"/>
    <xf numFmtId="164" fontId="5" fillId="9" borderId="0" xfId="0" applyNumberFormat="1" applyFont="1" applyFill="1" applyBorder="1" applyAlignment="1">
      <alignment horizontal="left"/>
    </xf>
    <xf numFmtId="164" fontId="5" fillId="9" borderId="7" xfId="0" applyNumberFormat="1" applyFont="1" applyFill="1" applyBorder="1" applyAlignment="1">
      <alignment horizontal="left"/>
    </xf>
    <xf numFmtId="44" fontId="5" fillId="9" borderId="0" xfId="0" applyNumberFormat="1" applyFont="1" applyFill="1" applyBorder="1" applyAlignment="1">
      <alignment horizontal="left"/>
    </xf>
    <xf numFmtId="44" fontId="23" fillId="9" borderId="0" xfId="0" applyNumberFormat="1" applyFont="1" applyFill="1" applyBorder="1" applyAlignment="1">
      <alignment horizontal="right"/>
    </xf>
    <xf numFmtId="44" fontId="23" fillId="6" borderId="0" xfId="0" applyNumberFormat="1" applyFont="1" applyFill="1" applyBorder="1" applyAlignment="1">
      <alignment horizontal="right"/>
    </xf>
    <xf numFmtId="44" fontId="5" fillId="9" borderId="0" xfId="0" applyNumberFormat="1" applyFont="1" applyFill="1" applyBorder="1"/>
    <xf numFmtId="44" fontId="5" fillId="0" borderId="0" xfId="0" applyNumberFormat="1" applyFont="1" applyFill="1" applyBorder="1"/>
    <xf numFmtId="166" fontId="21" fillId="9" borderId="2" xfId="1" applyNumberFormat="1" applyFont="1" applyFill="1" applyBorder="1"/>
    <xf numFmtId="166" fontId="34" fillId="10" borderId="0" xfId="1" applyNumberFormat="1" applyFont="1" applyFill="1" applyBorder="1"/>
    <xf numFmtId="166" fontId="22" fillId="10" borderId="0" xfId="0" applyNumberFormat="1" applyFont="1" applyFill="1" applyBorder="1" applyAlignment="1">
      <alignment horizontal="right"/>
    </xf>
    <xf numFmtId="166" fontId="22" fillId="10" borderId="20" xfId="0" applyNumberFormat="1" applyFont="1" applyFill="1" applyBorder="1" applyAlignment="1">
      <alignment horizontal="right"/>
    </xf>
    <xf numFmtId="0" fontId="3" fillId="0" borderId="9" xfId="4" applyBorder="1"/>
    <xf numFmtId="166" fontId="0" fillId="6" borderId="7" xfId="0" applyNumberFormat="1" applyFont="1" applyFill="1" applyBorder="1" applyAlignment="1">
      <alignment horizontal="right"/>
    </xf>
    <xf numFmtId="166" fontId="0" fillId="9" borderId="7" xfId="0" applyNumberFormat="1" applyFont="1" applyFill="1" applyBorder="1" applyAlignment="1">
      <alignment horizontal="right"/>
    </xf>
    <xf numFmtId="166" fontId="32" fillId="9" borderId="7" xfId="0" applyNumberFormat="1" applyFont="1" applyFill="1" applyBorder="1" applyAlignment="1">
      <alignment horizontal="right"/>
    </xf>
    <xf numFmtId="166" fontId="25" fillId="9" borderId="7" xfId="0" applyNumberFormat="1" applyFont="1" applyFill="1" applyBorder="1" applyAlignment="1">
      <alignment horizontal="right"/>
    </xf>
    <xf numFmtId="166" fontId="25" fillId="6" borderId="7" xfId="0" applyNumberFormat="1" applyFont="1" applyFill="1" applyBorder="1" applyAlignment="1">
      <alignment horizontal="right"/>
    </xf>
    <xf numFmtId="166" fontId="5" fillId="6" borderId="7" xfId="1" applyNumberFormat="1" applyFont="1" applyFill="1" applyBorder="1"/>
    <xf numFmtId="166" fontId="5" fillId="9" borderId="7" xfId="1" applyNumberFormat="1" applyFont="1" applyFill="1" applyBorder="1"/>
    <xf numFmtId="166" fontId="5" fillId="9" borderId="0" xfId="1" applyNumberFormat="1" applyFont="1" applyFill="1" applyBorder="1"/>
    <xf numFmtId="166" fontId="5" fillId="0" borderId="0" xfId="1" applyNumberFormat="1" applyFont="1" applyFill="1" applyBorder="1"/>
    <xf numFmtId="166" fontId="0" fillId="9" borderId="0" xfId="1" applyNumberFormat="1" applyFont="1" applyFill="1" applyBorder="1"/>
    <xf numFmtId="166" fontId="0" fillId="6" borderId="0" xfId="1" applyNumberFormat="1" applyFont="1" applyFill="1" applyBorder="1"/>
    <xf numFmtId="166" fontId="0" fillId="9" borderId="7" xfId="0" applyNumberFormat="1" applyFont="1" applyFill="1" applyBorder="1" applyAlignment="1">
      <alignment horizontal="left" indent="1"/>
    </xf>
    <xf numFmtId="166" fontId="5" fillId="9" borderId="7" xfId="0" applyNumberFormat="1" applyFont="1" applyFill="1" applyBorder="1" applyAlignment="1">
      <alignment horizontal="left" indent="1"/>
    </xf>
    <xf numFmtId="166" fontId="5" fillId="9" borderId="0" xfId="0" applyNumberFormat="1" applyFont="1" applyFill="1" applyBorder="1" applyAlignment="1">
      <alignment horizontal="left" indent="1"/>
    </xf>
    <xf numFmtId="166" fontId="0" fillId="9" borderId="0" xfId="1" applyNumberFormat="1" applyFont="1" applyFill="1" applyBorder="1" applyAlignment="1">
      <alignment horizontal="left" indent="1"/>
    </xf>
    <xf numFmtId="43" fontId="5" fillId="9" borderId="7" xfId="0" applyNumberFormat="1" applyFont="1" applyFill="1" applyBorder="1" applyAlignment="1">
      <alignment horizontal="left"/>
    </xf>
    <xf numFmtId="164" fontId="2" fillId="9" borderId="6" xfId="6" applyNumberFormat="1" applyFont="1" applyFill="1" applyBorder="1" applyAlignment="1">
      <alignment horizontal="left"/>
    </xf>
    <xf numFmtId="164" fontId="1" fillId="9" borderId="4" xfId="6" applyNumberFormat="1" applyFont="1" applyFill="1" applyBorder="1" applyAlignment="1">
      <alignment horizontal="left" indent="1"/>
    </xf>
    <xf numFmtId="0" fontId="6" fillId="4" borderId="33" xfId="7" applyNumberFormat="1" applyFont="1" applyFill="1" applyBorder="1" applyAlignment="1">
      <alignment horizontal="left"/>
    </xf>
    <xf numFmtId="0" fontId="8" fillId="11" borderId="31" xfId="7" applyNumberFormat="1" applyFont="1" applyFill="1" applyBorder="1" applyAlignment="1">
      <alignment horizontal="center"/>
    </xf>
    <xf numFmtId="0" fontId="3" fillId="0" borderId="16" xfId="4" applyBorder="1"/>
    <xf numFmtId="0" fontId="3" fillId="9" borderId="34" xfId="4" applyFill="1" applyBorder="1"/>
    <xf numFmtId="0" fontId="3" fillId="9" borderId="35" xfId="4" applyFill="1" applyBorder="1"/>
    <xf numFmtId="167" fontId="20" fillId="9" borderId="0" xfId="4" applyNumberFormat="1" applyFont="1" applyFill="1" applyBorder="1" applyAlignment="1">
      <alignment horizontal="left"/>
    </xf>
    <xf numFmtId="166" fontId="23" fillId="9" borderId="0" xfId="0" applyNumberFormat="1" applyFont="1" applyFill="1" applyBorder="1" applyAlignment="1">
      <alignment horizontal="left" indent="3"/>
    </xf>
    <xf numFmtId="170" fontId="23" fillId="9" borderId="0" xfId="0" applyNumberFormat="1" applyFont="1" applyFill="1" applyBorder="1" applyAlignment="1">
      <alignment horizontal="right"/>
    </xf>
    <xf numFmtId="166" fontId="0" fillId="6" borderId="11" xfId="0" applyNumberFormat="1" applyFont="1" applyFill="1" applyBorder="1"/>
    <xf numFmtId="166" fontId="25" fillId="9" borderId="11" xfId="0" applyNumberFormat="1" applyFont="1" applyFill="1" applyBorder="1"/>
    <xf numFmtId="166" fontId="32" fillId="9" borderId="11" xfId="0" applyNumberFormat="1" applyFont="1" applyFill="1" applyBorder="1"/>
    <xf numFmtId="166" fontId="25" fillId="6" borderId="11" xfId="0" applyNumberFormat="1" applyFont="1" applyFill="1" applyBorder="1"/>
    <xf numFmtId="172" fontId="2" fillId="9" borderId="0" xfId="1" applyNumberFormat="1" applyFont="1" applyFill="1" applyBorder="1"/>
    <xf numFmtId="187" fontId="5" fillId="6" borderId="0" xfId="0" applyNumberFormat="1" applyFont="1" applyFill="1" applyBorder="1"/>
    <xf numFmtId="187" fontId="12" fillId="9" borderId="0" xfId="0" applyNumberFormat="1" applyFont="1" applyFill="1" applyBorder="1"/>
    <xf numFmtId="187" fontId="12" fillId="6" borderId="0" xfId="0" applyNumberFormat="1" applyFont="1" applyFill="1" applyBorder="1"/>
    <xf numFmtId="170" fontId="23" fillId="6" borderId="0" xfId="8" applyNumberFormat="1" applyFont="1" applyFill="1" applyBorder="1" applyAlignment="1">
      <alignment horizontal="right"/>
    </xf>
    <xf numFmtId="180" fontId="23" fillId="6" borderId="0" xfId="8" applyNumberFormat="1" applyFont="1" applyFill="1" applyBorder="1" applyAlignment="1">
      <alignment horizontal="right"/>
    </xf>
    <xf numFmtId="178" fontId="23" fillId="9" borderId="0" xfId="8" applyNumberFormat="1" applyFont="1" applyFill="1" applyBorder="1" applyAlignment="1">
      <alignment horizontal="left" indent="1"/>
    </xf>
    <xf numFmtId="187" fontId="12" fillId="9" borderId="0" xfId="8" applyNumberFormat="1" applyFont="1" applyFill="1" applyBorder="1" applyAlignment="1">
      <alignment horizontal="left"/>
    </xf>
    <xf numFmtId="187" fontId="23" fillId="6" borderId="0" xfId="8" applyNumberFormat="1" applyFont="1" applyFill="1" applyBorder="1" applyAlignment="1">
      <alignment horizontal="right"/>
    </xf>
    <xf numFmtId="187" fontId="23" fillId="9" borderId="0" xfId="8" applyNumberFormat="1" applyFont="1" applyFill="1" applyBorder="1" applyAlignment="1">
      <alignment horizontal="right"/>
    </xf>
    <xf numFmtId="187" fontId="23" fillId="6" borderId="0" xfId="8" applyNumberFormat="1" applyFont="1" applyFill="1" applyBorder="1"/>
    <xf numFmtId="169" fontId="16" fillId="12" borderId="0" xfId="1" applyNumberFormat="1" applyFont="1" applyFill="1" applyBorder="1" applyAlignment="1">
      <alignment horizontal="center" vertical="center"/>
    </xf>
    <xf numFmtId="166" fontId="22" fillId="10" borderId="0" xfId="8" applyNumberFormat="1" applyFont="1" applyFill="1" applyBorder="1"/>
    <xf numFmtId="166" fontId="22" fillId="10" borderId="0" xfId="0" applyNumberFormat="1" applyFont="1" applyFill="1" applyBorder="1"/>
    <xf numFmtId="188" fontId="21" fillId="9" borderId="0" xfId="6" applyNumberFormat="1" applyFont="1" applyFill="1" applyBorder="1"/>
    <xf numFmtId="188" fontId="25" fillId="9" borderId="0" xfId="0" applyNumberFormat="1" applyFont="1" applyFill="1" applyBorder="1"/>
    <xf numFmtId="188" fontId="25" fillId="9" borderId="20" xfId="0" applyNumberFormat="1" applyFont="1" applyFill="1" applyBorder="1"/>
    <xf numFmtId="188" fontId="25" fillId="9" borderId="12" xfId="0" applyNumberFormat="1" applyFont="1" applyFill="1" applyBorder="1"/>
    <xf numFmtId="166" fontId="5" fillId="9" borderId="19" xfId="0" applyNumberFormat="1" applyFont="1" applyFill="1" applyBorder="1" applyAlignment="1">
      <alignment horizontal="left"/>
    </xf>
    <xf numFmtId="166" fontId="5" fillId="6" borderId="19" xfId="0" applyNumberFormat="1" applyFont="1" applyFill="1" applyBorder="1" applyAlignment="1">
      <alignment horizontal="right"/>
    </xf>
    <xf numFmtId="166" fontId="5" fillId="9" borderId="19" xfId="0" applyNumberFormat="1" applyFont="1" applyFill="1" applyBorder="1" applyAlignment="1">
      <alignment horizontal="right"/>
    </xf>
    <xf numFmtId="166" fontId="31" fillId="9" borderId="19" xfId="0" applyNumberFormat="1" applyFont="1" applyFill="1" applyBorder="1" applyAlignment="1">
      <alignment horizontal="right"/>
    </xf>
    <xf numFmtId="166" fontId="19" fillId="9" borderId="0" xfId="0" applyNumberFormat="1" applyFont="1" applyFill="1" applyBorder="1" applyAlignment="1">
      <alignment horizontal="left"/>
    </xf>
    <xf numFmtId="166" fontId="23" fillId="9" borderId="19" xfId="0" applyNumberFormat="1" applyFont="1" applyFill="1" applyBorder="1" applyAlignment="1">
      <alignment horizontal="right"/>
    </xf>
    <xf numFmtId="166" fontId="23" fillId="6" borderId="19" xfId="0" applyNumberFormat="1" applyFont="1" applyFill="1" applyBorder="1" applyAlignment="1">
      <alignment horizontal="right"/>
    </xf>
    <xf numFmtId="166" fontId="26" fillId="9" borderId="0" xfId="0" applyNumberFormat="1" applyFont="1" applyFill="1" applyBorder="1" applyAlignment="1">
      <alignment horizontal="left"/>
    </xf>
    <xf numFmtId="167" fontId="26" fillId="9" borderId="0" xfId="0" applyNumberFormat="1" applyFont="1" applyFill="1" applyBorder="1" applyAlignment="1">
      <alignment horizontal="right"/>
    </xf>
    <xf numFmtId="166" fontId="23" fillId="9" borderId="0" xfId="0" applyNumberFormat="1" applyFont="1" applyFill="1" applyBorder="1" applyAlignment="1">
      <alignment horizontal="left"/>
    </xf>
    <xf numFmtId="164" fontId="0" fillId="9" borderId="2" xfId="0" applyNumberFormat="1" applyFont="1" applyFill="1" applyBorder="1" applyAlignment="1">
      <alignment horizontal="left" indent="2"/>
    </xf>
    <xf numFmtId="166" fontId="45" fillId="10" borderId="0" xfId="0" applyNumberFormat="1" applyFont="1" applyFill="1" applyBorder="1"/>
    <xf numFmtId="166" fontId="45" fillId="10" borderId="20" xfId="0" applyNumberFormat="1" applyFont="1" applyFill="1" applyBorder="1"/>
    <xf numFmtId="44" fontId="25" fillId="9" borderId="0" xfId="0" applyNumberFormat="1" applyFont="1" applyFill="1" applyBorder="1" applyAlignment="1">
      <alignment horizontal="right"/>
    </xf>
    <xf numFmtId="44" fontId="25" fillId="6" borderId="0" xfId="0" applyNumberFormat="1" applyFont="1" applyFill="1" applyBorder="1" applyAlignment="1">
      <alignment horizontal="right"/>
    </xf>
    <xf numFmtId="44" fontId="0" fillId="9" borderId="0" xfId="0" applyNumberFormat="1" applyFont="1" applyFill="1" applyBorder="1"/>
    <xf numFmtId="44" fontId="0" fillId="0" borderId="0" xfId="0" applyNumberFormat="1" applyFont="1" applyFill="1" applyBorder="1"/>
    <xf numFmtId="44" fontId="5" fillId="9" borderId="7" xfId="0" applyNumberFormat="1" applyFont="1" applyFill="1" applyBorder="1" applyAlignment="1">
      <alignment horizontal="left"/>
    </xf>
    <xf numFmtId="169" fontId="0" fillId="9" borderId="0" xfId="0" applyNumberFormat="1" applyFont="1" applyFill="1" applyBorder="1" applyAlignment="1">
      <alignment horizontal="left" indent="1"/>
    </xf>
    <xf numFmtId="169" fontId="0" fillId="6" borderId="0" xfId="0" applyNumberFormat="1" applyFont="1" applyFill="1" applyBorder="1" applyAlignment="1">
      <alignment horizontal="right"/>
    </xf>
    <xf numFmtId="169" fontId="0" fillId="9" borderId="0" xfId="0" applyNumberFormat="1" applyFont="1" applyFill="1" applyBorder="1" applyAlignment="1">
      <alignment horizontal="right"/>
    </xf>
    <xf numFmtId="169" fontId="32" fillId="9" borderId="0" xfId="0" applyNumberFormat="1" applyFont="1" applyFill="1" applyBorder="1" applyAlignment="1">
      <alignment horizontal="right"/>
    </xf>
    <xf numFmtId="169" fontId="25" fillId="9" borderId="0" xfId="0" applyNumberFormat="1" applyFont="1" applyFill="1" applyBorder="1" applyAlignment="1">
      <alignment horizontal="right"/>
    </xf>
    <xf numFmtId="169" fontId="25" fillId="6" borderId="0" xfId="0" applyNumberFormat="1" applyFont="1" applyFill="1" applyBorder="1" applyAlignment="1">
      <alignment horizontal="right"/>
    </xf>
    <xf numFmtId="169" fontId="0" fillId="9" borderId="0" xfId="0" applyNumberFormat="1" applyFont="1" applyFill="1" applyBorder="1"/>
    <xf numFmtId="169" fontId="0" fillId="0" borderId="0" xfId="0" applyNumberFormat="1" applyFont="1" applyFill="1" applyBorder="1"/>
    <xf numFmtId="44" fontId="25" fillId="9" borderId="0" xfId="0" applyNumberFormat="1" applyFont="1" applyFill="1" applyBorder="1" applyAlignment="1">
      <alignment horizontal="left" indent="1"/>
    </xf>
    <xf numFmtId="164" fontId="21" fillId="9" borderId="0" xfId="1" applyNumberFormat="1" applyFont="1" applyFill="1" applyBorder="1"/>
    <xf numFmtId="167" fontId="26" fillId="9" borderId="0" xfId="0" applyNumberFormat="1" applyFont="1" applyFill="1" applyBorder="1" applyAlignment="1">
      <alignment horizontal="left" indent="2"/>
    </xf>
    <xf numFmtId="167" fontId="27" fillId="9" borderId="0" xfId="1" applyNumberFormat="1" applyFont="1" applyFill="1" applyBorder="1"/>
    <xf numFmtId="44" fontId="21" fillId="9" borderId="0" xfId="1" applyNumberFormat="1" applyFont="1" applyFill="1" applyBorder="1"/>
    <xf numFmtId="164" fontId="25" fillId="9" borderId="0" xfId="0" applyNumberFormat="1" applyFont="1" applyFill="1" applyBorder="1" applyAlignment="1">
      <alignment horizontal="left" indent="1"/>
    </xf>
    <xf numFmtId="167" fontId="25" fillId="9" borderId="2" xfId="0" applyNumberFormat="1" applyFont="1" applyFill="1" applyBorder="1" applyAlignment="1">
      <alignment horizontal="left" indent="2"/>
    </xf>
    <xf numFmtId="167" fontId="21" fillId="9" borderId="2" xfId="1" applyNumberFormat="1" applyFont="1" applyFill="1" applyBorder="1"/>
    <xf numFmtId="167" fontId="25" fillId="6" borderId="2" xfId="0" applyNumberFormat="1" applyFont="1" applyFill="1" applyBorder="1" applyAlignment="1">
      <alignment horizontal="right"/>
    </xf>
    <xf numFmtId="167" fontId="25" fillId="9" borderId="2" xfId="0" applyNumberFormat="1" applyFont="1" applyFill="1" applyBorder="1" applyAlignment="1">
      <alignment horizontal="right"/>
    </xf>
    <xf numFmtId="190" fontId="21" fillId="9" borderId="16" xfId="6" applyNumberFormat="1" applyFont="1" applyFill="1" applyBorder="1" applyAlignment="1">
      <alignment horizontal="left" indent="1"/>
    </xf>
    <xf numFmtId="167" fontId="44" fillId="9" borderId="0" xfId="0" applyNumberFormat="1" applyFont="1" applyFill="1" applyBorder="1"/>
    <xf numFmtId="167" fontId="44" fillId="0" borderId="0" xfId="0" applyNumberFormat="1" applyFont="1" applyFill="1" applyBorder="1"/>
    <xf numFmtId="167" fontId="0" fillId="6" borderId="10" xfId="0" applyNumberFormat="1" applyFont="1" applyFill="1" applyBorder="1" applyAlignment="1">
      <alignment horizontal="right"/>
    </xf>
    <xf numFmtId="167" fontId="0" fillId="9" borderId="10" xfId="0" applyNumberFormat="1" applyFont="1" applyFill="1" applyBorder="1" applyAlignment="1">
      <alignment horizontal="right"/>
    </xf>
    <xf numFmtId="166" fontId="0" fillId="9" borderId="10" xfId="0" applyNumberFormat="1" applyFont="1" applyFill="1" applyBorder="1" applyAlignment="1">
      <alignment horizontal="left" indent="2"/>
    </xf>
    <xf numFmtId="166" fontId="0" fillId="9" borderId="0" xfId="1" applyNumberFormat="1" applyFont="1" applyFill="1" applyBorder="1" applyAlignment="1">
      <alignment horizontal="left" indent="2"/>
    </xf>
    <xf numFmtId="167" fontId="46" fillId="9" borderId="0" xfId="0" applyNumberFormat="1" applyFont="1" applyFill="1" applyBorder="1"/>
    <xf numFmtId="167" fontId="46" fillId="0" borderId="0" xfId="0" applyNumberFormat="1" applyFont="1" applyFill="1" applyBorder="1"/>
    <xf numFmtId="167" fontId="23" fillId="9" borderId="7" xfId="8" applyNumberFormat="1" applyFont="1" applyFill="1" applyBorder="1" applyAlignment="1">
      <alignment horizontal="left" indent="4"/>
    </xf>
    <xf numFmtId="167" fontId="23" fillId="6" borderId="7" xfId="8" applyNumberFormat="1" applyFont="1" applyFill="1" applyBorder="1"/>
    <xf numFmtId="167" fontId="23" fillId="9" borderId="7" xfId="8" applyNumberFormat="1" applyFont="1" applyFill="1" applyBorder="1"/>
    <xf numFmtId="167" fontId="22" fillId="10" borderId="20" xfId="0" applyNumberFormat="1" applyFont="1" applyFill="1" applyBorder="1" applyAlignment="1">
      <alignment horizontal="right"/>
    </xf>
    <xf numFmtId="167" fontId="47" fillId="10" borderId="0" xfId="1" applyNumberFormat="1" applyFont="1" applyFill="1" applyBorder="1"/>
    <xf numFmtId="167" fontId="45" fillId="10" borderId="0" xfId="0" applyNumberFormat="1" applyFont="1" applyFill="1" applyBorder="1" applyAlignment="1">
      <alignment horizontal="right"/>
    </xf>
    <xf numFmtId="167" fontId="45" fillId="10" borderId="20" xfId="0" applyNumberFormat="1" applyFont="1" applyFill="1" applyBorder="1" applyAlignment="1">
      <alignment horizontal="right"/>
    </xf>
    <xf numFmtId="166" fontId="25" fillId="9" borderId="2" xfId="0" applyNumberFormat="1" applyFont="1" applyFill="1" applyBorder="1" applyAlignment="1">
      <alignment horizontal="left" indent="3"/>
    </xf>
    <xf numFmtId="166" fontId="25" fillId="9" borderId="10" xfId="0" applyNumberFormat="1" applyFont="1" applyFill="1" applyBorder="1" applyAlignment="1">
      <alignment horizontal="left" indent="2"/>
    </xf>
    <xf numFmtId="167" fontId="21" fillId="9" borderId="10" xfId="1" applyNumberFormat="1" applyFont="1" applyFill="1" applyBorder="1"/>
    <xf numFmtId="167" fontId="25" fillId="6" borderId="10" xfId="0" applyNumberFormat="1" applyFont="1" applyFill="1" applyBorder="1" applyAlignment="1">
      <alignment horizontal="right"/>
    </xf>
    <xf numFmtId="167" fontId="25" fillId="9" borderId="10" xfId="0" applyNumberFormat="1" applyFont="1" applyFill="1" applyBorder="1" applyAlignment="1">
      <alignment horizontal="right"/>
    </xf>
    <xf numFmtId="166" fontId="23" fillId="9" borderId="0" xfId="0" applyNumberFormat="1" applyFont="1" applyFill="1" applyBorder="1" applyAlignment="1">
      <alignment horizontal="left" indent="1"/>
    </xf>
    <xf numFmtId="167" fontId="19" fillId="9" borderId="0" xfId="0" applyNumberFormat="1" applyFont="1" applyFill="1" applyBorder="1" applyAlignment="1">
      <alignment horizontal="left"/>
    </xf>
    <xf numFmtId="167" fontId="22" fillId="10" borderId="0" xfId="0" applyNumberFormat="1" applyFont="1" applyFill="1" applyBorder="1" applyAlignment="1">
      <alignment horizontal="left"/>
    </xf>
    <xf numFmtId="167" fontId="25" fillId="9" borderId="20" xfId="0" applyNumberFormat="1" applyFont="1" applyFill="1" applyBorder="1" applyAlignment="1">
      <alignment horizontal="right"/>
    </xf>
    <xf numFmtId="166" fontId="0" fillId="9" borderId="20" xfId="0" applyNumberFormat="1" applyFont="1" applyFill="1" applyBorder="1" applyAlignment="1">
      <alignment horizontal="right"/>
    </xf>
    <xf numFmtId="166" fontId="0" fillId="9" borderId="30" xfId="0" applyNumberFormat="1" applyFont="1" applyFill="1" applyBorder="1" applyAlignment="1">
      <alignment horizontal="right"/>
    </xf>
    <xf numFmtId="166" fontId="5" fillId="9" borderId="20" xfId="0" applyNumberFormat="1" applyFont="1" applyFill="1" applyBorder="1" applyAlignment="1">
      <alignment horizontal="right"/>
    </xf>
    <xf numFmtId="167" fontId="19" fillId="9" borderId="20" xfId="0" applyNumberFormat="1" applyFont="1" applyFill="1" applyBorder="1" applyAlignment="1">
      <alignment horizontal="right"/>
    </xf>
    <xf numFmtId="167" fontId="26" fillId="9" borderId="20" xfId="0" applyNumberFormat="1" applyFont="1" applyFill="1" applyBorder="1" applyAlignment="1">
      <alignment horizontal="right"/>
    </xf>
    <xf numFmtId="166" fontId="25" fillId="9" borderId="20" xfId="0" applyNumberFormat="1" applyFont="1" applyFill="1" applyBorder="1" applyAlignment="1">
      <alignment horizontal="right"/>
    </xf>
    <xf numFmtId="166" fontId="25" fillId="9" borderId="30" xfId="0" applyNumberFormat="1" applyFont="1" applyFill="1" applyBorder="1" applyAlignment="1">
      <alignment horizontal="right"/>
    </xf>
    <xf numFmtId="166" fontId="23" fillId="9" borderId="20" xfId="0" applyNumberFormat="1" applyFont="1" applyFill="1" applyBorder="1" applyAlignment="1">
      <alignment horizontal="right"/>
    </xf>
    <xf numFmtId="165" fontId="25" fillId="9" borderId="20" xfId="1" applyNumberFormat="1" applyFont="1" applyFill="1" applyBorder="1"/>
    <xf numFmtId="167" fontId="25" fillId="9" borderId="30" xfId="0" applyNumberFormat="1" applyFont="1" applyFill="1" applyBorder="1" applyAlignment="1">
      <alignment horizontal="right"/>
    </xf>
    <xf numFmtId="166" fontId="0" fillId="9" borderId="20" xfId="1" applyNumberFormat="1" applyFont="1" applyFill="1" applyBorder="1" applyAlignment="1">
      <alignment horizontal="left" indent="2"/>
    </xf>
    <xf numFmtId="166" fontId="25" fillId="9" borderId="20" xfId="0" applyNumberFormat="1" applyFont="1" applyFill="1" applyBorder="1" applyAlignment="1">
      <alignment horizontal="left" indent="1"/>
    </xf>
    <xf numFmtId="166" fontId="25" fillId="9" borderId="20" xfId="0" applyNumberFormat="1" applyFont="1" applyFill="1" applyBorder="1"/>
    <xf numFmtId="166" fontId="5" fillId="9" borderId="36" xfId="1" applyNumberFormat="1" applyFont="1" applyFill="1" applyBorder="1"/>
    <xf numFmtId="166" fontId="23" fillId="9" borderId="36" xfId="0" applyNumberFormat="1" applyFont="1" applyFill="1" applyBorder="1" applyAlignment="1">
      <alignment horizontal="right"/>
    </xf>
    <xf numFmtId="179" fontId="25" fillId="9" borderId="20" xfId="1" applyNumberFormat="1" applyFont="1" applyFill="1" applyBorder="1"/>
    <xf numFmtId="179" fontId="25" fillId="9" borderId="20" xfId="0" applyNumberFormat="1" applyFont="1" applyFill="1" applyBorder="1" applyAlignment="1">
      <alignment horizontal="right"/>
    </xf>
    <xf numFmtId="167" fontId="23" fillId="9" borderId="36" xfId="0" applyNumberFormat="1" applyFont="1" applyFill="1" applyBorder="1" applyAlignment="1">
      <alignment horizontal="right"/>
    </xf>
    <xf numFmtId="167" fontId="26" fillId="9" borderId="20" xfId="0" applyNumberFormat="1" applyFont="1" applyFill="1" applyBorder="1"/>
    <xf numFmtId="166" fontId="26" fillId="9" borderId="20" xfId="0" applyNumberFormat="1" applyFont="1" applyFill="1" applyBorder="1"/>
    <xf numFmtId="169" fontId="26" fillId="9" borderId="20" xfId="0" applyNumberFormat="1" applyFont="1" applyFill="1" applyBorder="1"/>
    <xf numFmtId="167" fontId="23" fillId="9" borderId="20" xfId="0" applyNumberFormat="1" applyFont="1" applyFill="1" applyBorder="1" applyAlignment="1">
      <alignment horizontal="right"/>
    </xf>
    <xf numFmtId="170" fontId="23" fillId="9" borderId="20" xfId="0" applyNumberFormat="1" applyFont="1" applyFill="1" applyBorder="1" applyAlignment="1">
      <alignment horizontal="right"/>
    </xf>
    <xf numFmtId="187" fontId="23" fillId="9" borderId="20" xfId="8" applyNumberFormat="1" applyFont="1" applyFill="1" applyBorder="1" applyAlignment="1">
      <alignment horizontal="right"/>
    </xf>
    <xf numFmtId="166" fontId="25" fillId="9" borderId="20" xfId="8" applyNumberFormat="1" applyFont="1" applyFill="1" applyBorder="1"/>
    <xf numFmtId="166" fontId="23" fillId="9" borderId="36" xfId="8" applyNumberFormat="1" applyFont="1" applyFill="1" applyBorder="1"/>
    <xf numFmtId="167" fontId="25" fillId="9" borderId="37" xfId="0" applyNumberFormat="1" applyFont="1" applyFill="1" applyBorder="1" applyAlignment="1">
      <alignment horizontal="right"/>
    </xf>
    <xf numFmtId="167" fontId="25" fillId="9" borderId="20" xfId="8" applyNumberFormat="1" applyFont="1" applyFill="1" applyBorder="1"/>
    <xf numFmtId="167" fontId="25" fillId="9" borderId="30" xfId="8" applyNumberFormat="1" applyFont="1" applyFill="1" applyBorder="1"/>
    <xf numFmtId="167" fontId="25" fillId="9" borderId="37" xfId="8" applyNumberFormat="1" applyFont="1" applyFill="1" applyBorder="1"/>
    <xf numFmtId="167" fontId="23" fillId="9" borderId="36" xfId="8" applyNumberFormat="1" applyFont="1" applyFill="1" applyBorder="1"/>
    <xf numFmtId="166" fontId="23" fillId="9" borderId="20" xfId="8" applyNumberFormat="1" applyFont="1" applyFill="1" applyBorder="1"/>
    <xf numFmtId="169" fontId="23" fillId="9" borderId="20" xfId="8" applyNumberFormat="1" applyFont="1" applyFill="1" applyBorder="1"/>
    <xf numFmtId="167" fontId="23" fillId="9" borderId="20" xfId="8" applyNumberFormat="1" applyFont="1" applyFill="1" applyBorder="1" applyAlignment="1">
      <alignment horizontal="center"/>
    </xf>
    <xf numFmtId="167" fontId="25" fillId="9" borderId="20" xfId="8" applyNumberFormat="1" applyFont="1" applyFill="1" applyBorder="1" applyAlignment="1">
      <alignment horizontal="right"/>
    </xf>
    <xf numFmtId="167" fontId="23" fillId="9" borderId="36" xfId="8" applyNumberFormat="1" applyFont="1" applyFill="1" applyBorder="1" applyAlignment="1">
      <alignment horizontal="right"/>
    </xf>
    <xf numFmtId="167" fontId="23" fillId="9" borderId="20" xfId="8" applyNumberFormat="1" applyFont="1" applyFill="1" applyBorder="1" applyAlignment="1">
      <alignment horizontal="right"/>
    </xf>
    <xf numFmtId="181" fontId="23" fillId="9" borderId="20" xfId="8" applyNumberFormat="1" applyFont="1" applyFill="1" applyBorder="1" applyAlignment="1">
      <alignment horizontal="right"/>
    </xf>
    <xf numFmtId="170" fontId="23" fillId="9" borderId="20" xfId="8" applyNumberFormat="1" applyFont="1" applyFill="1" applyBorder="1"/>
    <xf numFmtId="180" fontId="23" fillId="9" borderId="20" xfId="8" applyNumberFormat="1" applyFont="1" applyFill="1" applyBorder="1" applyAlignment="1">
      <alignment horizontal="right"/>
    </xf>
    <xf numFmtId="170" fontId="25" fillId="9" borderId="20" xfId="8" applyNumberFormat="1" applyFont="1" applyFill="1" applyBorder="1"/>
    <xf numFmtId="164" fontId="0" fillId="9" borderId="0" xfId="0" applyNumberFormat="1" applyFont="1" applyFill="1" applyBorder="1"/>
    <xf numFmtId="164" fontId="19" fillId="9" borderId="0" xfId="0" applyNumberFormat="1" applyFont="1" applyFill="1" applyBorder="1"/>
    <xf numFmtId="164" fontId="5" fillId="9" borderId="0" xfId="0" applyNumberFormat="1" applyFont="1" applyFill="1" applyBorder="1"/>
    <xf numFmtId="17" fontId="1" fillId="9" borderId="20" xfId="0" applyNumberFormat="1" applyFont="1" applyFill="1" applyBorder="1" applyAlignment="1">
      <alignment horizontal="center"/>
    </xf>
    <xf numFmtId="0" fontId="2" fillId="9" borderId="20" xfId="0" applyNumberFormat="1" applyFont="1" applyFill="1" applyBorder="1" applyAlignment="1">
      <alignment horizontal="center"/>
    </xf>
    <xf numFmtId="177" fontId="1" fillId="9" borderId="0" xfId="0" applyNumberFormat="1" applyFont="1" applyFill="1" applyBorder="1" applyAlignment="1">
      <alignment horizontal="left"/>
    </xf>
    <xf numFmtId="185" fontId="2" fillId="9" borderId="0" xfId="0" applyNumberFormat="1" applyFont="1" applyFill="1" applyBorder="1" applyAlignment="1">
      <alignment horizontal="left"/>
    </xf>
    <xf numFmtId="169" fontId="4" fillId="9" borderId="0" xfId="1" applyNumberFormat="1" applyFont="1" applyFill="1" applyBorder="1" applyAlignment="1">
      <alignment horizontal="center"/>
    </xf>
    <xf numFmtId="164" fontId="5" fillId="9" borderId="0" xfId="0" applyNumberFormat="1" applyFont="1" applyFill="1" applyBorder="1" applyAlignment="1">
      <alignment horizontal="center"/>
    </xf>
    <xf numFmtId="186" fontId="2" fillId="9" borderId="0" xfId="0" applyNumberFormat="1" applyFont="1" applyFill="1" applyBorder="1"/>
    <xf numFmtId="167" fontId="26" fillId="9" borderId="2" xfId="0" applyNumberFormat="1" applyFont="1" applyFill="1" applyBorder="1" applyAlignment="1">
      <alignment horizontal="right"/>
    </xf>
    <xf numFmtId="166" fontId="25" fillId="9" borderId="0" xfId="1" applyNumberFormat="1" applyFont="1" applyFill="1" applyBorder="1"/>
    <xf numFmtId="187" fontId="23" fillId="9" borderId="0" xfId="0" applyNumberFormat="1" applyFont="1" applyFill="1" applyBorder="1"/>
    <xf numFmtId="170" fontId="25" fillId="9" borderId="0" xfId="0" applyNumberFormat="1" applyFont="1" applyFill="1" applyBorder="1" applyAlignment="1">
      <alignment horizontal="right"/>
    </xf>
    <xf numFmtId="168" fontId="21" fillId="9" borderId="0" xfId="0" applyNumberFormat="1" applyFont="1" applyFill="1" applyBorder="1" applyAlignment="1">
      <alignment horizontal="center"/>
    </xf>
    <xf numFmtId="0" fontId="25" fillId="9" borderId="0" xfId="0" applyNumberFormat="1" applyFont="1" applyFill="1" applyBorder="1"/>
    <xf numFmtId="0" fontId="25" fillId="9" borderId="20" xfId="0" applyNumberFormat="1" applyFont="1" applyFill="1" applyBorder="1"/>
    <xf numFmtId="0" fontId="24" fillId="9" borderId="0" xfId="1" applyNumberFormat="1" applyFont="1" applyFill="1" applyBorder="1" applyAlignment="1">
      <alignment horizontal="center"/>
    </xf>
    <xf numFmtId="167" fontId="21" fillId="9" borderId="7" xfId="1" applyNumberFormat="1" applyFont="1" applyFill="1" applyBorder="1"/>
    <xf numFmtId="167" fontId="25" fillId="9" borderId="36" xfId="0" applyNumberFormat="1" applyFont="1" applyFill="1" applyBorder="1" applyAlignment="1">
      <alignment horizontal="right"/>
    </xf>
    <xf numFmtId="167" fontId="23" fillId="9" borderId="0" xfId="0" applyNumberFormat="1" applyFont="1" applyFill="1" applyBorder="1" applyAlignment="1">
      <alignment horizontal="left"/>
    </xf>
    <xf numFmtId="167" fontId="27" fillId="9" borderId="2" xfId="1" applyNumberFormat="1" applyFont="1" applyFill="1" applyBorder="1"/>
    <xf numFmtId="167" fontId="29" fillId="9" borderId="0" xfId="1" applyNumberFormat="1" applyFont="1" applyFill="1" applyBorder="1"/>
    <xf numFmtId="164" fontId="24" fillId="9" borderId="7" xfId="1" applyNumberFormat="1" applyFont="1" applyFill="1" applyBorder="1"/>
    <xf numFmtId="44" fontId="23" fillId="9" borderId="0" xfId="0" applyNumberFormat="1" applyFont="1" applyFill="1" applyBorder="1" applyAlignment="1">
      <alignment horizontal="left"/>
    </xf>
    <xf numFmtId="44" fontId="24" fillId="9" borderId="0" xfId="1" applyNumberFormat="1" applyFont="1" applyFill="1" applyBorder="1"/>
    <xf numFmtId="44" fontId="23" fillId="9" borderId="20" xfId="0" applyNumberFormat="1" applyFont="1" applyFill="1" applyBorder="1" applyAlignment="1">
      <alignment horizontal="right"/>
    </xf>
    <xf numFmtId="164" fontId="23" fillId="9" borderId="0" xfId="0" applyNumberFormat="1" applyFont="1" applyFill="1" applyBorder="1" applyAlignment="1">
      <alignment horizontal="left"/>
    </xf>
    <xf numFmtId="164" fontId="24" fillId="9" borderId="0" xfId="1" applyNumberFormat="1" applyFont="1" applyFill="1" applyBorder="1"/>
    <xf numFmtId="169" fontId="21" fillId="9" borderId="0" xfId="1" applyNumberFormat="1" applyFont="1" applyFill="1" applyBorder="1"/>
    <xf numFmtId="166" fontId="21" fillId="9" borderId="7" xfId="1" applyNumberFormat="1" applyFont="1" applyFill="1" applyBorder="1"/>
    <xf numFmtId="166" fontId="25" fillId="9" borderId="36" xfId="0" applyNumberFormat="1" applyFont="1" applyFill="1" applyBorder="1" applyAlignment="1">
      <alignment horizontal="right"/>
    </xf>
    <xf numFmtId="167" fontId="26" fillId="9" borderId="30" xfId="0" applyNumberFormat="1" applyFont="1" applyFill="1" applyBorder="1" applyAlignment="1">
      <alignment horizontal="right"/>
    </xf>
    <xf numFmtId="167" fontId="28" fillId="9" borderId="20" xfId="0" applyNumberFormat="1" applyFont="1" applyFill="1" applyBorder="1" applyAlignment="1">
      <alignment horizontal="right"/>
    </xf>
    <xf numFmtId="166" fontId="23" fillId="9" borderId="7" xfId="0" applyNumberFormat="1" applyFont="1" applyFill="1" applyBorder="1" applyAlignment="1">
      <alignment horizontal="left" indent="4"/>
    </xf>
    <xf numFmtId="166" fontId="23" fillId="9" borderId="36" xfId="0" applyNumberFormat="1" applyFont="1" applyFill="1" applyBorder="1"/>
    <xf numFmtId="166" fontId="23" fillId="9" borderId="0" xfId="0" applyNumberFormat="1" applyFont="1" applyFill="1" applyBorder="1" applyAlignment="1">
      <alignment horizontal="left" indent="4"/>
    </xf>
    <xf numFmtId="166" fontId="23" fillId="9" borderId="20" xfId="0" applyNumberFormat="1" applyFont="1" applyFill="1" applyBorder="1"/>
    <xf numFmtId="167" fontId="28" fillId="9" borderId="0" xfId="0" applyNumberFormat="1" applyFont="1" applyFill="1" applyBorder="1" applyAlignment="1">
      <alignment horizontal="left"/>
    </xf>
    <xf numFmtId="179" fontId="21" fillId="9" borderId="2" xfId="1" applyNumberFormat="1" applyFont="1" applyFill="1" applyBorder="1"/>
    <xf numFmtId="179" fontId="24" fillId="9" borderId="0" xfId="1" applyNumberFormat="1" applyFont="1" applyFill="1" applyBorder="1"/>
    <xf numFmtId="179" fontId="23" fillId="9" borderId="20" xfId="0" applyNumberFormat="1" applyFont="1" applyFill="1" applyBorder="1" applyAlignment="1">
      <alignment horizontal="right"/>
    </xf>
    <xf numFmtId="179" fontId="23" fillId="9" borderId="0" xfId="0" applyNumberFormat="1" applyFont="1" applyFill="1" applyBorder="1" applyAlignment="1">
      <alignment horizontal="left"/>
    </xf>
    <xf numFmtId="165" fontId="21" fillId="9" borderId="0" xfId="1" applyNumberFormat="1" applyFont="1" applyFill="1" applyBorder="1"/>
    <xf numFmtId="165" fontId="21" fillId="9" borderId="2" xfId="1" applyNumberFormat="1" applyFont="1" applyFill="1" applyBorder="1"/>
    <xf numFmtId="165" fontId="24" fillId="9" borderId="0" xfId="1" applyNumberFormat="1" applyFont="1" applyFill="1" applyBorder="1"/>
    <xf numFmtId="166" fontId="25" fillId="9" borderId="30" xfId="0" applyNumberFormat="1" applyFont="1" applyFill="1" applyBorder="1"/>
    <xf numFmtId="166" fontId="23" fillId="9" borderId="7" xfId="0" applyNumberFormat="1" applyFont="1" applyFill="1" applyBorder="1" applyAlignment="1">
      <alignment horizontal="left" indent="3"/>
    </xf>
    <xf numFmtId="166" fontId="25" fillId="9" borderId="0" xfId="1" applyNumberFormat="1" applyFont="1" applyFill="1" applyBorder="1" applyAlignment="1">
      <alignment horizontal="left"/>
    </xf>
    <xf numFmtId="166" fontId="25" fillId="9" borderId="0" xfId="1" applyNumberFormat="1" applyFont="1" applyFill="1" applyBorder="1" applyAlignment="1">
      <alignment horizontal="left" indent="4"/>
    </xf>
    <xf numFmtId="166" fontId="25" fillId="9" borderId="20" xfId="1" applyNumberFormat="1" applyFont="1" applyFill="1" applyBorder="1"/>
    <xf numFmtId="166" fontId="23" fillId="9" borderId="7" xfId="1" applyNumberFormat="1" applyFont="1" applyFill="1" applyBorder="1" applyAlignment="1">
      <alignment horizontal="left" indent="4"/>
    </xf>
    <xf numFmtId="166" fontId="23" fillId="9" borderId="7" xfId="1" applyNumberFormat="1" applyFont="1" applyFill="1" applyBorder="1"/>
    <xf numFmtId="167" fontId="23" fillId="9" borderId="0" xfId="0" applyNumberFormat="1" applyFont="1" applyFill="1" applyBorder="1" applyAlignment="1">
      <alignment horizontal="left" indent="1"/>
    </xf>
    <xf numFmtId="167" fontId="27" fillId="9" borderId="0" xfId="1" applyNumberFormat="1" applyFont="1" applyFill="1" applyBorder="1" applyAlignment="1">
      <alignment horizontal="left" indent="1"/>
    </xf>
    <xf numFmtId="167" fontId="26" fillId="9" borderId="20" xfId="0" applyNumberFormat="1" applyFont="1" applyFill="1" applyBorder="1" applyAlignment="1">
      <alignment horizontal="left" indent="1"/>
    </xf>
    <xf numFmtId="167" fontId="25" fillId="9" borderId="0" xfId="0" applyNumberFormat="1" applyFont="1" applyFill="1" applyBorder="1" applyAlignment="1">
      <alignment horizontal="center"/>
    </xf>
    <xf numFmtId="167" fontId="25" fillId="9" borderId="20" xfId="0" applyNumberFormat="1" applyFont="1" applyFill="1" applyBorder="1" applyAlignment="1">
      <alignment horizontal="center"/>
    </xf>
    <xf numFmtId="166" fontId="23" fillId="9" borderId="10" xfId="0" applyNumberFormat="1" applyFont="1" applyFill="1" applyBorder="1" applyAlignment="1">
      <alignment horizontal="left" indent="3"/>
    </xf>
    <xf numFmtId="164" fontId="25" fillId="9" borderId="0" xfId="0" applyNumberFormat="1" applyFont="1" applyFill="1" applyBorder="1" applyAlignment="1">
      <alignment horizontal="left" indent="3"/>
    </xf>
    <xf numFmtId="44" fontId="23" fillId="9" borderId="0" xfId="1" applyNumberFormat="1" applyFont="1" applyFill="1" applyBorder="1" applyAlignment="1">
      <alignment horizontal="left" indent="3"/>
    </xf>
    <xf numFmtId="44" fontId="23" fillId="9" borderId="0" xfId="1" applyNumberFormat="1" applyFont="1" applyFill="1" applyBorder="1"/>
    <xf numFmtId="43" fontId="25" fillId="9" borderId="0" xfId="0" applyNumberFormat="1" applyFont="1" applyFill="1" applyBorder="1" applyAlignment="1">
      <alignment horizontal="left" indent="3"/>
    </xf>
    <xf numFmtId="43" fontId="25" fillId="9" borderId="0" xfId="0" applyNumberFormat="1" applyFont="1" applyFill="1" applyBorder="1"/>
    <xf numFmtId="43" fontId="25" fillId="9" borderId="20" xfId="0" applyNumberFormat="1" applyFont="1" applyFill="1" applyBorder="1"/>
    <xf numFmtId="44" fontId="23" fillId="9" borderId="7" xfId="1" applyNumberFormat="1" applyFont="1" applyFill="1" applyBorder="1" applyAlignment="1">
      <alignment horizontal="left" indent="3"/>
    </xf>
    <xf numFmtId="44" fontId="23" fillId="9" borderId="0" xfId="1" applyNumberFormat="1" applyFont="1" applyFill="1" applyBorder="1" applyAlignment="1">
      <alignment horizontal="left"/>
    </xf>
    <xf numFmtId="44" fontId="23" fillId="9" borderId="20" xfId="1" applyNumberFormat="1" applyFont="1" applyFill="1" applyBorder="1"/>
    <xf numFmtId="164" fontId="27" fillId="9" borderId="0" xfId="0" applyNumberFormat="1" applyFont="1" applyFill="1" applyBorder="1" applyAlignment="1">
      <alignment horizontal="left" indent="1"/>
    </xf>
    <xf numFmtId="164" fontId="26" fillId="9" borderId="0" xfId="0" applyNumberFormat="1" applyFont="1" applyFill="1" applyBorder="1" applyAlignment="1">
      <alignment horizontal="left" indent="3"/>
    </xf>
    <xf numFmtId="167" fontId="23" fillId="9" borderId="0" xfId="0" applyNumberFormat="1" applyFont="1" applyFill="1" applyBorder="1" applyAlignment="1">
      <alignment horizontal="left" indent="3"/>
    </xf>
    <xf numFmtId="169" fontId="23" fillId="9" borderId="0" xfId="0" applyNumberFormat="1" applyFont="1" applyFill="1" applyBorder="1" applyAlignment="1">
      <alignment horizontal="left" indent="3"/>
    </xf>
    <xf numFmtId="167" fontId="25" fillId="9" borderId="20" xfId="0" applyNumberFormat="1" applyFont="1" applyFill="1" applyBorder="1"/>
    <xf numFmtId="172" fontId="25" fillId="9" borderId="0" xfId="0" applyNumberFormat="1" applyFont="1" applyFill="1" applyBorder="1" applyAlignment="1">
      <alignment horizontal="left" indent="3"/>
    </xf>
    <xf numFmtId="172" fontId="21" fillId="9" borderId="0" xfId="1" applyNumberFormat="1" applyFont="1" applyFill="1" applyBorder="1"/>
    <xf numFmtId="172" fontId="25" fillId="9" borderId="0" xfId="0" applyNumberFormat="1" applyFont="1" applyFill="1" applyBorder="1"/>
    <xf numFmtId="172" fontId="25" fillId="9" borderId="20" xfId="0" applyNumberFormat="1" applyFont="1" applyFill="1" applyBorder="1"/>
    <xf numFmtId="172" fontId="23" fillId="9" borderId="0" xfId="0" applyNumberFormat="1" applyFont="1" applyFill="1" applyBorder="1" applyAlignment="1">
      <alignment horizontal="left" indent="3"/>
    </xf>
    <xf numFmtId="187" fontId="23" fillId="9" borderId="20" xfId="0" applyNumberFormat="1" applyFont="1" applyFill="1" applyBorder="1"/>
    <xf numFmtId="166" fontId="25" fillId="9" borderId="11" xfId="0" applyNumberFormat="1" applyFont="1" applyFill="1" applyBorder="1" applyAlignment="1">
      <alignment horizontal="left" indent="3"/>
    </xf>
    <xf numFmtId="170" fontId="23" fillId="9" borderId="0" xfId="0" applyNumberFormat="1" applyFont="1" applyFill="1" applyBorder="1" applyAlignment="1">
      <alignment horizontal="left" indent="3"/>
    </xf>
    <xf numFmtId="170" fontId="23" fillId="9" borderId="0" xfId="0" applyNumberFormat="1" applyFont="1" applyFill="1" applyBorder="1"/>
    <xf numFmtId="0" fontId="25" fillId="9" borderId="0" xfId="0" applyNumberFormat="1" applyFont="1" applyFill="1" applyBorder="1" applyAlignment="1">
      <alignment horizontal="left" indent="3"/>
    </xf>
    <xf numFmtId="170" fontId="21" fillId="9" borderId="0" xfId="0" applyNumberFormat="1" applyFont="1" applyFill="1" applyBorder="1"/>
    <xf numFmtId="170" fontId="25" fillId="9" borderId="0" xfId="0" applyNumberFormat="1" applyFont="1" applyFill="1" applyBorder="1" applyAlignment="1">
      <alignment horizontal="left" indent="3"/>
    </xf>
    <xf numFmtId="170" fontId="25" fillId="9" borderId="0" xfId="0" applyNumberFormat="1" applyFont="1" applyFill="1" applyBorder="1"/>
    <xf numFmtId="167" fontId="25" fillId="9" borderId="0" xfId="0" applyNumberFormat="1" applyFont="1" applyFill="1" applyBorder="1" applyAlignment="1">
      <alignment horizontal="left"/>
    </xf>
    <xf numFmtId="187" fontId="21" fillId="9" borderId="0" xfId="1" applyNumberFormat="1" applyFont="1" applyFill="1" applyBorder="1"/>
    <xf numFmtId="188" fontId="21" fillId="9" borderId="0" xfId="1" applyNumberFormat="1" applyFont="1" applyFill="1" applyBorder="1"/>
    <xf numFmtId="164" fontId="23" fillId="9" borderId="0" xfId="0" applyNumberFormat="1" applyFont="1" applyFill="1" applyBorder="1" applyAlignment="1">
      <alignment horizontal="left" indent="3"/>
    </xf>
    <xf numFmtId="164" fontId="25" fillId="9" borderId="0" xfId="0" applyNumberFormat="1" applyFont="1" applyFill="1" applyBorder="1" applyAlignment="1">
      <alignment horizontal="left" indent="2"/>
    </xf>
    <xf numFmtId="167" fontId="23" fillId="9" borderId="20" xfId="0" applyNumberFormat="1" applyFont="1" applyFill="1" applyBorder="1"/>
    <xf numFmtId="167" fontId="28" fillId="9" borderId="0" xfId="0" applyNumberFormat="1" applyFont="1" applyFill="1" applyBorder="1" applyAlignment="1">
      <alignment horizontal="left" indent="3"/>
    </xf>
    <xf numFmtId="167" fontId="28" fillId="9" borderId="0" xfId="0" applyNumberFormat="1" applyFont="1" applyFill="1" applyBorder="1"/>
    <xf numFmtId="166" fontId="23" fillId="9" borderId="19" xfId="0" applyNumberFormat="1" applyFont="1" applyFill="1" applyBorder="1" applyAlignment="1">
      <alignment horizontal="left" indent="3"/>
    </xf>
    <xf numFmtId="166" fontId="24" fillId="9" borderId="0" xfId="6" applyNumberFormat="1" applyFont="1" applyFill="1" applyBorder="1"/>
    <xf numFmtId="166" fontId="21" fillId="9" borderId="0" xfId="6" applyNumberFormat="1" applyFont="1" applyFill="1" applyBorder="1"/>
    <xf numFmtId="0" fontId="23" fillId="9" borderId="0" xfId="0" applyNumberFormat="1" applyFont="1" applyFill="1" applyBorder="1"/>
    <xf numFmtId="0" fontId="23" fillId="9" borderId="20" xfId="0" applyNumberFormat="1" applyFont="1" applyFill="1" applyBorder="1"/>
    <xf numFmtId="164" fontId="21" fillId="9" borderId="1" xfId="6" applyNumberFormat="1" applyFont="1" applyFill="1" applyBorder="1" applyAlignment="1">
      <alignment horizontal="left" indent="1"/>
    </xf>
    <xf numFmtId="1" fontId="5" fillId="6" borderId="0" xfId="0" applyNumberFormat="1" applyFont="1" applyFill="1" applyBorder="1" applyAlignment="1">
      <alignment horizontal="center"/>
    </xf>
    <xf numFmtId="17" fontId="0" fillId="6" borderId="0" xfId="0" applyNumberFormat="1" applyFont="1" applyFill="1" applyBorder="1" applyAlignment="1">
      <alignment horizontal="center"/>
    </xf>
    <xf numFmtId="0" fontId="5" fillId="6" borderId="0" xfId="0" applyNumberFormat="1" applyFont="1" applyFill="1" applyBorder="1" applyAlignment="1">
      <alignment horizontal="center"/>
    </xf>
    <xf numFmtId="166" fontId="23" fillId="6" borderId="7" xfId="1" applyNumberFormat="1" applyFont="1" applyFill="1" applyBorder="1"/>
    <xf numFmtId="167" fontId="25" fillId="6" borderId="0" xfId="0" applyNumberFormat="1" applyFont="1" applyFill="1" applyBorder="1" applyAlignment="1">
      <alignment horizontal="center"/>
    </xf>
    <xf numFmtId="43" fontId="25" fillId="6" borderId="0" xfId="0" applyNumberFormat="1" applyFont="1" applyFill="1" applyBorder="1"/>
    <xf numFmtId="44" fontId="23" fillId="6" borderId="0" xfId="1" applyNumberFormat="1" applyFont="1" applyFill="1" applyBorder="1"/>
    <xf numFmtId="167" fontId="25" fillId="6" borderId="0" xfId="0" applyNumberFormat="1" applyFont="1" applyFill="1" applyBorder="1"/>
    <xf numFmtId="172" fontId="25" fillId="6" borderId="0" xfId="0" applyNumberFormat="1" applyFont="1" applyFill="1" applyBorder="1"/>
    <xf numFmtId="0" fontId="25" fillId="6" borderId="0" xfId="0" applyNumberFormat="1" applyFont="1" applyFill="1" applyBorder="1"/>
    <xf numFmtId="167" fontId="28" fillId="6" borderId="0" xfId="0" applyNumberFormat="1" applyFont="1" applyFill="1" applyBorder="1"/>
    <xf numFmtId="17" fontId="1" fillId="6" borderId="0" xfId="0" applyNumberFormat="1" applyFont="1" applyFill="1" applyBorder="1" applyAlignment="1">
      <alignment horizontal="center"/>
    </xf>
    <xf numFmtId="0" fontId="2" fillId="6" borderId="0" xfId="0" applyNumberFormat="1" applyFont="1" applyFill="1" applyBorder="1" applyAlignment="1">
      <alignment horizontal="center"/>
    </xf>
    <xf numFmtId="1" fontId="23" fillId="6" borderId="0" xfId="0" applyNumberFormat="1" applyFont="1" applyFill="1" applyBorder="1" applyAlignment="1">
      <alignment horizontal="center"/>
    </xf>
    <xf numFmtId="17" fontId="21" fillId="6" borderId="0" xfId="0" applyNumberFormat="1" applyFont="1" applyFill="1" applyBorder="1" applyAlignment="1">
      <alignment horizontal="center"/>
    </xf>
    <xf numFmtId="0" fontId="24" fillId="6" borderId="0" xfId="0" applyNumberFormat="1" applyFont="1" applyFill="1" applyBorder="1" applyAlignment="1">
      <alignment horizontal="center"/>
    </xf>
    <xf numFmtId="166" fontId="27" fillId="6" borderId="0" xfId="0" applyNumberFormat="1" applyFont="1" applyFill="1" applyBorder="1"/>
    <xf numFmtId="17" fontId="28" fillId="6" borderId="0" xfId="8" applyNumberFormat="1" applyFont="1" applyFill="1" applyBorder="1" applyAlignment="1">
      <alignment horizontal="center"/>
    </xf>
    <xf numFmtId="164" fontId="23" fillId="6" borderId="0" xfId="8" applyNumberFormat="1" applyFont="1" applyFill="1" applyBorder="1" applyAlignment="1">
      <alignment horizontal="center"/>
    </xf>
    <xf numFmtId="17" fontId="29" fillId="6" borderId="0" xfId="8" applyNumberFormat="1" applyFont="1" applyFill="1" applyBorder="1" applyAlignment="1">
      <alignment horizontal="center"/>
    </xf>
    <xf numFmtId="164" fontId="24" fillId="6" borderId="0" xfId="8" applyNumberFormat="1" applyFont="1" applyFill="1" applyBorder="1" applyAlignment="1">
      <alignment horizontal="center"/>
    </xf>
    <xf numFmtId="166" fontId="0" fillId="9" borderId="7" xfId="0" applyNumberFormat="1" applyFont="1" applyFill="1" applyBorder="1" applyAlignment="1">
      <alignment horizontal="left" indent="2"/>
    </xf>
    <xf numFmtId="166" fontId="0" fillId="9" borderId="0" xfId="0" applyNumberFormat="1" applyFont="1" applyFill="1" applyBorder="1" applyAlignment="1">
      <alignment horizontal="left" indent="4"/>
    </xf>
    <xf numFmtId="166" fontId="25" fillId="9" borderId="7" xfId="0" applyNumberFormat="1" applyFont="1" applyFill="1" applyBorder="1" applyAlignment="1">
      <alignment horizontal="left" indent="3"/>
    </xf>
    <xf numFmtId="166" fontId="0" fillId="9" borderId="7" xfId="0" applyNumberFormat="1" applyFont="1" applyFill="1" applyBorder="1" applyAlignment="1">
      <alignment horizontal="left" indent="4"/>
    </xf>
    <xf numFmtId="166" fontId="0" fillId="9" borderId="0" xfId="0" applyNumberFormat="1" applyFont="1" applyFill="1" applyBorder="1" applyAlignment="1">
      <alignment horizontal="left" indent="5"/>
    </xf>
    <xf numFmtId="166" fontId="25" fillId="9" borderId="10" xfId="0" applyNumberFormat="1" applyFont="1" applyFill="1" applyBorder="1" applyAlignment="1">
      <alignment horizontal="left" indent="3"/>
    </xf>
    <xf numFmtId="166" fontId="25" fillId="9" borderId="7" xfId="0" applyNumberFormat="1" applyFont="1" applyFill="1" applyBorder="1" applyAlignment="1">
      <alignment horizontal="left" indent="4"/>
    </xf>
    <xf numFmtId="166" fontId="25" fillId="9" borderId="0" xfId="0" applyNumberFormat="1" applyFont="1" applyFill="1" applyBorder="1" applyAlignment="1">
      <alignment horizontal="left" indent="5"/>
    </xf>
    <xf numFmtId="166" fontId="5" fillId="9" borderId="2" xfId="0" applyNumberFormat="1" applyFont="1" applyFill="1" applyBorder="1" applyAlignment="1">
      <alignment horizontal="left" indent="1"/>
    </xf>
    <xf numFmtId="166" fontId="24" fillId="9" borderId="2" xfId="1" applyNumberFormat="1" applyFont="1" applyFill="1" applyBorder="1"/>
    <xf numFmtId="166" fontId="23" fillId="6" borderId="2" xfId="0" applyNumberFormat="1" applyFont="1" applyFill="1" applyBorder="1" applyAlignment="1">
      <alignment horizontal="right"/>
    </xf>
    <xf numFmtId="166" fontId="23" fillId="9" borderId="2" xfId="0" applyNumberFormat="1" applyFont="1" applyFill="1" applyBorder="1" applyAlignment="1">
      <alignment horizontal="right"/>
    </xf>
    <xf numFmtId="166" fontId="5" fillId="6" borderId="2" xfId="0" applyNumberFormat="1" applyFont="1" applyFill="1" applyBorder="1" applyAlignment="1">
      <alignment horizontal="right"/>
    </xf>
    <xf numFmtId="166" fontId="12" fillId="9" borderId="2" xfId="0" applyNumberFormat="1" applyFont="1" applyFill="1" applyBorder="1" applyAlignment="1">
      <alignment horizontal="right"/>
    </xf>
    <xf numFmtId="166" fontId="12" fillId="6" borderId="2" xfId="0" applyNumberFormat="1" applyFont="1" applyFill="1" applyBorder="1" applyAlignment="1">
      <alignment horizontal="right"/>
    </xf>
    <xf numFmtId="1" fontId="5" fillId="9" borderId="20" xfId="0" applyNumberFormat="1" applyFont="1" applyFill="1" applyBorder="1" applyAlignment="1">
      <alignment horizontal="center"/>
    </xf>
    <xf numFmtId="167" fontId="0" fillId="9" borderId="20" xfId="0" applyNumberFormat="1" applyFont="1" applyFill="1" applyBorder="1" applyAlignment="1">
      <alignment horizontal="right"/>
    </xf>
    <xf numFmtId="167" fontId="0" fillId="9" borderId="36" xfId="0" applyNumberFormat="1" applyFont="1" applyFill="1" applyBorder="1" applyAlignment="1">
      <alignment horizontal="right"/>
    </xf>
    <xf numFmtId="167" fontId="0" fillId="9" borderId="30" xfId="0" applyNumberFormat="1" applyFont="1" applyFill="1" applyBorder="1" applyAlignment="1">
      <alignment horizontal="right"/>
    </xf>
    <xf numFmtId="167" fontId="5" fillId="9" borderId="36" xfId="0" applyNumberFormat="1" applyFont="1" applyFill="1" applyBorder="1" applyAlignment="1">
      <alignment horizontal="right"/>
    </xf>
    <xf numFmtId="166" fontId="5" fillId="9" borderId="36" xfId="0" applyNumberFormat="1" applyFont="1" applyFill="1" applyBorder="1" applyAlignment="1">
      <alignment horizontal="right"/>
    </xf>
    <xf numFmtId="167" fontId="19" fillId="9" borderId="30" xfId="0" applyNumberFormat="1" applyFont="1" applyFill="1" applyBorder="1" applyAlignment="1">
      <alignment horizontal="right"/>
    </xf>
    <xf numFmtId="169" fontId="0" fillId="9" borderId="20" xfId="0" applyNumberFormat="1" applyFont="1" applyFill="1" applyBorder="1" applyAlignment="1">
      <alignment horizontal="right"/>
    </xf>
    <xf numFmtId="166" fontId="5" fillId="9" borderId="36" xfId="0" applyNumberFormat="1" applyFont="1" applyFill="1" applyBorder="1"/>
    <xf numFmtId="166" fontId="5" fillId="9" borderId="20" xfId="0" applyNumberFormat="1" applyFont="1" applyFill="1" applyBorder="1"/>
    <xf numFmtId="167" fontId="5" fillId="9" borderId="20" xfId="0" applyNumberFormat="1" applyFont="1" applyFill="1" applyBorder="1" applyAlignment="1">
      <alignment horizontal="right"/>
    </xf>
    <xf numFmtId="166" fontId="5" fillId="9" borderId="37" xfId="0" applyNumberFormat="1" applyFont="1" applyFill="1" applyBorder="1"/>
    <xf numFmtId="167" fontId="5" fillId="9" borderId="20" xfId="0" applyNumberFormat="1" applyFont="1" applyFill="1" applyBorder="1"/>
    <xf numFmtId="169" fontId="5" fillId="9" borderId="20" xfId="1" applyNumberFormat="1" applyFont="1" applyFill="1" applyBorder="1"/>
    <xf numFmtId="166" fontId="0" fillId="9" borderId="26" xfId="0" applyNumberFormat="1" applyFont="1" applyFill="1" applyBorder="1"/>
    <xf numFmtId="187" fontId="5" fillId="9" borderId="20" xfId="0" applyNumberFormat="1" applyFont="1" applyFill="1" applyBorder="1" applyAlignment="1">
      <alignment horizontal="right"/>
    </xf>
    <xf numFmtId="170" fontId="25" fillId="9" borderId="20" xfId="0" applyNumberFormat="1" applyFont="1" applyFill="1" applyBorder="1" applyAlignment="1">
      <alignment horizontal="right"/>
    </xf>
    <xf numFmtId="187" fontId="0" fillId="9" borderId="20" xfId="0" applyNumberFormat="1" applyFont="1" applyFill="1" applyBorder="1" applyAlignment="1">
      <alignment horizontal="right"/>
    </xf>
    <xf numFmtId="188" fontId="0" fillId="9" borderId="20" xfId="0" applyNumberFormat="1" applyFont="1" applyFill="1" applyBorder="1" applyAlignment="1">
      <alignment horizontal="right"/>
    </xf>
    <xf numFmtId="167" fontId="38" fillId="9" borderId="20" xfId="0" applyNumberFormat="1" applyFont="1" applyFill="1" applyBorder="1"/>
    <xf numFmtId="166" fontId="5" fillId="9" borderId="27" xfId="0" applyNumberFormat="1" applyFont="1" applyFill="1" applyBorder="1" applyAlignment="1">
      <alignment horizontal="right"/>
    </xf>
    <xf numFmtId="166" fontId="0" fillId="9" borderId="20" xfId="0" applyNumberFormat="1" applyFont="1" applyFill="1" applyBorder="1" applyAlignment="1">
      <alignment horizontal="left" indent="1"/>
    </xf>
    <xf numFmtId="167" fontId="32" fillId="9" borderId="10" xfId="0" applyNumberFormat="1" applyFont="1" applyFill="1" applyBorder="1" applyAlignment="1">
      <alignment horizontal="right"/>
    </xf>
    <xf numFmtId="167" fontId="0" fillId="9" borderId="37" xfId="0" applyNumberFormat="1" applyFont="1" applyFill="1" applyBorder="1" applyAlignment="1">
      <alignment horizontal="right"/>
    </xf>
    <xf numFmtId="44" fontId="5" fillId="9" borderId="36" xfId="1" applyNumberFormat="1" applyFont="1" applyFill="1" applyBorder="1"/>
    <xf numFmtId="179" fontId="25" fillId="9" borderId="30" xfId="0" applyNumberFormat="1" applyFont="1" applyFill="1" applyBorder="1" applyAlignment="1">
      <alignment horizontal="right"/>
    </xf>
    <xf numFmtId="165" fontId="25" fillId="9" borderId="20" xfId="0" applyNumberFormat="1" applyFont="1" applyFill="1" applyBorder="1" applyAlignment="1">
      <alignment horizontal="right"/>
    </xf>
    <xf numFmtId="165" fontId="25" fillId="9" borderId="30" xfId="0" applyNumberFormat="1" applyFont="1" applyFill="1" applyBorder="1" applyAlignment="1">
      <alignment horizontal="right"/>
    </xf>
    <xf numFmtId="165" fontId="23" fillId="9" borderId="20" xfId="0" applyNumberFormat="1" applyFont="1" applyFill="1" applyBorder="1" applyAlignment="1">
      <alignment horizontal="right"/>
    </xf>
    <xf numFmtId="166" fontId="0" fillId="9" borderId="2" xfId="0" applyNumberFormat="1" applyFont="1" applyFill="1" applyBorder="1" applyAlignment="1">
      <alignment horizontal="left" indent="4"/>
    </xf>
    <xf numFmtId="191" fontId="14" fillId="5" borderId="0" xfId="7" applyNumberFormat="1" applyFont="1" applyFill="1" applyBorder="1"/>
    <xf numFmtId="191" fontId="25" fillId="9" borderId="0" xfId="0" applyNumberFormat="1" applyFont="1" applyFill="1" applyBorder="1"/>
    <xf numFmtId="44" fontId="23" fillId="9" borderId="7" xfId="1" applyNumberFormat="1" applyFont="1" applyFill="1" applyBorder="1"/>
    <xf numFmtId="44" fontId="23" fillId="6" borderId="7" xfId="1" applyNumberFormat="1" applyFont="1" applyFill="1" applyBorder="1"/>
    <xf numFmtId="166" fontId="0" fillId="9" borderId="0" xfId="0" applyNumberFormat="1" applyFill="1" applyAlignment="1">
      <alignment horizontal="left" indent="1"/>
    </xf>
    <xf numFmtId="166" fontId="21" fillId="9" borderId="0" xfId="1" applyNumberFormat="1" applyFont="1" applyFill="1"/>
    <xf numFmtId="166" fontId="25" fillId="6" borderId="0" xfId="0" applyNumberFormat="1" applyFont="1" applyFill="1" applyAlignment="1">
      <alignment horizontal="right"/>
    </xf>
    <xf numFmtId="166" fontId="25" fillId="9" borderId="0" xfId="0" applyNumberFormat="1" applyFont="1" applyFill="1" applyAlignment="1">
      <alignment horizontal="right"/>
    </xf>
    <xf numFmtId="166" fontId="0" fillId="9" borderId="0" xfId="0" applyNumberFormat="1" applyFill="1"/>
    <xf numFmtId="166" fontId="0" fillId="0" borderId="0" xfId="0" applyNumberFormat="1"/>
    <xf numFmtId="166" fontId="0" fillId="9" borderId="2" xfId="0" applyNumberFormat="1" applyFill="1" applyBorder="1" applyAlignment="1">
      <alignment horizontal="left" indent="1"/>
    </xf>
    <xf numFmtId="166" fontId="5" fillId="9" borderId="0" xfId="0" applyNumberFormat="1" applyFont="1" applyFill="1" applyAlignment="1">
      <alignment horizontal="left"/>
    </xf>
    <xf numFmtId="166" fontId="24" fillId="9" borderId="0" xfId="1" applyNumberFormat="1" applyFont="1" applyFill="1"/>
    <xf numFmtId="166" fontId="23" fillId="6" borderId="0" xfId="0" applyNumberFormat="1" applyFont="1" applyFill="1" applyAlignment="1">
      <alignment horizontal="right"/>
    </xf>
    <xf numFmtId="166" fontId="23" fillId="9" borderId="0" xfId="0" applyNumberFormat="1" applyFont="1" applyFill="1" applyAlignment="1">
      <alignment horizontal="right"/>
    </xf>
    <xf numFmtId="166" fontId="5" fillId="9" borderId="0" xfId="0" applyNumberFormat="1" applyFont="1" applyFill="1"/>
    <xf numFmtId="166" fontId="5" fillId="0" borderId="0" xfId="0" applyNumberFormat="1" applyFont="1"/>
    <xf numFmtId="167" fontId="26" fillId="9" borderId="0" xfId="0" applyNumberFormat="1" applyFont="1" applyFill="1" applyBorder="1" applyAlignment="1">
      <alignment horizontal="left"/>
    </xf>
    <xf numFmtId="166" fontId="23" fillId="9" borderId="0" xfId="0" applyNumberFormat="1" applyFont="1" applyFill="1" applyAlignment="1">
      <alignment horizontal="left"/>
    </xf>
    <xf numFmtId="166" fontId="5" fillId="9" borderId="2" xfId="0" applyNumberFormat="1" applyFont="1" applyFill="1" applyBorder="1" applyAlignment="1">
      <alignment horizontal="right"/>
    </xf>
    <xf numFmtId="166" fontId="31" fillId="9" borderId="2" xfId="0" applyNumberFormat="1" applyFont="1" applyFill="1" applyBorder="1" applyAlignment="1">
      <alignment horizontal="right"/>
    </xf>
    <xf numFmtId="166" fontId="0" fillId="9" borderId="0" xfId="0" applyNumberFormat="1" applyFill="1" applyBorder="1" applyAlignment="1">
      <alignment horizontal="right"/>
    </xf>
    <xf numFmtId="166" fontId="0" fillId="9" borderId="2" xfId="0" applyNumberFormat="1" applyFill="1" applyBorder="1" applyAlignment="1">
      <alignment horizontal="right"/>
    </xf>
    <xf numFmtId="179" fontId="32" fillId="9" borderId="0" xfId="0" applyNumberFormat="1" applyFont="1" applyFill="1" applyBorder="1" applyAlignment="1">
      <alignment horizontal="right"/>
    </xf>
    <xf numFmtId="179" fontId="0" fillId="9" borderId="2" xfId="0" applyNumberFormat="1" applyFont="1" applyFill="1" applyBorder="1" applyAlignment="1">
      <alignment horizontal="right"/>
    </xf>
    <xf numFmtId="179" fontId="32" fillId="9" borderId="2" xfId="0" applyNumberFormat="1" applyFont="1" applyFill="1" applyBorder="1" applyAlignment="1">
      <alignment horizontal="right"/>
    </xf>
    <xf numFmtId="179" fontId="5" fillId="9" borderId="0" xfId="0" applyNumberFormat="1" applyFont="1" applyFill="1" applyBorder="1" applyAlignment="1">
      <alignment horizontal="right"/>
    </xf>
    <xf numFmtId="179" fontId="31" fillId="9" borderId="0" xfId="0" applyNumberFormat="1" applyFont="1" applyFill="1" applyBorder="1" applyAlignment="1">
      <alignment horizontal="right"/>
    </xf>
    <xf numFmtId="165" fontId="0" fillId="9" borderId="0" xfId="0" applyNumberFormat="1" applyFont="1" applyFill="1" applyBorder="1" applyAlignment="1">
      <alignment horizontal="right"/>
    </xf>
    <xf numFmtId="165" fontId="32" fillId="9" borderId="0" xfId="0" applyNumberFormat="1" applyFont="1" applyFill="1" applyBorder="1" applyAlignment="1">
      <alignment horizontal="right"/>
    </xf>
    <xf numFmtId="165" fontId="0" fillId="9" borderId="2" xfId="0" applyNumberFormat="1" applyFont="1" applyFill="1" applyBorder="1" applyAlignment="1">
      <alignment horizontal="right"/>
    </xf>
    <xf numFmtId="165" fontId="32" fillId="9" borderId="2" xfId="0" applyNumberFormat="1" applyFont="1" applyFill="1" applyBorder="1" applyAlignment="1">
      <alignment horizontal="right"/>
    </xf>
    <xf numFmtId="165" fontId="5" fillId="9" borderId="0" xfId="0" applyNumberFormat="1" applyFont="1" applyFill="1" applyBorder="1" applyAlignment="1">
      <alignment horizontal="right"/>
    </xf>
    <xf numFmtId="165" fontId="31" fillId="9" borderId="0" xfId="0" applyNumberFormat="1" applyFont="1" applyFill="1" applyBorder="1" applyAlignment="1">
      <alignment horizontal="right"/>
    </xf>
    <xf numFmtId="165" fontId="32" fillId="9" borderId="0" xfId="1" applyNumberFormat="1" applyFont="1" applyFill="1" applyBorder="1"/>
    <xf numFmtId="44" fontId="31" fillId="9" borderId="0" xfId="1" applyNumberFormat="1" applyFont="1" applyFill="1" applyBorder="1"/>
    <xf numFmtId="43" fontId="32" fillId="9" borderId="0" xfId="0" applyNumberFormat="1" applyFont="1" applyFill="1" applyBorder="1"/>
    <xf numFmtId="169" fontId="31" fillId="9" borderId="0" xfId="0" applyNumberFormat="1" applyFont="1" applyFill="1" applyBorder="1"/>
    <xf numFmtId="172" fontId="32" fillId="9" borderId="0" xfId="0" applyNumberFormat="1" applyFont="1" applyFill="1" applyBorder="1"/>
    <xf numFmtId="179" fontId="0" fillId="6" borderId="0" xfId="0" applyNumberFormat="1" applyFont="1" applyFill="1" applyBorder="1" applyAlignment="1">
      <alignment horizontal="right"/>
    </xf>
    <xf numFmtId="165" fontId="0" fillId="6" borderId="0" xfId="1" applyNumberFormat="1" applyFont="1" applyFill="1" applyBorder="1"/>
    <xf numFmtId="43" fontId="0" fillId="6" borderId="0" xfId="0" applyNumberFormat="1" applyFont="1" applyFill="1" applyBorder="1"/>
    <xf numFmtId="169" fontId="5" fillId="6" borderId="0" xfId="0" applyNumberFormat="1" applyFont="1" applyFill="1" applyBorder="1"/>
    <xf numFmtId="179" fontId="0" fillId="6" borderId="2" xfId="0" applyNumberFormat="1" applyFont="1" applyFill="1" applyBorder="1" applyAlignment="1">
      <alignment horizontal="right"/>
    </xf>
    <xf numFmtId="179" fontId="5" fillId="6" borderId="0" xfId="0" applyNumberFormat="1" applyFont="1" applyFill="1" applyBorder="1" applyAlignment="1">
      <alignment horizontal="right"/>
    </xf>
    <xf numFmtId="165" fontId="0" fillId="6" borderId="0" xfId="0" applyNumberFormat="1" applyFont="1" applyFill="1" applyBorder="1" applyAlignment="1">
      <alignment horizontal="right"/>
    </xf>
    <xf numFmtId="165" fontId="0" fillId="6" borderId="2" xfId="0" applyNumberFormat="1" applyFont="1" applyFill="1" applyBorder="1" applyAlignment="1">
      <alignment horizontal="right"/>
    </xf>
    <xf numFmtId="165" fontId="5" fillId="6" borderId="0" xfId="0" applyNumberFormat="1" applyFont="1" applyFill="1" applyBorder="1" applyAlignment="1">
      <alignment horizontal="right"/>
    </xf>
    <xf numFmtId="179" fontId="0" fillId="6" borderId="0" xfId="1" applyNumberFormat="1" applyFont="1" applyFill="1" applyBorder="1"/>
    <xf numFmtId="166" fontId="0" fillId="6" borderId="2" xfId="0" applyNumberFormat="1" applyFont="1" applyFill="1" applyBorder="1" applyAlignment="1">
      <alignment horizontal="left" indent="1"/>
    </xf>
    <xf numFmtId="166" fontId="5" fillId="9" borderId="30" xfId="0" applyNumberFormat="1" applyFont="1" applyFill="1" applyBorder="1" applyAlignment="1">
      <alignment horizontal="right"/>
    </xf>
    <xf numFmtId="166" fontId="0" fillId="9" borderId="20" xfId="0" applyNumberFormat="1" applyFill="1" applyBorder="1" applyAlignment="1">
      <alignment horizontal="right"/>
    </xf>
    <xf numFmtId="166" fontId="0" fillId="9" borderId="30" xfId="0" applyNumberFormat="1" applyFill="1" applyBorder="1" applyAlignment="1">
      <alignment horizontal="right"/>
    </xf>
    <xf numFmtId="44" fontId="25" fillId="9" borderId="20" xfId="0" applyNumberFormat="1" applyFont="1" applyFill="1" applyBorder="1" applyAlignment="1">
      <alignment horizontal="right"/>
    </xf>
    <xf numFmtId="166" fontId="25" fillId="9" borderId="30" xfId="0" applyNumberFormat="1" applyFont="1" applyFill="1" applyBorder="1" applyAlignment="1">
      <alignment horizontal="left" indent="1"/>
    </xf>
    <xf numFmtId="166" fontId="0" fillId="9" borderId="20" xfId="1" applyNumberFormat="1" applyFont="1" applyFill="1" applyBorder="1"/>
    <xf numFmtId="166" fontId="0" fillId="9" borderId="30" xfId="0" applyNumberFormat="1" applyFont="1" applyFill="1" applyBorder="1"/>
    <xf numFmtId="44" fontId="5" fillId="9" borderId="20" xfId="1" applyNumberFormat="1" applyFont="1" applyFill="1" applyBorder="1"/>
    <xf numFmtId="43" fontId="0" fillId="9" borderId="20" xfId="0" applyNumberFormat="1" applyFont="1" applyFill="1" applyBorder="1"/>
    <xf numFmtId="169" fontId="5" fillId="9" borderId="20" xfId="0" applyNumberFormat="1" applyFont="1" applyFill="1" applyBorder="1"/>
    <xf numFmtId="172" fontId="0" fillId="9" borderId="20" xfId="0" applyNumberFormat="1" applyFont="1" applyFill="1" applyBorder="1"/>
    <xf numFmtId="164" fontId="25" fillId="9" borderId="0" xfId="0" applyNumberFormat="1" applyFont="1" applyFill="1" applyBorder="1" applyAlignment="1">
      <alignment horizontal="right"/>
    </xf>
    <xf numFmtId="164" fontId="22" fillId="10" borderId="0" xfId="0" applyNumberFormat="1" applyFont="1" applyFill="1" applyBorder="1"/>
    <xf numFmtId="164" fontId="25" fillId="9" borderId="0" xfId="0" applyNumberFormat="1" applyFont="1" applyFill="1" applyBorder="1"/>
    <xf numFmtId="164" fontId="25" fillId="9" borderId="20" xfId="0" applyNumberFormat="1" applyFont="1" applyFill="1" applyBorder="1"/>
    <xf numFmtId="164" fontId="34" fillId="10" borderId="0" xfId="0" applyNumberFormat="1" applyFont="1" applyFill="1" applyBorder="1"/>
    <xf numFmtId="164" fontId="34" fillId="10" borderId="20" xfId="0" applyNumberFormat="1" applyFont="1" applyFill="1" applyBorder="1"/>
    <xf numFmtId="164" fontId="23" fillId="9" borderId="0" xfId="8" applyNumberFormat="1" applyFont="1" applyFill="1" applyBorder="1"/>
    <xf numFmtId="164" fontId="35" fillId="10" borderId="0" xfId="8" applyNumberFormat="1" applyFont="1" applyFill="1" applyBorder="1"/>
    <xf numFmtId="164" fontId="25" fillId="9" borderId="0" xfId="8" applyNumberFormat="1" applyFont="1" applyFill="1" applyBorder="1"/>
    <xf numFmtId="164" fontId="25" fillId="6" borderId="0" xfId="0" applyNumberFormat="1" applyFont="1" applyFill="1" applyBorder="1" applyAlignment="1">
      <alignment horizontal="right"/>
    </xf>
    <xf numFmtId="164" fontId="25" fillId="9" borderId="0" xfId="0" applyNumberFormat="1" applyFont="1" applyFill="1" applyBorder="1" applyAlignment="1">
      <alignment horizontal="right"/>
    </xf>
    <xf numFmtId="164" fontId="0" fillId="9" borderId="0" xfId="0" applyNumberFormat="1" applyFont="1" applyFill="1" applyBorder="1" applyAlignment="1">
      <alignment horizontal="right"/>
    </xf>
    <xf numFmtId="164" fontId="32" fillId="9" borderId="0" xfId="0" applyNumberFormat="1" applyFont="1" applyFill="1" applyBorder="1" applyAlignment="1">
      <alignment horizontal="right"/>
    </xf>
    <xf numFmtId="164" fontId="0" fillId="6" borderId="0" xfId="0" applyNumberFormat="1" applyFont="1" applyFill="1" applyBorder="1" applyAlignment="1">
      <alignment horizontal="right"/>
    </xf>
    <xf numFmtId="164" fontId="0" fillId="9" borderId="20" xfId="0" applyNumberFormat="1" applyFont="1" applyFill="1" applyBorder="1" applyAlignment="1">
      <alignment horizontal="right"/>
    </xf>
    <xf numFmtId="164" fontId="23" fillId="6" borderId="7" xfId="0" applyNumberFormat="1" applyFont="1" applyFill="1" applyBorder="1" applyAlignment="1">
      <alignment horizontal="right"/>
    </xf>
    <xf numFmtId="164" fontId="23" fillId="9" borderId="7" xfId="0" applyNumberFormat="1" applyFont="1" applyFill="1" applyBorder="1" applyAlignment="1">
      <alignment horizontal="right"/>
    </xf>
    <xf numFmtId="164" fontId="5" fillId="9" borderId="7" xfId="0" applyNumberFormat="1" applyFont="1" applyFill="1" applyBorder="1" applyAlignment="1">
      <alignment horizontal="right"/>
    </xf>
    <xf numFmtId="164" fontId="31" fillId="9" borderId="7" xfId="0" applyNumberFormat="1" applyFont="1" applyFill="1" applyBorder="1" applyAlignment="1">
      <alignment horizontal="right"/>
    </xf>
    <xf numFmtId="164" fontId="5" fillId="6" borderId="7" xfId="0" applyNumberFormat="1" applyFont="1" applyFill="1" applyBorder="1" applyAlignment="1">
      <alignment horizontal="right"/>
    </xf>
    <xf numFmtId="164" fontId="5" fillId="9" borderId="36" xfId="0" applyNumberFormat="1" applyFont="1" applyFill="1" applyBorder="1" applyAlignment="1">
      <alignment horizontal="right"/>
    </xf>
    <xf numFmtId="164" fontId="25" fillId="9" borderId="20" xfId="0" applyNumberFormat="1" applyFont="1" applyFill="1" applyBorder="1" applyAlignment="1">
      <alignment horizontal="right"/>
    </xf>
    <xf numFmtId="164" fontId="23" fillId="6" borderId="0" xfId="0" applyNumberFormat="1" applyFont="1" applyFill="1" applyBorder="1" applyAlignment="1">
      <alignment horizontal="right"/>
    </xf>
    <xf numFmtId="164" fontId="23" fillId="9" borderId="0" xfId="0" applyNumberFormat="1" applyFont="1" applyFill="1" applyBorder="1" applyAlignment="1">
      <alignment horizontal="right"/>
    </xf>
    <xf numFmtId="164" fontId="23" fillId="9" borderId="20" xfId="0" applyNumberFormat="1" applyFont="1" applyFill="1" applyBorder="1" applyAlignment="1">
      <alignment horizontal="right"/>
    </xf>
    <xf numFmtId="164" fontId="5" fillId="6" borderId="0" xfId="0" applyNumberFormat="1" applyFont="1" applyFill="1" applyBorder="1" applyAlignment="1">
      <alignment horizontal="right"/>
    </xf>
    <xf numFmtId="164" fontId="5" fillId="9" borderId="0" xfId="0" applyNumberFormat="1" applyFont="1" applyFill="1" applyBorder="1" applyAlignment="1">
      <alignment horizontal="right"/>
    </xf>
    <xf numFmtId="164" fontId="31" fillId="9" borderId="0" xfId="0" applyNumberFormat="1" applyFont="1" applyFill="1" applyBorder="1" applyAlignment="1">
      <alignment horizontal="right"/>
    </xf>
    <xf numFmtId="164" fontId="5" fillId="9" borderId="20" xfId="0" applyNumberFormat="1" applyFont="1" applyFill="1" applyBorder="1" applyAlignment="1">
      <alignment horizontal="right"/>
    </xf>
    <xf numFmtId="164" fontId="7" fillId="9" borderId="0" xfId="0" applyNumberFormat="1" applyFont="1" applyFill="1" applyBorder="1" applyAlignment="1">
      <alignment horizontal="right"/>
    </xf>
    <xf numFmtId="164" fontId="7" fillId="6" borderId="0" xfId="0" applyNumberFormat="1" applyFont="1" applyFill="1" applyBorder="1" applyAlignment="1">
      <alignment horizontal="right"/>
    </xf>
    <xf numFmtId="164" fontId="22" fillId="10" borderId="0" xfId="0" applyNumberFormat="1" applyFont="1" applyFill="1" applyBorder="1"/>
    <xf numFmtId="164" fontId="22" fillId="10" borderId="20" xfId="0" applyNumberFormat="1" applyFont="1" applyFill="1" applyBorder="1"/>
    <xf numFmtId="164" fontId="45" fillId="10" borderId="0" xfId="0" applyNumberFormat="1" applyFont="1" applyFill="1" applyBorder="1"/>
    <xf numFmtId="164" fontId="45" fillId="10" borderId="20" xfId="0" applyNumberFormat="1" applyFont="1" applyFill="1" applyBorder="1"/>
    <xf numFmtId="164" fontId="25" fillId="6" borderId="0" xfId="0" applyNumberFormat="1" applyFont="1" applyFill="1" applyBorder="1"/>
    <xf numFmtId="164" fontId="25" fillId="9" borderId="0" xfId="0" applyNumberFormat="1" applyFont="1" applyFill="1" applyBorder="1"/>
    <xf numFmtId="164" fontId="25" fillId="9" borderId="20" xfId="0" applyNumberFormat="1" applyFont="1" applyFill="1" applyBorder="1"/>
    <xf numFmtId="164" fontId="26" fillId="6" borderId="0" xfId="0" applyNumberFormat="1" applyFont="1" applyFill="1" applyBorder="1"/>
    <xf numFmtId="164" fontId="26" fillId="9" borderId="0" xfId="0" applyNumberFormat="1" applyFont="1" applyFill="1" applyBorder="1"/>
    <xf numFmtId="164" fontId="26" fillId="9" borderId="20" xfId="0" applyNumberFormat="1" applyFont="1" applyFill="1" applyBorder="1"/>
    <xf numFmtId="164" fontId="23" fillId="6" borderId="0" xfId="0" applyNumberFormat="1" applyFont="1" applyFill="1" applyBorder="1"/>
    <xf numFmtId="164" fontId="23" fillId="9" borderId="0" xfId="0" applyNumberFormat="1" applyFont="1" applyFill="1" applyBorder="1"/>
    <xf numFmtId="164" fontId="23" fillId="9" borderId="20" xfId="0" applyNumberFormat="1" applyFont="1" applyFill="1" applyBorder="1"/>
    <xf numFmtId="164" fontId="34" fillId="10" borderId="0" xfId="0" applyNumberFormat="1" applyFont="1" applyFill="1" applyBorder="1"/>
    <xf numFmtId="164" fontId="34" fillId="10" borderId="20" xfId="0" applyNumberFormat="1" applyFont="1" applyFill="1" applyBorder="1"/>
    <xf numFmtId="164" fontId="23" fillId="9" borderId="8" xfId="0" applyNumberFormat="1" applyFont="1" applyFill="1" applyBorder="1"/>
    <xf numFmtId="164" fontId="23" fillId="9" borderId="7" xfId="0" applyNumberFormat="1" applyFont="1" applyFill="1" applyBorder="1"/>
    <xf numFmtId="164" fontId="23" fillId="9" borderId="36" xfId="0" applyNumberFormat="1" applyFont="1" applyFill="1" applyBorder="1"/>
    <xf numFmtId="164" fontId="23" fillId="9" borderId="6" xfId="0" applyNumberFormat="1" applyFont="1" applyFill="1" applyBorder="1"/>
    <xf numFmtId="164" fontId="23" fillId="9" borderId="5" xfId="0" applyNumberFormat="1" applyFont="1" applyFill="1" applyBorder="1"/>
    <xf numFmtId="164" fontId="23" fillId="9" borderId="4" xfId="0" applyNumberFormat="1" applyFont="1" applyFill="1" applyBorder="1"/>
    <xf numFmtId="164" fontId="21" fillId="2" borderId="0" xfId="3" applyNumberFormat="1" applyFont="1" applyFill="1" applyBorder="1" applyAlignment="1">
      <alignment horizontal="right"/>
    </xf>
    <xf numFmtId="164" fontId="21" fillId="2" borderId="20" xfId="3" applyNumberFormat="1" applyFont="1" applyFill="1" applyBorder="1" applyAlignment="1">
      <alignment horizontal="right"/>
    </xf>
    <xf numFmtId="164" fontId="23" fillId="6" borderId="0" xfId="8" applyNumberFormat="1" applyFont="1" applyFill="1" applyBorder="1"/>
    <xf numFmtId="164" fontId="23" fillId="9" borderId="0" xfId="8" applyNumberFormat="1" applyFont="1" applyFill="1" applyBorder="1"/>
    <xf numFmtId="164" fontId="23" fillId="9" borderId="20" xfId="8" applyNumberFormat="1" applyFont="1" applyFill="1" applyBorder="1"/>
    <xf numFmtId="164" fontId="35" fillId="10" borderId="0" xfId="8" applyNumberFormat="1" applyFont="1" applyFill="1" applyBorder="1"/>
    <xf numFmtId="164" fontId="35" fillId="10" borderId="20" xfId="8" applyNumberFormat="1" applyFont="1" applyFill="1" applyBorder="1"/>
    <xf numFmtId="164" fontId="25" fillId="6" borderId="0" xfId="8" applyNumberFormat="1" applyFont="1" applyFill="1" applyBorder="1"/>
    <xf numFmtId="164" fontId="25" fillId="9" borderId="0" xfId="8" applyNumberFormat="1" applyFont="1" applyFill="1" applyBorder="1"/>
    <xf numFmtId="164" fontId="25" fillId="9" borderId="20" xfId="8" applyNumberFormat="1" applyFont="1" applyFill="1" applyBorder="1"/>
  </cellXfs>
  <cellStyles count="14">
    <cellStyle name="Currency" xfId="1" builtinId="4"/>
    <cellStyle name="Currency 2" xfId="2" xr:uid="{00000000-0005-0000-0000-000006000000}"/>
    <cellStyle name="Currency 2 2" xfId="10" xr:uid="{00000000-0005-0000-0000-00000E000000}"/>
    <cellStyle name="Good" xfId="3" builtinId="26"/>
    <cellStyle name="Hyperlink" xfId="4" builtinId="8"/>
    <cellStyle name="Hyperlink 2" xfId="5" xr:uid="{00000000-0005-0000-0000-000009000000}"/>
    <cellStyle name="Normal" xfId="0" builtinId="0"/>
    <cellStyle name="Normal 2" xfId="6" xr:uid="{00000000-0005-0000-0000-00000A000000}"/>
    <cellStyle name="Normal 2 2" xfId="11" xr:uid="{00000000-0005-0000-0000-00000F000000}"/>
    <cellStyle name="Normal 3" xfId="7" xr:uid="{00000000-0005-0000-0000-00000B000000}"/>
    <cellStyle name="Normal 3 2" xfId="12" xr:uid="{00000000-0005-0000-0000-000010000000}"/>
    <cellStyle name="Normal 4" xfId="8" xr:uid="{00000000-0005-0000-0000-00000C000000}"/>
    <cellStyle name="Percent 2" xfId="9" xr:uid="{00000000-0005-0000-0000-00000D000000}"/>
    <cellStyle name="Percent 2 2" xfId="13" xr:uid="{00000000-0005-0000-0000-000011000000}"/>
  </cellStyles>
  <dxfs count="11">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ont>
        <color rgb="FFF2F2F2"/>
      </font>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pldatasource.trrtdserver">
      <tp t="s">
        <v>Retrieving...</v>
        <stp/>
        <stp>{AB2ACEE9-11A5-401D-90AE-97D58B1FCDB5}_x0000_</stp>
        <tr r="BE1131" s="1"/>
      </tp>
      <tp t="s">
        <v>Retrieving...</v>
        <stp/>
        <stp>{1E9B4B8A-540F-4905-945C-EEBC37E6B330}_x0000_</stp>
        <tr r="T1131" s="1"/>
      </tp>
      <tp t="s">
        <v>Retrieving...</v>
        <stp/>
        <stp>{9E83C16A-4457-48D1-AC78-2B21D958B16A}_x0000_</stp>
        <tr r="BG1138" s="1"/>
      </tp>
      <tp t="s">
        <v>Retrieving...</v>
        <stp/>
        <stp>{C2D663FF-3933-41EB-9842-AEE9699B3DCF}_x0000_</stp>
        <tr r="X1138" s="1"/>
      </tp>
      <tp t="s">
        <v>Retrieving...</v>
        <stp/>
        <stp>{934F9A25-5E68-4EF6-B7EE-307697829950}_x0000_</stp>
        <tr r="AL1138" s="1"/>
      </tp>
      <tp t="s">
        <v>Retrieving...</v>
        <stp/>
        <stp>{75F4D12A-9D84-480F-8A30-C81350289240}_x0000_</stp>
        <tr r="X1131" s="1"/>
      </tp>
      <tp t="s">
        <v>Retrieving...</v>
        <stp/>
        <stp>{F7EB4F7A-317B-4A04-AB55-DBE4D60ADC17}_x0000_</stp>
        <tr r="BD1138" s="1"/>
      </tp>
      <tp t="s">
        <v>Retrieving...</v>
        <stp/>
        <stp>{16934560-FBF9-4722-AC54-85E200F5A0FB}_x0000_</stp>
        <tr r="P1138" s="1"/>
      </tp>
      <tp t="s">
        <v>Retrieving...</v>
        <stp/>
        <stp>{47413F0A-70F9-47CF-B9F0-41C7FA313383}_x0000_</stp>
        <tr r="AE1131" s="1"/>
      </tp>
      <tp t="s">
        <v>Retrieving...</v>
        <stp/>
        <stp>{44A82592-7CA9-43EB-9711-D5F0F5DDC8DC}_x0000_</stp>
        <tr r="BA1138" s="1"/>
      </tp>
      <tp t="s">
        <v>Retrieving...</v>
        <stp/>
        <stp>{5250F9FB-A40A-4574-9136-67127FA29478}_x0000_</stp>
        <tr r="G1131" s="1"/>
      </tp>
      <tp t="s">
        <v>Retrieving...</v>
        <stp/>
        <stp>{D989FD7A-F409-453A-9315-8233226B9B4C}_x0000_</stp>
        <tr r="BE1124" s="1"/>
      </tp>
      <tp t="s">
        <v>Retrieving...</v>
        <stp/>
        <stp>{9E830B27-4854-4C92-B03E-A0AD363F1C1E}_x0000_</stp>
        <tr r="AC1124" s="1"/>
      </tp>
      <tp t="s">
        <v>Retrieving...</v>
        <stp/>
        <stp>{62C0DFA6-1313-4120-B627-1BDDEF5ED6A2}_x0000_</stp>
        <tr r="BB1124" s="1"/>
      </tp>
      <tp t="s">
        <v>Retrieving...</v>
        <stp/>
        <stp>{198F2F98-3C0F-4E52-9FA6-7D95B8EA0201}_x0000_</stp>
        <tr r="E1138" s="1"/>
      </tp>
      <tp t="s">
        <v>Retrieving...</v>
        <stp/>
        <stp>{0EEE9C6C-CB03-4BF7-8566-B4486B0AF46B}_x0000_</stp>
        <tr r="U1131" s="1"/>
      </tp>
      <tp t="s">
        <v>Retrieving...</v>
        <stp/>
        <stp>{892C3DCB-FC68-41F0-91BE-05FD6949EDE5}_x0000_</stp>
        <tr r="AP1138" s="1"/>
      </tp>
      <tp t="s">
        <v>Retrieving...</v>
        <stp/>
        <stp>{4654CD07-A6D9-4078-97C3-AA6E23B98B3E}_x0000_</stp>
        <tr r="BC1124" s="1"/>
      </tp>
      <tp t="s">
        <v>Retrieving...</v>
        <stp/>
        <stp>{6FFCFE98-8420-4CEE-8D76-D980386F4EA3}_x0000_</stp>
        <tr r="AG1138" s="1"/>
      </tp>
      <tp t="s">
        <v>Retrieving...</v>
        <stp/>
        <stp>{F8C7AB71-07BF-482B-8A03-3F0C3875939E}_x0000_</stp>
        <tr r="I1124" s="1"/>
      </tp>
      <tp t="s">
        <v>Retrieving...</v>
        <stp/>
        <stp>{AEA26E2A-008A-4C2B-BAF7-FCE9381FC96A}_x0000_</stp>
        <tr r="V1124" s="1"/>
      </tp>
      <tp t="s">
        <v>Retrieving...</v>
        <stp/>
        <stp>{CD74458F-5C42-4420-B743-B49207EEB9D3}_x0000_</stp>
        <tr r="BB1138" s="1"/>
      </tp>
      <tp t="s">
        <v>Retrieving...</v>
        <stp/>
        <stp>{36C78A19-C842-439B-82A5-937A6555C171}_x0000_</stp>
        <tr r="BF1124" s="1"/>
      </tp>
      <tp t="s">
        <v>Retrieving...</v>
        <stp/>
        <stp>{7A0D99BF-3206-4117-B51C-2C09C2486D44}_x0000_</stp>
        <tr r="M1131" s="1"/>
      </tp>
      <tp t="s">
        <v>Retrieving...</v>
        <stp/>
        <stp>{2D49B660-9929-4ECD-911F-86FD77AB2EC5}_x0000_</stp>
        <tr r="BF1131" s="1"/>
      </tp>
      <tp t="s">
        <v>Retrieving...</v>
        <stp/>
        <stp>{043C7F09-A0A4-4EAD-B3B9-F407F76FF259}_x0000_</stp>
        <tr r="AV1131" s="1"/>
      </tp>
      <tp t="s">
        <v>Retrieving...</v>
        <stp/>
        <stp>{ABA7A738-EDD2-43AB-82C7-EDA1361C88EF}_x0000_</stp>
        <tr r="I1131" s="1"/>
      </tp>
      <tp t="s">
        <v>Retrieving...</v>
        <stp/>
        <stp>{4F93CCD7-D2D2-46C2-A025-80FCBE9ED56E}_x0000_</stp>
        <tr r="N1124" s="1"/>
      </tp>
      <tp t="s">
        <v>Retrieving...</v>
        <stp/>
        <stp>{BE07EBA7-A251-4B0F-BA90-350A65367FA7}_x0000_</stp>
        <tr r="AF1131" s="1"/>
      </tp>
      <tp t="s">
        <v>Retrieving...</v>
        <stp/>
        <stp>{D6AA65B2-D8A0-4E1F-AA7C-354E1F2EB72C}_x0000_</stp>
        <tr r="AH1131" s="1"/>
      </tp>
      <tp t="s">
        <v>Retrieving...</v>
        <stp/>
        <stp>{D5038D12-F440-4522-9A44-B206550894FB}_x0000_</stp>
        <tr r="E1124" s="1"/>
      </tp>
      <tp t="s">
        <v>Retrieving...</v>
        <stp/>
        <stp>{0AE79BA9-676A-43AD-95A4-2A205525604B}_x0000_</stp>
        <tr r="F1124" s="1"/>
      </tp>
      <tp t="s">
        <v>Retrieving...</v>
        <stp/>
        <stp>{FCF70DB7-EFF5-4BDF-AB66-A01C60C799ED}_x0000_</stp>
        <tr r="BD1124" s="1"/>
      </tp>
      <tp t="s">
        <v>Retrieving...</v>
        <stp/>
        <stp>{6623D905-B0CA-4156-A5D5-CDD0749D94B3}_x0000_</stp>
        <tr r="BB1131" s="1"/>
      </tp>
      <tp t="s">
        <v>Retrieving...</v>
        <stp/>
        <stp>{4F6580D6-2FD1-4D50-9064-51A2536BFFA8}_x0000_</stp>
        <tr r="D1138" s="1"/>
      </tp>
      <tp t="s">
        <v>Retrieving...</v>
        <stp/>
        <stp>{2457E9E3-D01B-4A1F-80CF-E27231D98815}_x0000_</stp>
        <tr r="AE1138" s="1"/>
      </tp>
      <tp t="s">
        <v>Retrieving...</v>
        <stp/>
        <stp>{1FE1EB2F-C4B8-495F-9BEE-541159ABA104}_x0000_</stp>
        <tr r="G1138" s="1"/>
      </tp>
      <tp t="s">
        <v>Retrieving...</v>
        <stp/>
        <stp>{30F55F58-91F5-4706-99DA-858F1BBA5C90}_x0000_</stp>
        <tr r="R1138" s="1"/>
      </tp>
      <tp t="s">
        <v>Retrieving...</v>
        <stp/>
        <stp>{42C4EED2-ED9E-4279-A44A-FC060BE8BF80}_x0000_</stp>
        <tr r="C1138" s="1"/>
      </tp>
      <tp t="s">
        <v>Retrieving...</v>
        <stp/>
        <stp>{908BA450-692C-4B1C-BD34-8967BA737AF6}_x0000_</stp>
        <tr r="AD1131" s="1"/>
      </tp>
      <tp t="s">
        <v>Retrieving...</v>
        <stp/>
        <stp>{F3449B16-9D80-43B5-AD20-1009AF167275}_x0000_</stp>
        <tr r="AL1131" s="1"/>
      </tp>
      <tp t="s">
        <v>Retrieving...</v>
        <stp/>
        <stp>{14E5F05B-7AFE-4368-B538-E183C8F0AC70}_x0000_</stp>
        <tr r="H1138" s="1"/>
      </tp>
      <tp t="s">
        <v>Retrieving...</v>
        <stp/>
        <stp>{DEAC74D5-13E2-4A5D-8F1F-5C794E64E5A4}_x0000_</stp>
        <tr r="L1138" s="1"/>
      </tp>
      <tp t="s">
        <v>Retrieving...</v>
        <stp/>
        <stp>{3D1E21A2-0553-4984-9E67-918A4195056E}_x0000_</stp>
        <tr r="BC1131" s="1"/>
      </tp>
      <tp t="s">
        <v>Retrieving...</v>
        <stp/>
        <stp>{52C80326-8EE4-4F7A-8A79-8BEC449E907C}_x0000_</stp>
        <tr r="AL1124" s="1"/>
      </tp>
      <tp t="s">
        <v>Retrieving...</v>
        <stp/>
        <stp>{3B7AEAA4-C793-4CD0-A22F-1DB617792181}_x0000_</stp>
        <tr r="D1131" s="1"/>
      </tp>
      <tp t="s">
        <v>Retrieving...</v>
        <stp/>
        <stp>{E7A0613A-E09D-4F7E-986E-1680356B1415}_x0000_</stp>
        <tr r="AQ1124" s="1"/>
      </tp>
      <tp t="s">
        <v>Retrieving...</v>
        <stp/>
        <stp>{3DD83B5D-46FA-444A-B6B7-35503CE518D8}_x0000_</stp>
        <tr r="P1124" s="1"/>
      </tp>
      <tp t="s">
        <v>Retrieving...</v>
        <stp/>
        <stp>{C0A52E5A-422E-458F-A22D-A101045EE307}_x0000_</stp>
        <tr r="AX1138" s="1"/>
      </tp>
      <tp t="s">
        <v>Retrieving...</v>
        <stp/>
        <stp>{2415723B-BB67-4660-8FC6-289B9708B3ED}_x0000_</stp>
        <tr r="AI1124" s="1"/>
      </tp>
      <tp t="s">
        <v>Retrieving...</v>
        <stp/>
        <stp>{2E76845D-4492-4BE7-A5E4-21C554CF83DE}_x0000_</stp>
        <tr r="AP1124" s="1"/>
      </tp>
      <tp t="s">
        <v>Retrieving...</v>
        <stp/>
        <stp>{7124DBB0-E13E-463F-9BB6-D0CCD5252990}_x0000_</stp>
        <tr r="BD1131" s="1"/>
      </tp>
      <tp t="s">
        <v>Retrieving...</v>
        <stp/>
        <stp>{E7685655-37DA-45E3-B5FC-FAF3FFCE0166}_x0000_</stp>
        <tr r="K1124" s="1"/>
      </tp>
      <tp t="s">
        <v>Retrieving...</v>
        <stp/>
        <stp>{4198E387-1409-4EB7-BE3F-6C43B4A1FD5D}_x0000_</stp>
        <tr r="AZ1138" s="1"/>
      </tp>
      <tp t="s">
        <v>Retrieving...</v>
        <stp/>
        <stp>{CBEAB71A-0BF0-40C5-888F-BC271DFEB8AB}_x0000_</stp>
        <tr r="AQ1138" s="1"/>
      </tp>
      <tp t="s">
        <v>Retrieving...</v>
        <stp/>
        <stp>{EF58BA3C-A381-4BD3-9246-F1A2B3D2BBFF}_x0000_</stp>
        <tr r="AN1124" s="1"/>
      </tp>
      <tp t="s">
        <v>Retrieving...</v>
        <stp/>
        <stp>{78C96211-4D3A-4888-BE37-86ADF979A3FB}_x0000_</stp>
        <tr r="AU1131" s="1"/>
      </tp>
      <tp t="s">
        <v>Retrieving...</v>
        <stp/>
        <stp>{20A5A1D2-5584-40B4-B5A3-6EACD3DD7935}_x0000_</stp>
        <tr r="AN1138" s="1"/>
      </tp>
      <tp t="s">
        <v>Retrieving...</v>
        <stp/>
        <stp>{830B1A10-5312-4F9D-9D8F-3ACC43484FD8}_x0000_</stp>
        <tr r="O1124" s="1"/>
      </tp>
      <tp t="s">
        <v>Retrieving...</v>
        <stp/>
        <stp>{68418BA1-8CED-4CBB-948D-3C5E04B6ABE3}_x0000_</stp>
        <tr r="AN1131" s="1"/>
      </tp>
      <tp t="s">
        <v>Retrieving...</v>
        <stp/>
        <stp>{1DB1A2BD-F1B9-4671-84D9-762579E16A1B}_x0000_</stp>
        <tr r="AG1131" s="1"/>
      </tp>
      <tp t="s">
        <v>Retrieving...</v>
        <stp/>
        <stp>{31C6C845-BEB6-4253-8976-029D231B5882}_x0000_</stp>
        <tr r="U1124" s="1"/>
      </tp>
      <tp t="s">
        <v>Retrieving...</v>
        <stp/>
        <stp>{332D58E7-1C25-4ACE-9E2F-34558AA1FE4B}_x0000_</stp>
        <tr r="AC1131" s="1"/>
      </tp>
      <tp t="s">
        <v>Retrieving...</v>
        <stp/>
        <stp>{7911C48D-AAEA-45F0-AD85-F90D480FBE69}_x0000_</stp>
        <tr r="AQ1131" s="1"/>
      </tp>
      <tp t="s">
        <v>Retrieving...</v>
        <stp/>
        <stp>{035EE515-B6F7-471B-B901-C2452CC04819}_x0000_</stp>
        <tr r="AT1124" s="1"/>
      </tp>
      <tp t="s">
        <v>Retrieving...</v>
        <stp/>
        <stp>{695F98AF-B86F-4D44-824B-DB5AC47FDF62}_x0000_</stp>
        <tr r="AP1131" s="1"/>
      </tp>
      <tp t="s">
        <v>Retrieving...</v>
        <stp/>
        <stp>{C603C7B9-B5E8-4003-8B4D-BCEAFFA9914C}_x0000_</stp>
        <tr r="M1138" s="1"/>
      </tp>
      <tp t="s">
        <v>Retrieving...</v>
        <stp/>
        <stp>{432D7467-0CF6-47C5-82CF-FC2DAC3F6BCD}_x0000_</stp>
        <tr r="AO1138" s="1"/>
      </tp>
      <tp t="s">
        <v>Retrieving...</v>
        <stp/>
        <stp>{5265D5F9-C147-49C8-843B-8FCCD6711297}_x0000_</stp>
        <tr r="W1124" s="1"/>
      </tp>
      <tp t="s">
        <v>Retrieving...</v>
        <stp/>
        <stp>{D7BA204C-24FF-4173-9558-E1D773539CC4}_x0000_</stp>
        <tr r="AH1138" s="1"/>
      </tp>
      <tp t="s">
        <v>Retrieving...</v>
        <stp/>
        <stp>{CE65C225-30D4-473B-88DC-1CE923391067}_x0000_</stp>
        <tr r="AX1131" s="1"/>
      </tp>
      <tp t="s">
        <v>Retrieving...</v>
        <stp/>
        <stp>{BC5DA53F-9972-471C-B18D-7CCE00E9E70A}_x0000_</stp>
        <tr r="AT1138" s="1"/>
      </tp>
      <tp t="s">
        <v>Retrieving...</v>
        <stp/>
        <stp>{2B5B4D4C-6CE1-4A9A-9909-4F17D7AA9F27}_x0000_</stp>
        <tr r="AB1131" s="1"/>
      </tp>
      <tp t="s">
        <v>Retrieving...</v>
        <stp/>
        <stp>{8307F5F7-E410-43A7-BF6F-EF51EAC4FE78}_x0000_</stp>
        <tr r="Y1124" s="1"/>
      </tp>
      <tp t="s">
        <v>Retrieving...</v>
        <stp/>
        <stp>{13D95AC1-3210-4E54-AAD5-E79115BBDE94}_x0000_</stp>
        <tr r="AZ1131" s="1"/>
      </tp>
      <tp t="s">
        <v>Retrieving...</v>
        <stp/>
        <stp>{4065336E-1029-46C8-AC4F-1671690FE048}_x0000_</stp>
        <tr r="AJ1124" s="1"/>
      </tp>
      <tp t="s">
        <v>Retrieving...</v>
        <stp/>
        <stp>{0981F7E5-2E1B-4045-9DF0-4E4C4FC09E25}_x0000_</stp>
        <tr r="G1124" s="1"/>
      </tp>
      <tp t="s">
        <v>Retrieving...</v>
        <stp/>
        <stp>{0157A72C-77F4-4E6F-9DC5-247559287709}_x0000_</stp>
        <tr r="AS1131" s="1"/>
      </tp>
      <tp t="s">
        <v>Retrieving...</v>
        <stp/>
        <stp>{746E8AC6-353E-433C-8E27-84DB4B71206B}_x0000_</stp>
        <tr r="N1131" s="1"/>
      </tp>
      <tp t="s">
        <v>Retrieving...</v>
        <stp/>
        <stp>{EC506A33-B087-45EC-B9D1-8B4142D48543}_x0000_</stp>
        <tr r="L1131" s="1"/>
      </tp>
      <tp t="s">
        <v>Retrieving...</v>
        <stp/>
        <stp>{08FBBE2D-2710-436A-8329-74DC64F108A5}_x0000_</stp>
        <tr r="BE1138" s="1"/>
      </tp>
      <tp t="s">
        <v>Retrieving...</v>
        <stp/>
        <stp>{DF4234AE-5093-4058-BA79-83C5A31B8010}_x0000_</stp>
        <tr r="AU1124" s="1"/>
      </tp>
      <tp t="s">
        <v>Retrieving...</v>
        <stp/>
        <stp>{13A7BF58-0708-4419-BE32-586F6C71B16E}_x0000_</stp>
        <tr r="Q1124" s="1"/>
      </tp>
      <tp t="s">
        <v>Retrieving...</v>
        <stp/>
        <stp>{0192641E-73F1-4E31-840C-89035EC0BFE4}_x0000_</stp>
        <tr r="T1124" s="1"/>
      </tp>
      <tp t="s">
        <v>Retrieving...</v>
        <stp/>
        <stp>{DA47FB90-821C-4514-BAC2-BCCAE5A853CC}_x0000_</stp>
        <tr r="AC1138" s="1"/>
      </tp>
      <tp t="s">
        <v>Retrieving...</v>
        <stp/>
        <stp>{DAE87329-3B17-45F6-833D-7B449FDF13D4}_x0000_</stp>
        <tr r="BA1131" s="1"/>
      </tp>
      <tp t="s">
        <v>Retrieving...</v>
        <stp/>
        <stp>{44D279CC-700F-4018-8FFE-42E6B3EF0F2A}_x0000_</stp>
        <tr r="BF1138" s="1"/>
      </tp>
      <tp t="s">
        <v>Retrieving...</v>
        <stp/>
        <stp>{F974243B-F1C3-495C-A6F1-DAF8AFD91874}_x0000_</stp>
        <tr r="AX1124" s="1"/>
      </tp>
      <tp t="s">
        <v>Retrieving...</v>
        <stp/>
        <stp>{C8720251-1CFB-4201-AF41-4589E9C52A1B}_x0000_</stp>
        <tr r="T1138" s="1"/>
      </tp>
      <tp t="s">
        <v>Retrieving...</v>
        <stp/>
        <stp>{960BE80D-44AE-42E3-8198-6D2AC9E20ABF}_x0000_</stp>
        <tr r="AO1131" s="1"/>
      </tp>
      <tp t="s">
        <v>Retrieving...</v>
        <stp/>
        <stp>{0A90B896-BF7F-4AFF-B93B-94BE49174A99}_x0000_</stp>
        <tr r="K1131" s="1"/>
      </tp>
      <tp t="s">
        <v>Retrieving...</v>
        <stp/>
        <stp>{41ACE15F-219F-4106-BEBA-0626A5D9CAC9}_x0000_</stp>
        <tr r="AS1138" s="1"/>
      </tp>
      <tp t="s">
        <v>Retrieving...</v>
        <stp/>
        <stp>{09BC2509-BA59-42C7-908C-4728CD91BC74}_x0000_</stp>
        <tr r="AM1124" s="1"/>
      </tp>
      <tp t="s">
        <v>Retrieving...</v>
        <stp/>
        <stp>{CFD6B9E3-FEF8-4ECE-9B22-FB8538F6704E}_x0000_</stp>
        <tr r="F1138" s="1"/>
      </tp>
      <tp t="s">
        <v>Retrieving...</v>
        <stp/>
        <stp>{073CA35B-400D-4CA9-96E9-5E61F4136DA0}_x0000_</stp>
        <tr r="AY1138" s="1"/>
      </tp>
      <tp t="s">
        <v>Retrieving...</v>
        <stp/>
        <stp>{C6349B9D-7168-4D3D-85F2-69655F54CB2B}_x0000_</stp>
        <tr r="Y1138" s="1"/>
      </tp>
      <tp t="s">
        <v>Retrieving...</v>
        <stp/>
        <stp>{BD713A04-7A65-41B1-8222-127BFC44A955}_x0000_</stp>
        <tr r="AJ1138" s="1"/>
      </tp>
      <tp t="s">
        <v>Retrieving...</v>
        <stp/>
        <stp>{F82F7538-DA16-410C-A5A0-9142AC23D758}_x0000_</stp>
        <tr r="BG1124" s="1"/>
      </tp>
      <tp t="s">
        <v>Retrieving...</v>
        <stp/>
        <stp>{8030F95E-68AE-4817-9938-8D84B81D48DC}_x0000_</stp>
        <tr r="AA1124" s="1"/>
      </tp>
      <tp t="s">
        <v>Retrieving...</v>
        <stp/>
        <stp>{5BA7220D-54CD-4F21-B6C5-0893E95865B9}_x0000_</stp>
        <tr r="AA1138" s="1"/>
      </tp>
      <tp t="s">
        <v>Retrieving...</v>
        <stp/>
        <stp>{BC65BFCB-CD16-47C1-8B84-10CED639A893}_x0000_</stp>
        <tr r="BG1131" s="1"/>
      </tp>
      <tp t="s">
        <v>Retrieving...</v>
        <stp/>
        <stp>{6B74D3BE-AE43-414A-A83A-4258DF180623}_x0000_</stp>
        <tr r="AY1131" s="1"/>
      </tp>
      <tp t="s">
        <v>Retrieving...</v>
        <stp/>
        <stp>{FC370A10-4307-4226-90F2-008D79FF4A49}_x0000_</stp>
        <tr r="AF1124" s="1"/>
      </tp>
      <tp t="s">
        <v>Retrieving...</v>
        <stp/>
        <stp>{6E245AD6-C962-42E1-ACCF-31106B8ECED5}_x0000_</stp>
        <tr r="AI1138" s="1"/>
      </tp>
      <tp t="s">
        <v>Retrieving...</v>
        <stp/>
        <stp>{01CA6044-8943-48F8-8E6C-3F11941DDE93}_x0000_</stp>
        <tr r="AW1131" s="1"/>
      </tp>
      <tp t="s">
        <v>Retrieving...</v>
        <stp/>
        <stp>{5D11C22B-6971-4D55-B7F8-EE076EFC55D1}_x0000_</stp>
        <tr r="O1138" s="1"/>
      </tp>
      <tp t="s">
        <v>Retrieving...</v>
        <stp/>
        <stp>{48158579-5022-46AD-BB22-15BA55E95C45}_x0000_</stp>
        <tr r="Z1138" s="1"/>
      </tp>
      <tp t="s">
        <v>Retrieving...</v>
        <stp/>
        <stp>{94FF55E5-9CA8-4C1F-9986-DC7BCE4526E8}_x0000_</stp>
        <tr r="R1131" s="1"/>
      </tp>
      <tp t="s">
        <v>Retrieving...</v>
        <stp/>
        <stp>{FE47D6E7-5768-4A4F-A8AD-C9ECE4B4FA6E}_x0000_</stp>
        <tr r="AK1131" s="1"/>
      </tp>
      <tp t="s">
        <v>Retrieving...</v>
        <stp/>
        <stp>{1B7ED2A1-0368-4B80-BA74-0F96181A78F1}_x0000_</stp>
        <tr r="AR1131" s="1"/>
      </tp>
      <tp t="s">
        <v>Retrieving...</v>
        <stp/>
        <stp>{A042A7BC-C325-4F6D-BED3-CC556F3A0F37}_x0000_</stp>
        <tr r="AW1124" s="1"/>
      </tp>
      <tp t="s">
        <v>Retrieving...</v>
        <stp/>
        <stp>{715A95E3-FC73-487D-A2A8-CD1CAFA99E6B}_x0000_</stp>
        <tr r="AD1124" s="1"/>
      </tp>
      <tp t="s">
        <v>Retrieving...</v>
        <stp/>
        <stp>{EBC8C9DF-9BE9-489B-B57E-331C150D064B}_x0000_</stp>
        <tr r="AM1131" s="1"/>
      </tp>
      <tp t="s">
        <v>Retrieving...</v>
        <stp/>
        <stp>{8F47731D-1820-487B-82E8-76E9FF1D5A89}_x0000_</stp>
        <tr r="F1131" s="1"/>
      </tp>
      <tp t="s">
        <v>Retrieving...</v>
        <stp/>
        <stp>{7E5E7A98-15D8-4CB6-9D94-F4C425EB0B70}_x0000_</stp>
        <tr r="H1131" s="1"/>
      </tp>
      <tp t="s">
        <v>Retrieving...</v>
        <stp/>
        <stp>{B84AF53E-1D51-4643-A0BF-123CFA51A221}_x0000_</stp>
        <tr r="AF1138" s="1"/>
      </tp>
      <tp t="s">
        <v>Retrieving...</v>
        <stp/>
        <stp>{BE6A97C0-C42D-4346-A965-1135892D381E}_x0000_</stp>
        <tr r="V1131" s="1"/>
      </tp>
      <tp t="s">
        <v>Retrieving...</v>
        <stp/>
        <stp>{DD956320-415F-45AE-8150-6A7142C6A848}_x0000_</stp>
        <tr r="O1131" s="1"/>
      </tp>
      <tp t="s">
        <v>Retrieving...</v>
        <stp/>
        <stp>{FB69749F-2408-42F0-9865-1EA41D1AF722}_x0000_</stp>
        <tr r="P1131" s="1"/>
      </tp>
      <tp t="s">
        <v>Retrieving...</v>
        <stp/>
        <stp>{AC756745-55CB-42F4-9FCC-989CA8802908}_x0000_</stp>
        <tr r="Z1124" s="1"/>
      </tp>
      <tp t="s">
        <v>Retrieving...</v>
        <stp/>
        <stp>{30B72819-5E71-46C8-8E65-AF5AFB7F6AE3}_x0000_</stp>
        <tr r="J1124" s="1"/>
      </tp>
      <tp t="s">
        <v>Retrieving...</v>
        <stp/>
        <stp>{4DB12D32-E1B4-4160-84BC-330172B98CBC}_x0000_</stp>
        <tr r="U1138" s="1"/>
      </tp>
      <tp t="s">
        <v>Retrieving...</v>
        <stp/>
        <stp>{04EF9CD0-A5C2-481A-A237-687BF1E5EB88}_x0000_</stp>
        <tr r="AT1131" s="1"/>
      </tp>
      <tp t="s">
        <v>Retrieving...</v>
        <stp/>
        <stp>{E4E7B2AF-1B5C-4A30-8AAF-D12847900F05}_x0000_</stp>
        <tr r="Y1131" s="1"/>
      </tp>
      <tp t="s">
        <v>Retrieving...</v>
        <stp/>
        <stp>{A99E8E33-E760-4773-A130-F5209271B4E7}_x0000_</stp>
        <tr r="L1124" s="1"/>
      </tp>
      <tp t="s">
        <v>Retrieving...</v>
        <stp/>
        <stp>{A69B3D1B-F71D-4398-AB98-38C0EB6DC267}_x0000_</stp>
        <tr r="AA1131" s="1"/>
      </tp>
      <tp t="s">
        <v>Retrieving...</v>
        <stp/>
        <stp>{1492527D-0A51-4C27-A062-A7FCDB967414}_x0000_</stp>
        <tr r="S1131" s="1"/>
      </tp>
      <tp t="s">
        <v>Retrieving...</v>
        <stp/>
        <stp>{0C12F207-CD18-4EFC-BFE8-DA87CD8AC5FE}_x0000_</stp>
        <tr r="I1138" s="1"/>
      </tp>
      <tp t="s">
        <v>Retrieving...</v>
        <stp/>
        <stp>{72AAEF6C-65B1-4631-B9B9-F1ED664B0A52}_x0000_</stp>
        <tr r="AH1124" s="1"/>
      </tp>
      <tp t="s">
        <v>Retrieving...</v>
        <stp/>
        <stp>{757EC978-807F-4646-8E4C-3F74F925DA2D}_x0000_</stp>
        <tr r="N1138" s="1"/>
      </tp>
      <tp t="s">
        <v>Retrieving...</v>
        <stp/>
        <stp>{CDFF7F1A-DB7F-4D46-AA41-FD38A6800113}_x0000_</stp>
        <tr r="Q1131" s="1"/>
      </tp>
      <tp t="s">
        <v>Retrieving...</v>
        <stp/>
        <stp>{9F43A29E-28D6-4F31-988C-4668DFBC5BE8}_x0000_</stp>
        <tr r="AK1138" s="1"/>
      </tp>
      <tp t="s">
        <v>Retrieving...</v>
        <stp/>
        <stp>{17326FD0-0673-4090-B8EE-A5699055871D}_x0000_</stp>
        <tr r="C1124" s="1"/>
      </tp>
      <tp t="s">
        <v>Retrieving...</v>
        <stp/>
        <stp>{60E533D8-D4D1-447D-AE9E-175AE76E73D7}_x0000_</stp>
        <tr r="AJ1131" s="1"/>
      </tp>
      <tp t="s">
        <v>Retrieving...</v>
        <stp/>
        <stp>{72235A7C-8202-4DB9-A960-6881D17C5688}_x0000_</stp>
        <tr r="M1124" s="1"/>
      </tp>
      <tp t="s">
        <v>Retrieving...</v>
        <stp/>
        <stp>{A74E524C-0390-4691-B3B5-90155EFE0867}_x0000_</stp>
        <tr r="C1131" s="1"/>
      </tp>
      <tp t="s">
        <v>Retrieving...</v>
        <stp/>
        <stp>{61D36C62-1BE4-434B-89ED-481F90A0E7E5}_x0000_</stp>
        <tr r="AV1124" s="1"/>
      </tp>
      <tp t="s">
        <v>Retrieving...</v>
        <stp/>
        <stp>{A90BC9C8-4095-41D9-93D4-77729B6446FA}_x0000_</stp>
        <tr r="S1124" s="1"/>
      </tp>
      <tp t="s">
        <v>Retrieving...</v>
        <stp/>
        <stp>{086850A8-F152-48DE-91A2-E95077001748}_x0000_</stp>
        <tr r="AS1124" s="1"/>
      </tp>
      <tp t="s">
        <v>Retrieving...</v>
        <stp/>
        <stp>{73262D4F-6296-4AEC-A962-049DAFF22393}_x0000_</stp>
        <tr r="AB1138" s="1"/>
      </tp>
      <tp t="s">
        <v>Retrieving...</v>
        <stp/>
        <stp>{A690FC06-AB24-456A-9319-B2F5B759B7A9}_x0000_</stp>
        <tr r="AR1124" s="1"/>
      </tp>
      <tp t="s">
        <v>Retrieving...</v>
        <stp/>
        <stp>{A15FFA93-A7F0-4607-A32A-0F4BA2636318}_x0000_</stp>
        <tr r="AO1124" s="1"/>
      </tp>
      <tp t="s">
        <v>Retrieving...</v>
        <stp/>
        <stp>{70EFB9B6-ACEA-452D-BB80-0D98D82610AA}_x0000_</stp>
        <tr r="J1138" s="1"/>
      </tp>
      <tp t="s">
        <v>Retrieving...</v>
        <stp/>
        <stp>{A5A6141B-127B-4BA3-A083-408F65C408A8}_x0000_</stp>
        <tr r="K1138" s="1"/>
      </tp>
      <tp t="s">
        <v>Retrieving...</v>
        <stp/>
        <stp>{1DE62375-2870-4D8E-83C1-BD5CE3F2C293}_x0000_</stp>
        <tr r="BC1138" s="1"/>
      </tp>
      <tp t="s">
        <v>Retrieving...</v>
        <stp/>
        <stp>{88801AF5-1EE8-4AE9-9B15-CB548E0B5B3D}_x0000_</stp>
        <tr r="AZ1124" s="1"/>
      </tp>
      <tp t="s">
        <v>Retrieving...</v>
        <stp/>
        <stp>{08BD5411-6421-4317-9EC1-27E657EFA677}_x0000_</stp>
        <tr r="W1131" s="1"/>
      </tp>
      <tp t="s">
        <v>Retrieving...</v>
        <stp/>
        <stp>{ADA7F10A-8BFB-4A3F-9CA5-DA90A94B4F80}_x0000_</stp>
        <tr r="Q1138" s="1"/>
      </tp>
      <tp t="s">
        <v>Retrieving...</v>
        <stp/>
        <stp>{C14DF323-ED1E-4211-8722-571110C5FDDB}_x0000_</stp>
        <tr r="AB1124" s="1"/>
      </tp>
      <tp t="s">
        <v>Retrieving...</v>
        <stp/>
        <stp>{FF486E66-0CB5-4AA5-A3DE-082BF7EEB58A}_x0000_</stp>
        <tr r="H1124" s="1"/>
      </tp>
      <tp t="s">
        <v>Retrieving...</v>
        <stp/>
        <stp>{0247BF6B-A92B-486C-AFC5-5D0AEF77F5FC}_x0000_</stp>
        <tr r="AE1124" s="1"/>
      </tp>
      <tp t="s">
        <v>Retrieving...</v>
        <stp/>
        <stp>{ED3FA094-0962-4C06-86AD-DCB814857279}_x0000_</stp>
        <tr r="R1124" s="1"/>
      </tp>
      <tp t="s">
        <v>Retrieving...</v>
        <stp/>
        <stp>{9136050E-DC32-49C4-B7F8-AEA74152FC95}_x0000_</stp>
        <tr r="AK1124" s="1"/>
      </tp>
      <tp t="s">
        <v>Retrieving...</v>
        <stp/>
        <stp>{D81D8DA6-4253-4174-A6BB-7B4B846899FF}_x0000_</stp>
        <tr r="S1138" s="1"/>
      </tp>
      <tp t="s">
        <v>Retrieving...</v>
        <stp/>
        <stp>{5E494575-3CF4-4431-B8CA-55E79E456355}_x0000_</stp>
        <tr r="E1131" s="1"/>
      </tp>
      <tp t="s">
        <v>Retrieving...</v>
        <stp/>
        <stp>{FCD6C624-D684-4C39-BF7B-73BD97E0FD5D}_x0000_</stp>
        <tr r="J1131" s="1"/>
      </tp>
      <tp t="s">
        <v>Retrieving...</v>
        <stp/>
        <stp>{7A998518-EDA8-40B9-B263-2575F846F679}_x0000_</stp>
        <tr r="X1124" s="1"/>
      </tp>
      <tp t="s">
        <v>Retrieving...</v>
        <stp/>
        <stp>{9CE51D17-E604-4315-8BCD-A6A32642A470}_x0000_</stp>
        <tr r="AI1131" s="1"/>
      </tp>
      <tp t="s">
        <v>Retrieving...</v>
        <stp/>
        <stp>{A055EA83-FB8B-4F17-A6F9-71E598D07044}_x0000_</stp>
        <tr r="Z1131" s="1"/>
      </tp>
      <tp t="s">
        <v>Retrieving...</v>
        <stp/>
        <stp>{291F3136-AB44-4A75-9199-D832FF0D5F1B}_x0000_</stp>
        <tr r="W1138" s="1"/>
      </tp>
      <tp t="s">
        <v>Retrieving...</v>
        <stp/>
        <stp>{FF2FF3CA-DE39-4A3E-8F35-455CBE051043}_x0000_</stp>
        <tr r="AG1124" s="1"/>
      </tp>
      <tp t="s">
        <v>Retrieving...</v>
        <stp/>
        <stp>{81A05E00-4A29-4A7F-898C-A44B446F98CF}_x0000_</stp>
        <tr r="V1138" s="1"/>
      </tp>
      <tp t="s">
        <v>Retrieving...</v>
        <stp/>
        <stp>{9A0677DD-988F-468B-9DAB-326406DAC8E9}_x0000_</stp>
        <tr r="AD1138" s="1"/>
      </tp>
      <tp t="s">
        <v>Retrieving...</v>
        <stp/>
        <stp>{5CF6C9B9-EB41-4391-87D1-FD499954D3C4}_x0000_</stp>
        <tr r="AW1138" s="1"/>
      </tp>
      <tp t="s">
        <v>Retrieving...</v>
        <stp/>
        <stp>{E58EEA1A-7763-4A72-92D0-CD2E283546D3}_x0000_</stp>
        <tr r="AY1124" s="1"/>
      </tp>
      <tp t="s">
        <v>Retrieving...</v>
        <stp/>
        <stp>{E94571F4-B059-4DDB-99AE-20D5A8FE4830}_x0000_</stp>
        <tr r="D1124" s="1"/>
      </tp>
      <tp t="s">
        <v>Retrieving...</v>
        <stp/>
        <stp>{F562980F-A863-4EBE-93D7-CF3634550F34}_x0000_</stp>
        <tr r="AU1138" s="1"/>
      </tp>
      <tp t="s">
        <v>Retrieving...</v>
        <stp/>
        <stp>{318CBD02-9894-47AC-9F5C-3B20B1BF7149}_x0000_</stp>
        <tr r="BA1124" s="1"/>
      </tp>
      <tp t="s">
        <v>Retrieving...</v>
        <stp/>
        <stp>{D790633D-D7F1-4496-8548-507FFDA492EE}_x0000_</stp>
        <tr r="AR1138" s="1"/>
      </tp>
      <tp t="s">
        <v>Retrieving...</v>
        <stp/>
        <stp>{CE6D00D0-2765-44DE-881B-553E5A131831}_x0000_</stp>
        <tr r="AM1138" s="1"/>
      </tp>
      <tp t="s">
        <v>Retrieving...</v>
        <stp/>
        <stp>{D17B2558-CD9C-40E7-89AC-CD4B79484A88}_x0000_</stp>
        <tr r="AV1138" s="1"/>
      </tp>
    </main>
  </volType>
</volType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152400</xdr:rowOff>
    </xdr:from>
    <xdr:ext cx="2352675" cy="904875"/>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stretch>
          <a:fillRect/>
        </a:stretch>
      </xdr:blipFill>
      <xdr:spPr bwMode="auto">
        <a:xfrm>
          <a:off x="571500" y="533400"/>
          <a:ext cx="2352675" cy="904875"/>
        </a:xfrm>
        <a:prstGeom prst="rect">
          <a:avLst/>
        </a:prstGeom>
        <a:noFill/>
        <a:ln>
          <a:noFill/>
        </a:ln>
      </xdr:spPr>
    </xdr:pic>
    <xdr:clientData/>
  </xdr:oneCellAnchor>
  <xdr:oneCellAnchor>
    <xdr:from>
      <xdr:col>16</xdr:col>
      <xdr:colOff>304800</xdr:colOff>
      <xdr:row>40</xdr:row>
      <xdr:rowOff>38100</xdr:rowOff>
    </xdr:from>
    <xdr:ext cx="333375" cy="371475"/>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13839825" y="8534400"/>
          <a:ext cx="333375" cy="3714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304800</xdr:colOff>
      <xdr:row>2</xdr:row>
      <xdr:rowOff>85725</xdr:rowOff>
    </xdr:from>
    <xdr:ext cx="2390775" cy="914400"/>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stretch>
          <a:fillRect/>
        </a:stretch>
      </xdr:blipFill>
      <xdr:spPr bwMode="auto">
        <a:xfrm>
          <a:off x="600075" y="466725"/>
          <a:ext cx="2390775" cy="914400"/>
        </a:xfrm>
        <a:prstGeom prst="rect">
          <a:avLst/>
        </a:prstGeom>
        <a:noFill/>
        <a:ln>
          <a:noFill/>
        </a:ln>
      </xdr:spPr>
    </xdr:pic>
    <xdr:clientData/>
  </xdr:oneCellAnchor>
  <xdr:oneCellAnchor>
    <xdr:from>
      <xdr:col>8</xdr:col>
      <xdr:colOff>228600</xdr:colOff>
      <xdr:row>38</xdr:row>
      <xdr:rowOff>38100</xdr:rowOff>
    </xdr:from>
    <xdr:ext cx="342900" cy="381000"/>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11668125" y="7324725"/>
          <a:ext cx="342900" cy="3810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upport@canalyst.com?subject=Canalyst%20Support:%20The%20Walt%20Disney%20Company%20DIS%20US&amp;body=Model%20Version:%20Q2-2019.34" TargetMode="External"/><Relationship Id="rId1" Type="http://schemas.openxmlformats.org/officeDocument/2006/relationships/hyperlink" Target="mailto:support@canalyst.com?subject=Canalyst%20Support:%20The%20Walt%20Disney%20Company%20DIS%20US&amp;body=Model%20Version:%20Q1-2019.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thewaltdisneycompany.com/investor-relations/"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8" Type="http://schemas.openxmlformats.org/officeDocument/2006/relationships/hyperlink" Target="https://publicfiles.fcc.gov/tv-profile/kfsn-tv" TargetMode="External"/><Relationship Id="rId13" Type="http://schemas.openxmlformats.org/officeDocument/2006/relationships/hyperlink" Target="https://publicfiles.fcc.gov/tv-profile/ktrk-tv" TargetMode="External"/><Relationship Id="rId18" Type="http://schemas.openxmlformats.org/officeDocument/2006/relationships/comments" Target="../comments2.xml"/><Relationship Id="rId3" Type="http://schemas.openxmlformats.org/officeDocument/2006/relationships/hyperlink" Target="https://publicfiles.fcc.gov/tv-profile/wls-tv" TargetMode="External"/><Relationship Id="rId7" Type="http://schemas.openxmlformats.org/officeDocument/2006/relationships/hyperlink" Target="https://publicfiles.fcc.gov/tv-profile/wtvd" TargetMode="External"/><Relationship Id="rId12" Type="http://schemas.openxmlformats.org/officeDocument/2006/relationships/hyperlink" Target="https://publicfiles.fcc.gov/tv-profile/wpvi-tv" TargetMode="External"/><Relationship Id="rId17" Type="http://schemas.openxmlformats.org/officeDocument/2006/relationships/vmlDrawing" Target="../drawings/vmlDrawing2.vml"/><Relationship Id="rId2" Type="http://schemas.openxmlformats.org/officeDocument/2006/relationships/hyperlink" Target="https://publicfiles.fcc.gov/tv-profile/kabc-tv" TargetMode="External"/><Relationship Id="rId16" Type="http://schemas.openxmlformats.org/officeDocument/2006/relationships/hyperlink" Target="https://publicfiles.fcc.gov/tv-profile/kfsn-tv" TargetMode="External"/><Relationship Id="rId1" Type="http://schemas.openxmlformats.org/officeDocument/2006/relationships/hyperlink" Target="https://publicfiles.fcc.gov/tv-profile/wabc-tv" TargetMode="External"/><Relationship Id="rId6" Type="http://schemas.openxmlformats.org/officeDocument/2006/relationships/hyperlink" Target="https://publicfiles.fcc.gov/tv-profile/kgo-tv" TargetMode="External"/><Relationship Id="rId11" Type="http://schemas.openxmlformats.org/officeDocument/2006/relationships/hyperlink" Target="https://publicfiles.fcc.gov/tv-profile/wls-tv" TargetMode="External"/><Relationship Id="rId5" Type="http://schemas.openxmlformats.org/officeDocument/2006/relationships/hyperlink" Target="https://publicfiles.fcc.gov/tv-profile/ktrk-tv" TargetMode="External"/><Relationship Id="rId15" Type="http://schemas.openxmlformats.org/officeDocument/2006/relationships/hyperlink" Target="https://publicfiles.fcc.gov/tv-profile/wtvd" TargetMode="External"/><Relationship Id="rId10" Type="http://schemas.openxmlformats.org/officeDocument/2006/relationships/hyperlink" Target="https://publicfiles.fcc.gov/tv-profile/kabc-tv" TargetMode="External"/><Relationship Id="rId4" Type="http://schemas.openxmlformats.org/officeDocument/2006/relationships/hyperlink" Target="https://publicfiles.fcc.gov/tv-profile/wpvi-tv" TargetMode="External"/><Relationship Id="rId9" Type="http://schemas.openxmlformats.org/officeDocument/2006/relationships/hyperlink" Target="https://publicfiles.fcc.gov/tv-profile/wabc-tv" TargetMode="External"/><Relationship Id="rId14" Type="http://schemas.openxmlformats.org/officeDocument/2006/relationships/hyperlink" Target="https://publicfiles.fcc.gov/tv-profile/kgo-tv"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thewaltdisneycompany.com/walt-disney-company-reports-fourth-quarter-full-year-earnings-fiscal-2017/" TargetMode="External"/><Relationship Id="rId13" Type="http://schemas.openxmlformats.org/officeDocument/2006/relationships/hyperlink" Target="https://ditm-twdc-us.storage.googleapis.com/q3-fy16-earnings.pdf" TargetMode="External"/><Relationship Id="rId18" Type="http://schemas.openxmlformats.org/officeDocument/2006/relationships/hyperlink" Target="https://thewaltdisneycompany.com/app/uploads/2020/05/q2-fy20-earnings.pdf" TargetMode="External"/><Relationship Id="rId26" Type="http://schemas.openxmlformats.org/officeDocument/2006/relationships/hyperlink" Target="https://thewaltdisneycompany.com/app/uploads/2021/08/q3-fy21-earnings.pdf" TargetMode="External"/><Relationship Id="rId3" Type="http://schemas.openxmlformats.org/officeDocument/2006/relationships/hyperlink" Target="https://www.sec.gov/Archives/edgar/data/1001039/000100103919000053/fy2019_q2xreportingxchange.htm" TargetMode="External"/><Relationship Id="rId21" Type="http://schemas.openxmlformats.org/officeDocument/2006/relationships/hyperlink" Target="https://thewaltdisneycompany.com/app/uploads/2020/11/q4-fy20-earnings.pdf" TargetMode="External"/><Relationship Id="rId7" Type="http://schemas.openxmlformats.org/officeDocument/2006/relationships/hyperlink" Target="https://ditm-twdc-us.storage.googleapis.com/q1-fy18-earnings.pdf" TargetMode="External"/><Relationship Id="rId12" Type="http://schemas.openxmlformats.org/officeDocument/2006/relationships/hyperlink" Target="https://thewaltdisneycompany.com/walt-disney-company-reports-fourth-quarter-earnings-full-year-earnings-fiscal-2016/" TargetMode="External"/><Relationship Id="rId17" Type="http://schemas.openxmlformats.org/officeDocument/2006/relationships/hyperlink" Target="https://www.thewaltdisneycompany.com/wp-content/uploads/2020/02/q1-fy20-earnings.pdf" TargetMode="External"/><Relationship Id="rId25" Type="http://schemas.openxmlformats.org/officeDocument/2006/relationships/hyperlink" Target="https://thewaltdisneycompany.com/app/uploads/2021/05/q2-fy21-earnings.pdf" TargetMode="External"/><Relationship Id="rId2" Type="http://schemas.openxmlformats.org/officeDocument/2006/relationships/hyperlink" Target="https://www.thewaltdisneycompany.com/the-walt-disney-company-reports-first-quarter-earnings-for-fiscal-2019/" TargetMode="External"/><Relationship Id="rId16" Type="http://schemas.openxmlformats.org/officeDocument/2006/relationships/hyperlink" Target="https://www.thewaltdisneycompany.com/wp-content/uploads/2020/02/q1-fy20-earnings.pdf" TargetMode="External"/><Relationship Id="rId20" Type="http://schemas.openxmlformats.org/officeDocument/2006/relationships/hyperlink" Target="https://thewaltdisneycompany.com/app/uploads/2020/08/q3-fy20-earnings.pdf" TargetMode="External"/><Relationship Id="rId1" Type="http://schemas.openxmlformats.org/officeDocument/2006/relationships/hyperlink" Target="https://www.thewaltdisneycompany.com/the-walt-disney-company-reports-second-quarter-and-six-months-earnings-for-fiscal-2019/" TargetMode="External"/><Relationship Id="rId6" Type="http://schemas.openxmlformats.org/officeDocument/2006/relationships/hyperlink" Target="https://www.thewaltdisneycompany.com/wp-content/uploads/2018/05/q2-fy18-earnings.pdf" TargetMode="External"/><Relationship Id="rId11" Type="http://schemas.openxmlformats.org/officeDocument/2006/relationships/hyperlink" Target="https://ditm-twdc-us.storage.googleapis.com/q1-fy17-earnings.pdf" TargetMode="External"/><Relationship Id="rId24" Type="http://schemas.openxmlformats.org/officeDocument/2006/relationships/hyperlink" Target="https://thewaltdisneycompany.com/app/uploads/2021/02/q1-fy21-earnings.pdf" TargetMode="External"/><Relationship Id="rId5" Type="http://schemas.openxmlformats.org/officeDocument/2006/relationships/hyperlink" Target="https://www.thewaltdisneycompany.com/wp-content/uploads/2018/08/q3-fy18-earnings.pdf" TargetMode="External"/><Relationship Id="rId15" Type="http://schemas.openxmlformats.org/officeDocument/2006/relationships/hyperlink" Target="https://www.thewaltdisneycompany.com/wp-content/uploads/2019/11/q4-fy19-earnings.pdf" TargetMode="External"/><Relationship Id="rId23" Type="http://schemas.openxmlformats.org/officeDocument/2006/relationships/hyperlink" Target="https://thewaltdisneycompany.com/app/uploads/2021/02/q1-fy21-earnings.pdf" TargetMode="External"/><Relationship Id="rId10" Type="http://schemas.openxmlformats.org/officeDocument/2006/relationships/hyperlink" Target="https://thewaltdisneycompany.com/walt-disney-company-reports-second-quarter-six-months-earnings-fiscal-2017/" TargetMode="External"/><Relationship Id="rId19" Type="http://schemas.openxmlformats.org/officeDocument/2006/relationships/hyperlink" Target="https://otp.tools.investis.com/clients/us/the_walt_disney_company/SEC/sec-show.aspx?FilingId=14122871&amp;Cik=0001744489&amp;Type=PDF&amp;hasPdf=1" TargetMode="External"/><Relationship Id="rId4" Type="http://schemas.openxmlformats.org/officeDocument/2006/relationships/hyperlink" Target="https://www.thewaltdisneycompany.com/the-walt-disney-company-reports-fourth-quarter-and-full-year-earnings-for-fiscal-2018/" TargetMode="External"/><Relationship Id="rId9" Type="http://schemas.openxmlformats.org/officeDocument/2006/relationships/hyperlink" Target="https://thewaltdisneycompany.com/walt-disney-company-reports-third-quarter-nine-months-earnings-fiscal-2017/" TargetMode="External"/><Relationship Id="rId14" Type="http://schemas.openxmlformats.org/officeDocument/2006/relationships/hyperlink" Target="https://www.thewaltdisneycompany.com/wp-content/uploads/2019/08/q3-fy19-earnings.pdf" TargetMode="External"/><Relationship Id="rId22" Type="http://schemas.openxmlformats.org/officeDocument/2006/relationships/hyperlink" Target="https://thewaltdisneycompany.com/app/uploads/2020/11/q4-fy20-earnings.pdf" TargetMode="External"/><Relationship Id="rId2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B2:W57"/>
  <sheetViews>
    <sheetView showGridLines="0" tabSelected="1" zoomScaleNormal="100" zoomScaleSheetLayoutView="100" zoomScalePageLayoutView="97" workbookViewId="0"/>
  </sheetViews>
  <sheetFormatPr defaultColWidth="8.85546875" defaultRowHeight="15" x14ac:dyDescent="0.25"/>
  <cols>
    <col min="1" max="1" width="5.7109375" style="13" customWidth="1"/>
    <col min="2" max="2" width="7.85546875" style="13" customWidth="1"/>
    <col min="3" max="3" width="10.28515625" style="13" customWidth="1"/>
    <col min="4" max="4" width="13.7109375" style="13" customWidth="1"/>
    <col min="5" max="5" width="5.42578125" style="13" customWidth="1"/>
    <col min="6" max="6" width="13.7109375" style="13" customWidth="1"/>
    <col min="7" max="7" width="6.85546875" style="13" customWidth="1"/>
    <col min="8" max="8" width="31.7109375" style="13" customWidth="1"/>
    <col min="9" max="15" width="8.85546875" style="13" customWidth="1"/>
    <col min="16" max="16" width="45.7109375" style="13" customWidth="1"/>
    <col min="17" max="25" width="8.85546875" style="13" customWidth="1"/>
    <col min="26" max="16384" width="8.85546875" style="13"/>
  </cols>
  <sheetData>
    <row r="2" spans="2:17" x14ac:dyDescent="0.25">
      <c r="B2" s="21"/>
      <c r="C2" s="21"/>
      <c r="D2" s="21"/>
      <c r="E2" s="21"/>
      <c r="F2" s="21"/>
      <c r="G2" s="21"/>
      <c r="H2" s="21"/>
      <c r="I2" s="21"/>
      <c r="J2" s="21"/>
      <c r="K2" s="21"/>
      <c r="L2" s="21"/>
      <c r="M2" s="21"/>
      <c r="N2" s="21"/>
      <c r="O2" s="21"/>
      <c r="P2" s="21"/>
      <c r="Q2" s="21"/>
    </row>
    <row r="3" spans="2:17" x14ac:dyDescent="0.25">
      <c r="B3" s="21"/>
      <c r="C3" s="21"/>
      <c r="D3" s="21"/>
      <c r="E3" s="21"/>
      <c r="F3" s="21"/>
      <c r="G3" s="21"/>
      <c r="H3" s="21"/>
      <c r="I3" s="21"/>
      <c r="J3" s="21"/>
      <c r="K3" s="21"/>
      <c r="L3" s="21"/>
      <c r="M3" s="21"/>
      <c r="N3" s="21"/>
      <c r="O3" s="21"/>
      <c r="P3" s="21"/>
      <c r="Q3" s="21"/>
    </row>
    <row r="4" spans="2:17" x14ac:dyDescent="0.25">
      <c r="B4" s="21"/>
      <c r="C4" s="21"/>
      <c r="D4" s="21"/>
      <c r="E4" s="21"/>
      <c r="F4" s="21"/>
      <c r="G4" s="21"/>
      <c r="H4" s="21"/>
      <c r="I4" s="21"/>
      <c r="J4" s="21"/>
      <c r="K4" s="21"/>
      <c r="L4" s="21"/>
      <c r="M4" s="21"/>
      <c r="N4" s="21"/>
      <c r="O4" s="21"/>
      <c r="P4" s="21"/>
      <c r="Q4" s="21"/>
    </row>
    <row r="5" spans="2:17" x14ac:dyDescent="0.25">
      <c r="B5" s="21"/>
      <c r="C5" s="21"/>
      <c r="D5" s="21"/>
      <c r="E5" s="21"/>
      <c r="F5" s="21"/>
      <c r="G5" s="21"/>
      <c r="H5" s="21"/>
      <c r="I5" s="21"/>
      <c r="J5" s="21"/>
      <c r="K5" s="21"/>
      <c r="L5" s="21"/>
      <c r="M5" s="21"/>
      <c r="N5" s="21"/>
      <c r="O5" s="21"/>
      <c r="P5" s="21"/>
      <c r="Q5" s="21"/>
    </row>
    <row r="6" spans="2:17" ht="18.75" x14ac:dyDescent="0.25">
      <c r="B6" s="21"/>
      <c r="C6" s="21"/>
      <c r="D6" s="21"/>
      <c r="E6" s="21"/>
      <c r="F6" s="21"/>
      <c r="G6" s="21"/>
      <c r="H6" s="21"/>
      <c r="I6" s="21"/>
      <c r="J6" s="21"/>
      <c r="K6" s="21"/>
      <c r="L6" s="21"/>
      <c r="M6" s="36" t="s">
        <v>0</v>
      </c>
      <c r="N6" s="21"/>
      <c r="O6" s="21"/>
      <c r="P6" s="21"/>
      <c r="Q6" s="21"/>
    </row>
    <row r="7" spans="2:17" ht="18.75" x14ac:dyDescent="0.3">
      <c r="B7" s="21"/>
      <c r="C7" s="21"/>
      <c r="D7" s="21"/>
      <c r="E7" s="21"/>
      <c r="F7" s="21"/>
      <c r="G7" s="21"/>
      <c r="H7" s="21"/>
      <c r="I7" s="21"/>
      <c r="J7" s="21"/>
      <c r="K7" s="21"/>
      <c r="L7" s="21"/>
      <c r="M7" s="1" t="s">
        <v>1</v>
      </c>
      <c r="N7" s="1"/>
      <c r="O7" s="1"/>
      <c r="P7" s="21"/>
      <c r="Q7" s="21"/>
    </row>
    <row r="8" spans="2:17" ht="28.5" x14ac:dyDescent="0.45">
      <c r="B8" s="21"/>
      <c r="C8" s="21"/>
      <c r="D8" s="21"/>
      <c r="E8" s="21"/>
      <c r="F8" s="12"/>
      <c r="G8" s="12"/>
      <c r="H8" s="12"/>
      <c r="I8" s="12"/>
      <c r="J8" s="12"/>
      <c r="K8" s="12"/>
      <c r="L8" s="21"/>
      <c r="M8" s="21"/>
      <c r="N8" s="21"/>
      <c r="O8" s="21"/>
      <c r="P8" s="21"/>
      <c r="Q8" s="21"/>
    </row>
    <row r="9" spans="2:17" ht="18.75" customHeight="1" x14ac:dyDescent="0.25">
      <c r="B9" s="21"/>
      <c r="C9" s="28" t="s">
        <v>2</v>
      </c>
      <c r="D9" s="27"/>
      <c r="E9" s="27"/>
      <c r="F9" s="27"/>
      <c r="G9" s="27"/>
      <c r="H9" s="76" t="str">
        <f>Model!A1</f>
        <v>The Walt Disney Company</v>
      </c>
      <c r="I9" s="27"/>
      <c r="J9" s="27"/>
      <c r="K9" s="27"/>
      <c r="L9" s="27"/>
      <c r="M9" s="28" t="s">
        <v>3</v>
      </c>
      <c r="N9" s="27"/>
      <c r="O9" s="27"/>
      <c r="P9" s="11"/>
      <c r="Q9" s="21"/>
    </row>
    <row r="10" spans="2:17" ht="18.75" x14ac:dyDescent="0.3">
      <c r="B10" s="21"/>
      <c r="C10" s="25"/>
      <c r="D10" s="21"/>
      <c r="E10" s="21"/>
      <c r="F10" s="21"/>
      <c r="G10" s="21"/>
      <c r="H10" s="21"/>
      <c r="I10" s="21"/>
      <c r="J10" s="21"/>
      <c r="K10" s="21"/>
      <c r="L10" s="21"/>
      <c r="M10" s="21"/>
      <c r="N10" s="21"/>
      <c r="O10" s="21"/>
      <c r="P10" s="11"/>
      <c r="Q10" s="21"/>
    </row>
    <row r="11" spans="2:17" ht="18.75" x14ac:dyDescent="0.25">
      <c r="B11" s="21"/>
      <c r="C11" s="28" t="s">
        <v>4</v>
      </c>
      <c r="D11" s="21"/>
      <c r="E11" s="21"/>
      <c r="F11" s="21"/>
      <c r="G11" s="21"/>
      <c r="H11" s="29">
        <f ca="1">OFFSET('Update Log'!$C$10,1,0,1,1)</f>
        <v>44420</v>
      </c>
      <c r="I11" s="21"/>
      <c r="J11" s="21"/>
      <c r="K11" s="21"/>
      <c r="L11" s="21"/>
      <c r="M11" s="21"/>
      <c r="N11" s="21"/>
      <c r="O11" s="21"/>
      <c r="P11" s="11"/>
      <c r="Q11" s="21"/>
    </row>
    <row r="12" spans="2:17" ht="18.75" x14ac:dyDescent="0.3">
      <c r="B12" s="21"/>
      <c r="C12" s="21"/>
      <c r="D12" s="21"/>
      <c r="E12" s="21"/>
      <c r="F12" s="21"/>
      <c r="G12" s="21"/>
      <c r="H12" s="30"/>
      <c r="I12" s="21"/>
      <c r="J12" s="21"/>
      <c r="K12" s="21"/>
      <c r="L12" s="21"/>
      <c r="M12" s="21"/>
      <c r="N12" s="21"/>
      <c r="O12" s="21"/>
      <c r="P12" s="11"/>
      <c r="Q12" s="21"/>
    </row>
    <row r="13" spans="2:17" ht="18.75" x14ac:dyDescent="0.25">
      <c r="B13" s="21"/>
      <c r="C13" s="28" t="s">
        <v>5</v>
      </c>
      <c r="D13" s="21"/>
      <c r="E13" s="21"/>
      <c r="F13" s="21"/>
      <c r="G13" s="21"/>
      <c r="H13" s="77" t="str">
        <f ca="1">OFFSET('Update Log'!$E$10,1,0,1,1)</f>
        <v>Quarterly (Earnings Report)</v>
      </c>
      <c r="I13" s="21"/>
      <c r="J13" s="21"/>
      <c r="K13" s="21"/>
      <c r="L13" s="21"/>
      <c r="M13" s="21"/>
      <c r="N13" s="21"/>
      <c r="O13" s="21"/>
      <c r="P13" s="11"/>
      <c r="Q13" s="21"/>
    </row>
    <row r="14" spans="2:17" x14ac:dyDescent="0.25">
      <c r="B14" s="21"/>
      <c r="C14" s="21"/>
      <c r="D14" s="21"/>
      <c r="E14" s="21"/>
      <c r="F14" s="21"/>
      <c r="G14" s="21"/>
      <c r="H14" s="21"/>
      <c r="I14" s="21"/>
      <c r="J14" s="21"/>
      <c r="K14" s="21"/>
      <c r="L14" s="21"/>
      <c r="M14" s="21"/>
      <c r="N14" s="21"/>
      <c r="O14" s="21"/>
      <c r="P14" s="11"/>
      <c r="Q14" s="21"/>
    </row>
    <row r="15" spans="2:17" ht="18.75" customHeight="1" x14ac:dyDescent="0.25">
      <c r="B15" s="21"/>
      <c r="C15" s="28" t="s">
        <v>6</v>
      </c>
      <c r="D15" s="27"/>
      <c r="E15" s="27"/>
      <c r="F15" s="27"/>
      <c r="G15" s="27"/>
      <c r="H15" s="26" t="s">
        <v>7</v>
      </c>
      <c r="I15" s="21"/>
      <c r="J15" s="23"/>
      <c r="K15" s="21"/>
      <c r="L15" s="21"/>
      <c r="M15" s="22"/>
      <c r="N15" s="21"/>
      <c r="O15" s="21"/>
      <c r="P15" s="11"/>
      <c r="Q15" s="21"/>
    </row>
    <row r="16" spans="2:17" ht="15" customHeight="1" x14ac:dyDescent="0.25">
      <c r="B16" s="21"/>
      <c r="C16" s="78"/>
      <c r="D16" s="22"/>
      <c r="E16" s="22"/>
      <c r="F16" s="22"/>
      <c r="G16" s="22"/>
      <c r="H16" s="149">
        <f>IF(FP.DataSourceName="Bloomberg",1,IF(FP.DataSourceName="Capital IQ",2,IF(FP.DataSourceName="FactSet",3,IF(FP.DataSourceName="Refinitiv",4))))</f>
        <v>1</v>
      </c>
      <c r="I16" s="24"/>
      <c r="J16" s="23"/>
      <c r="K16" s="21"/>
      <c r="L16" s="21"/>
      <c r="M16" s="22"/>
      <c r="N16" s="21"/>
      <c r="O16" s="21"/>
      <c r="P16" s="11"/>
      <c r="Q16" s="21"/>
    </row>
    <row r="17" spans="2:23" s="122" customFormat="1" ht="18.75" x14ac:dyDescent="0.3">
      <c r="B17" s="22"/>
      <c r="C17" s="25"/>
      <c r="D17" s="22"/>
      <c r="E17" s="22"/>
      <c r="F17" s="22"/>
      <c r="G17" s="22"/>
      <c r="H17" s="22"/>
      <c r="I17" s="24"/>
      <c r="J17" s="23"/>
      <c r="K17" s="21"/>
      <c r="L17" s="21"/>
      <c r="M17" s="21"/>
      <c r="N17" s="22"/>
      <c r="O17" s="22"/>
      <c r="P17" s="11"/>
      <c r="Q17" s="22"/>
      <c r="W17" s="13"/>
    </row>
    <row r="18" spans="2:23" s="122" customFormat="1" ht="18.75" customHeight="1" x14ac:dyDescent="0.25">
      <c r="B18" s="22"/>
      <c r="C18" s="28" t="s">
        <v>8</v>
      </c>
      <c r="D18" s="27"/>
      <c r="E18" s="27"/>
      <c r="F18" s="27"/>
      <c r="G18" s="27"/>
      <c r="H18" s="26" t="s">
        <v>523</v>
      </c>
      <c r="I18" s="79"/>
      <c r="J18" s="79"/>
      <c r="K18" s="21"/>
      <c r="L18" s="21"/>
      <c r="M18" s="21"/>
      <c r="N18" s="22"/>
      <c r="O18" s="22"/>
      <c r="P18" s="11"/>
      <c r="Q18" s="22"/>
      <c r="W18" s="13"/>
    </row>
    <row r="19" spans="2:23" s="122" customFormat="1" x14ac:dyDescent="0.25">
      <c r="B19" s="22"/>
      <c r="C19" s="78"/>
      <c r="D19" s="22"/>
      <c r="E19" s="22"/>
      <c r="F19" s="22"/>
      <c r="G19" s="22"/>
      <c r="H19" s="22"/>
      <c r="I19" s="24"/>
      <c r="J19" s="23"/>
      <c r="K19" s="21"/>
      <c r="L19" s="21"/>
      <c r="M19" s="21"/>
      <c r="N19" s="22"/>
      <c r="O19" s="22"/>
      <c r="P19" s="11"/>
      <c r="Q19" s="22"/>
      <c r="W19" s="13"/>
    </row>
    <row r="20" spans="2:23" s="122" customFormat="1" ht="18.75" customHeight="1" x14ac:dyDescent="0.3">
      <c r="B20" s="22"/>
      <c r="C20" s="80" t="s">
        <v>9</v>
      </c>
      <c r="D20" s="22"/>
      <c r="E20" s="22"/>
      <c r="F20" s="894">
        <v>44494</v>
      </c>
      <c r="G20" s="22"/>
      <c r="H20" s="619">
        <v>172.01</v>
      </c>
      <c r="I20" s="24"/>
      <c r="J20" s="23"/>
      <c r="K20" s="21"/>
      <c r="L20" s="21"/>
      <c r="M20" s="21"/>
      <c r="N20" s="22"/>
      <c r="O20" s="22"/>
      <c r="P20" s="11"/>
      <c r="Q20" s="22"/>
      <c r="W20" s="13"/>
    </row>
    <row r="21" spans="2:23" s="122" customFormat="1" x14ac:dyDescent="0.25">
      <c r="B21" s="22"/>
      <c r="C21" s="22"/>
      <c r="D21" s="21"/>
      <c r="E21" s="21"/>
      <c r="F21" s="21"/>
      <c r="G21" s="21"/>
      <c r="H21" s="21"/>
      <c r="I21" s="21"/>
      <c r="J21" s="21"/>
      <c r="K21" s="21"/>
      <c r="L21" s="21"/>
      <c r="M21" s="21"/>
      <c r="N21" s="22"/>
      <c r="O21" s="22"/>
      <c r="P21" s="22"/>
      <c r="Q21" s="22"/>
    </row>
    <row r="22" spans="2:23" ht="15.95" customHeight="1" x14ac:dyDescent="0.25">
      <c r="B22" s="21"/>
      <c r="C22" s="10" t="s">
        <v>507</v>
      </c>
      <c r="D22" s="9"/>
      <c r="E22" s="9"/>
      <c r="F22" s="9"/>
      <c r="G22" s="9"/>
      <c r="H22" s="9"/>
      <c r="I22" s="9"/>
      <c r="J22" s="9"/>
      <c r="K22" s="9"/>
      <c r="L22" s="9"/>
      <c r="M22" s="9"/>
      <c r="N22" s="9"/>
      <c r="O22" s="9"/>
      <c r="P22" s="8"/>
      <c r="Q22" s="21"/>
    </row>
    <row r="23" spans="2:23" ht="16.149999999999999" customHeight="1" x14ac:dyDescent="0.25">
      <c r="B23" s="21"/>
      <c r="C23" s="7"/>
      <c r="D23" s="6"/>
      <c r="E23" s="6"/>
      <c r="F23" s="6"/>
      <c r="G23" s="6"/>
      <c r="H23" s="6"/>
      <c r="I23" s="6"/>
      <c r="J23" s="6"/>
      <c r="K23" s="6"/>
      <c r="L23" s="6"/>
      <c r="M23" s="6"/>
      <c r="N23" s="6"/>
      <c r="O23" s="6"/>
      <c r="P23" s="5"/>
      <c r="Q23" s="21"/>
    </row>
    <row r="24" spans="2:23" ht="16.149999999999999" customHeight="1" x14ac:dyDescent="0.25">
      <c r="B24" s="21"/>
      <c r="C24" s="7"/>
      <c r="D24" s="6"/>
      <c r="E24" s="6"/>
      <c r="F24" s="6"/>
      <c r="G24" s="6"/>
      <c r="H24" s="6"/>
      <c r="I24" s="6"/>
      <c r="J24" s="6"/>
      <c r="K24" s="6"/>
      <c r="L24" s="6"/>
      <c r="M24" s="6"/>
      <c r="N24" s="6"/>
      <c r="O24" s="6"/>
      <c r="P24" s="5"/>
      <c r="Q24" s="21"/>
    </row>
    <row r="25" spans="2:23" ht="16.149999999999999" customHeight="1" x14ac:dyDescent="0.25">
      <c r="B25" s="21"/>
      <c r="C25" s="7"/>
      <c r="D25" s="6"/>
      <c r="E25" s="6"/>
      <c r="F25" s="6"/>
      <c r="G25" s="6"/>
      <c r="H25" s="6"/>
      <c r="I25" s="6"/>
      <c r="J25" s="6"/>
      <c r="K25" s="6"/>
      <c r="L25" s="6"/>
      <c r="M25" s="6"/>
      <c r="N25" s="6"/>
      <c r="O25" s="6"/>
      <c r="P25" s="5"/>
      <c r="Q25" s="21"/>
    </row>
    <row r="26" spans="2:23" ht="16.149999999999999" customHeight="1" x14ac:dyDescent="0.25">
      <c r="B26" s="21"/>
      <c r="C26" s="7"/>
      <c r="D26" s="6"/>
      <c r="E26" s="6"/>
      <c r="F26" s="6"/>
      <c r="G26" s="6"/>
      <c r="H26" s="6"/>
      <c r="I26" s="6"/>
      <c r="J26" s="6"/>
      <c r="K26" s="6"/>
      <c r="L26" s="6"/>
      <c r="M26" s="6"/>
      <c r="N26" s="6"/>
      <c r="O26" s="6"/>
      <c r="P26" s="5"/>
      <c r="Q26" s="21"/>
    </row>
    <row r="27" spans="2:23" ht="16.149999999999999" customHeight="1" x14ac:dyDescent="0.25">
      <c r="B27" s="21"/>
      <c r="C27" s="7"/>
      <c r="D27" s="6"/>
      <c r="E27" s="6"/>
      <c r="F27" s="6"/>
      <c r="G27" s="6"/>
      <c r="H27" s="6"/>
      <c r="I27" s="6"/>
      <c r="J27" s="6"/>
      <c r="K27" s="6"/>
      <c r="L27" s="6"/>
      <c r="M27" s="6"/>
      <c r="N27" s="6"/>
      <c r="O27" s="6"/>
      <c r="P27" s="5"/>
      <c r="Q27" s="21"/>
    </row>
    <row r="28" spans="2:23" ht="16.149999999999999" customHeight="1" x14ac:dyDescent="0.25">
      <c r="B28" s="21"/>
      <c r="C28" s="7"/>
      <c r="D28" s="6"/>
      <c r="E28" s="6"/>
      <c r="F28" s="6"/>
      <c r="G28" s="6"/>
      <c r="H28" s="6"/>
      <c r="I28" s="6"/>
      <c r="J28" s="6"/>
      <c r="K28" s="6"/>
      <c r="L28" s="6"/>
      <c r="M28" s="6"/>
      <c r="N28" s="6"/>
      <c r="O28" s="6"/>
      <c r="P28" s="5"/>
      <c r="Q28" s="21"/>
    </row>
    <row r="29" spans="2:23" ht="16.149999999999999" customHeight="1" x14ac:dyDescent="0.25">
      <c r="B29" s="21"/>
      <c r="C29" s="7"/>
      <c r="D29" s="6"/>
      <c r="E29" s="6"/>
      <c r="F29" s="6"/>
      <c r="G29" s="6"/>
      <c r="H29" s="6"/>
      <c r="I29" s="6"/>
      <c r="J29" s="6"/>
      <c r="K29" s="6"/>
      <c r="L29" s="6"/>
      <c r="M29" s="6"/>
      <c r="N29" s="6"/>
      <c r="O29" s="6"/>
      <c r="P29" s="5"/>
      <c r="Q29" s="21"/>
    </row>
    <row r="30" spans="2:23" ht="16.149999999999999" customHeight="1" x14ac:dyDescent="0.25">
      <c r="B30" s="21"/>
      <c r="C30" s="7"/>
      <c r="D30" s="6"/>
      <c r="E30" s="6"/>
      <c r="F30" s="6"/>
      <c r="G30" s="6"/>
      <c r="H30" s="6"/>
      <c r="I30" s="6"/>
      <c r="J30" s="6"/>
      <c r="K30" s="6"/>
      <c r="L30" s="6"/>
      <c r="M30" s="6"/>
      <c r="N30" s="6"/>
      <c r="O30" s="6"/>
      <c r="P30" s="5"/>
      <c r="Q30" s="21"/>
    </row>
    <row r="31" spans="2:23" ht="16.149999999999999" customHeight="1" x14ac:dyDescent="0.25">
      <c r="B31" s="21"/>
      <c r="C31" s="7"/>
      <c r="D31" s="6"/>
      <c r="E31" s="6"/>
      <c r="F31" s="6"/>
      <c r="G31" s="6"/>
      <c r="H31" s="6"/>
      <c r="I31" s="6"/>
      <c r="J31" s="6"/>
      <c r="K31" s="6"/>
      <c r="L31" s="6"/>
      <c r="M31" s="6"/>
      <c r="N31" s="6"/>
      <c r="O31" s="6"/>
      <c r="P31" s="5"/>
      <c r="Q31" s="21"/>
    </row>
    <row r="32" spans="2:23" ht="16.149999999999999" customHeight="1" x14ac:dyDescent="0.25">
      <c r="B32" s="21"/>
      <c r="C32" s="7"/>
      <c r="D32" s="6"/>
      <c r="E32" s="6"/>
      <c r="F32" s="6"/>
      <c r="G32" s="6"/>
      <c r="H32" s="6"/>
      <c r="I32" s="6"/>
      <c r="J32" s="6"/>
      <c r="K32" s="6"/>
      <c r="L32" s="6"/>
      <c r="M32" s="6"/>
      <c r="N32" s="6"/>
      <c r="O32" s="6"/>
      <c r="P32" s="5"/>
      <c r="Q32" s="21"/>
    </row>
    <row r="33" spans="2:17" ht="16.149999999999999" customHeight="1" x14ac:dyDescent="0.25">
      <c r="B33" s="21"/>
      <c r="C33" s="7"/>
      <c r="D33" s="6"/>
      <c r="E33" s="6"/>
      <c r="F33" s="6"/>
      <c r="G33" s="6"/>
      <c r="H33" s="6"/>
      <c r="I33" s="6"/>
      <c r="J33" s="6"/>
      <c r="K33" s="6"/>
      <c r="L33" s="6"/>
      <c r="M33" s="6"/>
      <c r="N33" s="6"/>
      <c r="O33" s="6"/>
      <c r="P33" s="5"/>
      <c r="Q33" s="21"/>
    </row>
    <row r="34" spans="2:17" ht="16.149999999999999" customHeight="1" x14ac:dyDescent="0.25">
      <c r="B34" s="21"/>
      <c r="C34" s="7"/>
      <c r="D34" s="6"/>
      <c r="E34" s="6"/>
      <c r="F34" s="6"/>
      <c r="G34" s="6"/>
      <c r="H34" s="6"/>
      <c r="I34" s="6"/>
      <c r="J34" s="6"/>
      <c r="K34" s="6"/>
      <c r="L34" s="6"/>
      <c r="M34" s="6"/>
      <c r="N34" s="6"/>
      <c r="O34" s="6"/>
      <c r="P34" s="5"/>
      <c r="Q34" s="21"/>
    </row>
    <row r="35" spans="2:17" ht="16.149999999999999" customHeight="1" x14ac:dyDescent="0.25">
      <c r="B35" s="21"/>
      <c r="C35" s="7"/>
      <c r="D35" s="6"/>
      <c r="E35" s="6"/>
      <c r="F35" s="6"/>
      <c r="G35" s="6"/>
      <c r="H35" s="6"/>
      <c r="I35" s="6"/>
      <c r="J35" s="6"/>
      <c r="K35" s="6"/>
      <c r="L35" s="6"/>
      <c r="M35" s="6"/>
      <c r="N35" s="6"/>
      <c r="O35" s="6"/>
      <c r="P35" s="5"/>
      <c r="Q35" s="21"/>
    </row>
    <row r="36" spans="2:17" ht="16.149999999999999" customHeight="1" x14ac:dyDescent="0.25">
      <c r="B36" s="21"/>
      <c r="C36" s="7"/>
      <c r="D36" s="6"/>
      <c r="E36" s="6"/>
      <c r="F36" s="6"/>
      <c r="G36" s="6"/>
      <c r="H36" s="6"/>
      <c r="I36" s="6"/>
      <c r="J36" s="6"/>
      <c r="K36" s="6"/>
      <c r="L36" s="6"/>
      <c r="M36" s="6"/>
      <c r="N36" s="6"/>
      <c r="O36" s="6"/>
      <c r="P36" s="5"/>
      <c r="Q36" s="21"/>
    </row>
    <row r="37" spans="2:17" ht="16.149999999999999" customHeight="1" x14ac:dyDescent="0.25">
      <c r="B37" s="21"/>
      <c r="C37" s="7"/>
      <c r="D37" s="6"/>
      <c r="E37" s="6"/>
      <c r="F37" s="6"/>
      <c r="G37" s="6"/>
      <c r="H37" s="6"/>
      <c r="I37" s="6"/>
      <c r="J37" s="6"/>
      <c r="K37" s="6"/>
      <c r="L37" s="6"/>
      <c r="M37" s="6"/>
      <c r="N37" s="6"/>
      <c r="O37" s="6"/>
      <c r="P37" s="5"/>
      <c r="Q37" s="21"/>
    </row>
    <row r="38" spans="2:17" ht="16.149999999999999" customHeight="1" x14ac:dyDescent="0.25">
      <c r="B38" s="21"/>
      <c r="C38" s="7"/>
      <c r="D38" s="6"/>
      <c r="E38" s="6"/>
      <c r="F38" s="6"/>
      <c r="G38" s="6"/>
      <c r="H38" s="6"/>
      <c r="I38" s="6"/>
      <c r="J38" s="6"/>
      <c r="K38" s="6"/>
      <c r="L38" s="6"/>
      <c r="M38" s="6"/>
      <c r="N38" s="6"/>
      <c r="O38" s="6"/>
      <c r="P38" s="5"/>
      <c r="Q38" s="21"/>
    </row>
    <row r="39" spans="2:17" ht="16.149999999999999" customHeight="1" x14ac:dyDescent="0.25">
      <c r="B39" s="21"/>
      <c r="C39" s="7"/>
      <c r="D39" s="6"/>
      <c r="E39" s="6"/>
      <c r="F39" s="6"/>
      <c r="G39" s="6"/>
      <c r="H39" s="6"/>
      <c r="I39" s="6"/>
      <c r="J39" s="6"/>
      <c r="K39" s="6"/>
      <c r="L39" s="6"/>
      <c r="M39" s="6"/>
      <c r="N39" s="6"/>
      <c r="O39" s="6"/>
      <c r="P39" s="5"/>
      <c r="Q39" s="21"/>
    </row>
    <row r="40" spans="2:17" ht="16.149999999999999" customHeight="1" x14ac:dyDescent="0.25">
      <c r="B40" s="21"/>
      <c r="C40" s="7"/>
      <c r="D40" s="6"/>
      <c r="E40" s="6"/>
      <c r="F40" s="6"/>
      <c r="G40" s="6"/>
      <c r="H40" s="6"/>
      <c r="I40" s="6"/>
      <c r="J40" s="6"/>
      <c r="K40" s="6"/>
      <c r="L40" s="6"/>
      <c r="M40" s="6"/>
      <c r="N40" s="6"/>
      <c r="O40" s="6"/>
      <c r="P40" s="5"/>
      <c r="Q40" s="21"/>
    </row>
    <row r="41" spans="2:17" ht="16.149999999999999" customHeight="1" x14ac:dyDescent="0.25">
      <c r="B41" s="21"/>
      <c r="C41" s="4"/>
      <c r="D41" s="3"/>
      <c r="E41" s="3"/>
      <c r="F41" s="3"/>
      <c r="G41" s="3"/>
      <c r="H41" s="3"/>
      <c r="I41" s="3"/>
      <c r="J41" s="3"/>
      <c r="K41" s="3"/>
      <c r="L41" s="3"/>
      <c r="M41" s="3"/>
      <c r="N41" s="3"/>
      <c r="O41" s="3"/>
      <c r="P41" s="2"/>
      <c r="Q41" s="21"/>
    </row>
    <row r="42" spans="2:17" x14ac:dyDescent="0.25">
      <c r="B42" s="21"/>
      <c r="C42" s="21"/>
      <c r="D42" s="21"/>
      <c r="E42" s="21"/>
      <c r="F42" s="21"/>
      <c r="G42" s="21"/>
      <c r="H42" s="21"/>
      <c r="I42" s="21"/>
      <c r="J42" s="21"/>
      <c r="K42" s="21"/>
      <c r="L42" s="21"/>
      <c r="M42" s="21"/>
      <c r="N42" s="21"/>
      <c r="O42" s="21"/>
      <c r="P42" s="21"/>
      <c r="Q42" s="21"/>
    </row>
    <row r="43" spans="2:17" x14ac:dyDescent="0.25">
      <c r="B43" s="20"/>
      <c r="C43" s="20"/>
      <c r="D43" s="20"/>
      <c r="E43" s="20"/>
      <c r="F43" s="20"/>
      <c r="G43" s="20"/>
      <c r="H43" s="20"/>
      <c r="I43" s="20"/>
      <c r="J43" s="20"/>
      <c r="K43" s="20"/>
      <c r="L43" s="20"/>
      <c r="M43" s="20"/>
      <c r="N43" s="20"/>
      <c r="O43" s="20"/>
    </row>
    <row r="44" spans="2:17" x14ac:dyDescent="0.25">
      <c r="B44" s="20"/>
      <c r="C44" s="20"/>
      <c r="D44" s="20"/>
      <c r="E44" s="20"/>
      <c r="F44" s="20"/>
      <c r="G44" s="20"/>
      <c r="H44" s="20"/>
      <c r="I44" s="20"/>
      <c r="J44" s="20"/>
      <c r="K44" s="20"/>
      <c r="L44" s="20"/>
      <c r="M44" s="20"/>
      <c r="N44" s="20"/>
      <c r="O44" s="20"/>
    </row>
    <row r="45" spans="2:17" x14ac:dyDescent="0.25">
      <c r="B45" s="20"/>
      <c r="C45" s="20"/>
      <c r="D45" s="20"/>
      <c r="E45" s="20"/>
      <c r="F45" s="20"/>
      <c r="G45" s="20"/>
      <c r="H45" s="20"/>
      <c r="I45" s="20"/>
      <c r="J45" s="20"/>
      <c r="K45" s="20"/>
      <c r="L45" s="20"/>
      <c r="M45" s="20"/>
      <c r="N45" s="20"/>
      <c r="O45" s="20"/>
    </row>
    <row r="46" spans="2:17" x14ac:dyDescent="0.25">
      <c r="B46" s="20"/>
      <c r="C46" s="20"/>
      <c r="D46" s="20"/>
      <c r="E46" s="20"/>
      <c r="F46" s="20"/>
      <c r="G46" s="20"/>
      <c r="H46" s="20"/>
      <c r="I46" s="20"/>
      <c r="J46" s="20"/>
      <c r="K46" s="20"/>
      <c r="L46" s="20"/>
      <c r="M46" s="20"/>
      <c r="N46" s="20"/>
      <c r="O46" s="20"/>
    </row>
    <row r="47" spans="2:17" x14ac:dyDescent="0.25">
      <c r="B47" s="20"/>
      <c r="C47" s="20"/>
      <c r="D47" s="20"/>
      <c r="E47" s="20"/>
      <c r="F47" s="20"/>
      <c r="G47" s="20"/>
      <c r="H47" s="20"/>
      <c r="I47" s="20"/>
      <c r="J47" s="20"/>
      <c r="K47" s="20"/>
      <c r="L47" s="20"/>
      <c r="M47" s="20"/>
      <c r="N47" s="20"/>
      <c r="O47" s="20"/>
    </row>
    <row r="48" spans="2:17" x14ac:dyDescent="0.25">
      <c r="B48" s="20"/>
      <c r="C48" s="20"/>
      <c r="D48" s="20"/>
      <c r="E48" s="20"/>
      <c r="F48" s="20"/>
      <c r="G48" s="20"/>
      <c r="H48" s="20"/>
      <c r="I48" s="20"/>
      <c r="J48" s="20"/>
      <c r="K48" s="20"/>
      <c r="L48" s="20"/>
      <c r="M48" s="20"/>
      <c r="N48" s="20"/>
      <c r="O48" s="20"/>
    </row>
    <row r="49" spans="2:15" x14ac:dyDescent="0.25">
      <c r="B49" s="20"/>
      <c r="C49" s="20"/>
      <c r="D49" s="20"/>
      <c r="E49" s="20"/>
      <c r="F49" s="20"/>
      <c r="G49" s="20"/>
      <c r="H49" s="20"/>
      <c r="I49" s="20"/>
      <c r="J49" s="20"/>
      <c r="K49" s="20"/>
      <c r="L49" s="20"/>
      <c r="M49" s="20"/>
      <c r="N49" s="20"/>
      <c r="O49" s="20"/>
    </row>
    <row r="50" spans="2:15" x14ac:dyDescent="0.25">
      <c r="B50" s="20"/>
      <c r="C50" s="20"/>
      <c r="D50" s="20"/>
      <c r="E50" s="20"/>
      <c r="F50" s="20"/>
      <c r="G50" s="20"/>
      <c r="H50" s="20"/>
      <c r="I50" s="20"/>
      <c r="J50" s="20"/>
      <c r="K50" s="20"/>
      <c r="L50" s="20"/>
      <c r="M50" s="20"/>
      <c r="N50" s="20"/>
      <c r="O50" s="20"/>
    </row>
    <row r="51" spans="2:15" x14ac:dyDescent="0.25">
      <c r="B51" s="20"/>
      <c r="C51" s="20"/>
      <c r="D51" s="20"/>
      <c r="E51" s="20"/>
      <c r="F51" s="20"/>
      <c r="G51" s="20"/>
      <c r="H51" s="20"/>
      <c r="I51" s="20"/>
      <c r="J51" s="20"/>
      <c r="K51" s="20"/>
      <c r="L51" s="20"/>
      <c r="M51" s="20"/>
      <c r="N51" s="20"/>
      <c r="O51" s="20"/>
    </row>
    <row r="52" spans="2:15" x14ac:dyDescent="0.25">
      <c r="B52" s="20"/>
      <c r="C52" s="20"/>
      <c r="D52" s="20"/>
      <c r="E52" s="20"/>
      <c r="F52" s="20"/>
      <c r="G52" s="20"/>
      <c r="H52" s="20"/>
      <c r="I52" s="20"/>
      <c r="J52" s="20"/>
      <c r="K52" s="20"/>
      <c r="L52" s="20"/>
      <c r="M52" s="20"/>
      <c r="N52" s="20"/>
      <c r="O52" s="20"/>
    </row>
    <row r="53" spans="2:15" x14ac:dyDescent="0.25">
      <c r="B53" s="20"/>
      <c r="C53" s="20"/>
      <c r="D53" s="20"/>
      <c r="E53" s="20"/>
      <c r="F53" s="20"/>
      <c r="G53" s="20"/>
      <c r="H53" s="20"/>
      <c r="I53" s="20"/>
      <c r="J53" s="20"/>
      <c r="K53" s="20"/>
      <c r="L53" s="20"/>
      <c r="M53" s="20"/>
      <c r="N53" s="20"/>
      <c r="O53" s="20"/>
    </row>
    <row r="54" spans="2:15" x14ac:dyDescent="0.25">
      <c r="B54" s="20"/>
      <c r="C54" s="20"/>
      <c r="D54" s="20"/>
      <c r="E54" s="20"/>
      <c r="F54" s="20"/>
      <c r="G54" s="20"/>
      <c r="H54" s="20"/>
      <c r="I54" s="20"/>
      <c r="J54" s="20"/>
      <c r="K54" s="20"/>
      <c r="L54" s="20"/>
      <c r="M54" s="20"/>
      <c r="N54" s="20"/>
      <c r="O54" s="20"/>
    </row>
    <row r="55" spans="2:15" x14ac:dyDescent="0.25">
      <c r="B55" s="20"/>
      <c r="C55" s="20"/>
      <c r="D55" s="20"/>
      <c r="E55" s="20"/>
      <c r="F55" s="20"/>
      <c r="G55" s="20"/>
      <c r="H55" s="20"/>
      <c r="I55" s="20"/>
      <c r="J55" s="20"/>
      <c r="K55" s="20"/>
      <c r="L55" s="20"/>
      <c r="M55" s="20"/>
      <c r="N55" s="20"/>
      <c r="O55" s="20"/>
    </row>
    <row r="56" spans="2:15" x14ac:dyDescent="0.25">
      <c r="B56" s="20"/>
      <c r="C56" s="20"/>
      <c r="D56" s="20"/>
      <c r="E56" s="20"/>
      <c r="F56" s="20"/>
      <c r="G56" s="20"/>
      <c r="H56" s="20"/>
      <c r="I56" s="20"/>
      <c r="J56" s="20"/>
      <c r="K56" s="20"/>
      <c r="L56" s="20"/>
      <c r="M56" s="20"/>
      <c r="N56" s="20"/>
      <c r="O56" s="20"/>
    </row>
    <row r="57" spans="2:15" x14ac:dyDescent="0.25">
      <c r="B57" s="20"/>
      <c r="C57" s="20"/>
      <c r="D57" s="20"/>
      <c r="E57" s="20"/>
      <c r="F57" s="20"/>
      <c r="G57" s="20"/>
      <c r="H57" s="20"/>
      <c r="I57" s="20"/>
      <c r="J57" s="20"/>
      <c r="K57" s="20"/>
      <c r="L57" s="20"/>
      <c r="M57" s="20"/>
      <c r="N57" s="20"/>
      <c r="O57" s="20"/>
    </row>
  </sheetData>
  <mergeCells count="4">
    <mergeCell ref="F8:K8"/>
    <mergeCell ref="P9:P20"/>
    <mergeCell ref="C22:P41"/>
    <mergeCell ref="M7:O7"/>
  </mergeCells>
  <conditionalFormatting sqref="C20:H20">
    <cfRule type="expression" dxfId="10" priority="2">
      <formula>AND(FP.RealTimeToggle="ON",MO.RealTime="ON")</formula>
    </cfRule>
  </conditionalFormatting>
  <dataValidations count="3">
    <dataValidation type="list" allowBlank="1" showInputMessage="1" showErrorMessage="1" sqref="H18" xr:uid="{00000000-0002-0000-0000-000000000000}">
      <formula1>"ON, OFF"</formula1>
    </dataValidation>
    <dataValidation allowBlank="1" showInputMessage="1" showErrorMessage="1" sqref="H16" xr:uid="{00000000-0002-0000-0000-000001000000}"/>
    <dataValidation type="list" allowBlank="1" showInputMessage="1" showErrorMessage="1" sqref="H15" xr:uid="{00000000-0002-0000-0000-000002000000}">
      <formula1>"Bloomberg, Capital IQ, FactSet, Refinitiv"</formula1>
    </dataValidation>
  </dataValidations>
  <hyperlinks>
    <hyperlink ref="M7" r:id="rId1" tooltip="Click to directly email Canalyst support" xr:uid="{00000000-0004-0000-0000-000000000000}"/>
    <hyperlink ref="M7:O7" r:id="rId2" tooltip="Click to directly email Canalyst support" display="support@canalyst.com" xr:uid="{00000000-0004-0000-0000-000001000000}"/>
  </hyperlinks>
  <pageMargins left="0.7" right="0.7" top="0.75" bottom="0.75" header="0.3" footer="0.3"/>
  <pageSetup scale="45" orientation="portrait"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BH1165"/>
  <sheetViews>
    <sheetView zoomScale="85" zoomScaleNormal="85" workbookViewId="0">
      <pane xSplit="2" ySplit="5" topLeftCell="AO6" activePane="bottomRight" state="frozen"/>
      <selection pane="topRight" activeCell="C1" sqref="C1"/>
      <selection pane="bottomLeft" activeCell="A6" sqref="A6"/>
      <selection pane="bottomRight"/>
    </sheetView>
  </sheetViews>
  <sheetFormatPr defaultColWidth="9.140625" defaultRowHeight="15" outlineLevelRow="2" outlineLevelCol="1" x14ac:dyDescent="0.25"/>
  <cols>
    <col min="1" max="1" width="50.7109375" customWidth="1"/>
    <col min="2" max="2" width="10.7109375" customWidth="1"/>
    <col min="3" max="6" width="10.28515625" customWidth="1"/>
    <col min="7" max="10" width="10.28515625" hidden="1" customWidth="1" outlineLevel="1"/>
    <col min="11" max="11" width="10.28515625" customWidth="1" collapsed="1"/>
    <col min="12" max="15" width="10.28515625" hidden="1" customWidth="1" outlineLevel="1"/>
    <col min="16" max="16" width="10.28515625" customWidth="1" collapsed="1"/>
    <col min="17" max="20" width="10.28515625" hidden="1" customWidth="1" outlineLevel="1"/>
    <col min="21" max="21" width="10.28515625" customWidth="1" collapsed="1"/>
    <col min="22" max="25" width="10.28515625" hidden="1" customWidth="1" outlineLevel="1"/>
    <col min="26" max="26" width="10.28515625" customWidth="1" collapsed="1"/>
    <col min="27" max="30" width="10.28515625" hidden="1" customWidth="1" outlineLevel="1"/>
    <col min="31" max="31" width="10.28515625" customWidth="1" collapsed="1"/>
    <col min="32" max="35" width="10.28515625" hidden="1" customWidth="1" outlineLevel="1"/>
    <col min="36" max="36" width="10.28515625" customWidth="1" collapsed="1"/>
    <col min="37" max="40" width="10.28515625" hidden="1" customWidth="1" outlineLevel="1"/>
    <col min="41" max="41" width="10.28515625" customWidth="1" collapsed="1"/>
    <col min="42" max="45" width="10.28515625" customWidth="1" outlineLevel="1"/>
    <col min="46" max="46" width="10.28515625" customWidth="1"/>
    <col min="47" max="50" width="9.140625" customWidth="1" outlineLevel="1"/>
    <col min="51" max="51" width="10.28515625"/>
    <col min="52" max="55" width="10.28515625" customWidth="1" outlineLevel="1"/>
    <col min="56" max="59" width="10.28515625" customWidth="1"/>
    <col min="60" max="65" width="9.140625" customWidth="1"/>
  </cols>
  <sheetData>
    <row r="1" spans="1:60" s="63" customFormat="1" ht="28.5" x14ac:dyDescent="0.45">
      <c r="A1" s="601" t="s">
        <v>10</v>
      </c>
      <c r="B1" s="957"/>
      <c r="C1" s="957"/>
      <c r="D1" s="957"/>
      <c r="E1" s="957"/>
      <c r="F1" s="957"/>
      <c r="G1" s="957"/>
      <c r="H1" s="957"/>
      <c r="I1" s="957"/>
      <c r="J1" s="957"/>
      <c r="K1" s="957"/>
      <c r="L1" s="957"/>
      <c r="M1" s="957"/>
      <c r="N1" s="957"/>
      <c r="O1" s="957"/>
      <c r="P1" s="957"/>
      <c r="Q1" s="957"/>
      <c r="R1" s="957"/>
      <c r="S1" s="957"/>
      <c r="T1" s="957"/>
      <c r="U1" s="957"/>
      <c r="V1" s="957"/>
      <c r="W1" s="957"/>
      <c r="X1" s="957"/>
      <c r="Y1" s="957"/>
      <c r="Z1" s="957"/>
      <c r="AA1" s="957"/>
      <c r="AB1" s="957"/>
      <c r="AC1" s="957"/>
      <c r="AD1" s="957"/>
      <c r="AE1" s="957"/>
      <c r="AF1" s="957"/>
      <c r="AG1" s="957"/>
      <c r="AH1" s="957"/>
      <c r="AI1" s="957"/>
      <c r="AJ1" s="957"/>
      <c r="AK1" s="957"/>
      <c r="AL1" s="957"/>
      <c r="AM1" s="957"/>
      <c r="AN1" s="957"/>
      <c r="AO1" s="957"/>
      <c r="AP1" s="957"/>
      <c r="AQ1" s="957"/>
      <c r="AR1" s="957"/>
      <c r="AS1" s="957"/>
      <c r="AT1" s="957"/>
      <c r="AU1" s="957"/>
      <c r="AV1" s="957"/>
      <c r="AW1" s="958"/>
      <c r="AX1" s="957"/>
      <c r="AY1" s="957"/>
      <c r="AZ1" s="957"/>
      <c r="BA1" s="957"/>
      <c r="BB1" s="957"/>
      <c r="BC1" s="957"/>
      <c r="BD1" s="957"/>
      <c r="BE1" s="957"/>
      <c r="BF1" s="957"/>
      <c r="BG1" s="957"/>
      <c r="BH1" s="728"/>
    </row>
    <row r="2" spans="1:60" s="81" customFormat="1" x14ac:dyDescent="0.25">
      <c r="A2" s="733" t="str">
        <f>CHOOSE(MO.DataSourceIndex,MO.Ticker.Bloomberg,MO.Ticker.CapIQ,MO.Ticker.FactSet,MO.Ticker.Thomson)</f>
        <v>DIS US</v>
      </c>
      <c r="B2" s="742"/>
      <c r="C2" s="235">
        <f>EOMONTH(C4,-12)</f>
        <v>39721</v>
      </c>
      <c r="D2" s="743"/>
      <c r="E2" s="743"/>
      <c r="F2" s="743"/>
      <c r="G2" s="743"/>
      <c r="H2" s="743"/>
      <c r="I2" s="743"/>
      <c r="J2" s="743"/>
      <c r="K2" s="743"/>
      <c r="L2" s="743"/>
      <c r="M2" s="743"/>
      <c r="N2" s="743"/>
      <c r="O2" s="743"/>
      <c r="P2" s="743"/>
      <c r="Q2" s="743"/>
      <c r="R2" s="743"/>
      <c r="S2" s="743"/>
      <c r="T2" s="743"/>
      <c r="U2" s="743"/>
      <c r="V2" s="743"/>
      <c r="W2" s="743"/>
      <c r="X2" s="743"/>
      <c r="Y2" s="743"/>
      <c r="Z2" s="743"/>
      <c r="AA2" s="743"/>
      <c r="AB2" s="743"/>
      <c r="AC2" s="743"/>
      <c r="AD2" s="743"/>
      <c r="AE2" s="743"/>
      <c r="AF2" s="743"/>
      <c r="AG2" s="743"/>
      <c r="AH2" s="743"/>
      <c r="AI2" s="743"/>
      <c r="AJ2" s="743"/>
      <c r="AK2" s="743"/>
      <c r="AL2" s="743"/>
      <c r="AM2" s="743"/>
      <c r="AN2" s="743"/>
      <c r="AO2" s="743"/>
      <c r="AP2" s="743"/>
      <c r="AQ2" s="743"/>
      <c r="AR2" s="743"/>
      <c r="AS2" s="743"/>
      <c r="AT2" s="743"/>
      <c r="AU2" s="743"/>
      <c r="AV2" s="743"/>
      <c r="AW2" s="744"/>
      <c r="AX2" s="743"/>
      <c r="AY2" s="743"/>
      <c r="AZ2" s="743"/>
      <c r="BA2" s="743"/>
      <c r="BB2" s="743"/>
      <c r="BC2" s="743"/>
      <c r="BD2" s="743"/>
      <c r="BE2" s="743"/>
      <c r="BF2" s="743"/>
      <c r="BG2" s="743"/>
      <c r="BH2" s="290"/>
    </row>
    <row r="3" spans="1:60" s="43" customFormat="1" x14ac:dyDescent="0.25">
      <c r="A3" s="734" t="str">
        <f ca="1">HP.TradeCurrency</f>
        <v>USD</v>
      </c>
      <c r="B3" s="735">
        <f ca="1">IF(MO.RealTime="OFF",MO.LastPriceHardcoded,MO.LastPriceFormula)</f>
        <v>172.01</v>
      </c>
      <c r="C3" s="828">
        <f>C4-C2</f>
        <v>365</v>
      </c>
      <c r="D3" s="828">
        <f t="shared" ref="D3:J3" si="0">D4-C4</f>
        <v>365</v>
      </c>
      <c r="E3" s="828">
        <f t="shared" si="0"/>
        <v>365</v>
      </c>
      <c r="F3" s="828">
        <f t="shared" si="0"/>
        <v>366</v>
      </c>
      <c r="G3" s="123">
        <f t="shared" si="0"/>
        <v>92</v>
      </c>
      <c r="H3" s="123">
        <f t="shared" si="0"/>
        <v>90</v>
      </c>
      <c r="I3" s="123">
        <f t="shared" si="0"/>
        <v>91</v>
      </c>
      <c r="J3" s="123">
        <f t="shared" si="0"/>
        <v>92</v>
      </c>
      <c r="K3" s="828">
        <f>K4-F4</f>
        <v>365</v>
      </c>
      <c r="L3" s="123">
        <f>L4-K4</f>
        <v>92</v>
      </c>
      <c r="M3" s="123">
        <f>M4-L4</f>
        <v>90</v>
      </c>
      <c r="N3" s="123">
        <f>N4-M4</f>
        <v>91</v>
      </c>
      <c r="O3" s="123">
        <f>O4-N4</f>
        <v>92</v>
      </c>
      <c r="P3" s="828">
        <f>P4-K4</f>
        <v>365</v>
      </c>
      <c r="Q3" s="123">
        <f>Q4-P4</f>
        <v>92</v>
      </c>
      <c r="R3" s="123">
        <f>R4-Q4</f>
        <v>90</v>
      </c>
      <c r="S3" s="123">
        <f>S4-R4</f>
        <v>91</v>
      </c>
      <c r="T3" s="123">
        <f>T4-S4</f>
        <v>92</v>
      </c>
      <c r="U3" s="828">
        <f>U4-P4</f>
        <v>365</v>
      </c>
      <c r="V3" s="123">
        <f>V4-U4</f>
        <v>92</v>
      </c>
      <c r="W3" s="123">
        <f>W4-V4</f>
        <v>91</v>
      </c>
      <c r="X3" s="123">
        <f>X4-W4</f>
        <v>91</v>
      </c>
      <c r="Y3" s="123">
        <f>Y4-X4</f>
        <v>92</v>
      </c>
      <c r="Z3" s="828">
        <f>Z4-U4</f>
        <v>366</v>
      </c>
      <c r="AA3" s="124">
        <f>AA4-Z4</f>
        <v>92</v>
      </c>
      <c r="AB3" s="189">
        <f>AB4-AA4</f>
        <v>90</v>
      </c>
      <c r="AC3" s="123">
        <f>AC4-AB4</f>
        <v>91</v>
      </c>
      <c r="AD3" s="123">
        <f>AD4-AC4</f>
        <v>92</v>
      </c>
      <c r="AE3" s="828">
        <f>AE4-Z4</f>
        <v>365</v>
      </c>
      <c r="AF3" s="124">
        <f>AF4-AE4</f>
        <v>92</v>
      </c>
      <c r="AG3" s="189">
        <f>AG4-AF4</f>
        <v>90</v>
      </c>
      <c r="AH3" s="123">
        <f>AH4-AG4</f>
        <v>91</v>
      </c>
      <c r="AI3" s="123">
        <f>AI4-AH4</f>
        <v>92</v>
      </c>
      <c r="AJ3" s="828">
        <f>AJ4-AE4</f>
        <v>365</v>
      </c>
      <c r="AK3" s="124">
        <f>AK4-AJ4</f>
        <v>92</v>
      </c>
      <c r="AL3" s="189">
        <f>AL4-AK4</f>
        <v>90</v>
      </c>
      <c r="AM3" s="123">
        <f>AM4-AL4</f>
        <v>91</v>
      </c>
      <c r="AN3" s="123">
        <f>AN4-AM4</f>
        <v>92</v>
      </c>
      <c r="AO3" s="828">
        <f>AO4-AJ4</f>
        <v>365</v>
      </c>
      <c r="AP3" s="124">
        <f>AP4-AO4</f>
        <v>92</v>
      </c>
      <c r="AQ3" s="189">
        <f>AQ4-AP4</f>
        <v>91</v>
      </c>
      <c r="AR3" s="123">
        <f>AR4-AQ4</f>
        <v>91</v>
      </c>
      <c r="AS3" s="123">
        <f>AS4-AR4</f>
        <v>92</v>
      </c>
      <c r="AT3" s="828">
        <f>AT4-AO4</f>
        <v>366</v>
      </c>
      <c r="AU3" s="124">
        <f>AU4-AT4</f>
        <v>92</v>
      </c>
      <c r="AV3" s="189">
        <f>AV4-AU4</f>
        <v>90</v>
      </c>
      <c r="AW3" s="864">
        <f>AW4-AV4</f>
        <v>91</v>
      </c>
      <c r="AX3" s="124">
        <f>AX4-AW4</f>
        <v>92</v>
      </c>
      <c r="AY3" s="841">
        <f>AY4-AT4</f>
        <v>365</v>
      </c>
      <c r="AZ3" s="124">
        <f>AZ4-AY4</f>
        <v>92</v>
      </c>
      <c r="BA3" s="124">
        <f>BA4-AZ4</f>
        <v>90</v>
      </c>
      <c r="BB3" s="124">
        <f>BB4-BA4</f>
        <v>91</v>
      </c>
      <c r="BC3" s="124">
        <f>BC4-BB4</f>
        <v>92</v>
      </c>
      <c r="BD3" s="841">
        <f>BD4-AY4</f>
        <v>365</v>
      </c>
      <c r="BE3" s="841">
        <f>BE4-BD4</f>
        <v>365</v>
      </c>
      <c r="BF3" s="841">
        <f>BF4-BE4</f>
        <v>366</v>
      </c>
      <c r="BG3" s="841">
        <f>BG4-BF4</f>
        <v>365</v>
      </c>
      <c r="BH3" s="736"/>
    </row>
    <row r="4" spans="1:60" s="82" customFormat="1" x14ac:dyDescent="0.25">
      <c r="A4" s="737" t="str">
        <f>FP.DataSourceName</f>
        <v>Bloomberg</v>
      </c>
      <c r="B4" s="463" t="str">
        <f ca="1">IF(AND(MO.RealTimeStockPriceToggle,MO.LastPriceFormula&lt;&gt;"N/A"),"ON","OFF")</f>
        <v>OFF</v>
      </c>
      <c r="C4" s="829">
        <v>40086</v>
      </c>
      <c r="D4" s="839">
        <f>EOMONTH(C4,12)</f>
        <v>40451</v>
      </c>
      <c r="E4" s="839">
        <f>EOMONTH(D4,12)</f>
        <v>40816</v>
      </c>
      <c r="F4" s="839">
        <f>EOMONTH(E4,12)</f>
        <v>41182</v>
      </c>
      <c r="G4" s="232">
        <f>EOMONTH(F4,3)</f>
        <v>41274</v>
      </c>
      <c r="H4" s="232">
        <f>EOMONTH(G4,3)</f>
        <v>41364</v>
      </c>
      <c r="I4" s="232">
        <f>EOMONTH(H4,3)</f>
        <v>41455</v>
      </c>
      <c r="J4" s="232">
        <f>EOMONTH(I4,3)</f>
        <v>41547</v>
      </c>
      <c r="K4" s="839">
        <f>J4</f>
        <v>41547</v>
      </c>
      <c r="L4" s="232">
        <f>EOMONTH(K4,3)</f>
        <v>41639</v>
      </c>
      <c r="M4" s="232">
        <f>EOMONTH(L4,3)</f>
        <v>41729</v>
      </c>
      <c r="N4" s="232">
        <f>EOMONTH(M4,3)</f>
        <v>41820</v>
      </c>
      <c r="O4" s="232">
        <f>EOMONTH(N4,3)</f>
        <v>41912</v>
      </c>
      <c r="P4" s="839">
        <f>O4</f>
        <v>41912</v>
      </c>
      <c r="Q4" s="232">
        <f>EOMONTH(P4,3)</f>
        <v>42004</v>
      </c>
      <c r="R4" s="232">
        <f>EOMONTH(Q4,3)</f>
        <v>42094</v>
      </c>
      <c r="S4" s="232">
        <f>EOMONTH(R4,3)</f>
        <v>42185</v>
      </c>
      <c r="T4" s="232">
        <f>EOMONTH(S4,3)</f>
        <v>42277</v>
      </c>
      <c r="U4" s="839">
        <f>T4</f>
        <v>42277</v>
      </c>
      <c r="V4" s="232">
        <f>EOMONTH(U4,3)</f>
        <v>42369</v>
      </c>
      <c r="W4" s="232">
        <f>EOMONTH(V4,3)</f>
        <v>42460</v>
      </c>
      <c r="X4" s="232">
        <f>EOMONTH(W4,3)</f>
        <v>42551</v>
      </c>
      <c r="Y4" s="232">
        <f>EOMONTH(X4,3)</f>
        <v>42643</v>
      </c>
      <c r="Z4" s="839">
        <f>Y4</f>
        <v>42643</v>
      </c>
      <c r="AA4" s="172">
        <f>EOMONTH(Z4,3)</f>
        <v>42735</v>
      </c>
      <c r="AB4" s="232">
        <f>EOMONTH(AA4,3)</f>
        <v>42825</v>
      </c>
      <c r="AC4" s="232">
        <f>EOMONTH(AB4,3)</f>
        <v>42916</v>
      </c>
      <c r="AD4" s="232">
        <f>EOMONTH(AC4,3)</f>
        <v>43008</v>
      </c>
      <c r="AE4" s="839">
        <f>AD4</f>
        <v>43008</v>
      </c>
      <c r="AF4" s="172">
        <f>EOMONTH(AE4,3)</f>
        <v>43100</v>
      </c>
      <c r="AG4" s="232">
        <f>EOMONTH(AF4,3)</f>
        <v>43190</v>
      </c>
      <c r="AH4" s="232">
        <f>EOMONTH(AG4,3)</f>
        <v>43281</v>
      </c>
      <c r="AI4" s="232">
        <f>EOMONTH(AH4,3)</f>
        <v>43373</v>
      </c>
      <c r="AJ4" s="839">
        <f>AI4</f>
        <v>43373</v>
      </c>
      <c r="AK4" s="172">
        <f>EOMONTH(AJ4,3)</f>
        <v>43465</v>
      </c>
      <c r="AL4" s="232">
        <f>EOMONTH(AK4,3)</f>
        <v>43555</v>
      </c>
      <c r="AM4" s="232">
        <f>EOMONTH(AL4,3)</f>
        <v>43646</v>
      </c>
      <c r="AN4" s="232">
        <f>EOMONTH(AM4,3)</f>
        <v>43738</v>
      </c>
      <c r="AO4" s="839">
        <f>AN4</f>
        <v>43738</v>
      </c>
      <c r="AP4" s="172">
        <f>EOMONTH(AO4,3)</f>
        <v>43830</v>
      </c>
      <c r="AQ4" s="232">
        <f>EOMONTH(AP4,3)</f>
        <v>43921</v>
      </c>
      <c r="AR4" s="232">
        <f>EOMONTH(AQ4,3)</f>
        <v>44012</v>
      </c>
      <c r="AS4" s="232">
        <f>EOMONTH(AR4,3)</f>
        <v>44104</v>
      </c>
      <c r="AT4" s="839">
        <f>AS4</f>
        <v>44104</v>
      </c>
      <c r="AU4" s="172">
        <f>EOMONTH(AT4,3)</f>
        <v>44196</v>
      </c>
      <c r="AV4" s="232">
        <f>EOMONTH(AU4,3)</f>
        <v>44286</v>
      </c>
      <c r="AW4" s="731">
        <f>EOMONTH(AV4,3)</f>
        <v>44377</v>
      </c>
      <c r="AX4" s="172">
        <f>EOMONTH(AW4,3)</f>
        <v>44469</v>
      </c>
      <c r="AY4" s="842">
        <f>EOMONTH(AT4,12)</f>
        <v>44469</v>
      </c>
      <c r="AZ4" s="172">
        <f>EOMONTH(AY4,3)</f>
        <v>44561</v>
      </c>
      <c r="BA4" s="172">
        <f>EOMONTH(AZ4,3)</f>
        <v>44651</v>
      </c>
      <c r="BB4" s="172">
        <f>EOMONTH(BA4,3)</f>
        <v>44742</v>
      </c>
      <c r="BC4" s="172">
        <f>EOMONTH(BB4,3)</f>
        <v>44834</v>
      </c>
      <c r="BD4" s="842">
        <f>EOMONTH(AY4,12)</f>
        <v>44834</v>
      </c>
      <c r="BE4" s="842">
        <f>EOMONTH(BD4,12)</f>
        <v>45199</v>
      </c>
      <c r="BF4" s="842">
        <f>EOMONTH(BE4,12)</f>
        <v>45565</v>
      </c>
      <c r="BG4" s="842">
        <f>EOMONTH(BF4,12)</f>
        <v>45930</v>
      </c>
      <c r="BH4" s="284"/>
    </row>
    <row r="5" spans="1:60" s="81" customFormat="1" x14ac:dyDescent="0.25">
      <c r="A5" s="148" t="str">
        <f>MO.ReportCurrency</f>
        <v>USD</v>
      </c>
      <c r="B5" s="745"/>
      <c r="C5" s="830" t="s">
        <v>12</v>
      </c>
      <c r="D5" s="840" t="str">
        <f>CONCATENATE("FY",RIGHT(C5,4)+1)</f>
        <v>FY2010</v>
      </c>
      <c r="E5" s="840" t="str">
        <f>CONCATENATE("FY",RIGHT(D5,4)+1)</f>
        <v>FY2011</v>
      </c>
      <c r="F5" s="840" t="str">
        <f>CONCATENATE("FY",RIGHT(E5,4)+1)</f>
        <v>FY2012</v>
      </c>
      <c r="G5" s="59" t="str">
        <f>CONCATENATE("Q1","-",RIGHT(F5,4)+1)</f>
        <v>Q1-2013</v>
      </c>
      <c r="H5" s="59" t="str">
        <f>CONCATENATE("Q2","-",RIGHT(G5,4))</f>
        <v>Q2-2013</v>
      </c>
      <c r="I5" s="59" t="str">
        <f>CONCATENATE("Q3","-",RIGHT(H5,4))</f>
        <v>Q3-2013</v>
      </c>
      <c r="J5" s="59" t="str">
        <f>CONCATENATE("Q4","-",RIGHT(I5,4))</f>
        <v>Q4-2013</v>
      </c>
      <c r="K5" s="840" t="str">
        <f>CONCATENATE("FY",RIGHT(F5,4)+1)</f>
        <v>FY2013</v>
      </c>
      <c r="L5" s="59" t="str">
        <f>CONCATENATE("Q1","-",RIGHT(K5,4)+1)</f>
        <v>Q1-2014</v>
      </c>
      <c r="M5" s="59" t="str">
        <f>CONCATENATE("Q2","-",RIGHT(L5,4))</f>
        <v>Q2-2014</v>
      </c>
      <c r="N5" s="59" t="str">
        <f>CONCATENATE("Q3","-",RIGHT(M5,4))</f>
        <v>Q3-2014</v>
      </c>
      <c r="O5" s="59" t="str">
        <f>CONCATENATE("Q4","-",RIGHT(N5,4))</f>
        <v>Q4-2014</v>
      </c>
      <c r="P5" s="840" t="str">
        <f>CONCATENATE("FY",RIGHT(K5,4)+1)</f>
        <v>FY2014</v>
      </c>
      <c r="Q5" s="59" t="str">
        <f>CONCATENATE("Q1","-",RIGHT(P5,4)+1)</f>
        <v>Q1-2015</v>
      </c>
      <c r="R5" s="59" t="str">
        <f>CONCATENATE("Q2","-",RIGHT(Q5,4))</f>
        <v>Q2-2015</v>
      </c>
      <c r="S5" s="59" t="str">
        <f>CONCATENATE("Q3","-",RIGHT(R5,4))</f>
        <v>Q3-2015</v>
      </c>
      <c r="T5" s="59" t="str">
        <f>CONCATENATE("Q4","-",RIGHT(S5,4))</f>
        <v>Q4-2015</v>
      </c>
      <c r="U5" s="840" t="str">
        <f>CONCATENATE("FY",RIGHT(P5,4)+1)</f>
        <v>FY2015</v>
      </c>
      <c r="V5" s="59" t="str">
        <f>CONCATENATE("Q1","-",RIGHT(U5,4)+1)</f>
        <v>Q1-2016</v>
      </c>
      <c r="W5" s="59" t="str">
        <f>CONCATENATE("Q2","-",RIGHT(V5,4))</f>
        <v>Q2-2016</v>
      </c>
      <c r="X5" s="59" t="str">
        <f>CONCATENATE("Q3","-",RIGHT(W5,4))</f>
        <v>Q3-2016</v>
      </c>
      <c r="Y5" s="59" t="str">
        <f>CONCATENATE("Q4","-",RIGHT(X5,4))</f>
        <v>Q4-2016</v>
      </c>
      <c r="Z5" s="840" t="str">
        <f>CONCATENATE("FY",RIGHT(U5,4)+1)</f>
        <v>FY2016</v>
      </c>
      <c r="AA5" s="99" t="str">
        <f>CONCATENATE("Q1","-",RIGHT(Z5,4)+1)</f>
        <v>Q1-2017</v>
      </c>
      <c r="AB5" s="59" t="str">
        <f>CONCATENATE("Q2","-",RIGHT(AA5,4))</f>
        <v>Q2-2017</v>
      </c>
      <c r="AC5" s="59" t="str">
        <f>CONCATENATE("Q3","-",RIGHT(AB5,4))</f>
        <v>Q3-2017</v>
      </c>
      <c r="AD5" s="59" t="str">
        <f>CONCATENATE("Q4","-",RIGHT(AC5,4))</f>
        <v>Q4-2017</v>
      </c>
      <c r="AE5" s="840" t="str">
        <f>CONCATENATE("FY",RIGHT(Z5,4)+1)</f>
        <v>FY2017</v>
      </c>
      <c r="AF5" s="99" t="str">
        <f>CONCATENATE("Q1","-",RIGHT(AE5,4)+1)</f>
        <v>Q1-2018</v>
      </c>
      <c r="AG5" s="59" t="str">
        <f>CONCATENATE("Q2","-",RIGHT(AF5,4))</f>
        <v>Q2-2018</v>
      </c>
      <c r="AH5" s="59" t="str">
        <f>CONCATENATE("Q3","-",RIGHT(AG5,4))</f>
        <v>Q3-2018</v>
      </c>
      <c r="AI5" s="59" t="str">
        <f>CONCATENATE("Q4","-",RIGHT(AH5,4))</f>
        <v>Q4-2018</v>
      </c>
      <c r="AJ5" s="840" t="str">
        <f>CONCATENATE("FY",RIGHT(AE5,4)+1)</f>
        <v>FY2018</v>
      </c>
      <c r="AK5" s="99" t="str">
        <f>CONCATENATE("Q1","-",RIGHT(AJ5,4)+1)</f>
        <v>Q1-2019</v>
      </c>
      <c r="AL5" s="59" t="str">
        <f>CONCATENATE("Q2","-",RIGHT(AK5,4))</f>
        <v>Q2-2019</v>
      </c>
      <c r="AM5" s="59" t="str">
        <f>CONCATENATE("Q3","-",RIGHT(AL5,4))</f>
        <v>Q3-2019</v>
      </c>
      <c r="AN5" s="59" t="str">
        <f>CONCATENATE("Q4","-",RIGHT(AM5,4))</f>
        <v>Q4-2019</v>
      </c>
      <c r="AO5" s="840" t="str">
        <f>CONCATENATE("FY",RIGHT(AJ5,4)+1)</f>
        <v>FY2019</v>
      </c>
      <c r="AP5" s="99" t="str">
        <f>CONCATENATE("Q1","-",RIGHT(AO5,4)+1)</f>
        <v>Q1-2020</v>
      </c>
      <c r="AQ5" s="59" t="str">
        <f>CONCATENATE("Q2","-",RIGHT(AP5,4))</f>
        <v>Q2-2020</v>
      </c>
      <c r="AR5" s="59" t="str">
        <f>CONCATENATE("Q3","-",RIGHT(AQ5,4))</f>
        <v>Q3-2020</v>
      </c>
      <c r="AS5" s="59" t="str">
        <f>CONCATENATE("Q4","-",RIGHT(AR5,4))</f>
        <v>Q4-2020</v>
      </c>
      <c r="AT5" s="840" t="str">
        <f>CONCATENATE("FY",RIGHT(AO5,4)+1)</f>
        <v>FY2020</v>
      </c>
      <c r="AU5" s="99" t="str">
        <f>CONCATENATE("Q1","-",RIGHT(AT5,4)+1)</f>
        <v>Q1-2021</v>
      </c>
      <c r="AV5" s="59" t="str">
        <f>CONCATENATE("Q2","-",RIGHT(AU5,4))</f>
        <v>Q2-2021</v>
      </c>
      <c r="AW5" s="732" t="str">
        <f>CONCATENATE("Q3","-",RIGHT(AV5,4))</f>
        <v>Q3-2021</v>
      </c>
      <c r="AX5" s="99" t="str">
        <f>CONCATENATE("Q4","-",RIGHT(AW5,4))</f>
        <v>Q4-2021</v>
      </c>
      <c r="AY5" s="843" t="str">
        <f>CONCATENATE("FY",RIGHT(AT5,4)+1)</f>
        <v>FY2021</v>
      </c>
      <c r="AZ5" s="99" t="str">
        <f>CONCATENATE("Q1","-",RIGHT(AY5,4)+1)</f>
        <v>Q1-2022</v>
      </c>
      <c r="BA5" s="99" t="str">
        <f>CONCATENATE("Q2","-",RIGHT(AZ5,4))</f>
        <v>Q2-2022</v>
      </c>
      <c r="BB5" s="99" t="str">
        <f>CONCATENATE("Q3","-",RIGHT(BA5,4))</f>
        <v>Q3-2022</v>
      </c>
      <c r="BC5" s="99" t="str">
        <f>CONCATENATE("Q4","-",RIGHT(BB5,4))</f>
        <v>Q4-2022</v>
      </c>
      <c r="BD5" s="843" t="str">
        <f>CONCATENATE("FY",RIGHT(AY5,4)+1)</f>
        <v>FY2022</v>
      </c>
      <c r="BE5" s="843" t="str">
        <f>CONCATENATE("FY",RIGHT(BD5,4)+1)</f>
        <v>FY2023</v>
      </c>
      <c r="BF5" s="843" t="str">
        <f>CONCATENATE("FY",RIGHT(BE5,4)+1)</f>
        <v>FY2024</v>
      </c>
      <c r="BG5" s="843" t="str">
        <f>CONCATENATE("FY",RIGHT(BF5,4)+1)</f>
        <v>FY2025</v>
      </c>
      <c r="BH5" s="290"/>
    </row>
    <row r="6" spans="1:60" s="469" customFormat="1" x14ac:dyDescent="0.25">
      <c r="A6" s="98" t="s">
        <v>13</v>
      </c>
      <c r="B6" s="98"/>
      <c r="C6" s="98"/>
      <c r="D6" s="98"/>
      <c r="E6" s="98"/>
      <c r="F6" s="98"/>
      <c r="G6" s="98"/>
      <c r="H6" s="98"/>
      <c r="I6" s="98"/>
      <c r="J6" s="98"/>
      <c r="K6" s="98"/>
      <c r="L6" s="98"/>
      <c r="M6" s="98"/>
      <c r="N6" s="98"/>
      <c r="O6" s="98"/>
      <c r="P6" s="98"/>
      <c r="Q6" s="98"/>
      <c r="R6" s="98"/>
      <c r="S6" s="98"/>
      <c r="T6" s="98"/>
      <c r="U6" s="98"/>
      <c r="V6" s="98"/>
      <c r="W6" s="98"/>
      <c r="X6" s="98"/>
      <c r="Y6" s="98"/>
      <c r="Z6" s="98"/>
      <c r="AA6" s="98"/>
      <c r="AB6" s="98"/>
      <c r="AC6" s="98"/>
      <c r="AD6" s="98"/>
      <c r="AE6" s="98"/>
      <c r="AF6" s="98"/>
      <c r="AG6" s="98"/>
      <c r="AH6" s="98"/>
      <c r="AI6" s="98"/>
      <c r="AJ6" s="98"/>
      <c r="AK6" s="98"/>
      <c r="AL6" s="98"/>
      <c r="AM6" s="98"/>
      <c r="AN6" s="98"/>
      <c r="AO6" s="98"/>
      <c r="AP6" s="98"/>
      <c r="AQ6" s="98"/>
      <c r="AR6" s="98"/>
      <c r="AS6" s="98"/>
      <c r="AT6" s="98"/>
      <c r="AU6" s="98"/>
      <c r="AV6" s="98"/>
      <c r="AW6" s="527"/>
      <c r="AX6" s="98"/>
      <c r="AY6" s="98"/>
      <c r="AZ6" s="98"/>
      <c r="BA6" s="98"/>
      <c r="BB6" s="98"/>
      <c r="BC6" s="98"/>
      <c r="BD6" s="98"/>
      <c r="BE6" s="98"/>
      <c r="BF6" s="98"/>
      <c r="BG6" s="98"/>
      <c r="BH6" s="473"/>
    </row>
    <row r="7" spans="1:60" s="475" customFormat="1" hidden="1" outlineLevel="1" x14ac:dyDescent="0.25">
      <c r="A7" s="850" t="s">
        <v>878</v>
      </c>
      <c r="B7" s="245"/>
      <c r="C7" s="103"/>
      <c r="D7" s="103"/>
      <c r="E7" s="103"/>
      <c r="F7" s="103"/>
      <c r="G7" s="101"/>
      <c r="H7" s="101"/>
      <c r="I7" s="101"/>
      <c r="J7" s="101"/>
      <c r="K7" s="103"/>
      <c r="L7" s="101"/>
      <c r="M7" s="101"/>
      <c r="N7" s="101"/>
      <c r="O7" s="101"/>
      <c r="P7" s="103"/>
      <c r="Q7" s="101"/>
      <c r="R7" s="101"/>
      <c r="S7" s="101"/>
      <c r="T7" s="101"/>
      <c r="U7" s="103"/>
      <c r="V7" s="101"/>
      <c r="W7" s="101"/>
      <c r="X7" s="101"/>
      <c r="Y7" s="101"/>
      <c r="Z7" s="103"/>
      <c r="AA7" s="101"/>
      <c r="AB7" s="101"/>
      <c r="AC7" s="101"/>
      <c r="AD7" s="101"/>
      <c r="AE7" s="103"/>
      <c r="AF7" s="101"/>
      <c r="AG7" s="101"/>
      <c r="AH7" s="101"/>
      <c r="AI7" s="101"/>
      <c r="AJ7" s="103"/>
      <c r="AK7" s="101"/>
      <c r="AL7" s="101"/>
      <c r="AM7" s="101"/>
      <c r="AN7" s="101"/>
      <c r="AO7" s="103"/>
      <c r="AP7" s="101"/>
      <c r="AQ7" s="101"/>
      <c r="AR7" s="101"/>
      <c r="AS7" s="101"/>
      <c r="AT7" s="103"/>
      <c r="AU7" s="471">
        <f>AU76/AP76-1</f>
        <v>3.3698630136986374E-2</v>
      </c>
      <c r="AV7" s="481">
        <f>AV76/AQ76-1</f>
        <v>4.8598130841121412E-2</v>
      </c>
      <c r="AW7" s="865">
        <f>AW76/AR76-1</f>
        <v>3.9769610532089938E-2</v>
      </c>
      <c r="AX7" s="101"/>
      <c r="AY7" s="103"/>
      <c r="AZ7" s="101"/>
      <c r="BA7" s="101"/>
      <c r="BB7" s="101"/>
      <c r="BC7" s="101"/>
      <c r="BD7" s="103"/>
      <c r="BE7" s="103"/>
      <c r="BF7" s="103"/>
      <c r="BG7" s="103"/>
      <c r="BH7" s="477"/>
    </row>
    <row r="8" spans="1:60" s="475" customFormat="1" hidden="1" outlineLevel="1" x14ac:dyDescent="0.25">
      <c r="A8" s="893" t="s">
        <v>879</v>
      </c>
      <c r="B8" s="659"/>
      <c r="C8" s="660"/>
      <c r="D8" s="660"/>
      <c r="E8" s="660"/>
      <c r="F8" s="660"/>
      <c r="G8" s="661"/>
      <c r="H8" s="661"/>
      <c r="I8" s="661"/>
      <c r="J8" s="661"/>
      <c r="K8" s="660"/>
      <c r="L8" s="661"/>
      <c r="M8" s="661"/>
      <c r="N8" s="661"/>
      <c r="O8" s="661"/>
      <c r="P8" s="660"/>
      <c r="Q8" s="661"/>
      <c r="R8" s="661"/>
      <c r="S8" s="661"/>
      <c r="T8" s="661"/>
      <c r="U8" s="660"/>
      <c r="V8" s="661"/>
      <c r="W8" s="661"/>
      <c r="X8" s="661"/>
      <c r="Y8" s="661"/>
      <c r="Z8" s="660"/>
      <c r="AA8" s="661"/>
      <c r="AB8" s="661"/>
      <c r="AC8" s="661"/>
      <c r="AD8" s="661"/>
      <c r="AE8" s="660"/>
      <c r="AF8" s="661"/>
      <c r="AG8" s="661"/>
      <c r="AH8" s="661"/>
      <c r="AI8" s="661"/>
      <c r="AJ8" s="660"/>
      <c r="AK8" s="661"/>
      <c r="AL8" s="661"/>
      <c r="AM8" s="661"/>
      <c r="AN8" s="661"/>
      <c r="AO8" s="660"/>
      <c r="AP8" s="661"/>
      <c r="AQ8" s="661"/>
      <c r="AR8" s="661"/>
      <c r="AS8" s="661"/>
      <c r="AT8" s="660"/>
      <c r="AU8" s="487">
        <f t="shared" ref="AU8:AW8" si="1">AU77/AP77-1</f>
        <v>-0.10062240663900412</v>
      </c>
      <c r="AV8" s="488">
        <f t="shared" si="1"/>
        <v>-8.4536082474226837E-2</v>
      </c>
      <c r="AW8" s="867">
        <f t="shared" si="1"/>
        <v>3.5335689045936647E-3</v>
      </c>
      <c r="AX8" s="661"/>
      <c r="AY8" s="660"/>
      <c r="AZ8" s="661"/>
      <c r="BA8" s="661"/>
      <c r="BB8" s="661"/>
      <c r="BC8" s="661"/>
      <c r="BD8" s="660"/>
      <c r="BE8" s="660"/>
      <c r="BF8" s="660"/>
      <c r="BG8" s="660"/>
      <c r="BH8" s="477"/>
    </row>
    <row r="9" spans="1:60" s="475" customFormat="1" collapsed="1" x14ac:dyDescent="0.25">
      <c r="A9" s="171" t="s">
        <v>786</v>
      </c>
      <c r="B9" s="245"/>
      <c r="C9" s="103"/>
      <c r="D9" s="103"/>
      <c r="E9" s="103"/>
      <c r="F9" s="103"/>
      <c r="G9" s="101"/>
      <c r="H9" s="101"/>
      <c r="I9" s="101"/>
      <c r="J9" s="101"/>
      <c r="K9" s="103"/>
      <c r="L9" s="101"/>
      <c r="M9" s="101"/>
      <c r="N9" s="101"/>
      <c r="O9" s="101"/>
      <c r="P9" s="103"/>
      <c r="Q9" s="101"/>
      <c r="R9" s="101"/>
      <c r="S9" s="101"/>
      <c r="T9" s="101"/>
      <c r="U9" s="103"/>
      <c r="V9" s="101"/>
      <c r="W9" s="101"/>
      <c r="X9" s="101"/>
      <c r="Y9" s="101"/>
      <c r="Z9" s="103"/>
      <c r="AA9" s="101"/>
      <c r="AB9" s="101"/>
      <c r="AC9" s="101"/>
      <c r="AD9" s="101"/>
      <c r="AE9" s="103"/>
      <c r="AF9" s="101"/>
      <c r="AG9" s="101"/>
      <c r="AH9" s="101"/>
      <c r="AI9" s="101"/>
      <c r="AJ9" s="103"/>
      <c r="AK9" s="101"/>
      <c r="AL9" s="101"/>
      <c r="AM9" s="101"/>
      <c r="AN9" s="101"/>
      <c r="AO9" s="103"/>
      <c r="AP9" s="101"/>
      <c r="AQ9" s="101"/>
      <c r="AR9" s="101"/>
      <c r="AS9" s="101"/>
      <c r="AT9" s="103"/>
      <c r="AU9" s="471">
        <f t="shared" ref="AU9:AW14" si="2">AU78/AP78-1</f>
        <v>5.6350238404854203E-3</v>
      </c>
      <c r="AV9" s="481">
        <f t="shared" si="2"/>
        <v>2.1208907741251393E-2</v>
      </c>
      <c r="AW9" s="865">
        <f t="shared" si="2"/>
        <v>3.2925472747497242E-2</v>
      </c>
      <c r="AX9" s="474">
        <v>0.02</v>
      </c>
      <c r="AY9" s="468">
        <f>AY78/AT78-1</f>
        <v>1.9867315820448317E-2</v>
      </c>
      <c r="AZ9" s="474">
        <v>-0.02</v>
      </c>
      <c r="BA9" s="474">
        <v>-0.02</v>
      </c>
      <c r="BB9" s="474">
        <v>-0.02</v>
      </c>
      <c r="BC9" s="474">
        <v>-0.02</v>
      </c>
      <c r="BD9" s="468">
        <f>BD78/AY78-1</f>
        <v>-1.9999999999999796E-2</v>
      </c>
      <c r="BE9" s="467">
        <v>0.02</v>
      </c>
      <c r="BF9" s="467">
        <v>-0.02</v>
      </c>
      <c r="BG9" s="467">
        <v>0.02</v>
      </c>
      <c r="BH9" s="477"/>
    </row>
    <row r="10" spans="1:60" s="475" customFormat="1" hidden="1" outlineLevel="1" x14ac:dyDescent="0.25">
      <c r="A10" s="853" t="s">
        <v>880</v>
      </c>
      <c r="B10" s="245"/>
      <c r="C10" s="103"/>
      <c r="D10" s="103"/>
      <c r="E10" s="103"/>
      <c r="F10" s="103"/>
      <c r="G10" s="101"/>
      <c r="H10" s="101"/>
      <c r="I10" s="101"/>
      <c r="J10" s="101"/>
      <c r="K10" s="103"/>
      <c r="L10" s="101"/>
      <c r="M10" s="101"/>
      <c r="N10" s="101"/>
      <c r="O10" s="101"/>
      <c r="P10" s="103"/>
      <c r="Q10" s="101"/>
      <c r="R10" s="101"/>
      <c r="S10" s="101"/>
      <c r="T10" s="101"/>
      <c r="U10" s="103"/>
      <c r="V10" s="101"/>
      <c r="W10" s="101"/>
      <c r="X10" s="101"/>
      <c r="Y10" s="101"/>
      <c r="Z10" s="103"/>
      <c r="AA10" s="101"/>
      <c r="AB10" s="101"/>
      <c r="AC10" s="101"/>
      <c r="AD10" s="101"/>
      <c r="AE10" s="103"/>
      <c r="AF10" s="101"/>
      <c r="AG10" s="101"/>
      <c r="AH10" s="101"/>
      <c r="AI10" s="101"/>
      <c r="AJ10" s="103"/>
      <c r="AK10" s="101"/>
      <c r="AL10" s="101"/>
      <c r="AM10" s="101"/>
      <c r="AN10" s="101"/>
      <c r="AO10" s="103"/>
      <c r="AP10" s="101"/>
      <c r="AQ10" s="101"/>
      <c r="AR10" s="101"/>
      <c r="AS10" s="101"/>
      <c r="AT10" s="103"/>
      <c r="AU10" s="471">
        <f t="shared" si="2"/>
        <v>-7.0282658517952679E-2</v>
      </c>
      <c r="AV10" s="481">
        <f t="shared" si="2"/>
        <v>-0.22549019607843135</v>
      </c>
      <c r="AW10" s="865">
        <f t="shared" si="2"/>
        <v>0.79870129870129869</v>
      </c>
      <c r="AX10" s="101"/>
      <c r="AY10" s="103"/>
      <c r="AZ10" s="101"/>
      <c r="BA10" s="101"/>
      <c r="BB10" s="101"/>
      <c r="BC10" s="101"/>
      <c r="BD10" s="103"/>
      <c r="BE10" s="103"/>
      <c r="BF10" s="103"/>
      <c r="BG10" s="103"/>
      <c r="BH10" s="477"/>
    </row>
    <row r="11" spans="1:60" s="475" customFormat="1" hidden="1" outlineLevel="1" x14ac:dyDescent="0.25">
      <c r="A11" s="853" t="s">
        <v>881</v>
      </c>
      <c r="B11" s="245"/>
      <c r="C11" s="103"/>
      <c r="D11" s="103"/>
      <c r="E11" s="103"/>
      <c r="F11" s="103"/>
      <c r="G11" s="101"/>
      <c r="H11" s="101"/>
      <c r="I11" s="101"/>
      <c r="J11" s="101"/>
      <c r="K11" s="103"/>
      <c r="L11" s="101"/>
      <c r="M11" s="101"/>
      <c r="N11" s="101"/>
      <c r="O11" s="101"/>
      <c r="P11" s="103"/>
      <c r="Q11" s="101"/>
      <c r="R11" s="101"/>
      <c r="S11" s="101"/>
      <c r="T11" s="101"/>
      <c r="U11" s="103"/>
      <c r="V11" s="101"/>
      <c r="W11" s="101"/>
      <c r="X11" s="101"/>
      <c r="Y11" s="101"/>
      <c r="Z11" s="103"/>
      <c r="AA11" s="101"/>
      <c r="AB11" s="101"/>
      <c r="AC11" s="101"/>
      <c r="AD11" s="101"/>
      <c r="AE11" s="103"/>
      <c r="AF11" s="101"/>
      <c r="AG11" s="101"/>
      <c r="AH11" s="101"/>
      <c r="AI11" s="101"/>
      <c r="AJ11" s="103"/>
      <c r="AK11" s="101"/>
      <c r="AL11" s="101"/>
      <c r="AM11" s="101"/>
      <c r="AN11" s="101"/>
      <c r="AO11" s="103"/>
      <c r="AP11" s="101"/>
      <c r="AQ11" s="101"/>
      <c r="AR11" s="101"/>
      <c r="AS11" s="101"/>
      <c r="AT11" s="103"/>
      <c r="AU11" s="471">
        <f t="shared" si="2"/>
        <v>4.56960680127525E-2</v>
      </c>
      <c r="AV11" s="481">
        <f t="shared" si="2"/>
        <v>-0.20746432491767286</v>
      </c>
      <c r="AW11" s="865">
        <f t="shared" si="2"/>
        <v>0.21805555555555545</v>
      </c>
      <c r="AX11" s="101"/>
      <c r="AY11" s="103"/>
      <c r="AZ11" s="101"/>
      <c r="BA11" s="101"/>
      <c r="BB11" s="101"/>
      <c r="BC11" s="101"/>
      <c r="BD11" s="103"/>
      <c r="BE11" s="103"/>
      <c r="BF11" s="103"/>
      <c r="BG11" s="103"/>
      <c r="BH11" s="477"/>
    </row>
    <row r="12" spans="1:60" s="475" customFormat="1" hidden="1" outlineLevel="1" x14ac:dyDescent="0.25">
      <c r="A12" s="852" t="s">
        <v>882</v>
      </c>
      <c r="B12" s="746"/>
      <c r="C12" s="328"/>
      <c r="D12" s="328"/>
      <c r="E12" s="328"/>
      <c r="F12" s="328"/>
      <c r="G12" s="327"/>
      <c r="H12" s="327"/>
      <c r="I12" s="327"/>
      <c r="J12" s="327"/>
      <c r="K12" s="328"/>
      <c r="L12" s="327"/>
      <c r="M12" s="327"/>
      <c r="N12" s="327"/>
      <c r="O12" s="327"/>
      <c r="P12" s="328"/>
      <c r="Q12" s="327"/>
      <c r="R12" s="327"/>
      <c r="S12" s="327"/>
      <c r="T12" s="327"/>
      <c r="U12" s="328"/>
      <c r="V12" s="327"/>
      <c r="W12" s="327"/>
      <c r="X12" s="327"/>
      <c r="Y12" s="327"/>
      <c r="Z12" s="328"/>
      <c r="AA12" s="327"/>
      <c r="AB12" s="327"/>
      <c r="AC12" s="327"/>
      <c r="AD12" s="327"/>
      <c r="AE12" s="328"/>
      <c r="AF12" s="327"/>
      <c r="AG12" s="327"/>
      <c r="AH12" s="327"/>
      <c r="AI12" s="327"/>
      <c r="AJ12" s="328"/>
      <c r="AK12" s="327"/>
      <c r="AL12" s="327"/>
      <c r="AM12" s="327"/>
      <c r="AN12" s="327"/>
      <c r="AO12" s="328"/>
      <c r="AP12" s="327"/>
      <c r="AQ12" s="327"/>
      <c r="AR12" s="327"/>
      <c r="AS12" s="327"/>
      <c r="AT12" s="328"/>
      <c r="AU12" s="325">
        <f t="shared" si="2"/>
        <v>-2.1777777777777785E-2</v>
      </c>
      <c r="AV12" s="326">
        <f t="shared" si="2"/>
        <v>-0.21651175505740838</v>
      </c>
      <c r="AW12" s="866">
        <f t="shared" si="2"/>
        <v>0.44500846023688667</v>
      </c>
      <c r="AX12" s="327"/>
      <c r="AY12" s="328"/>
      <c r="AZ12" s="327"/>
      <c r="BA12" s="327"/>
      <c r="BB12" s="327"/>
      <c r="BC12" s="327"/>
      <c r="BD12" s="328"/>
      <c r="BE12" s="328"/>
      <c r="BF12" s="328"/>
      <c r="BG12" s="328"/>
      <c r="BH12" s="477"/>
    </row>
    <row r="13" spans="1:60" s="475" customFormat="1" hidden="1" outlineLevel="1" x14ac:dyDescent="0.25">
      <c r="A13" s="893" t="s">
        <v>883</v>
      </c>
      <c r="B13" s="659"/>
      <c r="C13" s="660"/>
      <c r="D13" s="660"/>
      <c r="E13" s="660"/>
      <c r="F13" s="660"/>
      <c r="G13" s="661"/>
      <c r="H13" s="661"/>
      <c r="I13" s="661"/>
      <c r="J13" s="661"/>
      <c r="K13" s="660"/>
      <c r="L13" s="661"/>
      <c r="M13" s="661"/>
      <c r="N13" s="661"/>
      <c r="O13" s="661"/>
      <c r="P13" s="660"/>
      <c r="Q13" s="661"/>
      <c r="R13" s="661"/>
      <c r="S13" s="661"/>
      <c r="T13" s="661"/>
      <c r="U13" s="660"/>
      <c r="V13" s="661"/>
      <c r="W13" s="661"/>
      <c r="X13" s="661"/>
      <c r="Y13" s="661"/>
      <c r="Z13" s="660"/>
      <c r="AA13" s="661"/>
      <c r="AB13" s="661"/>
      <c r="AC13" s="661"/>
      <c r="AD13" s="661"/>
      <c r="AE13" s="660"/>
      <c r="AF13" s="661"/>
      <c r="AG13" s="661"/>
      <c r="AH13" s="661"/>
      <c r="AI13" s="661"/>
      <c r="AJ13" s="660"/>
      <c r="AK13" s="661"/>
      <c r="AL13" s="661"/>
      <c r="AM13" s="661"/>
      <c r="AN13" s="661"/>
      <c r="AO13" s="660"/>
      <c r="AP13" s="661"/>
      <c r="AQ13" s="661"/>
      <c r="AR13" s="661"/>
      <c r="AS13" s="661"/>
      <c r="AT13" s="660"/>
      <c r="AU13" s="487">
        <f t="shared" si="2"/>
        <v>0.31808731808731805</v>
      </c>
      <c r="AV13" s="488">
        <f t="shared" si="2"/>
        <v>0.11695906432748537</v>
      </c>
      <c r="AW13" s="867">
        <f t="shared" si="2"/>
        <v>2.215686274509804</v>
      </c>
      <c r="AX13" s="661"/>
      <c r="AY13" s="660"/>
      <c r="AZ13" s="661"/>
      <c r="BA13" s="661"/>
      <c r="BB13" s="661"/>
      <c r="BC13" s="661"/>
      <c r="BD13" s="660"/>
      <c r="BE13" s="660"/>
      <c r="BF13" s="660"/>
      <c r="BG13" s="660"/>
      <c r="BH13" s="477"/>
    </row>
    <row r="14" spans="1:60" s="475" customFormat="1" collapsed="1" x14ac:dyDescent="0.25">
      <c r="A14" s="229" t="s">
        <v>787</v>
      </c>
      <c r="B14" s="659"/>
      <c r="C14" s="660"/>
      <c r="D14" s="660"/>
      <c r="E14" s="660"/>
      <c r="F14" s="660"/>
      <c r="G14" s="661"/>
      <c r="H14" s="661"/>
      <c r="I14" s="661"/>
      <c r="J14" s="661"/>
      <c r="K14" s="660"/>
      <c r="L14" s="661"/>
      <c r="M14" s="661"/>
      <c r="N14" s="661"/>
      <c r="O14" s="661"/>
      <c r="P14" s="660"/>
      <c r="Q14" s="661"/>
      <c r="R14" s="661"/>
      <c r="S14" s="661"/>
      <c r="T14" s="661"/>
      <c r="U14" s="660"/>
      <c r="V14" s="661"/>
      <c r="W14" s="661"/>
      <c r="X14" s="661"/>
      <c r="Y14" s="661"/>
      <c r="Z14" s="660"/>
      <c r="AA14" s="661"/>
      <c r="AB14" s="661"/>
      <c r="AC14" s="661"/>
      <c r="AD14" s="661"/>
      <c r="AE14" s="660"/>
      <c r="AF14" s="661"/>
      <c r="AG14" s="661"/>
      <c r="AH14" s="661"/>
      <c r="AI14" s="661"/>
      <c r="AJ14" s="660"/>
      <c r="AK14" s="661"/>
      <c r="AL14" s="661"/>
      <c r="AM14" s="661"/>
      <c r="AN14" s="661"/>
      <c r="AO14" s="660"/>
      <c r="AP14" s="661"/>
      <c r="AQ14" s="661"/>
      <c r="AR14" s="661"/>
      <c r="AS14" s="661"/>
      <c r="AT14" s="660"/>
      <c r="AU14" s="487">
        <f t="shared" si="2"/>
        <v>3.8081288905162936E-2</v>
      </c>
      <c r="AV14" s="488">
        <f t="shared" si="2"/>
        <v>-0.16397973284200829</v>
      </c>
      <c r="AW14" s="867">
        <f t="shared" si="2"/>
        <v>0.64794007490636707</v>
      </c>
      <c r="AX14" s="494">
        <v>0.02</v>
      </c>
      <c r="AY14" s="486">
        <f>AY83/AT83-1</f>
        <v>7.9168686379059494E-2</v>
      </c>
      <c r="AZ14" s="494">
        <v>-0.02</v>
      </c>
      <c r="BA14" s="494">
        <v>-0.02</v>
      </c>
      <c r="BB14" s="494">
        <v>-0.02</v>
      </c>
      <c r="BC14" s="494">
        <v>-0.02</v>
      </c>
      <c r="BD14" s="486">
        <f>BD83/AY83-1</f>
        <v>-2.0000000000000018E-2</v>
      </c>
      <c r="BE14" s="495">
        <v>0.02</v>
      </c>
      <c r="BF14" s="495">
        <v>0.02</v>
      </c>
      <c r="BG14" s="495">
        <v>0.02</v>
      </c>
      <c r="BH14" s="477"/>
    </row>
    <row r="15" spans="1:60" s="475" customFormat="1" x14ac:dyDescent="0.25">
      <c r="A15" s="96" t="s">
        <v>788</v>
      </c>
      <c r="B15" s="245"/>
      <c r="C15" s="103"/>
      <c r="D15" s="103"/>
      <c r="E15" s="103"/>
      <c r="F15" s="103"/>
      <c r="G15" s="101"/>
      <c r="H15" s="101"/>
      <c r="I15" s="101"/>
      <c r="J15" s="101"/>
      <c r="K15" s="103"/>
      <c r="L15" s="101"/>
      <c r="M15" s="101"/>
      <c r="N15" s="101"/>
      <c r="O15" s="101"/>
      <c r="P15" s="103"/>
      <c r="Q15" s="101"/>
      <c r="R15" s="101"/>
      <c r="S15" s="101"/>
      <c r="T15" s="101"/>
      <c r="U15" s="103"/>
      <c r="V15" s="101"/>
      <c r="W15" s="101"/>
      <c r="X15" s="101"/>
      <c r="Y15" s="101"/>
      <c r="Z15" s="103"/>
      <c r="AA15" s="101"/>
      <c r="AB15" s="101"/>
      <c r="AC15" s="101"/>
      <c r="AD15" s="101"/>
      <c r="AE15" s="103"/>
      <c r="AF15" s="101"/>
      <c r="AG15" s="101"/>
      <c r="AH15" s="101"/>
      <c r="AI15" s="101"/>
      <c r="AJ15" s="103"/>
      <c r="AK15" s="101"/>
      <c r="AL15" s="101"/>
      <c r="AM15" s="101"/>
      <c r="AN15" s="101"/>
      <c r="AO15" s="103"/>
      <c r="AP15" s="101"/>
      <c r="AQ15" s="101"/>
      <c r="AR15" s="101"/>
      <c r="AS15" s="101"/>
      <c r="AT15" s="103"/>
      <c r="AU15" s="471">
        <f t="shared" ref="AU15:BD15" si="3">AU85/AP85-1</f>
        <v>2.0833333333333259E-2</v>
      </c>
      <c r="AV15" s="481">
        <f t="shared" si="3"/>
        <v>-3.9715302491103222E-2</v>
      </c>
      <c r="AW15" s="865">
        <f t="shared" si="3"/>
        <v>0.15740432612312816</v>
      </c>
      <c r="AX15" s="471">
        <f t="shared" si="3"/>
        <v>2.3907586993725083E-2</v>
      </c>
      <c r="AY15" s="468">
        <f t="shared" si="3"/>
        <v>3.5951129318783304E-2</v>
      </c>
      <c r="AZ15" s="471">
        <f t="shared" si="3"/>
        <v>-2.697257246847784E-2</v>
      </c>
      <c r="BA15" s="471">
        <f t="shared" si="3"/>
        <v>-1.3133708864512372E-2</v>
      </c>
      <c r="BB15" s="471">
        <f t="shared" si="3"/>
        <v>-1.2918343875790606E-2</v>
      </c>
      <c r="BC15" s="471">
        <f t="shared" si="3"/>
        <v>-1.9554295201430705E-2</v>
      </c>
      <c r="BD15" s="468">
        <f t="shared" si="3"/>
        <v>-1.8420277560802112E-2</v>
      </c>
      <c r="BE15" s="468">
        <f>BE85/BD85-1</f>
        <v>1.9543644148081851E-2</v>
      </c>
      <c r="BF15" s="468">
        <f t="shared" ref="BF15:BG15" si="4">BF85/BE85-1</f>
        <v>-7.1008647148529391E-3</v>
      </c>
      <c r="BG15" s="468">
        <f t="shared" si="4"/>
        <v>1.9549190904393443E-2</v>
      </c>
      <c r="BH15" s="477"/>
    </row>
    <row r="16" spans="1:60" s="475" customFormat="1" x14ac:dyDescent="0.25">
      <c r="A16" s="96" t="s">
        <v>789</v>
      </c>
      <c r="B16" s="245"/>
      <c r="C16" s="103"/>
      <c r="D16" s="103"/>
      <c r="E16" s="103"/>
      <c r="F16" s="103"/>
      <c r="G16" s="101"/>
      <c r="H16" s="101"/>
      <c r="I16" s="101"/>
      <c r="J16" s="101"/>
      <c r="K16" s="103"/>
      <c r="L16" s="101"/>
      <c r="M16" s="101"/>
      <c r="N16" s="101"/>
      <c r="O16" s="101"/>
      <c r="P16" s="103"/>
      <c r="Q16" s="101"/>
      <c r="R16" s="101"/>
      <c r="S16" s="101"/>
      <c r="T16" s="101"/>
      <c r="U16" s="103"/>
      <c r="V16" s="101"/>
      <c r="W16" s="101"/>
      <c r="X16" s="101"/>
      <c r="Y16" s="101"/>
      <c r="Z16" s="103"/>
      <c r="AA16" s="101"/>
      <c r="AB16" s="101"/>
      <c r="AC16" s="101"/>
      <c r="AD16" s="101"/>
      <c r="AE16" s="103"/>
      <c r="AF16" s="101"/>
      <c r="AG16" s="101"/>
      <c r="AH16" s="101"/>
      <c r="AI16" s="101"/>
      <c r="AJ16" s="103"/>
      <c r="AK16" s="101"/>
      <c r="AL16" s="101"/>
      <c r="AM16" s="101"/>
      <c r="AN16" s="101"/>
      <c r="AO16" s="103"/>
      <c r="AP16" s="101"/>
      <c r="AQ16" s="101"/>
      <c r="AR16" s="101"/>
      <c r="AS16" s="101"/>
      <c r="AT16" s="103"/>
      <c r="AU16" s="471">
        <f t="shared" ref="AU16:BD16" si="5">AU111/AP111-1</f>
        <v>0.73037037037037034</v>
      </c>
      <c r="AV16" s="481">
        <f t="shared" si="5"/>
        <v>0.59005964214711737</v>
      </c>
      <c r="AW16" s="865">
        <f t="shared" si="5"/>
        <v>0.56932153392330376</v>
      </c>
      <c r="AX16" s="471">
        <f t="shared" si="5"/>
        <v>0.34903373409090932</v>
      </c>
      <c r="AY16" s="468">
        <f t="shared" si="5"/>
        <v>0.48730698659021998</v>
      </c>
      <c r="AZ16" s="471">
        <f t="shared" si="5"/>
        <v>0.38297315982191815</v>
      </c>
      <c r="BA16" s="471">
        <f t="shared" si="5"/>
        <v>0.32358695656098635</v>
      </c>
      <c r="BB16" s="471">
        <f t="shared" si="5"/>
        <v>0.35112823801088822</v>
      </c>
      <c r="BC16" s="471">
        <f t="shared" si="5"/>
        <v>0.40958385689842491</v>
      </c>
      <c r="BD16" s="468">
        <f t="shared" si="5"/>
        <v>0.41228978697026331</v>
      </c>
      <c r="BE16" s="468">
        <f>BE111/BD111-1</f>
        <v>0.22051991214122824</v>
      </c>
      <c r="BF16" s="468">
        <f>BF111/BE111-1</f>
        <v>0.18124601544522667</v>
      </c>
      <c r="BG16" s="468">
        <f>BG111/BF111-1</f>
        <v>0.17723218606530189</v>
      </c>
      <c r="BH16" s="477"/>
    </row>
    <row r="17" spans="1:60" s="475" customFormat="1" x14ac:dyDescent="0.25">
      <c r="A17" s="171" t="s">
        <v>790</v>
      </c>
      <c r="B17" s="245"/>
      <c r="C17" s="103"/>
      <c r="D17" s="103"/>
      <c r="E17" s="103"/>
      <c r="F17" s="103"/>
      <c r="G17" s="101"/>
      <c r="H17" s="101"/>
      <c r="I17" s="101"/>
      <c r="J17" s="101"/>
      <c r="K17" s="103"/>
      <c r="L17" s="101"/>
      <c r="M17" s="101"/>
      <c r="N17" s="101"/>
      <c r="O17" s="101"/>
      <c r="P17" s="103"/>
      <c r="Q17" s="101"/>
      <c r="R17" s="101"/>
      <c r="S17" s="101"/>
      <c r="T17" s="101"/>
      <c r="U17" s="103"/>
      <c r="V17" s="101"/>
      <c r="W17" s="101"/>
      <c r="X17" s="101"/>
      <c r="Y17" s="101"/>
      <c r="Z17" s="103"/>
      <c r="AA17" s="101"/>
      <c r="AB17" s="101"/>
      <c r="AC17" s="101"/>
      <c r="AD17" s="101"/>
      <c r="AE17" s="103"/>
      <c r="AF17" s="101"/>
      <c r="AG17" s="101"/>
      <c r="AH17" s="101"/>
      <c r="AI17" s="101"/>
      <c r="AJ17" s="103"/>
      <c r="AK17" s="101"/>
      <c r="AL17" s="101"/>
      <c r="AM17" s="101"/>
      <c r="AN17" s="101"/>
      <c r="AO17" s="103"/>
      <c r="AP17" s="101"/>
      <c r="AQ17" s="101"/>
      <c r="AR17" s="101"/>
      <c r="AS17" s="101"/>
      <c r="AT17" s="103"/>
      <c r="AU17" s="471">
        <f t="shared" ref="AU17:AW19" si="6">AU122/AP122-1</f>
        <v>-0.28978457261987489</v>
      </c>
      <c r="AV17" s="481">
        <f t="shared" si="6"/>
        <v>-0.11811023622047245</v>
      </c>
      <c r="AW17" s="865">
        <f t="shared" si="6"/>
        <v>-0.28277817150956763</v>
      </c>
      <c r="AX17" s="474">
        <v>0.15</v>
      </c>
      <c r="AY17" s="468">
        <f>AY122/AT122-1</f>
        <v>-0.14122157588577466</v>
      </c>
      <c r="AZ17" s="474">
        <v>0.1</v>
      </c>
      <c r="BA17" s="474">
        <v>0.1</v>
      </c>
      <c r="BB17" s="474">
        <v>0.15</v>
      </c>
      <c r="BC17" s="474">
        <v>0.15</v>
      </c>
      <c r="BD17" s="468">
        <f>BD122/AY122-1</f>
        <v>0.12571764319509016</v>
      </c>
      <c r="BE17" s="467">
        <v>0.1</v>
      </c>
      <c r="BF17" s="467">
        <v>0.08</v>
      </c>
      <c r="BG17" s="467">
        <v>0.1</v>
      </c>
      <c r="BH17" s="477"/>
    </row>
    <row r="18" spans="1:60" s="475" customFormat="1" x14ac:dyDescent="0.25">
      <c r="A18" s="171" t="s">
        <v>791</v>
      </c>
      <c r="B18" s="245"/>
      <c r="C18" s="103"/>
      <c r="D18" s="103"/>
      <c r="E18" s="103"/>
      <c r="F18" s="103"/>
      <c r="G18" s="101"/>
      <c r="H18" s="101"/>
      <c r="I18" s="101"/>
      <c r="J18" s="101"/>
      <c r="K18" s="103"/>
      <c r="L18" s="101"/>
      <c r="M18" s="101"/>
      <c r="N18" s="101"/>
      <c r="O18" s="101"/>
      <c r="P18" s="103"/>
      <c r="Q18" s="101"/>
      <c r="R18" s="101"/>
      <c r="S18" s="101"/>
      <c r="T18" s="101"/>
      <c r="U18" s="103"/>
      <c r="V18" s="101"/>
      <c r="W18" s="101"/>
      <c r="X18" s="101"/>
      <c r="Y18" s="101"/>
      <c r="Z18" s="103"/>
      <c r="AA18" s="101"/>
      <c r="AB18" s="101"/>
      <c r="AC18" s="101"/>
      <c r="AD18" s="101"/>
      <c r="AE18" s="103"/>
      <c r="AF18" s="101"/>
      <c r="AG18" s="101"/>
      <c r="AH18" s="101"/>
      <c r="AI18" s="101"/>
      <c r="AJ18" s="103"/>
      <c r="AK18" s="101"/>
      <c r="AL18" s="101"/>
      <c r="AM18" s="101"/>
      <c r="AN18" s="101"/>
      <c r="AO18" s="103"/>
      <c r="AP18" s="101"/>
      <c r="AQ18" s="101"/>
      <c r="AR18" s="101"/>
      <c r="AS18" s="101"/>
      <c r="AT18" s="103"/>
      <c r="AU18" s="471">
        <f t="shared" si="6"/>
        <v>-0.97798295454545459</v>
      </c>
      <c r="AV18" s="481">
        <f t="shared" si="6"/>
        <v>-0.8192371475953566</v>
      </c>
      <c r="AW18" s="865">
        <f t="shared" si="6"/>
        <v>1.7450980392156863</v>
      </c>
      <c r="AX18" s="474">
        <v>-0.15</v>
      </c>
      <c r="AY18" s="468">
        <f>AY123/AT123-1</f>
        <v>-0.8401124648547329</v>
      </c>
      <c r="AZ18" s="474">
        <v>20</v>
      </c>
      <c r="BA18" s="474">
        <v>10</v>
      </c>
      <c r="BB18" s="474">
        <v>15</v>
      </c>
      <c r="BC18" s="474">
        <v>20</v>
      </c>
      <c r="BD18" s="468">
        <f>BD123/AY123-1</f>
        <v>14.753810082063305</v>
      </c>
      <c r="BE18" s="467">
        <v>0.1</v>
      </c>
      <c r="BF18" s="467">
        <v>0.08</v>
      </c>
      <c r="BG18" s="467">
        <v>0.1</v>
      </c>
      <c r="BH18" s="477"/>
    </row>
    <row r="19" spans="1:60" s="475" customFormat="1" x14ac:dyDescent="0.25">
      <c r="A19" s="229" t="s">
        <v>792</v>
      </c>
      <c r="B19" s="659"/>
      <c r="C19" s="660"/>
      <c r="D19" s="660"/>
      <c r="E19" s="660"/>
      <c r="F19" s="660"/>
      <c r="G19" s="661"/>
      <c r="H19" s="661"/>
      <c r="I19" s="661"/>
      <c r="J19" s="661"/>
      <c r="K19" s="660"/>
      <c r="L19" s="661"/>
      <c r="M19" s="661"/>
      <c r="N19" s="661"/>
      <c r="O19" s="661"/>
      <c r="P19" s="660"/>
      <c r="Q19" s="661"/>
      <c r="R19" s="661"/>
      <c r="S19" s="661"/>
      <c r="T19" s="661"/>
      <c r="U19" s="660"/>
      <c r="V19" s="661"/>
      <c r="W19" s="661"/>
      <c r="X19" s="661"/>
      <c r="Y19" s="661"/>
      <c r="Z19" s="660"/>
      <c r="AA19" s="661"/>
      <c r="AB19" s="661"/>
      <c r="AC19" s="661"/>
      <c r="AD19" s="661"/>
      <c r="AE19" s="660"/>
      <c r="AF19" s="661"/>
      <c r="AG19" s="661"/>
      <c r="AH19" s="661"/>
      <c r="AI19" s="661"/>
      <c r="AJ19" s="660"/>
      <c r="AK19" s="661"/>
      <c r="AL19" s="661"/>
      <c r="AM19" s="661"/>
      <c r="AN19" s="661"/>
      <c r="AO19" s="660"/>
      <c r="AP19" s="661"/>
      <c r="AQ19" s="661"/>
      <c r="AR19" s="661"/>
      <c r="AS19" s="661"/>
      <c r="AT19" s="660"/>
      <c r="AU19" s="487">
        <f t="shared" si="6"/>
        <v>-0.49664429530201337</v>
      </c>
      <c r="AV19" s="488">
        <f t="shared" si="6"/>
        <v>-0.5521472392638036</v>
      </c>
      <c r="AW19" s="867">
        <f t="shared" si="6"/>
        <v>-0.49787234042553197</v>
      </c>
      <c r="AX19" s="494">
        <v>0.2</v>
      </c>
      <c r="AY19" s="486">
        <f>AY124/AT124-1</f>
        <v>-0.41653718091009984</v>
      </c>
      <c r="AZ19" s="494">
        <v>0.2</v>
      </c>
      <c r="BA19" s="494">
        <v>0.2</v>
      </c>
      <c r="BB19" s="494">
        <v>0.2</v>
      </c>
      <c r="BC19" s="494">
        <v>0.2</v>
      </c>
      <c r="BD19" s="486">
        <f>BD124/AY124-1</f>
        <v>0.19999999999999973</v>
      </c>
      <c r="BE19" s="495">
        <v>0.15</v>
      </c>
      <c r="BF19" s="495">
        <v>0.1</v>
      </c>
      <c r="BG19" s="495">
        <v>0.15</v>
      </c>
      <c r="BH19" s="477"/>
    </row>
    <row r="20" spans="1:60" s="475" customFormat="1" x14ac:dyDescent="0.25">
      <c r="A20" s="667" t="s">
        <v>793</v>
      </c>
      <c r="B20" s="680"/>
      <c r="C20" s="681"/>
      <c r="D20" s="681"/>
      <c r="E20" s="681"/>
      <c r="F20" s="681"/>
      <c r="G20" s="682"/>
      <c r="H20" s="682"/>
      <c r="I20" s="682"/>
      <c r="J20" s="682"/>
      <c r="K20" s="681"/>
      <c r="L20" s="682"/>
      <c r="M20" s="682"/>
      <c r="N20" s="682"/>
      <c r="O20" s="682"/>
      <c r="P20" s="681"/>
      <c r="Q20" s="682"/>
      <c r="R20" s="682"/>
      <c r="S20" s="682"/>
      <c r="T20" s="682"/>
      <c r="U20" s="681"/>
      <c r="V20" s="682"/>
      <c r="W20" s="682"/>
      <c r="X20" s="682"/>
      <c r="Y20" s="682"/>
      <c r="Z20" s="681"/>
      <c r="AA20" s="682"/>
      <c r="AB20" s="682"/>
      <c r="AC20" s="682"/>
      <c r="AD20" s="682"/>
      <c r="AE20" s="681"/>
      <c r="AF20" s="682"/>
      <c r="AG20" s="682"/>
      <c r="AH20" s="682"/>
      <c r="AI20" s="682"/>
      <c r="AJ20" s="681"/>
      <c r="AK20" s="682"/>
      <c r="AL20" s="682"/>
      <c r="AM20" s="682"/>
      <c r="AN20" s="682"/>
      <c r="AO20" s="681"/>
      <c r="AP20" s="682"/>
      <c r="AQ20" s="682"/>
      <c r="AR20" s="682"/>
      <c r="AS20" s="682"/>
      <c r="AT20" s="681"/>
      <c r="AU20" s="666">
        <f t="shared" ref="AU20:BD20" si="7">AU126/AP126-1</f>
        <v>-0.56470588235294117</v>
      </c>
      <c r="AV20" s="886">
        <f t="shared" si="7"/>
        <v>-0.36366655596147457</v>
      </c>
      <c r="AW20" s="887">
        <f t="shared" si="7"/>
        <v>-0.22995877233165374</v>
      </c>
      <c r="AX20" s="666">
        <f t="shared" si="7"/>
        <v>0.17536038441003732</v>
      </c>
      <c r="AY20" s="665">
        <f t="shared" si="7"/>
        <v>-0.31671221645258263</v>
      </c>
      <c r="AZ20" s="666">
        <f t="shared" si="7"/>
        <v>0.46016451233842526</v>
      </c>
      <c r="BA20" s="666">
        <f t="shared" si="7"/>
        <v>0.71722338204592906</v>
      </c>
      <c r="BB20" s="666">
        <f t="shared" si="7"/>
        <v>1.4015466983938132</v>
      </c>
      <c r="BC20" s="666">
        <f t="shared" si="7"/>
        <v>0.68471121306411664</v>
      </c>
      <c r="BD20" s="665">
        <f t="shared" si="7"/>
        <v>0.80271950349645671</v>
      </c>
      <c r="BE20" s="665">
        <f>BE126/BD126-1</f>
        <v>9.4311454801651484E-2</v>
      </c>
      <c r="BF20" s="665">
        <f>BF126/BE126-1</f>
        <v>7.4391791834537591E-2</v>
      </c>
      <c r="BG20" s="665">
        <f>BG126/BF126-1</f>
        <v>9.6213235503668004E-2</v>
      </c>
      <c r="BH20" s="477"/>
    </row>
    <row r="21" spans="1:60" s="475" customFormat="1" x14ac:dyDescent="0.25">
      <c r="A21" s="591" t="s">
        <v>794</v>
      </c>
      <c r="B21" s="245"/>
      <c r="C21" s="103"/>
      <c r="D21" s="103"/>
      <c r="E21" s="103"/>
      <c r="F21" s="103"/>
      <c r="G21" s="101"/>
      <c r="H21" s="101"/>
      <c r="I21" s="101"/>
      <c r="J21" s="101"/>
      <c r="K21" s="103"/>
      <c r="L21" s="101"/>
      <c r="M21" s="101"/>
      <c r="N21" s="101"/>
      <c r="O21" s="101"/>
      <c r="P21" s="103"/>
      <c r="Q21" s="101"/>
      <c r="R21" s="101"/>
      <c r="S21" s="101"/>
      <c r="T21" s="101"/>
      <c r="U21" s="103"/>
      <c r="V21" s="101"/>
      <c r="W21" s="101"/>
      <c r="X21" s="101"/>
      <c r="Y21" s="101"/>
      <c r="Z21" s="103"/>
      <c r="AA21" s="101"/>
      <c r="AB21" s="101"/>
      <c r="AC21" s="101"/>
      <c r="AD21" s="101"/>
      <c r="AE21" s="103"/>
      <c r="AF21" s="101"/>
      <c r="AG21" s="101"/>
      <c r="AH21" s="101"/>
      <c r="AI21" s="101"/>
      <c r="AJ21" s="103"/>
      <c r="AK21" s="101"/>
      <c r="AL21" s="101"/>
      <c r="AM21" s="101"/>
      <c r="AN21" s="101"/>
      <c r="AO21" s="103"/>
      <c r="AP21" s="101"/>
      <c r="AQ21" s="101"/>
      <c r="AR21" s="101"/>
      <c r="AS21" s="101"/>
      <c r="AT21" s="103"/>
      <c r="AU21" s="471">
        <f t="shared" ref="AU21:BD21" si="8">AU141/AP141-1</f>
        <v>-4.7830337670151213E-2</v>
      </c>
      <c r="AV21" s="481">
        <f t="shared" si="8"/>
        <v>6.0655074807924869E-3</v>
      </c>
      <c r="AW21" s="865">
        <f t="shared" si="8"/>
        <v>0.18359156244166508</v>
      </c>
      <c r="AX21" s="471">
        <f t="shared" si="8"/>
        <v>0.13854195110238865</v>
      </c>
      <c r="AY21" s="468">
        <f t="shared" si="8"/>
        <v>6.3389892916235757E-2</v>
      </c>
      <c r="AZ21" s="471">
        <f t="shared" si="8"/>
        <v>0.15446157112518755</v>
      </c>
      <c r="BA21" s="471">
        <f t="shared" si="8"/>
        <v>0.20905339544110801</v>
      </c>
      <c r="BB21" s="471">
        <f t="shared" si="8"/>
        <v>0.29749560610159609</v>
      </c>
      <c r="BC21" s="471">
        <f t="shared" si="8"/>
        <v>0.23401876652537679</v>
      </c>
      <c r="BD21" s="468">
        <f t="shared" si="8"/>
        <v>0.22404319424202401</v>
      </c>
      <c r="BE21" s="468">
        <f>BE141/BD141-1</f>
        <v>0.10663698626613738</v>
      </c>
      <c r="BF21" s="468">
        <f>BF141/BE141-1</f>
        <v>8.329067771347054E-2</v>
      </c>
      <c r="BG21" s="468">
        <f>BG141/BF141-1</f>
        <v>0.10269751052346421</v>
      </c>
      <c r="BH21" s="477"/>
    </row>
    <row r="22" spans="1:60" s="475" customFormat="1" x14ac:dyDescent="0.25">
      <c r="A22" s="96" t="s">
        <v>811</v>
      </c>
      <c r="B22" s="245"/>
      <c r="C22" s="103"/>
      <c r="D22" s="103"/>
      <c r="E22" s="103"/>
      <c r="F22" s="103"/>
      <c r="G22" s="101"/>
      <c r="H22" s="101"/>
      <c r="I22" s="101"/>
      <c r="J22" s="101"/>
      <c r="K22" s="103"/>
      <c r="L22" s="101"/>
      <c r="M22" s="101"/>
      <c r="N22" s="101"/>
      <c r="O22" s="101"/>
      <c r="P22" s="103"/>
      <c r="Q22" s="101"/>
      <c r="R22" s="101"/>
      <c r="S22" s="101"/>
      <c r="T22" s="101"/>
      <c r="U22" s="103"/>
      <c r="V22" s="101"/>
      <c r="W22" s="101"/>
      <c r="X22" s="101"/>
      <c r="Y22" s="101"/>
      <c r="Z22" s="103"/>
      <c r="AA22" s="101"/>
      <c r="AB22" s="101"/>
      <c r="AC22" s="101"/>
      <c r="AD22" s="101"/>
      <c r="AE22" s="103">
        <f t="shared" ref="AE22:AE27" si="9">AE200/Z200-1</f>
        <v>0.10237288135593214</v>
      </c>
      <c r="AF22" s="101"/>
      <c r="AG22" s="101"/>
      <c r="AH22" s="101"/>
      <c r="AI22" s="101"/>
      <c r="AJ22" s="103">
        <f t="shared" ref="AJ22:AJ27" si="10">AJ200/AE200-1</f>
        <v>0.10439729397293962</v>
      </c>
      <c r="AK22" s="101">
        <f t="shared" ref="AK22:AK27" si="11">AK200/AF200-1</f>
        <v>5.5131004366812286E-2</v>
      </c>
      <c r="AL22" s="101">
        <f t="shared" ref="AL22:AL27" si="12">AL200/AG200-1</f>
        <v>4.6153846153846212E-2</v>
      </c>
      <c r="AM22" s="101">
        <f t="shared" ref="AM22:AM27" si="13">AM200/AH200-1</f>
        <v>6.6521264994547469E-2</v>
      </c>
      <c r="AN22" s="101">
        <f t="shared" ref="AN22:AN27" si="14">AN200/AI200-1</f>
        <v>3.0651340996168619E-2</v>
      </c>
      <c r="AO22" s="103">
        <f t="shared" ref="AO22:AO27" si="15">AO200/AJ200-1</f>
        <v>4.9700682166225807E-2</v>
      </c>
      <c r="AP22" s="101">
        <f t="shared" ref="AP22:AT27" si="16">AP200/AK200-1</f>
        <v>6.9322296947749606E-2</v>
      </c>
      <c r="AQ22" s="101">
        <f t="shared" si="16"/>
        <v>-0.12104072398190047</v>
      </c>
      <c r="AR22" s="101">
        <f t="shared" si="16"/>
        <v>-0.98261758691206547</v>
      </c>
      <c r="AS22" s="101">
        <f t="shared" si="16"/>
        <v>-0.79660116834838024</v>
      </c>
      <c r="AT22" s="103">
        <f t="shared" si="16"/>
        <v>-0.46445623342175069</v>
      </c>
      <c r="AU22" s="471">
        <f>AU200/AP200-1</f>
        <v>-0.73439767779390419</v>
      </c>
      <c r="AV22" s="481">
        <f>AV200/AQ200-1</f>
        <v>-0.61583011583011582</v>
      </c>
      <c r="AW22" s="865">
        <f>AW200/AR200-1</f>
        <v>32.882352941176471</v>
      </c>
      <c r="AX22" s="474">
        <v>3</v>
      </c>
      <c r="AY22" s="468">
        <f>AY200/AT200-1</f>
        <v>-5.1510648836057493E-2</v>
      </c>
      <c r="AZ22" s="474">
        <v>1.8</v>
      </c>
      <c r="BA22" s="474">
        <v>1.5</v>
      </c>
      <c r="BB22" s="474">
        <v>1</v>
      </c>
      <c r="BC22" s="474">
        <v>0.5</v>
      </c>
      <c r="BD22" s="468">
        <f>BD200/AY200-1</f>
        <v>0.99261096605744115</v>
      </c>
      <c r="BE22" s="467">
        <v>0.1</v>
      </c>
      <c r="BF22" s="467">
        <v>0.03</v>
      </c>
      <c r="BG22" s="467">
        <v>0.05</v>
      </c>
      <c r="BH22" s="477"/>
    </row>
    <row r="23" spans="1:60" s="475" customFormat="1" x14ac:dyDescent="0.25">
      <c r="A23" s="96" t="s">
        <v>812</v>
      </c>
      <c r="B23" s="245"/>
      <c r="C23" s="103"/>
      <c r="D23" s="103"/>
      <c r="E23" s="103"/>
      <c r="F23" s="103"/>
      <c r="G23" s="101"/>
      <c r="H23" s="101"/>
      <c r="I23" s="101"/>
      <c r="J23" s="101"/>
      <c r="K23" s="103"/>
      <c r="L23" s="101"/>
      <c r="M23" s="101"/>
      <c r="N23" s="101"/>
      <c r="O23" s="101"/>
      <c r="P23" s="103"/>
      <c r="Q23" s="101"/>
      <c r="R23" s="101"/>
      <c r="S23" s="101"/>
      <c r="T23" s="101"/>
      <c r="U23" s="103"/>
      <c r="V23" s="101"/>
      <c r="W23" s="101"/>
      <c r="X23" s="101"/>
      <c r="Y23" s="101"/>
      <c r="Z23" s="103"/>
      <c r="AA23" s="101"/>
      <c r="AB23" s="101"/>
      <c r="AC23" s="101"/>
      <c r="AD23" s="101"/>
      <c r="AE23" s="103">
        <f t="shared" si="9"/>
        <v>9.8933901918976552E-2</v>
      </c>
      <c r="AF23" s="101"/>
      <c r="AG23" s="101"/>
      <c r="AH23" s="101"/>
      <c r="AI23" s="101"/>
      <c r="AJ23" s="103">
        <f t="shared" si="10"/>
        <v>0.10089251067132321</v>
      </c>
      <c r="AK23" s="101">
        <f t="shared" si="11"/>
        <v>-0.23992229237493934</v>
      </c>
      <c r="AL23" s="101">
        <f t="shared" si="12"/>
        <v>4.3639053254437954E-2</v>
      </c>
      <c r="AM23" s="101">
        <f t="shared" si="13"/>
        <v>5.0624133148404971E-2</v>
      </c>
      <c r="AN23" s="101">
        <f t="shared" si="14"/>
        <v>0.79293544457978071</v>
      </c>
      <c r="AO23" s="103">
        <f t="shared" si="15"/>
        <v>5.0934085301374665E-2</v>
      </c>
      <c r="AP23" s="101">
        <f t="shared" si="16"/>
        <v>8.0511182108626178E-2</v>
      </c>
      <c r="AQ23" s="101">
        <f t="shared" si="16"/>
        <v>-9.5676824946846262E-2</v>
      </c>
      <c r="AR23" s="101">
        <f t="shared" si="16"/>
        <v>-0.95841584158415838</v>
      </c>
      <c r="AS23" s="101">
        <f t="shared" si="16"/>
        <v>-0.72078804347826086</v>
      </c>
      <c r="AT23" s="103">
        <f t="shared" si="16"/>
        <v>-0.42294147241321478</v>
      </c>
      <c r="AU23" s="471">
        <f t="shared" ref="AU23:AW26" si="17">AU201/AP201-1</f>
        <v>-0.67297457125960969</v>
      </c>
      <c r="AV23" s="481">
        <f t="shared" si="17"/>
        <v>-0.56269592476489028</v>
      </c>
      <c r="AW23" s="865">
        <f t="shared" si="17"/>
        <v>13.507936507936508</v>
      </c>
      <c r="AX23" s="474">
        <v>2.5</v>
      </c>
      <c r="AY23" s="468">
        <f t="shared" ref="AY23:AY26" si="18">AY201/AT201-1</f>
        <v>6.5387968613774827E-3</v>
      </c>
      <c r="AZ23" s="474">
        <v>1.6</v>
      </c>
      <c r="BA23" s="474">
        <v>1.3</v>
      </c>
      <c r="BB23" s="474">
        <v>0.5</v>
      </c>
      <c r="BC23" s="474">
        <v>0.1</v>
      </c>
      <c r="BD23" s="468">
        <f t="shared" ref="BD23:BD26" si="19">BD201/AY201-1</f>
        <v>0.63838602569654967</v>
      </c>
      <c r="BE23" s="467">
        <v>0.1</v>
      </c>
      <c r="BF23" s="467">
        <v>0.05</v>
      </c>
      <c r="BG23" s="467">
        <v>0.05</v>
      </c>
      <c r="BH23" s="477"/>
    </row>
    <row r="24" spans="1:60" s="475" customFormat="1" x14ac:dyDescent="0.25">
      <c r="A24" s="96" t="s">
        <v>813</v>
      </c>
      <c r="B24" s="245"/>
      <c r="C24" s="103"/>
      <c r="D24" s="103"/>
      <c r="E24" s="103"/>
      <c r="F24" s="103"/>
      <c r="G24" s="101"/>
      <c r="H24" s="101"/>
      <c r="I24" s="101"/>
      <c r="J24" s="101"/>
      <c r="K24" s="103"/>
      <c r="L24" s="101"/>
      <c r="M24" s="101"/>
      <c r="N24" s="101"/>
      <c r="O24" s="101"/>
      <c r="P24" s="103"/>
      <c r="Q24" s="101"/>
      <c r="R24" s="101"/>
      <c r="S24" s="101"/>
      <c r="T24" s="101"/>
      <c r="U24" s="103"/>
      <c r="V24" s="101"/>
      <c r="W24" s="101"/>
      <c r="X24" s="101"/>
      <c r="Y24" s="101"/>
      <c r="Z24" s="103"/>
      <c r="AA24" s="101"/>
      <c r="AB24" s="101"/>
      <c r="AC24" s="101"/>
      <c r="AD24" s="101"/>
      <c r="AE24" s="103">
        <f t="shared" si="9"/>
        <v>5.6996855345911923E-2</v>
      </c>
      <c r="AF24" s="101"/>
      <c r="AG24" s="101"/>
      <c r="AH24" s="101"/>
      <c r="AI24" s="101"/>
      <c r="AJ24" s="103">
        <f t="shared" si="10"/>
        <v>0.10412792859799191</v>
      </c>
      <c r="AK24" s="101">
        <f t="shared" si="11"/>
        <v>4.6479835953520121E-2</v>
      </c>
      <c r="AL24" s="101">
        <f t="shared" si="12"/>
        <v>2.8747433264887157E-2</v>
      </c>
      <c r="AM24" s="101">
        <f t="shared" si="13"/>
        <v>5.2287581699346442E-2</v>
      </c>
      <c r="AN24" s="101">
        <f t="shared" si="14"/>
        <v>9.2991913746630628E-2</v>
      </c>
      <c r="AO24" s="103">
        <f t="shared" si="15"/>
        <v>5.5237453688110394E-2</v>
      </c>
      <c r="AP24" s="101">
        <f t="shared" si="16"/>
        <v>6.531678641410843E-2</v>
      </c>
      <c r="AQ24" s="101">
        <f t="shared" si="16"/>
        <v>-8.3832335329341312E-2</v>
      </c>
      <c r="AR24" s="101">
        <f t="shared" si="16"/>
        <v>-0.9503105590062112</v>
      </c>
      <c r="AS24" s="101">
        <f t="shared" si="16"/>
        <v>-0.80641183723797782</v>
      </c>
      <c r="AT24" s="103">
        <f t="shared" si="16"/>
        <v>-0.45706990105330358</v>
      </c>
      <c r="AU24" s="471">
        <f t="shared" si="17"/>
        <v>-0.73451870018393617</v>
      </c>
      <c r="AV24" s="481">
        <f t="shared" si="17"/>
        <v>-0.62745098039215685</v>
      </c>
      <c r="AW24" s="865">
        <f t="shared" si="17"/>
        <v>8.6999999999999993</v>
      </c>
      <c r="AX24" s="474">
        <v>3</v>
      </c>
      <c r="AY24" s="468">
        <f t="shared" si="18"/>
        <v>-0.12463256907701348</v>
      </c>
      <c r="AZ24" s="474">
        <v>1.5</v>
      </c>
      <c r="BA24" s="474">
        <v>0.9</v>
      </c>
      <c r="BB24" s="474">
        <v>0.45</v>
      </c>
      <c r="BC24" s="474">
        <v>0.2</v>
      </c>
      <c r="BD24" s="468">
        <f t="shared" si="19"/>
        <v>0.57474815312290106</v>
      </c>
      <c r="BE24" s="467">
        <v>0.1</v>
      </c>
      <c r="BF24" s="467">
        <v>0.05</v>
      </c>
      <c r="BG24" s="467">
        <v>0.05</v>
      </c>
      <c r="BH24" s="477"/>
    </row>
    <row r="25" spans="1:60" s="475" customFormat="1" x14ac:dyDescent="0.25">
      <c r="A25" s="96" t="s">
        <v>814</v>
      </c>
      <c r="B25" s="245"/>
      <c r="C25" s="103"/>
      <c r="D25" s="103"/>
      <c r="E25" s="103"/>
      <c r="F25" s="103"/>
      <c r="G25" s="101"/>
      <c r="H25" s="101"/>
      <c r="I25" s="101"/>
      <c r="J25" s="101"/>
      <c r="K25" s="103"/>
      <c r="L25" s="101"/>
      <c r="M25" s="101"/>
      <c r="N25" s="101"/>
      <c r="O25" s="101"/>
      <c r="P25" s="103"/>
      <c r="Q25" s="101"/>
      <c r="R25" s="101"/>
      <c r="S25" s="101"/>
      <c r="T25" s="101"/>
      <c r="U25" s="103"/>
      <c r="V25" s="101"/>
      <c r="W25" s="101"/>
      <c r="X25" s="101"/>
      <c r="Y25" s="101"/>
      <c r="Z25" s="103"/>
      <c r="AA25" s="101"/>
      <c r="AB25" s="101"/>
      <c r="AC25" s="101"/>
      <c r="AD25" s="101"/>
      <c r="AE25" s="103">
        <f t="shared" si="9"/>
        <v>-0.16257977830030235</v>
      </c>
      <c r="AF25" s="101"/>
      <c r="AG25" s="101"/>
      <c r="AH25" s="101"/>
      <c r="AI25" s="101"/>
      <c r="AJ25" s="103">
        <f t="shared" si="10"/>
        <v>-3.6301644604893712E-2</v>
      </c>
      <c r="AK25" s="101">
        <f t="shared" si="11"/>
        <v>0.53537486800422385</v>
      </c>
      <c r="AL25" s="101">
        <f t="shared" si="12"/>
        <v>1.7921146953405742E-3</v>
      </c>
      <c r="AM25" s="101">
        <f t="shared" si="13"/>
        <v>7.9074252651880395E-2</v>
      </c>
      <c r="AN25" s="101">
        <f t="shared" si="14"/>
        <v>-0.1853372434017595</v>
      </c>
      <c r="AO25" s="103">
        <f t="shared" si="15"/>
        <v>5.723204994797082E-2</v>
      </c>
      <c r="AP25" s="101">
        <f t="shared" si="16"/>
        <v>0.14786795048143064</v>
      </c>
      <c r="AQ25" s="101">
        <f t="shared" si="16"/>
        <v>-9.0339892665474042E-2</v>
      </c>
      <c r="AR25" s="101">
        <f t="shared" si="16"/>
        <v>-0.355674709562109</v>
      </c>
      <c r="AS25" s="101">
        <f t="shared" si="16"/>
        <v>-5.3995680345572339E-2</v>
      </c>
      <c r="AT25" s="103">
        <f t="shared" si="16"/>
        <v>-7.0669291338582685E-2</v>
      </c>
      <c r="AU25" s="471">
        <f t="shared" si="17"/>
        <v>1.7375674056321122E-2</v>
      </c>
      <c r="AV25" s="481">
        <f t="shared" si="17"/>
        <v>0.12586037364798419</v>
      </c>
      <c r="AW25" s="865">
        <f t="shared" si="17"/>
        <v>0.57697642163661578</v>
      </c>
      <c r="AX25" s="474">
        <v>0.1</v>
      </c>
      <c r="AY25" s="468">
        <f t="shared" si="18"/>
        <v>0.14920567676339758</v>
      </c>
      <c r="AZ25" s="474">
        <v>0.1</v>
      </c>
      <c r="BA25" s="474">
        <v>0.1</v>
      </c>
      <c r="BB25" s="474">
        <v>0.1</v>
      </c>
      <c r="BC25" s="474">
        <v>0.1</v>
      </c>
      <c r="BD25" s="468">
        <f t="shared" si="19"/>
        <v>0.10000000000000009</v>
      </c>
      <c r="BE25" s="467">
        <v>0.05</v>
      </c>
      <c r="BF25" s="467">
        <v>0.05</v>
      </c>
      <c r="BG25" s="467">
        <v>0.05</v>
      </c>
      <c r="BH25" s="477"/>
    </row>
    <row r="26" spans="1:60" s="475" customFormat="1" x14ac:dyDescent="0.25">
      <c r="A26" s="363" t="s">
        <v>815</v>
      </c>
      <c r="B26" s="659"/>
      <c r="C26" s="660"/>
      <c r="D26" s="660"/>
      <c r="E26" s="660"/>
      <c r="F26" s="660"/>
      <c r="G26" s="661"/>
      <c r="H26" s="661"/>
      <c r="I26" s="661"/>
      <c r="J26" s="661"/>
      <c r="K26" s="660"/>
      <c r="L26" s="661"/>
      <c r="M26" s="661"/>
      <c r="N26" s="661"/>
      <c r="O26" s="661"/>
      <c r="P26" s="660"/>
      <c r="Q26" s="661"/>
      <c r="R26" s="661"/>
      <c r="S26" s="661"/>
      <c r="T26" s="661"/>
      <c r="U26" s="660"/>
      <c r="V26" s="661"/>
      <c r="W26" s="661"/>
      <c r="X26" s="661"/>
      <c r="Y26" s="661"/>
      <c r="Z26" s="660"/>
      <c r="AA26" s="661"/>
      <c r="AB26" s="661"/>
      <c r="AC26" s="661"/>
      <c r="AD26" s="661"/>
      <c r="AE26" s="660">
        <f t="shared" si="9"/>
        <v>9.3704245973645683E-2</v>
      </c>
      <c r="AF26" s="661"/>
      <c r="AG26" s="661"/>
      <c r="AH26" s="661"/>
      <c r="AI26" s="661"/>
      <c r="AJ26" s="660">
        <f t="shared" si="10"/>
        <v>0.10910307898259708</v>
      </c>
      <c r="AK26" s="661">
        <f t="shared" si="11"/>
        <v>0.25316455696202533</v>
      </c>
      <c r="AL26" s="661">
        <f t="shared" si="12"/>
        <v>0.18333333333333335</v>
      </c>
      <c r="AM26" s="661">
        <f t="shared" si="13"/>
        <v>0.21601941747572817</v>
      </c>
      <c r="AN26" s="661">
        <f t="shared" si="14"/>
        <v>3.2558139534883734E-2</v>
      </c>
      <c r="AO26" s="660">
        <f t="shared" si="15"/>
        <v>0.1689800844900422</v>
      </c>
      <c r="AP26" s="661">
        <f t="shared" si="16"/>
        <v>5.4545454545454453E-2</v>
      </c>
      <c r="AQ26" s="661">
        <f t="shared" si="16"/>
        <v>-0.12273641851106643</v>
      </c>
      <c r="AR26" s="661">
        <f t="shared" si="16"/>
        <v>-0.66666666666666674</v>
      </c>
      <c r="AS26" s="661">
        <f t="shared" si="16"/>
        <v>-0.2995495495495496</v>
      </c>
      <c r="AT26" s="660">
        <f t="shared" si="16"/>
        <v>-0.25864739287558081</v>
      </c>
      <c r="AU26" s="487">
        <f t="shared" si="17"/>
        <v>-0.31992337164750961</v>
      </c>
      <c r="AV26" s="488">
        <f t="shared" si="17"/>
        <v>-0.17431192660550454</v>
      </c>
      <c r="AW26" s="867">
        <f t="shared" si="17"/>
        <v>1.1676646706586826</v>
      </c>
      <c r="AX26" s="494">
        <v>0.7</v>
      </c>
      <c r="AY26" s="486">
        <f t="shared" si="18"/>
        <v>0.11817548746518103</v>
      </c>
      <c r="AZ26" s="494">
        <v>0.1</v>
      </c>
      <c r="BA26" s="494">
        <v>0.1</v>
      </c>
      <c r="BB26" s="494">
        <v>0.1</v>
      </c>
      <c r="BC26" s="494">
        <v>0.1</v>
      </c>
      <c r="BD26" s="486">
        <f t="shared" si="19"/>
        <v>0.10000000000000031</v>
      </c>
      <c r="BE26" s="495">
        <v>0.05</v>
      </c>
      <c r="BF26" s="495">
        <v>0.05</v>
      </c>
      <c r="BG26" s="495">
        <v>0.05</v>
      </c>
      <c r="BH26" s="477"/>
    </row>
    <row r="27" spans="1:60" s="469" customFormat="1" x14ac:dyDescent="0.25">
      <c r="A27" s="591" t="s">
        <v>810</v>
      </c>
      <c r="B27" s="246"/>
      <c r="C27" s="478"/>
      <c r="D27" s="478"/>
      <c r="E27" s="478"/>
      <c r="F27" s="478"/>
      <c r="G27" s="480"/>
      <c r="H27" s="480"/>
      <c r="I27" s="480"/>
      <c r="J27" s="480"/>
      <c r="K27" s="478"/>
      <c r="L27" s="480"/>
      <c r="M27" s="480"/>
      <c r="N27" s="480"/>
      <c r="O27" s="480"/>
      <c r="P27" s="478"/>
      <c r="Q27" s="480"/>
      <c r="R27" s="480"/>
      <c r="S27" s="480"/>
      <c r="T27" s="480"/>
      <c r="U27" s="478"/>
      <c r="V27" s="480"/>
      <c r="W27" s="480"/>
      <c r="X27" s="480"/>
      <c r="Y27" s="480"/>
      <c r="Z27" s="478"/>
      <c r="AA27" s="480"/>
      <c r="AB27" s="480"/>
      <c r="AC27" s="480"/>
      <c r="AD27" s="480"/>
      <c r="AE27" s="478">
        <f t="shared" si="9"/>
        <v>2.2523697712844681E-2</v>
      </c>
      <c r="AF27" s="480"/>
      <c r="AG27" s="480"/>
      <c r="AH27" s="480"/>
      <c r="AI27" s="480"/>
      <c r="AJ27" s="478">
        <f t="shared" si="10"/>
        <v>7.4034699778873891E-2</v>
      </c>
      <c r="AK27" s="480">
        <f t="shared" si="11"/>
        <v>4.2114695340501829E-2</v>
      </c>
      <c r="AL27" s="480">
        <f t="shared" si="12"/>
        <v>4.2722305017387052E-2</v>
      </c>
      <c r="AM27" s="480">
        <f t="shared" si="13"/>
        <v>7.1302957633892827E-2</v>
      </c>
      <c r="AN27" s="480">
        <f t="shared" si="14"/>
        <v>8.6644327429391987E-2</v>
      </c>
      <c r="AO27" s="478">
        <f t="shared" si="15"/>
        <v>6.0537672724393143E-2</v>
      </c>
      <c r="AP27" s="480">
        <f t="shared" si="16"/>
        <v>8.6271137861851477E-2</v>
      </c>
      <c r="AQ27" s="480">
        <f t="shared" si="16"/>
        <v>-0.10115928219787196</v>
      </c>
      <c r="AR27" s="480">
        <f t="shared" si="16"/>
        <v>-0.84106849723921806</v>
      </c>
      <c r="AS27" s="480">
        <f t="shared" si="16"/>
        <v>-0.59867841409691636</v>
      </c>
      <c r="AT27" s="478">
        <f t="shared" si="16"/>
        <v>-0.36392145150451727</v>
      </c>
      <c r="AU27" s="472">
        <f t="shared" ref="AU27:BD27" si="20">AU205/AP205-1</f>
        <v>-0.52664907651715032</v>
      </c>
      <c r="AV27" s="482">
        <f t="shared" si="20"/>
        <v>-0.43939929328621907</v>
      </c>
      <c r="AW27" s="874">
        <f t="shared" si="20"/>
        <v>3.0760563380281694</v>
      </c>
      <c r="AX27" s="472">
        <f t="shared" si="20"/>
        <v>1.2687888766922795</v>
      </c>
      <c r="AY27" s="466">
        <f t="shared" si="20"/>
        <v>1.5529991783073127E-2</v>
      </c>
      <c r="AZ27" s="472">
        <f t="shared" si="20"/>
        <v>0.76025641025641022</v>
      </c>
      <c r="BA27" s="472">
        <f t="shared" si="20"/>
        <v>0.7037819098644813</v>
      </c>
      <c r="BB27" s="472">
        <f t="shared" si="20"/>
        <v>0.48562543192812702</v>
      </c>
      <c r="BC27" s="472">
        <f t="shared" si="20"/>
        <v>0.21908524981453414</v>
      </c>
      <c r="BD27" s="466">
        <f t="shared" si="20"/>
        <v>0.48706321593286583</v>
      </c>
      <c r="BE27" s="466">
        <f>BE205/BD205-1</f>
        <v>8.4970478110039327E-2</v>
      </c>
      <c r="BF27" s="466">
        <f t="shared" ref="BF27:BG27" si="21">BF205/BE205-1</f>
        <v>4.398569773909089E-2</v>
      </c>
      <c r="BG27" s="466">
        <f t="shared" si="21"/>
        <v>4.9999999999999822E-2</v>
      </c>
      <c r="BH27" s="473"/>
    </row>
    <row r="28" spans="1:60" s="83" customFormat="1" hidden="1" outlineLevel="1" x14ac:dyDescent="0.25">
      <c r="A28" s="476" t="s">
        <v>14</v>
      </c>
      <c r="B28" s="245"/>
      <c r="C28" s="103"/>
      <c r="D28" s="103"/>
      <c r="E28" s="103"/>
      <c r="F28" s="103"/>
      <c r="G28" s="101"/>
      <c r="H28" s="101"/>
      <c r="I28" s="101"/>
      <c r="J28" s="101"/>
      <c r="K28" s="103"/>
      <c r="L28" s="101"/>
      <c r="M28" s="101"/>
      <c r="N28" s="101"/>
      <c r="O28" s="101"/>
      <c r="P28" s="103"/>
      <c r="Q28" s="101"/>
      <c r="R28" s="101"/>
      <c r="S28" s="101"/>
      <c r="T28" s="101"/>
      <c r="U28" s="103"/>
      <c r="V28" s="101"/>
      <c r="W28" s="101"/>
      <c r="X28" s="101"/>
      <c r="Y28" s="101"/>
      <c r="Z28" s="103"/>
      <c r="AA28" s="101"/>
      <c r="AB28" s="101"/>
      <c r="AC28" s="101"/>
      <c r="AD28" s="101"/>
      <c r="AE28" s="468">
        <f>AE249/Z249-1</f>
        <v>4.8580748143511876E-4</v>
      </c>
      <c r="AF28" s="101"/>
      <c r="AG28" s="101"/>
      <c r="AH28" s="101"/>
      <c r="AI28" s="101"/>
      <c r="AJ28" s="468">
        <f t="shared" ref="AJ28:AR30" si="22">AJ249/AE249-1</f>
        <v>1.3457269700333008E-2</v>
      </c>
      <c r="AK28" s="471">
        <f t="shared" si="22"/>
        <v>3.9916514479519938E-2</v>
      </c>
      <c r="AL28" s="481">
        <f t="shared" si="22"/>
        <v>1.5056118258965245E-2</v>
      </c>
      <c r="AM28" s="471">
        <f t="shared" si="22"/>
        <v>0.24103419516263558</v>
      </c>
      <c r="AN28" s="471">
        <f t="shared" si="22"/>
        <v>0.20300538701445991</v>
      </c>
      <c r="AO28" s="468">
        <f t="shared" si="22"/>
        <v>0.12840520191649563</v>
      </c>
      <c r="AP28" s="471">
        <f t="shared" si="22"/>
        <v>0.19568489713999004</v>
      </c>
      <c r="AQ28" s="481">
        <f t="shared" si="22"/>
        <v>0.19875943905070126</v>
      </c>
      <c r="AR28" s="471">
        <f t="shared" si="22"/>
        <v>-9.6326164874551923E-2</v>
      </c>
      <c r="AS28" s="471">
        <f t="shared" ref="AS28:AT30" si="23">AS249/AN249-1</f>
        <v>0.11265613952392184</v>
      </c>
      <c r="AT28" s="468">
        <f t="shared" si="23"/>
        <v>8.9773140846779009E-2</v>
      </c>
      <c r="AU28" s="101"/>
      <c r="AV28" s="101"/>
      <c r="AW28" s="686"/>
      <c r="AX28" s="101"/>
      <c r="AY28" s="103"/>
      <c r="AZ28" s="101"/>
      <c r="BA28" s="101"/>
      <c r="BB28" s="101"/>
      <c r="BC28" s="101"/>
      <c r="BD28" s="103"/>
      <c r="BE28" s="103"/>
      <c r="BF28" s="103"/>
      <c r="BG28" s="103"/>
      <c r="BH28" s="477"/>
    </row>
    <row r="29" spans="1:60" s="83" customFormat="1" hidden="1" outlineLevel="1" x14ac:dyDescent="0.25">
      <c r="A29" s="476" t="s">
        <v>15</v>
      </c>
      <c r="B29" s="245"/>
      <c r="C29" s="103"/>
      <c r="D29" s="103"/>
      <c r="E29" s="103"/>
      <c r="F29" s="103"/>
      <c r="G29" s="101"/>
      <c r="H29" s="101"/>
      <c r="I29" s="101"/>
      <c r="J29" s="101"/>
      <c r="K29" s="103"/>
      <c r="L29" s="101"/>
      <c r="M29" s="101"/>
      <c r="N29" s="101"/>
      <c r="O29" s="101"/>
      <c r="P29" s="103"/>
      <c r="Q29" s="101"/>
      <c r="R29" s="101"/>
      <c r="S29" s="101"/>
      <c r="T29" s="101"/>
      <c r="U29" s="103"/>
      <c r="V29" s="101"/>
      <c r="W29" s="101"/>
      <c r="X29" s="101"/>
      <c r="Y29" s="101"/>
      <c r="Z29" s="103"/>
      <c r="AA29" s="101"/>
      <c r="AB29" s="101"/>
      <c r="AC29" s="101"/>
      <c r="AD29" s="101"/>
      <c r="AE29" s="468">
        <f>AE250/Z250-1</f>
        <v>-4.9154257626138342E-3</v>
      </c>
      <c r="AF29" s="101"/>
      <c r="AG29" s="101"/>
      <c r="AH29" s="101"/>
      <c r="AI29" s="101"/>
      <c r="AJ29" s="468">
        <f t="shared" si="22"/>
        <v>6.232747348539891E-2</v>
      </c>
      <c r="AK29" s="471">
        <f t="shared" si="22"/>
        <v>0.12369337979094075</v>
      </c>
      <c r="AL29" s="481">
        <f t="shared" si="22"/>
        <v>-2.0485175202156314E-2</v>
      </c>
      <c r="AM29" s="471">
        <f t="shared" si="22"/>
        <v>0.16107382550335569</v>
      </c>
      <c r="AN29" s="471">
        <f t="shared" si="22"/>
        <v>0.2608453837597331</v>
      </c>
      <c r="AO29" s="468">
        <f t="shared" si="22"/>
        <v>0.14072757111597367</v>
      </c>
      <c r="AP29" s="471">
        <f t="shared" si="22"/>
        <v>0.3410852713178294</v>
      </c>
      <c r="AQ29" s="481">
        <f t="shared" si="22"/>
        <v>0.54760594386351125</v>
      </c>
      <c r="AR29" s="471">
        <f t="shared" si="22"/>
        <v>0.12405513561582926</v>
      </c>
      <c r="AS29" s="471">
        <f t="shared" si="23"/>
        <v>9.9250110277900205E-2</v>
      </c>
      <c r="AT29" s="468">
        <f t="shared" si="23"/>
        <v>0.25008991727610597</v>
      </c>
      <c r="AU29" s="101"/>
      <c r="AV29" s="101"/>
      <c r="AW29" s="686"/>
      <c r="AX29" s="101"/>
      <c r="AY29" s="103"/>
      <c r="AZ29" s="101"/>
      <c r="BA29" s="101"/>
      <c r="BB29" s="101"/>
      <c r="BC29" s="101"/>
      <c r="BD29" s="103"/>
      <c r="BE29" s="103"/>
      <c r="BF29" s="103"/>
      <c r="BG29" s="103"/>
      <c r="BH29" s="477"/>
    </row>
    <row r="30" spans="1:60" s="83" customFormat="1" hidden="1" outlineLevel="1" x14ac:dyDescent="0.25">
      <c r="A30" s="323" t="s">
        <v>16</v>
      </c>
      <c r="B30" s="746"/>
      <c r="C30" s="328"/>
      <c r="D30" s="328"/>
      <c r="E30" s="328"/>
      <c r="F30" s="328"/>
      <c r="G30" s="327"/>
      <c r="H30" s="327"/>
      <c r="I30" s="327"/>
      <c r="J30" s="327"/>
      <c r="K30" s="328"/>
      <c r="L30" s="327"/>
      <c r="M30" s="327"/>
      <c r="N30" s="327"/>
      <c r="O30" s="327"/>
      <c r="P30" s="328"/>
      <c r="Q30" s="327"/>
      <c r="R30" s="327"/>
      <c r="S30" s="327"/>
      <c r="T30" s="327"/>
      <c r="U30" s="328"/>
      <c r="V30" s="327"/>
      <c r="W30" s="327"/>
      <c r="X30" s="327"/>
      <c r="Y30" s="327"/>
      <c r="Z30" s="328"/>
      <c r="AA30" s="327"/>
      <c r="AB30" s="327"/>
      <c r="AC30" s="327"/>
      <c r="AD30" s="327"/>
      <c r="AE30" s="324">
        <f>AE251/Z251-1</f>
        <v>-1.2660602081965289E-3</v>
      </c>
      <c r="AF30" s="327"/>
      <c r="AG30" s="327"/>
      <c r="AH30" s="327"/>
      <c r="AI30" s="327"/>
      <c r="AJ30" s="324">
        <f t="shared" si="22"/>
        <v>2.9250199539884392E-2</v>
      </c>
      <c r="AK30" s="325">
        <f t="shared" si="22"/>
        <v>6.5886588658865985E-2</v>
      </c>
      <c r="AL30" s="326">
        <f t="shared" si="22"/>
        <v>3.0864197530864335E-3</v>
      </c>
      <c r="AM30" s="325">
        <f t="shared" si="22"/>
        <v>0.21304662088904958</v>
      </c>
      <c r="AN30" s="325">
        <f t="shared" si="22"/>
        <v>0.22253521126760556</v>
      </c>
      <c r="AO30" s="324">
        <f t="shared" si="22"/>
        <v>0.1325152814524222</v>
      </c>
      <c r="AP30" s="325">
        <f t="shared" si="22"/>
        <v>0.24320216179699372</v>
      </c>
      <c r="AQ30" s="326">
        <f t="shared" si="22"/>
        <v>0.31348416289592751</v>
      </c>
      <c r="AR30" s="325">
        <f t="shared" si="22"/>
        <v>-2.2493669000446914E-2</v>
      </c>
      <c r="AS30" s="325">
        <f t="shared" si="23"/>
        <v>0.10798771121351769</v>
      </c>
      <c r="AT30" s="324">
        <f t="shared" si="23"/>
        <v>0.14363394691263554</v>
      </c>
      <c r="AU30" s="327"/>
      <c r="AV30" s="327"/>
      <c r="AW30" s="747"/>
      <c r="AX30" s="327"/>
      <c r="AY30" s="328"/>
      <c r="AZ30" s="327"/>
      <c r="BA30" s="327"/>
      <c r="BB30" s="327"/>
      <c r="BC30" s="327"/>
      <c r="BD30" s="328"/>
      <c r="BE30" s="328"/>
      <c r="BF30" s="328"/>
      <c r="BG30" s="328"/>
      <c r="BH30" s="477"/>
    </row>
    <row r="31" spans="1:60" s="83" customFormat="1" hidden="1" outlineLevel="1" x14ac:dyDescent="0.25">
      <c r="A31" s="476" t="s">
        <v>17</v>
      </c>
      <c r="B31" s="245"/>
      <c r="C31" s="103"/>
      <c r="D31" s="103"/>
      <c r="E31" s="103"/>
      <c r="F31" s="103"/>
      <c r="G31" s="101"/>
      <c r="H31" s="101"/>
      <c r="I31" s="101"/>
      <c r="J31" s="101"/>
      <c r="K31" s="103"/>
      <c r="L31" s="101"/>
      <c r="M31" s="101"/>
      <c r="N31" s="101"/>
      <c r="O31" s="101"/>
      <c r="P31" s="103"/>
      <c r="Q31" s="101"/>
      <c r="R31" s="101"/>
      <c r="S31" s="101"/>
      <c r="T31" s="101"/>
      <c r="U31" s="103"/>
      <c r="V31" s="101"/>
      <c r="W31" s="101"/>
      <c r="X31" s="101"/>
      <c r="Y31" s="101"/>
      <c r="Z31" s="103"/>
      <c r="AA31" s="101"/>
      <c r="AB31" s="101"/>
      <c r="AC31" s="101"/>
      <c r="AD31" s="101"/>
      <c r="AE31" s="468">
        <f>AE303/Z303-1</f>
        <v>4.0533895328415781E-2</v>
      </c>
      <c r="AF31" s="101"/>
      <c r="AG31" s="101"/>
      <c r="AH31" s="101"/>
      <c r="AI31" s="101"/>
      <c r="AJ31" s="468">
        <f t="shared" ref="AJ31:AR32" si="24">AJ303/AE303-1</f>
        <v>9.1074804212800453E-2</v>
      </c>
      <c r="AK31" s="471">
        <f t="shared" si="24"/>
        <v>7.2404699112922577E-2</v>
      </c>
      <c r="AL31" s="481">
        <f t="shared" si="24"/>
        <v>6.0781841109709855E-2</v>
      </c>
      <c r="AM31" s="471">
        <f t="shared" si="24"/>
        <v>8.094888725849847E-2</v>
      </c>
      <c r="AN31" s="471">
        <f t="shared" si="24"/>
        <v>8.4603658536585469E-2</v>
      </c>
      <c r="AO31" s="468">
        <f t="shared" si="24"/>
        <v>7.4747849761772178E-2</v>
      </c>
      <c r="AP31" s="471">
        <f t="shared" si="24"/>
        <v>0.10418063939190692</v>
      </c>
      <c r="AQ31" s="481">
        <f t="shared" si="24"/>
        <v>-1.5929624346172178E-2</v>
      </c>
      <c r="AR31" s="471">
        <f t="shared" si="24"/>
        <v>-0.95180995475113117</v>
      </c>
      <c r="AS31" s="471">
        <f t="shared" ref="AS31:AS32" si="25">AS303/AN303-1</f>
        <v>-0.78097915202623569</v>
      </c>
      <c r="AT31" s="468">
        <f t="shared" ref="AT31:AT32" si="26">AT303/AO303-1</f>
        <v>-0.41124992803270199</v>
      </c>
      <c r="AU31" s="101"/>
      <c r="AV31" s="101"/>
      <c r="AW31" s="686"/>
      <c r="AX31" s="101"/>
      <c r="AY31" s="103"/>
      <c r="AZ31" s="101"/>
      <c r="BA31" s="101"/>
      <c r="BB31" s="101"/>
      <c r="BC31" s="101"/>
      <c r="BD31" s="103"/>
      <c r="BE31" s="103"/>
      <c r="BF31" s="103"/>
      <c r="BG31" s="103"/>
      <c r="BH31" s="477"/>
    </row>
    <row r="32" spans="1:60" s="83" customFormat="1" hidden="1" outlineLevel="1" x14ac:dyDescent="0.25">
      <c r="A32" s="476" t="s">
        <v>18</v>
      </c>
      <c r="B32" s="245"/>
      <c r="C32" s="103"/>
      <c r="D32" s="103"/>
      <c r="E32" s="103"/>
      <c r="F32" s="103"/>
      <c r="G32" s="101"/>
      <c r="H32" s="101"/>
      <c r="I32" s="101"/>
      <c r="J32" s="101"/>
      <c r="K32" s="103"/>
      <c r="L32" s="101"/>
      <c r="M32" s="101"/>
      <c r="N32" s="101"/>
      <c r="O32" s="101"/>
      <c r="P32" s="103"/>
      <c r="Q32" s="101"/>
      <c r="R32" s="101"/>
      <c r="S32" s="101"/>
      <c r="T32" s="101"/>
      <c r="U32" s="103"/>
      <c r="V32" s="101"/>
      <c r="W32" s="101"/>
      <c r="X32" s="101"/>
      <c r="Y32" s="101"/>
      <c r="Z32" s="103"/>
      <c r="AA32" s="101"/>
      <c r="AB32" s="101"/>
      <c r="AC32" s="101"/>
      <c r="AD32" s="101"/>
      <c r="AE32" s="468">
        <f>AE304/Z304-1</f>
        <v>0.31881405563689613</v>
      </c>
      <c r="AF32" s="101"/>
      <c r="AG32" s="101"/>
      <c r="AH32" s="101"/>
      <c r="AI32" s="101"/>
      <c r="AJ32" s="468">
        <f t="shared" si="24"/>
        <v>0.14765473216763803</v>
      </c>
      <c r="AK32" s="471">
        <f t="shared" si="24"/>
        <v>2.741116751269046E-2</v>
      </c>
      <c r="AL32" s="481">
        <f t="shared" si="24"/>
        <v>1.6411378555798661E-2</v>
      </c>
      <c r="AM32" s="471">
        <f t="shared" si="24"/>
        <v>1.9927536231884035E-2</v>
      </c>
      <c r="AN32" s="471">
        <f t="shared" si="24"/>
        <v>2.031802120141335E-2</v>
      </c>
      <c r="AO32" s="468">
        <f t="shared" si="24"/>
        <v>2.1281741233373674E-2</v>
      </c>
      <c r="AP32" s="471">
        <f t="shared" si="24"/>
        <v>-6.1264822134387331E-2</v>
      </c>
      <c r="AQ32" s="481">
        <f t="shared" si="24"/>
        <v>-0.48331539289558667</v>
      </c>
      <c r="AR32" s="471">
        <f t="shared" si="24"/>
        <v>-0.89698046181172297</v>
      </c>
      <c r="AS32" s="471">
        <f t="shared" si="25"/>
        <v>-0.58961038961038958</v>
      </c>
      <c r="AT32" s="468">
        <f t="shared" si="26"/>
        <v>-0.52166706133080742</v>
      </c>
      <c r="AU32" s="101"/>
      <c r="AV32" s="101"/>
      <c r="AW32" s="686"/>
      <c r="AX32" s="101"/>
      <c r="AY32" s="103"/>
      <c r="AZ32" s="101"/>
      <c r="BA32" s="101"/>
      <c r="BB32" s="101"/>
      <c r="BC32" s="101"/>
      <c r="BD32" s="103"/>
      <c r="BE32" s="103"/>
      <c r="BF32" s="103"/>
      <c r="BG32" s="103"/>
      <c r="BH32" s="477"/>
    </row>
    <row r="33" spans="1:60" s="83" customFormat="1" hidden="1" outlineLevel="1" x14ac:dyDescent="0.25">
      <c r="A33" s="493" t="s">
        <v>19</v>
      </c>
      <c r="B33" s="659"/>
      <c r="C33" s="660"/>
      <c r="D33" s="660"/>
      <c r="E33" s="660"/>
      <c r="F33" s="660"/>
      <c r="G33" s="661"/>
      <c r="H33" s="661"/>
      <c r="I33" s="661"/>
      <c r="J33" s="661"/>
      <c r="K33" s="660"/>
      <c r="L33" s="661"/>
      <c r="M33" s="661"/>
      <c r="N33" s="661"/>
      <c r="O33" s="661"/>
      <c r="P33" s="660"/>
      <c r="Q33" s="661"/>
      <c r="R33" s="661"/>
      <c r="S33" s="661"/>
      <c r="T33" s="661"/>
      <c r="U33" s="660"/>
      <c r="V33" s="661"/>
      <c r="W33" s="661"/>
      <c r="X33" s="661"/>
      <c r="Y33" s="661"/>
      <c r="Z33" s="660"/>
      <c r="AA33" s="661"/>
      <c r="AB33" s="661"/>
      <c r="AC33" s="661"/>
      <c r="AD33" s="661"/>
      <c r="AE33" s="486">
        <f>AE306/Z306-1</f>
        <v>-0.12889812889812891</v>
      </c>
      <c r="AF33" s="661"/>
      <c r="AG33" s="661"/>
      <c r="AH33" s="661"/>
      <c r="AI33" s="661"/>
      <c r="AJ33" s="486">
        <f t="shared" ref="AJ33:AR34" si="27">AJ306/AE306-1</f>
        <v>-4.4261228032111077E-2</v>
      </c>
      <c r="AK33" s="487">
        <f t="shared" si="27"/>
        <v>-2.334062727935815E-2</v>
      </c>
      <c r="AL33" s="488">
        <f t="shared" si="27"/>
        <v>9.765625E-3</v>
      </c>
      <c r="AM33" s="487">
        <f t="shared" si="27"/>
        <v>9.1198303287380655E-2</v>
      </c>
      <c r="AN33" s="487">
        <f t="shared" si="27"/>
        <v>0.15370196813495784</v>
      </c>
      <c r="AO33" s="486">
        <f t="shared" si="27"/>
        <v>5.1759364358683335E-2</v>
      </c>
      <c r="AP33" s="487">
        <f t="shared" si="27"/>
        <v>0.1254667662434652</v>
      </c>
      <c r="AQ33" s="488">
        <f t="shared" si="27"/>
        <v>-0.1063829787234043</v>
      </c>
      <c r="AR33" s="487">
        <f t="shared" si="27"/>
        <v>-0.36443148688046645</v>
      </c>
      <c r="AS33" s="487">
        <f t="shared" ref="AS33:AS34" si="28">AS306/AN306-1</f>
        <v>-4.8740861088545917E-2</v>
      </c>
      <c r="AT33" s="486">
        <f t="shared" ref="AT33:AT34" si="29">AT306/AO306-1</f>
        <v>-8.1372760630261221E-2</v>
      </c>
      <c r="AU33" s="661"/>
      <c r="AV33" s="661"/>
      <c r="AW33" s="696"/>
      <c r="AX33" s="661"/>
      <c r="AY33" s="660"/>
      <c r="AZ33" s="661"/>
      <c r="BA33" s="661"/>
      <c r="BB33" s="661"/>
      <c r="BC33" s="661"/>
      <c r="BD33" s="660"/>
      <c r="BE33" s="660"/>
      <c r="BF33" s="660"/>
      <c r="BG33" s="660"/>
      <c r="BH33" s="477"/>
    </row>
    <row r="34" spans="1:60" s="83" customFormat="1" hidden="1" outlineLevel="1" x14ac:dyDescent="0.25">
      <c r="A34" s="485" t="s">
        <v>20</v>
      </c>
      <c r="B34" s="245"/>
      <c r="C34" s="103"/>
      <c r="D34" s="103"/>
      <c r="E34" s="103"/>
      <c r="F34" s="103"/>
      <c r="G34" s="101"/>
      <c r="H34" s="101"/>
      <c r="I34" s="101"/>
      <c r="J34" s="101"/>
      <c r="K34" s="103"/>
      <c r="L34" s="101"/>
      <c r="M34" s="101"/>
      <c r="N34" s="101"/>
      <c r="O34" s="101"/>
      <c r="P34" s="103"/>
      <c r="Q34" s="101"/>
      <c r="R34" s="101"/>
      <c r="S34" s="101"/>
      <c r="T34" s="101"/>
      <c r="U34" s="103"/>
      <c r="V34" s="101"/>
      <c r="W34" s="101"/>
      <c r="X34" s="101"/>
      <c r="Y34" s="101"/>
      <c r="Z34" s="103"/>
      <c r="AA34" s="101"/>
      <c r="AB34" s="101"/>
      <c r="AC34" s="101"/>
      <c r="AD34" s="101"/>
      <c r="AE34" s="468">
        <f>AE307/Z307-1</f>
        <v>3.4414592506065267E-2</v>
      </c>
      <c r="AF34" s="101"/>
      <c r="AG34" s="101"/>
      <c r="AH34" s="101"/>
      <c r="AI34" s="101"/>
      <c r="AJ34" s="468">
        <f t="shared" si="27"/>
        <v>7.283703961084087E-2</v>
      </c>
      <c r="AK34" s="471">
        <f t="shared" si="27"/>
        <v>4.550329400949904E-2</v>
      </c>
      <c r="AL34" s="481">
        <f t="shared" si="27"/>
        <v>4.5061832966288407E-2</v>
      </c>
      <c r="AM34" s="471">
        <f t="shared" si="27"/>
        <v>7.15449804432855E-2</v>
      </c>
      <c r="AN34" s="471">
        <f t="shared" si="27"/>
        <v>8.4759576202118936E-2</v>
      </c>
      <c r="AO34" s="468">
        <f t="shared" si="27"/>
        <v>6.1697906967329352E-2</v>
      </c>
      <c r="AP34" s="471">
        <f t="shared" si="27"/>
        <v>8.3821805392731541E-2</v>
      </c>
      <c r="AQ34" s="481">
        <f t="shared" si="27"/>
        <v>-0.10147511752309935</v>
      </c>
      <c r="AR34" s="471">
        <f t="shared" si="27"/>
        <v>-0.85049429657794673</v>
      </c>
      <c r="AS34" s="471">
        <f t="shared" si="28"/>
        <v>-0.61232156273478588</v>
      </c>
      <c r="AT34" s="468">
        <f t="shared" si="29"/>
        <v>-0.37075309818875124</v>
      </c>
      <c r="AU34" s="101"/>
      <c r="AV34" s="101"/>
      <c r="AW34" s="686"/>
      <c r="AX34" s="101"/>
      <c r="AY34" s="103"/>
      <c r="AZ34" s="101"/>
      <c r="BA34" s="101"/>
      <c r="BB34" s="101"/>
      <c r="BC34" s="101"/>
      <c r="BD34" s="103"/>
      <c r="BE34" s="103"/>
      <c r="BF34" s="103"/>
      <c r="BG34" s="103"/>
      <c r="BH34" s="477"/>
    </row>
    <row r="35" spans="1:60" s="475" customFormat="1" hidden="1" outlineLevel="1" x14ac:dyDescent="0.25">
      <c r="A35" s="476" t="s">
        <v>21</v>
      </c>
      <c r="B35" s="245"/>
      <c r="C35" s="103"/>
      <c r="D35" s="103"/>
      <c r="E35" s="103"/>
      <c r="F35" s="103"/>
      <c r="G35" s="101"/>
      <c r="H35" s="101"/>
      <c r="I35" s="101"/>
      <c r="J35" s="101"/>
      <c r="K35" s="103"/>
      <c r="L35" s="101"/>
      <c r="M35" s="101"/>
      <c r="N35" s="101"/>
      <c r="O35" s="101"/>
      <c r="P35" s="103"/>
      <c r="Q35" s="101"/>
      <c r="R35" s="101"/>
      <c r="S35" s="101"/>
      <c r="T35" s="101"/>
      <c r="U35" s="103"/>
      <c r="V35" s="101"/>
      <c r="W35" s="101"/>
      <c r="X35" s="101"/>
      <c r="Y35" s="101"/>
      <c r="Z35" s="103"/>
      <c r="AA35" s="101"/>
      <c r="AB35" s="101"/>
      <c r="AC35" s="101"/>
      <c r="AD35" s="101"/>
      <c r="AE35" s="468">
        <f>AE387/Z387-1</f>
        <v>-0.20942265795206971</v>
      </c>
      <c r="AF35" s="101"/>
      <c r="AG35" s="101"/>
      <c r="AH35" s="101"/>
      <c r="AI35" s="101"/>
      <c r="AJ35" s="468">
        <f t="shared" ref="AJ35:AR37" si="30">AJ387/AE387-1</f>
        <v>0.48225973131243549</v>
      </c>
      <c r="AK35" s="471">
        <f t="shared" si="30"/>
        <v>-0.68092386655260906</v>
      </c>
      <c r="AL35" s="471">
        <f t="shared" si="30"/>
        <v>-0.22071129707112969</v>
      </c>
      <c r="AM35" s="471">
        <f t="shared" si="30"/>
        <v>0.48837209302325579</v>
      </c>
      <c r="AN35" s="471">
        <f t="shared" si="30"/>
        <v>1.0222882615156017</v>
      </c>
      <c r="AO35" s="468">
        <f t="shared" si="30"/>
        <v>9.8303509179642035E-2</v>
      </c>
      <c r="AP35" s="471">
        <f t="shared" si="30"/>
        <v>2.7747989276139409</v>
      </c>
      <c r="AQ35" s="471">
        <f t="shared" si="30"/>
        <v>-0.1906040268456376</v>
      </c>
      <c r="AR35" s="471">
        <f t="shared" si="30"/>
        <v>-0.97723214285714288</v>
      </c>
      <c r="AS35" s="471">
        <f t="shared" ref="AS35:AS40" si="31">AS387/AN387-1</f>
        <v>-0.9470977222630419</v>
      </c>
      <c r="AT35" s="468">
        <f t="shared" ref="AT35:AT40" si="32">AT387/AO387-1</f>
        <v>-0.54845535336436735</v>
      </c>
      <c r="AU35" s="101"/>
      <c r="AV35" s="101"/>
      <c r="AW35" s="686"/>
      <c r="AX35" s="101"/>
      <c r="AY35" s="103"/>
      <c r="AZ35" s="101"/>
      <c r="BA35" s="101"/>
      <c r="BB35" s="101"/>
      <c r="BC35" s="101"/>
      <c r="BD35" s="103"/>
      <c r="BE35" s="103"/>
      <c r="BF35" s="103"/>
      <c r="BG35" s="103"/>
      <c r="BH35" s="477"/>
    </row>
    <row r="36" spans="1:60" s="475" customFormat="1" hidden="1" outlineLevel="1" x14ac:dyDescent="0.25">
      <c r="A36" s="476" t="s">
        <v>22</v>
      </c>
      <c r="B36" s="245"/>
      <c r="C36" s="103"/>
      <c r="D36" s="103"/>
      <c r="E36" s="103"/>
      <c r="F36" s="103"/>
      <c r="G36" s="101"/>
      <c r="H36" s="101"/>
      <c r="I36" s="101"/>
      <c r="J36" s="101"/>
      <c r="K36" s="103"/>
      <c r="L36" s="101"/>
      <c r="M36" s="101"/>
      <c r="N36" s="101"/>
      <c r="O36" s="101"/>
      <c r="P36" s="103"/>
      <c r="Q36" s="101"/>
      <c r="R36" s="101"/>
      <c r="S36" s="101"/>
      <c r="T36" s="101"/>
      <c r="U36" s="103"/>
      <c r="V36" s="101"/>
      <c r="W36" s="101"/>
      <c r="X36" s="101"/>
      <c r="Y36" s="101"/>
      <c r="Z36" s="103"/>
      <c r="AA36" s="101"/>
      <c r="AB36" s="101"/>
      <c r="AC36" s="101"/>
      <c r="AD36" s="101"/>
      <c r="AE36" s="468">
        <f>AE388/Z388-1</f>
        <v>-0.15303030303030307</v>
      </c>
      <c r="AF36" s="101"/>
      <c r="AG36" s="101"/>
      <c r="AH36" s="101"/>
      <c r="AI36" s="101"/>
      <c r="AJ36" s="468">
        <f t="shared" si="30"/>
        <v>-1.7889087656529523E-2</v>
      </c>
      <c r="AK36" s="471">
        <f t="shared" si="30"/>
        <v>0.17728531855955687</v>
      </c>
      <c r="AL36" s="471">
        <f t="shared" si="30"/>
        <v>-0.44161358811040341</v>
      </c>
      <c r="AM36" s="471">
        <f t="shared" si="30"/>
        <v>0.11340206185567014</v>
      </c>
      <c r="AN36" s="471">
        <f t="shared" si="30"/>
        <v>0.42154566744730682</v>
      </c>
      <c r="AO36" s="468">
        <f t="shared" si="30"/>
        <v>5.2823315118396996E-2</v>
      </c>
      <c r="AP36" s="471">
        <f t="shared" si="30"/>
        <v>0.20235294117647062</v>
      </c>
      <c r="AQ36" s="471">
        <f t="shared" si="30"/>
        <v>0.62357414448669202</v>
      </c>
      <c r="AR36" s="471">
        <f t="shared" si="30"/>
        <v>-8.564814814814814E-2</v>
      </c>
      <c r="AS36" s="471">
        <f t="shared" si="31"/>
        <v>-0.67874794069192745</v>
      </c>
      <c r="AT36" s="468">
        <f t="shared" si="32"/>
        <v>-0.11880046136101496</v>
      </c>
      <c r="AU36" s="101"/>
      <c r="AV36" s="101"/>
      <c r="AW36" s="686"/>
      <c r="AX36" s="101"/>
      <c r="AY36" s="103"/>
      <c r="AZ36" s="101"/>
      <c r="BA36" s="101"/>
      <c r="BB36" s="101"/>
      <c r="BC36" s="101"/>
      <c r="BD36" s="103"/>
      <c r="BE36" s="103"/>
      <c r="BF36" s="103"/>
      <c r="BG36" s="103"/>
      <c r="BH36" s="477"/>
    </row>
    <row r="37" spans="1:60" s="475" customFormat="1" hidden="1" outlineLevel="1" x14ac:dyDescent="0.25">
      <c r="A37" s="476" t="s">
        <v>23</v>
      </c>
      <c r="B37" s="245"/>
      <c r="C37" s="103"/>
      <c r="D37" s="103"/>
      <c r="E37" s="103"/>
      <c r="F37" s="103"/>
      <c r="G37" s="101"/>
      <c r="H37" s="101"/>
      <c r="I37" s="101"/>
      <c r="J37" s="101"/>
      <c r="K37" s="103"/>
      <c r="L37" s="101"/>
      <c r="M37" s="101"/>
      <c r="N37" s="101"/>
      <c r="O37" s="101"/>
      <c r="P37" s="103"/>
      <c r="Q37" s="101"/>
      <c r="R37" s="101"/>
      <c r="S37" s="101"/>
      <c r="T37" s="101"/>
      <c r="U37" s="103"/>
      <c r="V37" s="101"/>
      <c r="W37" s="101"/>
      <c r="X37" s="101"/>
      <c r="Y37" s="101"/>
      <c r="Z37" s="103"/>
      <c r="AA37" s="101"/>
      <c r="AB37" s="101"/>
      <c r="AC37" s="101"/>
      <c r="AD37" s="101"/>
      <c r="AE37" s="468">
        <f>AE389/Z389-1</f>
        <v>1.4796879203658797E-2</v>
      </c>
      <c r="AF37" s="101"/>
      <c r="AG37" s="101"/>
      <c r="AH37" s="101"/>
      <c r="AI37" s="101"/>
      <c r="AJ37" s="468">
        <f t="shared" si="30"/>
        <v>-0.37963944856839871</v>
      </c>
      <c r="AK37" s="471">
        <f t="shared" si="30"/>
        <v>0.16570327552986508</v>
      </c>
      <c r="AL37" s="471">
        <f t="shared" si="30"/>
        <v>0.15097402597402598</v>
      </c>
      <c r="AM37" s="471">
        <f t="shared" si="30"/>
        <v>0.33214285714285707</v>
      </c>
      <c r="AN37" s="471">
        <f t="shared" si="30"/>
        <v>0.31937984496124039</v>
      </c>
      <c r="AO37" s="468">
        <f t="shared" si="30"/>
        <v>0.24786324786324787</v>
      </c>
      <c r="AP37" s="471">
        <f t="shared" si="30"/>
        <v>1.2512396694214876</v>
      </c>
      <c r="AQ37" s="471">
        <f t="shared" si="30"/>
        <v>0.56840620592383639</v>
      </c>
      <c r="AR37" s="471">
        <f t="shared" si="30"/>
        <v>0.41823056300268102</v>
      </c>
      <c r="AS37" s="471">
        <f t="shared" si="31"/>
        <v>0.20446533490011753</v>
      </c>
      <c r="AT37" s="468">
        <f t="shared" si="32"/>
        <v>0.56061643835616448</v>
      </c>
      <c r="AU37" s="101"/>
      <c r="AV37" s="101"/>
      <c r="AW37" s="686"/>
      <c r="AX37" s="101"/>
      <c r="AY37" s="103"/>
      <c r="AZ37" s="101"/>
      <c r="BA37" s="101"/>
      <c r="BB37" s="101"/>
      <c r="BC37" s="101"/>
      <c r="BD37" s="103"/>
      <c r="BE37" s="103"/>
      <c r="BF37" s="103"/>
      <c r="BG37" s="103"/>
      <c r="BH37" s="477"/>
    </row>
    <row r="38" spans="1:60" s="475" customFormat="1" hidden="1" outlineLevel="1" x14ac:dyDescent="0.25">
      <c r="A38" s="476" t="s">
        <v>24</v>
      </c>
      <c r="B38" s="245"/>
      <c r="C38" s="103"/>
      <c r="D38" s="103"/>
      <c r="E38" s="103"/>
      <c r="F38" s="103"/>
      <c r="G38" s="101"/>
      <c r="H38" s="101"/>
      <c r="I38" s="101"/>
      <c r="J38" s="101"/>
      <c r="K38" s="103"/>
      <c r="L38" s="101"/>
      <c r="M38" s="101"/>
      <c r="N38" s="101"/>
      <c r="O38" s="101"/>
      <c r="P38" s="103"/>
      <c r="Q38" s="101"/>
      <c r="R38" s="101"/>
      <c r="S38" s="101"/>
      <c r="T38" s="101"/>
      <c r="U38" s="103"/>
      <c r="V38" s="101"/>
      <c r="W38" s="101"/>
      <c r="X38" s="101"/>
      <c r="Y38" s="101"/>
      <c r="Z38" s="103"/>
      <c r="AA38" s="101"/>
      <c r="AB38" s="101"/>
      <c r="AC38" s="101"/>
      <c r="AD38" s="101"/>
      <c r="AE38" s="103"/>
      <c r="AF38" s="101"/>
      <c r="AG38" s="101"/>
      <c r="AH38" s="101"/>
      <c r="AI38" s="101"/>
      <c r="AJ38" s="103"/>
      <c r="AK38" s="471">
        <f t="shared" ref="AK38:AR40" si="33">AK390/AF390-1</f>
        <v>-9.9415204678362623E-2</v>
      </c>
      <c r="AL38" s="471">
        <f t="shared" si="33"/>
        <v>-9.3525179856115082E-2</v>
      </c>
      <c r="AM38" s="471">
        <f t="shared" si="33"/>
        <v>8.6206896551724199E-2</v>
      </c>
      <c r="AN38" s="471">
        <f t="shared" si="33"/>
        <v>0.19230769230769229</v>
      </c>
      <c r="AO38" s="468">
        <f t="shared" si="33"/>
        <v>8.9928057553956275E-3</v>
      </c>
      <c r="AP38" s="471">
        <f t="shared" si="33"/>
        <v>0.19480519480519476</v>
      </c>
      <c r="AQ38" s="471">
        <f t="shared" si="33"/>
        <v>-7.1428571428571397E-2</v>
      </c>
      <c r="AR38" s="471">
        <f t="shared" si="33"/>
        <v>-0.34920634920634919</v>
      </c>
      <c r="AS38" s="471">
        <f t="shared" si="31"/>
        <v>-1.2903225806451646E-2</v>
      </c>
      <c r="AT38" s="468">
        <f t="shared" si="32"/>
        <v>-4.4563279857397498E-2</v>
      </c>
      <c r="AU38" s="101"/>
      <c r="AV38" s="101"/>
      <c r="AW38" s="686"/>
      <c r="AX38" s="101"/>
      <c r="AY38" s="103"/>
      <c r="AZ38" s="101"/>
      <c r="BA38" s="101"/>
      <c r="BB38" s="101"/>
      <c r="BC38" s="101"/>
      <c r="BD38" s="103"/>
      <c r="BE38" s="103"/>
      <c r="BF38" s="103"/>
      <c r="BG38" s="103"/>
      <c r="BH38" s="477"/>
    </row>
    <row r="39" spans="1:60" s="475" customFormat="1" hidden="1" outlineLevel="1" x14ac:dyDescent="0.25">
      <c r="A39" s="493" t="s">
        <v>25</v>
      </c>
      <c r="B39" s="659"/>
      <c r="C39" s="660"/>
      <c r="D39" s="660"/>
      <c r="E39" s="660"/>
      <c r="F39" s="660"/>
      <c r="G39" s="661"/>
      <c r="H39" s="661"/>
      <c r="I39" s="661"/>
      <c r="J39" s="661"/>
      <c r="K39" s="660"/>
      <c r="L39" s="661"/>
      <c r="M39" s="661"/>
      <c r="N39" s="661"/>
      <c r="O39" s="661"/>
      <c r="P39" s="660"/>
      <c r="Q39" s="661"/>
      <c r="R39" s="661"/>
      <c r="S39" s="661"/>
      <c r="T39" s="661"/>
      <c r="U39" s="660"/>
      <c r="V39" s="661"/>
      <c r="W39" s="661"/>
      <c r="X39" s="661"/>
      <c r="Y39" s="661"/>
      <c r="Z39" s="660"/>
      <c r="AA39" s="661"/>
      <c r="AB39" s="661"/>
      <c r="AC39" s="661"/>
      <c r="AD39" s="661"/>
      <c r="AE39" s="660"/>
      <c r="AF39" s="661"/>
      <c r="AG39" s="661"/>
      <c r="AH39" s="661"/>
      <c r="AI39" s="661"/>
      <c r="AJ39" s="660"/>
      <c r="AK39" s="487">
        <f t="shared" si="33"/>
        <v>-7.6124567474048388E-2</v>
      </c>
      <c r="AL39" s="487">
        <f t="shared" si="33"/>
        <v>-7.3248407643312086E-2</v>
      </c>
      <c r="AM39" s="487">
        <f t="shared" si="33"/>
        <v>-6.1093247588424382E-2</v>
      </c>
      <c r="AN39" s="487">
        <f t="shared" si="33"/>
        <v>0.10163934426229515</v>
      </c>
      <c r="AO39" s="486">
        <f t="shared" si="33"/>
        <v>-2.7071369975389614E-2</v>
      </c>
      <c r="AP39" s="487">
        <f t="shared" si="33"/>
        <v>0.11985018726591767</v>
      </c>
      <c r="AQ39" s="487">
        <f t="shared" si="33"/>
        <v>-3.7800687285223344E-2</v>
      </c>
      <c r="AR39" s="487">
        <f t="shared" si="33"/>
        <v>-0.47945205479452058</v>
      </c>
      <c r="AS39" s="487">
        <f t="shared" si="31"/>
        <v>-0.5535714285714286</v>
      </c>
      <c r="AT39" s="486">
        <f t="shared" si="32"/>
        <v>-0.25716694772344018</v>
      </c>
      <c r="AU39" s="661"/>
      <c r="AV39" s="661"/>
      <c r="AW39" s="696"/>
      <c r="AX39" s="661"/>
      <c r="AY39" s="660"/>
      <c r="AZ39" s="661"/>
      <c r="BA39" s="661"/>
      <c r="BB39" s="661"/>
      <c r="BC39" s="661"/>
      <c r="BD39" s="660"/>
      <c r="BE39" s="660"/>
      <c r="BF39" s="660"/>
      <c r="BG39" s="660"/>
      <c r="BH39" s="477"/>
    </row>
    <row r="40" spans="1:60" s="83" customFormat="1" hidden="1" outlineLevel="1" x14ac:dyDescent="0.25">
      <c r="A40" s="485" t="s">
        <v>26</v>
      </c>
      <c r="B40" s="245"/>
      <c r="C40" s="103"/>
      <c r="D40" s="103"/>
      <c r="E40" s="103"/>
      <c r="F40" s="103"/>
      <c r="G40" s="101"/>
      <c r="H40" s="101"/>
      <c r="I40" s="101"/>
      <c r="J40" s="101"/>
      <c r="K40" s="103"/>
      <c r="L40" s="101"/>
      <c r="M40" s="101"/>
      <c r="N40" s="101"/>
      <c r="O40" s="101"/>
      <c r="P40" s="103"/>
      <c r="Q40" s="101"/>
      <c r="R40" s="101"/>
      <c r="S40" s="101"/>
      <c r="T40" s="101"/>
      <c r="U40" s="103"/>
      <c r="V40" s="101"/>
      <c r="W40" s="101"/>
      <c r="X40" s="101"/>
      <c r="Y40" s="101"/>
      <c r="Z40" s="103"/>
      <c r="AA40" s="101"/>
      <c r="AB40" s="101"/>
      <c r="AC40" s="101"/>
      <c r="AD40" s="101"/>
      <c r="AE40" s="468">
        <f>AE392/Z392-1</f>
        <v>-0.10854947166186357</v>
      </c>
      <c r="AF40" s="101"/>
      <c r="AG40" s="101"/>
      <c r="AH40" s="101"/>
      <c r="AI40" s="101"/>
      <c r="AJ40" s="468">
        <f>AJ392/AE392-1</f>
        <v>0.20510057471264376</v>
      </c>
      <c r="AK40" s="471">
        <f t="shared" si="33"/>
        <v>-0.27301713830211238</v>
      </c>
      <c r="AL40" s="481">
        <f t="shared" si="33"/>
        <v>-0.14605842336934771</v>
      </c>
      <c r="AM40" s="471">
        <f t="shared" si="33"/>
        <v>0.33194444444444438</v>
      </c>
      <c r="AN40" s="471">
        <f t="shared" si="33"/>
        <v>0.52044097381717958</v>
      </c>
      <c r="AO40" s="468">
        <f t="shared" si="33"/>
        <v>0.10551415797317443</v>
      </c>
      <c r="AP40" s="471">
        <f t="shared" si="33"/>
        <v>1.0635964912280702</v>
      </c>
      <c r="AQ40" s="481">
        <f t="shared" si="33"/>
        <v>0.18978444236176184</v>
      </c>
      <c r="AR40" s="471">
        <f t="shared" si="33"/>
        <v>-0.54692387904066742</v>
      </c>
      <c r="AS40" s="471">
        <f t="shared" si="31"/>
        <v>-0.51812688821752273</v>
      </c>
      <c r="AT40" s="468">
        <f t="shared" si="32"/>
        <v>-0.13399838231329197</v>
      </c>
      <c r="AU40" s="101"/>
      <c r="AV40" s="101"/>
      <c r="AW40" s="686"/>
      <c r="AX40" s="101"/>
      <c r="AY40" s="103"/>
      <c r="AZ40" s="101"/>
      <c r="BA40" s="101"/>
      <c r="BB40" s="101"/>
      <c r="BC40" s="101"/>
      <c r="BD40" s="103"/>
      <c r="BE40" s="103"/>
      <c r="BF40" s="103"/>
      <c r="BG40" s="103"/>
      <c r="BH40" s="477"/>
    </row>
    <row r="41" spans="1:60" s="475" customFormat="1" hidden="1" outlineLevel="1" x14ac:dyDescent="0.25">
      <c r="A41" s="476" t="s">
        <v>27</v>
      </c>
      <c r="B41" s="245"/>
      <c r="C41" s="103"/>
      <c r="D41" s="103"/>
      <c r="E41" s="103"/>
      <c r="F41" s="103"/>
      <c r="G41" s="101"/>
      <c r="H41" s="101"/>
      <c r="I41" s="101"/>
      <c r="J41" s="101"/>
      <c r="K41" s="103"/>
      <c r="L41" s="101"/>
      <c r="M41" s="101"/>
      <c r="N41" s="101"/>
      <c r="O41" s="101"/>
      <c r="P41" s="103"/>
      <c r="Q41" s="101"/>
      <c r="R41" s="101"/>
      <c r="S41" s="101"/>
      <c r="T41" s="101"/>
      <c r="U41" s="103"/>
      <c r="V41" s="101"/>
      <c r="W41" s="101"/>
      <c r="X41" s="101"/>
      <c r="Y41" s="101"/>
      <c r="Z41" s="103"/>
      <c r="AA41" s="101"/>
      <c r="AB41" s="101"/>
      <c r="AC41" s="101"/>
      <c r="AD41" s="101"/>
      <c r="AE41" s="468">
        <f>AE427/Z427-1</f>
        <v>-2.1647307286166817E-2</v>
      </c>
      <c r="AF41" s="101"/>
      <c r="AG41" s="101"/>
      <c r="AH41" s="101"/>
      <c r="AI41" s="101"/>
      <c r="AJ41" s="468">
        <f t="shared" ref="AJ41:AR42" si="34">AJ427/AE427-1</f>
        <v>3.6157582298974589E-2</v>
      </c>
      <c r="AK41" s="471">
        <f t="shared" si="34"/>
        <v>-3.1372549019607843E-2</v>
      </c>
      <c r="AL41" s="471">
        <f t="shared" si="34"/>
        <v>-3.9301310043668103E-2</v>
      </c>
      <c r="AM41" s="471">
        <f t="shared" si="34"/>
        <v>3.1638297872340422</v>
      </c>
      <c r="AN41" s="471">
        <f t="shared" si="34"/>
        <v>2.3692946058091287</v>
      </c>
      <c r="AO41" s="468">
        <f t="shared" si="34"/>
        <v>1.4427083333333335</v>
      </c>
      <c r="AP41" s="471">
        <f t="shared" si="34"/>
        <v>2.1720647773279351</v>
      </c>
      <c r="AQ41" s="471">
        <f t="shared" si="34"/>
        <v>2.1568181818181817</v>
      </c>
      <c r="AR41" s="471">
        <f t="shared" si="34"/>
        <v>-0.43893714869698519</v>
      </c>
      <c r="AS41" s="471">
        <f t="shared" ref="AS41:AS42" si="35">AS427/AN427-1</f>
        <v>-0.18472906403940892</v>
      </c>
      <c r="AT41" s="468">
        <f t="shared" ref="AT41:AT42" si="36">AT427/AO427-1</f>
        <v>0.15415778251599144</v>
      </c>
      <c r="AU41" s="101"/>
      <c r="AV41" s="101"/>
      <c r="AW41" s="686"/>
      <c r="AX41" s="101"/>
      <c r="AY41" s="103"/>
      <c r="AZ41" s="101"/>
      <c r="BA41" s="101"/>
      <c r="BB41" s="101"/>
      <c r="BC41" s="101"/>
      <c r="BD41" s="103"/>
      <c r="BE41" s="103"/>
      <c r="BF41" s="103"/>
      <c r="BG41" s="103"/>
      <c r="BH41" s="477"/>
    </row>
    <row r="42" spans="1:60" s="475" customFormat="1" hidden="1" outlineLevel="1" x14ac:dyDescent="0.25">
      <c r="A42" s="493" t="s">
        <v>28</v>
      </c>
      <c r="B42" s="659"/>
      <c r="C42" s="660"/>
      <c r="D42" s="660"/>
      <c r="E42" s="660"/>
      <c r="F42" s="660"/>
      <c r="G42" s="661"/>
      <c r="H42" s="661"/>
      <c r="I42" s="661"/>
      <c r="J42" s="661"/>
      <c r="K42" s="660"/>
      <c r="L42" s="661"/>
      <c r="M42" s="661"/>
      <c r="N42" s="661"/>
      <c r="O42" s="661"/>
      <c r="P42" s="660"/>
      <c r="Q42" s="661"/>
      <c r="R42" s="661"/>
      <c r="S42" s="661"/>
      <c r="T42" s="661"/>
      <c r="U42" s="660"/>
      <c r="V42" s="661"/>
      <c r="W42" s="661"/>
      <c r="X42" s="661"/>
      <c r="Y42" s="661"/>
      <c r="Z42" s="660"/>
      <c r="AA42" s="661"/>
      <c r="AB42" s="661"/>
      <c r="AC42" s="661"/>
      <c r="AD42" s="661"/>
      <c r="AE42" s="486">
        <f>AE428/Z428-1</f>
        <v>-0.13456090651558072</v>
      </c>
      <c r="AF42" s="661"/>
      <c r="AG42" s="661"/>
      <c r="AH42" s="661"/>
      <c r="AI42" s="661"/>
      <c r="AJ42" s="486">
        <f t="shared" si="34"/>
        <v>0.22258592471358418</v>
      </c>
      <c r="AK42" s="487">
        <f t="shared" si="34"/>
        <v>7.1258907363420665E-3</v>
      </c>
      <c r="AL42" s="487">
        <f t="shared" si="34"/>
        <v>0.38069705093833783</v>
      </c>
      <c r="AM42" s="487">
        <f t="shared" si="34"/>
        <v>4.3249299719887953</v>
      </c>
      <c r="AN42" s="487">
        <f t="shared" si="34"/>
        <v>4.259475218658892</v>
      </c>
      <c r="AO42" s="486">
        <f t="shared" si="34"/>
        <v>2.1184738955823295</v>
      </c>
      <c r="AP42" s="487">
        <f t="shared" si="34"/>
        <v>3.7311320754716979</v>
      </c>
      <c r="AQ42" s="487">
        <f t="shared" si="34"/>
        <v>3.7689320388349516</v>
      </c>
      <c r="AR42" s="487">
        <f t="shared" si="34"/>
        <v>0.409784324039979</v>
      </c>
      <c r="AS42" s="487">
        <f t="shared" si="35"/>
        <v>0.83037694013303764</v>
      </c>
      <c r="AT42" s="486">
        <f t="shared" si="36"/>
        <v>1.2416827645417472</v>
      </c>
      <c r="AU42" s="661"/>
      <c r="AV42" s="661"/>
      <c r="AW42" s="696"/>
      <c r="AX42" s="661"/>
      <c r="AY42" s="660"/>
      <c r="AZ42" s="661"/>
      <c r="BA42" s="661"/>
      <c r="BB42" s="661"/>
      <c r="BC42" s="661"/>
      <c r="BD42" s="660"/>
      <c r="BE42" s="660"/>
      <c r="BF42" s="660"/>
      <c r="BG42" s="660"/>
      <c r="BH42" s="477"/>
    </row>
    <row r="43" spans="1:60" s="83" customFormat="1" hidden="1" outlineLevel="1" x14ac:dyDescent="0.25">
      <c r="A43" s="485" t="s">
        <v>29</v>
      </c>
      <c r="B43" s="245"/>
      <c r="C43" s="103"/>
      <c r="D43" s="103"/>
      <c r="E43" s="103"/>
      <c r="F43" s="103"/>
      <c r="G43" s="101"/>
      <c r="H43" s="101"/>
      <c r="I43" s="101"/>
      <c r="J43" s="101"/>
      <c r="K43" s="103"/>
      <c r="L43" s="101"/>
      <c r="M43" s="101"/>
      <c r="N43" s="101"/>
      <c r="O43" s="101"/>
      <c r="P43" s="103"/>
      <c r="Q43" s="101"/>
      <c r="R43" s="101"/>
      <c r="S43" s="101"/>
      <c r="T43" s="101"/>
      <c r="U43" s="103"/>
      <c r="V43" s="101"/>
      <c r="W43" s="101"/>
      <c r="X43" s="101"/>
      <c r="Y43" s="101"/>
      <c r="Z43" s="103"/>
      <c r="AA43" s="101"/>
      <c r="AB43" s="101"/>
      <c r="AC43" s="101"/>
      <c r="AD43" s="101"/>
      <c r="AE43" s="468">
        <f>AE430/Z430-1</f>
        <v>-6.9872958257713225E-2</v>
      </c>
      <c r="AF43" s="101"/>
      <c r="AG43" s="101"/>
      <c r="AH43" s="101"/>
      <c r="AI43" s="101"/>
      <c r="AJ43" s="468">
        <f t="shared" ref="AJ43:AR43" si="37">AJ430/AE430-1</f>
        <v>0.11024390243902449</v>
      </c>
      <c r="AK43" s="471">
        <f t="shared" si="37"/>
        <v>-1.3963480128893702E-2</v>
      </c>
      <c r="AL43" s="481">
        <f t="shared" si="37"/>
        <v>0.14921780986762934</v>
      </c>
      <c r="AM43" s="471">
        <f t="shared" si="37"/>
        <v>3.6650544135429266</v>
      </c>
      <c r="AN43" s="471">
        <f t="shared" si="37"/>
        <v>3.1551515151515153</v>
      </c>
      <c r="AO43" s="468">
        <f t="shared" si="37"/>
        <v>1.7384299941417694</v>
      </c>
      <c r="AP43" s="471">
        <f t="shared" si="37"/>
        <v>3.3431372549019605</v>
      </c>
      <c r="AQ43" s="481">
        <f t="shared" si="37"/>
        <v>3.3172774869109949</v>
      </c>
      <c r="AR43" s="471">
        <f t="shared" si="37"/>
        <v>2.8771384136858424E-2</v>
      </c>
      <c r="AS43" s="471">
        <f>AS430/AN430-1</f>
        <v>0.41569428238039663</v>
      </c>
      <c r="AT43" s="468">
        <f>AT430/AO430-1</f>
        <v>0.81484650764787681</v>
      </c>
      <c r="AU43" s="101"/>
      <c r="AV43" s="101"/>
      <c r="AW43" s="686"/>
      <c r="AX43" s="101"/>
      <c r="AY43" s="103"/>
      <c r="AZ43" s="101"/>
      <c r="BA43" s="101"/>
      <c r="BB43" s="101"/>
      <c r="BC43" s="101"/>
      <c r="BD43" s="103"/>
      <c r="BE43" s="103"/>
      <c r="BF43" s="103"/>
      <c r="BG43" s="103"/>
      <c r="BH43" s="477"/>
    </row>
    <row r="44" spans="1:60" s="83" customFormat="1" hidden="1" outlineLevel="1" x14ac:dyDescent="0.25">
      <c r="A44" s="462" t="s">
        <v>508</v>
      </c>
      <c r="B44" s="245"/>
      <c r="C44" s="103"/>
      <c r="D44" s="103"/>
      <c r="E44" s="103"/>
      <c r="F44" s="103"/>
      <c r="G44" s="101"/>
      <c r="H44" s="101"/>
      <c r="I44" s="101"/>
      <c r="J44" s="101"/>
      <c r="K44" s="103"/>
      <c r="L44" s="101"/>
      <c r="M44" s="101"/>
      <c r="N44" s="101"/>
      <c r="O44" s="101"/>
      <c r="P44" s="103"/>
      <c r="Q44" s="101"/>
      <c r="R44" s="101"/>
      <c r="S44" s="101"/>
      <c r="T44" s="101"/>
      <c r="U44" s="103"/>
      <c r="V44" s="101"/>
      <c r="W44" s="101"/>
      <c r="X44" s="101"/>
      <c r="Y44" s="101"/>
      <c r="Z44" s="103"/>
      <c r="AA44" s="101"/>
      <c r="AB44" s="101"/>
      <c r="AC44" s="101"/>
      <c r="AD44" s="101"/>
      <c r="AE44" s="103"/>
      <c r="AF44" s="101"/>
      <c r="AG44" s="101"/>
      <c r="AH44" s="101"/>
      <c r="AI44" s="101"/>
      <c r="AJ44" s="103"/>
      <c r="AK44" s="101"/>
      <c r="AL44" s="101"/>
      <c r="AM44" s="101"/>
      <c r="AN44" s="101"/>
      <c r="AO44" s="103"/>
      <c r="AP44" s="101"/>
      <c r="AQ44" s="101"/>
      <c r="AR44" s="101"/>
      <c r="AS44" s="101"/>
      <c r="AT44" s="103"/>
      <c r="AU44" s="101"/>
      <c r="AV44" s="101"/>
      <c r="AW44" s="686"/>
      <c r="AX44" s="101"/>
      <c r="AY44" s="103"/>
      <c r="AZ44" s="101"/>
      <c r="BA44" s="101"/>
      <c r="BB44" s="101"/>
      <c r="BC44" s="101"/>
      <c r="BD44" s="103"/>
      <c r="BE44" s="103"/>
      <c r="BF44" s="103"/>
      <c r="BG44" s="103"/>
      <c r="BH44" s="477"/>
    </row>
    <row r="45" spans="1:60" s="44" customFormat="1" collapsed="1" x14ac:dyDescent="0.25">
      <c r="A45" s="85" t="s">
        <v>30</v>
      </c>
      <c r="B45" s="179"/>
      <c r="C45" s="102"/>
      <c r="D45" s="50">
        <f>D758/C758-1</f>
        <v>5.2947522753049814E-2</v>
      </c>
      <c r="E45" s="50">
        <f>E758/D758-1</f>
        <v>7.4350419042114479E-2</v>
      </c>
      <c r="F45" s="50">
        <f>F758/E758-1</f>
        <v>3.3868877313965706E-2</v>
      </c>
      <c r="G45" s="100"/>
      <c r="H45" s="100"/>
      <c r="I45" s="100"/>
      <c r="J45" s="100"/>
      <c r="K45" s="50">
        <f t="shared" ref="K45:AY45" si="38">K758/F758-1</f>
        <v>6.5353138748285078E-2</v>
      </c>
      <c r="L45" s="60">
        <f t="shared" si="38"/>
        <v>8.5354025218234764E-2</v>
      </c>
      <c r="M45" s="60">
        <f t="shared" si="38"/>
        <v>0.10375213189312116</v>
      </c>
      <c r="N45" s="60">
        <f t="shared" si="38"/>
        <v>7.6697184315080325E-2</v>
      </c>
      <c r="O45" s="60">
        <f t="shared" si="38"/>
        <v>7.097164591977867E-2</v>
      </c>
      <c r="P45" s="50">
        <f t="shared" si="38"/>
        <v>8.3745920383650363E-2</v>
      </c>
      <c r="Q45" s="60">
        <f t="shared" si="38"/>
        <v>8.7903160289219295E-2</v>
      </c>
      <c r="R45" s="60">
        <f t="shared" si="38"/>
        <v>6.9705554124817493E-2</v>
      </c>
      <c r="S45" s="60">
        <f t="shared" si="38"/>
        <v>5.0938552863789566E-2</v>
      </c>
      <c r="T45" s="60">
        <f t="shared" si="38"/>
        <v>9.0644926951327864E-2</v>
      </c>
      <c r="U45" s="50">
        <f t="shared" si="38"/>
        <v>7.4816135045991938E-2</v>
      </c>
      <c r="V45" s="60">
        <f t="shared" si="38"/>
        <v>0.1383765215443209</v>
      </c>
      <c r="W45" s="60">
        <f t="shared" si="38"/>
        <v>4.0767193644169808E-2</v>
      </c>
      <c r="X45" s="60">
        <f t="shared" si="38"/>
        <v>8.976414014197398E-2</v>
      </c>
      <c r="Y45" s="60">
        <f t="shared" si="38"/>
        <v>-2.7383066903493236E-2</v>
      </c>
      <c r="Z45" s="50">
        <f t="shared" si="38"/>
        <v>6.0364052225293063E-2</v>
      </c>
      <c r="AA45" s="60">
        <f t="shared" si="38"/>
        <v>-3.0175806874836009E-2</v>
      </c>
      <c r="AB45" s="190">
        <f t="shared" si="38"/>
        <v>2.8298249672295439E-2</v>
      </c>
      <c r="AC45" s="60">
        <f t="shared" si="38"/>
        <v>-2.7316663164530519E-3</v>
      </c>
      <c r="AD45" s="60">
        <f t="shared" si="38"/>
        <v>-2.7621366610865894E-2</v>
      </c>
      <c r="AE45" s="50">
        <f t="shared" si="38"/>
        <v>-8.8977566867989299E-3</v>
      </c>
      <c r="AF45" s="60">
        <f t="shared" si="38"/>
        <v>3.8352272727272707E-2</v>
      </c>
      <c r="AG45" s="190">
        <f t="shared" si="38"/>
        <v>9.0881823635272863E-2</v>
      </c>
      <c r="AH45" s="60">
        <f t="shared" si="38"/>
        <v>6.9532237673830544E-2</v>
      </c>
      <c r="AI45" s="60">
        <f t="shared" si="38"/>
        <v>0.11957117145316531</v>
      </c>
      <c r="AJ45" s="50">
        <f t="shared" si="38"/>
        <v>7.7933148339590419E-2</v>
      </c>
      <c r="AK45" s="60">
        <f t="shared" si="38"/>
        <v>-3.1268321282000855E-3</v>
      </c>
      <c r="AL45" s="190">
        <f t="shared" si="38"/>
        <v>2.5708001099807642E-2</v>
      </c>
      <c r="AM45" s="60">
        <f t="shared" si="38"/>
        <v>0.32945889151562913</v>
      </c>
      <c r="AN45" s="60">
        <f t="shared" si="38"/>
        <v>0.33501083385755215</v>
      </c>
      <c r="AO45" s="50">
        <f t="shared" si="38"/>
        <v>0.17054211394151486</v>
      </c>
      <c r="AP45" s="60">
        <f t="shared" si="38"/>
        <v>0.36300071881330465</v>
      </c>
      <c r="AQ45" s="190">
        <f t="shared" si="38"/>
        <v>0.20687575392038604</v>
      </c>
      <c r="AR45" s="60">
        <f t="shared" si="38"/>
        <v>-0.4181773277352433</v>
      </c>
      <c r="AS45" s="60">
        <f>AS758/AN758-1</f>
        <v>-0.22999999999999998</v>
      </c>
      <c r="AT45" s="50">
        <f>AT758/AO758-1</f>
        <v>-6.0112117291936218E-2</v>
      </c>
      <c r="AU45" s="60">
        <f>AU758/AP758-1</f>
        <v>-0.22097037108064055</v>
      </c>
      <c r="AV45" s="190">
        <f>AV758/AQ758-1</f>
        <v>-0.13304458881670278</v>
      </c>
      <c r="AW45" s="868">
        <f>AW758/AR758-1</f>
        <v>0.44511418626368959</v>
      </c>
      <c r="AX45" s="100">
        <f t="shared" si="38"/>
        <v>0.34857559818453798</v>
      </c>
      <c r="AY45" s="102">
        <f t="shared" si="38"/>
        <v>5.0919149117575113E-2</v>
      </c>
      <c r="AZ45" s="100">
        <f>AZ758/AU758-1</f>
        <v>0.28822930346581321</v>
      </c>
      <c r="BA45" s="100">
        <f>BA758/AV758-1</f>
        <v>0.30959612113542456</v>
      </c>
      <c r="BB45" s="100">
        <f>BB758/AW758-1</f>
        <v>0.34547302202880625</v>
      </c>
      <c r="BC45" s="100">
        <f>BC758/AX758-1</f>
        <v>0.22935006168039807</v>
      </c>
      <c r="BD45" s="102">
        <f>BD758/AY758-1</f>
        <v>0.29026984887473328</v>
      </c>
      <c r="BE45" s="102">
        <f>BE758/BD758-1</f>
        <v>0.10034943100077243</v>
      </c>
      <c r="BF45" s="102">
        <f>BF758/BE758-1</f>
        <v>7.2043908896429976E-2</v>
      </c>
      <c r="BG45" s="102">
        <f>BG758/BF758-1</f>
        <v>8.801324383295106E-2</v>
      </c>
      <c r="BH45" s="473"/>
    </row>
    <row r="46" spans="1:60" s="469" customFormat="1" x14ac:dyDescent="0.25">
      <c r="A46" s="748"/>
      <c r="B46" s="246"/>
      <c r="C46" s="478"/>
      <c r="D46" s="478"/>
      <c r="E46" s="478"/>
      <c r="F46" s="478"/>
      <c r="G46" s="480"/>
      <c r="H46" s="480"/>
      <c r="I46" s="480"/>
      <c r="J46" s="480"/>
      <c r="K46" s="478"/>
      <c r="L46" s="480"/>
      <c r="M46" s="480"/>
      <c r="N46" s="480"/>
      <c r="O46" s="480"/>
      <c r="P46" s="478"/>
      <c r="Q46" s="480"/>
      <c r="R46" s="480"/>
      <c r="S46" s="480"/>
      <c r="T46" s="480"/>
      <c r="U46" s="478"/>
      <c r="V46" s="480"/>
      <c r="W46" s="480"/>
      <c r="X46" s="480"/>
      <c r="Y46" s="480"/>
      <c r="Z46" s="478"/>
      <c r="AA46" s="480"/>
      <c r="AB46" s="480"/>
      <c r="AC46" s="480"/>
      <c r="AD46" s="480"/>
      <c r="AE46" s="478"/>
      <c r="AF46" s="480"/>
      <c r="AG46" s="480"/>
      <c r="AH46" s="480"/>
      <c r="AI46" s="480"/>
      <c r="AJ46" s="478"/>
      <c r="AK46" s="480"/>
      <c r="AL46" s="480"/>
      <c r="AM46" s="480"/>
      <c r="AN46" s="480"/>
      <c r="AO46" s="478"/>
      <c r="AP46" s="480"/>
      <c r="AQ46" s="480"/>
      <c r="AR46" s="480"/>
      <c r="AS46" s="480"/>
      <c r="AT46" s="478"/>
      <c r="AU46" s="480"/>
      <c r="AV46" s="480"/>
      <c r="AW46" s="708"/>
      <c r="AX46" s="480"/>
      <c r="AY46" s="478"/>
      <c r="AZ46" s="480"/>
      <c r="BA46" s="480"/>
      <c r="BB46" s="480"/>
      <c r="BC46" s="480"/>
      <c r="BD46" s="478"/>
      <c r="BE46" s="478"/>
      <c r="BF46" s="478"/>
      <c r="BG46" s="478"/>
      <c r="BH46" s="473"/>
    </row>
    <row r="47" spans="1:60" s="469" customFormat="1" x14ac:dyDescent="0.25">
      <c r="A47" s="98" t="s">
        <v>532</v>
      </c>
      <c r="B47" s="512"/>
      <c r="C47" s="513"/>
      <c r="D47" s="513"/>
      <c r="E47" s="513"/>
      <c r="F47" s="513"/>
      <c r="G47" s="513"/>
      <c r="H47" s="513"/>
      <c r="I47" s="513"/>
      <c r="J47" s="513"/>
      <c r="K47" s="513"/>
      <c r="L47" s="513"/>
      <c r="M47" s="513"/>
      <c r="N47" s="513"/>
      <c r="O47" s="513"/>
      <c r="P47" s="513"/>
      <c r="Q47" s="513"/>
      <c r="R47" s="513"/>
      <c r="S47" s="513"/>
      <c r="T47" s="513"/>
      <c r="U47" s="513"/>
      <c r="V47" s="513"/>
      <c r="W47" s="513"/>
      <c r="X47" s="513"/>
      <c r="Y47" s="513"/>
      <c r="Z47" s="513"/>
      <c r="AA47" s="513"/>
      <c r="AB47" s="513"/>
      <c r="AC47" s="513"/>
      <c r="AD47" s="513"/>
      <c r="AE47" s="513"/>
      <c r="AF47" s="513"/>
      <c r="AG47" s="513"/>
      <c r="AH47" s="513"/>
      <c r="AI47" s="513"/>
      <c r="AJ47" s="513"/>
      <c r="AK47" s="513"/>
      <c r="AL47" s="513"/>
      <c r="AM47" s="513"/>
      <c r="AN47" s="513"/>
      <c r="AO47" s="513"/>
      <c r="AP47" s="513"/>
      <c r="AQ47" s="513"/>
      <c r="AR47" s="513"/>
      <c r="AS47" s="513"/>
      <c r="AT47" s="513"/>
      <c r="AU47" s="513"/>
      <c r="AV47" s="513"/>
      <c r="AW47" s="674"/>
      <c r="AX47" s="513"/>
      <c r="AY47" s="513"/>
      <c r="AZ47" s="513"/>
      <c r="BA47" s="513"/>
      <c r="BB47" s="513"/>
      <c r="BC47" s="513"/>
      <c r="BD47" s="513"/>
      <c r="BE47" s="513"/>
      <c r="BF47" s="513"/>
      <c r="BG47" s="513"/>
      <c r="BH47" s="473"/>
    </row>
    <row r="48" spans="1:60" s="470" customFormat="1" x14ac:dyDescent="0.25">
      <c r="A48" s="483" t="s">
        <v>779</v>
      </c>
      <c r="B48" s="514"/>
      <c r="C48" s="492"/>
      <c r="D48" s="492"/>
      <c r="E48" s="492"/>
      <c r="F48" s="492"/>
      <c r="G48" s="491"/>
      <c r="H48" s="491"/>
      <c r="I48" s="491"/>
      <c r="J48" s="491"/>
      <c r="K48" s="492"/>
      <c r="L48" s="491"/>
      <c r="M48" s="491"/>
      <c r="N48" s="491"/>
      <c r="O48" s="491"/>
      <c r="P48" s="492"/>
      <c r="Q48" s="491"/>
      <c r="R48" s="491"/>
      <c r="S48" s="491"/>
      <c r="T48" s="491"/>
      <c r="U48" s="492"/>
      <c r="V48" s="491"/>
      <c r="W48" s="491"/>
      <c r="X48" s="491"/>
      <c r="Y48" s="491"/>
      <c r="Z48" s="492"/>
      <c r="AA48" s="491"/>
      <c r="AB48" s="491"/>
      <c r="AC48" s="491"/>
      <c r="AD48" s="491"/>
      <c r="AE48" s="492"/>
      <c r="AF48" s="491"/>
      <c r="AG48" s="491"/>
      <c r="AH48" s="491"/>
      <c r="AI48" s="491"/>
      <c r="AJ48" s="492"/>
      <c r="AK48" s="491"/>
      <c r="AL48" s="491"/>
      <c r="AM48" s="491"/>
      <c r="AN48" s="491"/>
      <c r="AO48" s="492"/>
      <c r="AP48" s="490">
        <f t="shared" ref="AP48:BG48" si="39">AP141</f>
        <v>13297</v>
      </c>
      <c r="AQ48" s="490">
        <f t="shared" si="39"/>
        <v>12365</v>
      </c>
      <c r="AR48" s="490">
        <f t="shared" si="39"/>
        <v>10714</v>
      </c>
      <c r="AS48" s="490">
        <f t="shared" si="39"/>
        <v>11974</v>
      </c>
      <c r="AT48" s="489">
        <f t="shared" si="39"/>
        <v>48350</v>
      </c>
      <c r="AU48" s="490">
        <f t="shared" si="39"/>
        <v>12661</v>
      </c>
      <c r="AV48" s="490">
        <f t="shared" si="39"/>
        <v>12440</v>
      </c>
      <c r="AW48" s="687">
        <f t="shared" si="39"/>
        <v>12681</v>
      </c>
      <c r="AX48" s="491">
        <f t="shared" si="39"/>
        <v>13632.901322500002</v>
      </c>
      <c r="AY48" s="492">
        <f t="shared" si="39"/>
        <v>51414.901322499994</v>
      </c>
      <c r="AZ48" s="491">
        <f t="shared" si="39"/>
        <v>14616.637952016001</v>
      </c>
      <c r="BA48" s="491">
        <f t="shared" si="39"/>
        <v>15040.624239287385</v>
      </c>
      <c r="BB48" s="491">
        <f t="shared" si="39"/>
        <v>16453.541780974341</v>
      </c>
      <c r="BC48" s="491">
        <f t="shared" si="39"/>
        <v>16823.256074153629</v>
      </c>
      <c r="BD48" s="492">
        <f t="shared" si="39"/>
        <v>62934.060046431354</v>
      </c>
      <c r="BE48" s="492">
        <f t="shared" si="39"/>
        <v>69645.158543274913</v>
      </c>
      <c r="BF48" s="492">
        <f t="shared" si="39"/>
        <v>75445.950997806387</v>
      </c>
      <c r="BG48" s="492">
        <f t="shared" si="39"/>
        <v>83194.062344356367</v>
      </c>
      <c r="BH48" s="484"/>
    </row>
    <row r="49" spans="1:60" s="470" customFormat="1" x14ac:dyDescent="0.25">
      <c r="A49" s="218" t="s">
        <v>799</v>
      </c>
      <c r="B49" s="573"/>
      <c r="C49" s="322"/>
      <c r="D49" s="322"/>
      <c r="E49" s="322"/>
      <c r="F49" s="322"/>
      <c r="G49" s="321"/>
      <c r="H49" s="321"/>
      <c r="I49" s="321"/>
      <c r="J49" s="321"/>
      <c r="K49" s="322"/>
      <c r="L49" s="321"/>
      <c r="M49" s="321"/>
      <c r="N49" s="321"/>
      <c r="O49" s="321"/>
      <c r="P49" s="322"/>
      <c r="Q49" s="321"/>
      <c r="R49" s="321"/>
      <c r="S49" s="321"/>
      <c r="T49" s="321"/>
      <c r="U49" s="322"/>
      <c r="V49" s="321"/>
      <c r="W49" s="321"/>
      <c r="X49" s="321"/>
      <c r="Y49" s="321"/>
      <c r="Z49" s="322"/>
      <c r="AA49" s="321"/>
      <c r="AB49" s="321"/>
      <c r="AC49" s="321"/>
      <c r="AD49" s="321"/>
      <c r="AE49" s="322"/>
      <c r="AF49" s="321"/>
      <c r="AG49" s="321"/>
      <c r="AH49" s="321"/>
      <c r="AI49" s="321"/>
      <c r="AJ49" s="322"/>
      <c r="AK49" s="321"/>
      <c r="AL49" s="321"/>
      <c r="AM49" s="321"/>
      <c r="AN49" s="321"/>
      <c r="AO49" s="322"/>
      <c r="AP49" s="319">
        <f>AP205</f>
        <v>7580</v>
      </c>
      <c r="AQ49" s="319">
        <f t="shared" ref="AQ49:BG49" si="40">AQ205</f>
        <v>5660</v>
      </c>
      <c r="AR49" s="319">
        <f t="shared" si="40"/>
        <v>1065</v>
      </c>
      <c r="AS49" s="319">
        <f t="shared" si="40"/>
        <v>2733</v>
      </c>
      <c r="AT49" s="318">
        <f t="shared" si="40"/>
        <v>17038</v>
      </c>
      <c r="AU49" s="319">
        <f>AU205</f>
        <v>3588</v>
      </c>
      <c r="AV49" s="319">
        <f>AV205</f>
        <v>3173</v>
      </c>
      <c r="AW49" s="688">
        <f>AW205</f>
        <v>4341</v>
      </c>
      <c r="AX49" s="321">
        <f t="shared" si="40"/>
        <v>6200.5999999999995</v>
      </c>
      <c r="AY49" s="322">
        <f t="shared" si="40"/>
        <v>17302.599999999999</v>
      </c>
      <c r="AZ49" s="321">
        <f t="shared" si="40"/>
        <v>6315.8</v>
      </c>
      <c r="BA49" s="321">
        <f t="shared" si="40"/>
        <v>5406.0999999999995</v>
      </c>
      <c r="BB49" s="321">
        <f t="shared" si="40"/>
        <v>6449.0999999999995</v>
      </c>
      <c r="BC49" s="321">
        <f t="shared" si="40"/>
        <v>7559.06</v>
      </c>
      <c r="BD49" s="322">
        <f t="shared" si="40"/>
        <v>25730.06</v>
      </c>
      <c r="BE49" s="322">
        <f t="shared" si="40"/>
        <v>27916.355500000001</v>
      </c>
      <c r="BF49" s="322">
        <f t="shared" si="40"/>
        <v>29144.275875000007</v>
      </c>
      <c r="BG49" s="322">
        <f t="shared" si="40"/>
        <v>30601.489668750004</v>
      </c>
      <c r="BH49" s="484"/>
    </row>
    <row r="50" spans="1:60" s="498" customFormat="1" x14ac:dyDescent="0.25">
      <c r="A50" s="501" t="s">
        <v>854</v>
      </c>
      <c r="B50" s="264"/>
      <c r="C50" s="506"/>
      <c r="D50" s="506"/>
      <c r="E50" s="506"/>
      <c r="F50" s="506"/>
      <c r="G50" s="505"/>
      <c r="H50" s="505"/>
      <c r="I50" s="505"/>
      <c r="J50" s="505"/>
      <c r="K50" s="506"/>
      <c r="L50" s="505"/>
      <c r="M50" s="505"/>
      <c r="N50" s="505"/>
      <c r="O50" s="505"/>
      <c r="P50" s="506"/>
      <c r="Q50" s="505"/>
      <c r="R50" s="505"/>
      <c r="S50" s="505"/>
      <c r="T50" s="505"/>
      <c r="U50" s="506"/>
      <c r="V50" s="505"/>
      <c r="W50" s="505"/>
      <c r="X50" s="505"/>
      <c r="Y50" s="505"/>
      <c r="Z50" s="506"/>
      <c r="AA50" s="505"/>
      <c r="AB50" s="505"/>
      <c r="AC50" s="505"/>
      <c r="AD50" s="505"/>
      <c r="AE50" s="506"/>
      <c r="AF50" s="505"/>
      <c r="AG50" s="505"/>
      <c r="AH50" s="505"/>
      <c r="AI50" s="505"/>
      <c r="AJ50" s="506"/>
      <c r="AK50" s="505"/>
      <c r="AL50" s="505"/>
      <c r="AM50" s="505"/>
      <c r="AN50" s="505"/>
      <c r="AO50" s="506"/>
      <c r="AP50" s="503">
        <f>SUM(AP48:AP49)</f>
        <v>20877</v>
      </c>
      <c r="AQ50" s="503">
        <f t="shared" ref="AQ50:BG50" si="41">SUM(AQ48:AQ49)</f>
        <v>18025</v>
      </c>
      <c r="AR50" s="503">
        <f t="shared" si="41"/>
        <v>11779</v>
      </c>
      <c r="AS50" s="503">
        <f t="shared" si="41"/>
        <v>14707</v>
      </c>
      <c r="AT50" s="502">
        <f t="shared" si="41"/>
        <v>65388</v>
      </c>
      <c r="AU50" s="503">
        <f>SUM(AU48:AU49)</f>
        <v>16249</v>
      </c>
      <c r="AV50" s="503">
        <f>SUM(AV48:AV49)</f>
        <v>15613</v>
      </c>
      <c r="AW50" s="689">
        <f>SUM(AW48:AW49)</f>
        <v>17022</v>
      </c>
      <c r="AX50" s="505">
        <f t="shared" si="41"/>
        <v>19833.5013225</v>
      </c>
      <c r="AY50" s="506">
        <f t="shared" si="41"/>
        <v>68717.5013225</v>
      </c>
      <c r="AZ50" s="505">
        <f t="shared" si="41"/>
        <v>20932.437952016</v>
      </c>
      <c r="BA50" s="505">
        <f t="shared" si="41"/>
        <v>20446.724239287385</v>
      </c>
      <c r="BB50" s="505">
        <f t="shared" si="41"/>
        <v>22902.64178097434</v>
      </c>
      <c r="BC50" s="505">
        <f t="shared" si="41"/>
        <v>24382.31607415363</v>
      </c>
      <c r="BD50" s="506">
        <f t="shared" si="41"/>
        <v>88664.120046431359</v>
      </c>
      <c r="BE50" s="506">
        <f t="shared" si="41"/>
        <v>97561.514043274918</v>
      </c>
      <c r="BF50" s="506">
        <f t="shared" si="41"/>
        <v>104590.22687280639</v>
      </c>
      <c r="BG50" s="506">
        <f t="shared" si="41"/>
        <v>113795.55201310637</v>
      </c>
      <c r="BH50" s="499"/>
    </row>
    <row r="51" spans="1:60" s="470" customFormat="1" x14ac:dyDescent="0.25">
      <c r="A51" s="226"/>
      <c r="B51" s="514"/>
      <c r="C51" s="492"/>
      <c r="D51" s="492"/>
      <c r="E51" s="492"/>
      <c r="F51" s="492"/>
      <c r="G51" s="491"/>
      <c r="H51" s="491"/>
      <c r="I51" s="491"/>
      <c r="J51" s="491"/>
      <c r="K51" s="492"/>
      <c r="L51" s="491"/>
      <c r="M51" s="491"/>
      <c r="N51" s="491"/>
      <c r="O51" s="491"/>
      <c r="P51" s="492"/>
      <c r="Q51" s="491"/>
      <c r="R51" s="491"/>
      <c r="S51" s="491"/>
      <c r="T51" s="491"/>
      <c r="U51" s="492"/>
      <c r="V51" s="491"/>
      <c r="W51" s="491"/>
      <c r="X51" s="491"/>
      <c r="Y51" s="491"/>
      <c r="Z51" s="492"/>
      <c r="AA51" s="491"/>
      <c r="AB51" s="491"/>
      <c r="AC51" s="491"/>
      <c r="AD51" s="491"/>
      <c r="AE51" s="492"/>
      <c r="AF51" s="491"/>
      <c r="AG51" s="491"/>
      <c r="AH51" s="491"/>
      <c r="AI51" s="491"/>
      <c r="AJ51" s="492"/>
      <c r="AK51" s="491"/>
      <c r="AL51" s="491"/>
      <c r="AM51" s="491"/>
      <c r="AN51" s="491"/>
      <c r="AO51" s="492"/>
      <c r="AP51" s="491"/>
      <c r="AQ51" s="491"/>
      <c r="AR51" s="491"/>
      <c r="AS51" s="491"/>
      <c r="AT51" s="492"/>
      <c r="AU51" s="491"/>
      <c r="AV51" s="491"/>
      <c r="AW51" s="692"/>
      <c r="AX51" s="491"/>
      <c r="AY51" s="492"/>
      <c r="AZ51" s="491"/>
      <c r="BA51" s="491"/>
      <c r="BB51" s="491"/>
      <c r="BC51" s="491"/>
      <c r="BD51" s="492"/>
      <c r="BE51" s="492"/>
      <c r="BF51" s="492"/>
      <c r="BG51" s="492"/>
      <c r="BH51" s="484"/>
    </row>
    <row r="52" spans="1:60" s="470" customFormat="1" x14ac:dyDescent="0.25">
      <c r="A52" s="483" t="s">
        <v>816</v>
      </c>
      <c r="B52" s="514"/>
      <c r="C52" s="492"/>
      <c r="D52" s="492"/>
      <c r="E52" s="492"/>
      <c r="F52" s="492"/>
      <c r="G52" s="491"/>
      <c r="H52" s="491"/>
      <c r="I52" s="491"/>
      <c r="J52" s="491"/>
      <c r="K52" s="492"/>
      <c r="L52" s="491"/>
      <c r="M52" s="491"/>
      <c r="N52" s="491"/>
      <c r="O52" s="491"/>
      <c r="P52" s="492"/>
      <c r="Q52" s="491"/>
      <c r="R52" s="491"/>
      <c r="S52" s="491"/>
      <c r="T52" s="491"/>
      <c r="U52" s="492"/>
      <c r="V52" s="491"/>
      <c r="W52" s="491"/>
      <c r="X52" s="491"/>
      <c r="Y52" s="491"/>
      <c r="Z52" s="492"/>
      <c r="AA52" s="491"/>
      <c r="AB52" s="491"/>
      <c r="AC52" s="491"/>
      <c r="AD52" s="491"/>
      <c r="AE52" s="492"/>
      <c r="AF52" s="491"/>
      <c r="AG52" s="491"/>
      <c r="AH52" s="491"/>
      <c r="AI52" s="491"/>
      <c r="AJ52" s="492"/>
      <c r="AK52" s="491"/>
      <c r="AL52" s="491"/>
      <c r="AM52" s="491"/>
      <c r="AN52" s="491"/>
      <c r="AO52" s="492"/>
      <c r="AP52" s="490">
        <f>AP146</f>
        <v>1474</v>
      </c>
      <c r="AQ52" s="490">
        <f>AQ146</f>
        <v>1651</v>
      </c>
      <c r="AR52" s="490">
        <f>AR146</f>
        <v>2977</v>
      </c>
      <c r="AS52" s="490">
        <f>AS146</f>
        <v>1551</v>
      </c>
      <c r="AT52" s="489">
        <f>SUM(AP52,AQ52,AR52,AS52)</f>
        <v>7653</v>
      </c>
      <c r="AU52" s="490">
        <f t="shared" ref="AU52:BG52" si="42">AU146</f>
        <v>1451</v>
      </c>
      <c r="AV52" s="490">
        <f t="shared" si="42"/>
        <v>2871</v>
      </c>
      <c r="AW52" s="687">
        <f t="shared" si="42"/>
        <v>2026</v>
      </c>
      <c r="AX52" s="491">
        <f t="shared" si="42"/>
        <v>1577.8092603250007</v>
      </c>
      <c r="AY52" s="492">
        <f t="shared" si="42"/>
        <v>7925.8092603249897</v>
      </c>
      <c r="AZ52" s="491">
        <f t="shared" si="42"/>
        <v>2637.9830000000002</v>
      </c>
      <c r="BA52" s="491">
        <f t="shared" si="42"/>
        <v>1885.0439999999999</v>
      </c>
      <c r="BB52" s="491">
        <f t="shared" si="42"/>
        <v>2203.9194000000007</v>
      </c>
      <c r="BC52" s="491">
        <f t="shared" si="42"/>
        <v>2107.5228650000008</v>
      </c>
      <c r="BD52" s="492">
        <f t="shared" si="42"/>
        <v>8834.4692649999997</v>
      </c>
      <c r="BE52" s="492">
        <f t="shared" si="42"/>
        <v>11441.01035346376</v>
      </c>
      <c r="BF52" s="492">
        <f t="shared" si="42"/>
        <v>12210.722151000853</v>
      </c>
      <c r="BG52" s="492">
        <f t="shared" si="42"/>
        <v>12697.755326590443</v>
      </c>
      <c r="BH52" s="484"/>
    </row>
    <row r="53" spans="1:60" s="470" customFormat="1" x14ac:dyDescent="0.25">
      <c r="A53" s="483" t="s">
        <v>817</v>
      </c>
      <c r="B53" s="514"/>
      <c r="C53" s="492"/>
      <c r="D53" s="492"/>
      <c r="E53" s="492"/>
      <c r="F53" s="492"/>
      <c r="G53" s="491"/>
      <c r="H53" s="491"/>
      <c r="I53" s="491"/>
      <c r="J53" s="491"/>
      <c r="K53" s="492"/>
      <c r="L53" s="491"/>
      <c r="M53" s="491"/>
      <c r="N53" s="491"/>
      <c r="O53" s="491"/>
      <c r="P53" s="492"/>
      <c r="Q53" s="491"/>
      <c r="R53" s="491"/>
      <c r="S53" s="491"/>
      <c r="T53" s="491"/>
      <c r="U53" s="492"/>
      <c r="V53" s="491"/>
      <c r="W53" s="491"/>
      <c r="X53" s="491"/>
      <c r="Y53" s="491"/>
      <c r="Z53" s="492"/>
      <c r="AA53" s="491"/>
      <c r="AB53" s="491"/>
      <c r="AC53" s="491"/>
      <c r="AD53" s="491"/>
      <c r="AE53" s="492"/>
      <c r="AF53" s="491"/>
      <c r="AG53" s="491"/>
      <c r="AH53" s="491"/>
      <c r="AI53" s="491"/>
      <c r="AJ53" s="492"/>
      <c r="AK53" s="491"/>
      <c r="AL53" s="491"/>
      <c r="AM53" s="491"/>
      <c r="AN53" s="491"/>
      <c r="AO53" s="492"/>
      <c r="AP53" s="490">
        <f>AP210</f>
        <v>2522</v>
      </c>
      <c r="AQ53" s="490">
        <f t="shared" ref="AQ53:AS53" si="43">AQ210</f>
        <v>756</v>
      </c>
      <c r="AR53" s="490">
        <f t="shared" si="43"/>
        <v>-1878</v>
      </c>
      <c r="AS53" s="490">
        <f t="shared" si="43"/>
        <v>-945</v>
      </c>
      <c r="AT53" s="489">
        <f>SUM(AP53,AQ53,AR53,AS53)</f>
        <v>455</v>
      </c>
      <c r="AU53" s="490">
        <f>AU210</f>
        <v>-119</v>
      </c>
      <c r="AV53" s="490">
        <f>AV210</f>
        <v>-406</v>
      </c>
      <c r="AW53" s="687">
        <f>AW210</f>
        <v>356</v>
      </c>
      <c r="AX53" s="491">
        <f t="shared" ref="AX53:BG53" si="44">AX210</f>
        <v>1378.192</v>
      </c>
      <c r="AY53" s="492">
        <f t="shared" si="44"/>
        <v>1209.1919999999991</v>
      </c>
      <c r="AZ53" s="491">
        <f t="shared" si="44"/>
        <v>1920.3200000000006</v>
      </c>
      <c r="BA53" s="491">
        <f t="shared" si="44"/>
        <v>1448.3179999999993</v>
      </c>
      <c r="BB53" s="491">
        <f t="shared" si="44"/>
        <v>1844.6580000000004</v>
      </c>
      <c r="BC53" s="491">
        <f t="shared" si="44"/>
        <v>2266.4427999999998</v>
      </c>
      <c r="BD53" s="492">
        <f t="shared" si="44"/>
        <v>7479.7388000000028</v>
      </c>
      <c r="BE53" s="492">
        <f t="shared" si="44"/>
        <v>8842.5421999999999</v>
      </c>
      <c r="BF53" s="492">
        <f t="shared" si="44"/>
        <v>9333.7103500000012</v>
      </c>
      <c r="BG53" s="492">
        <f t="shared" si="44"/>
        <v>9916.5958675000002</v>
      </c>
      <c r="BH53" s="484"/>
    </row>
    <row r="54" spans="1:60" s="470" customFormat="1" hidden="1" outlineLevel="1" x14ac:dyDescent="0.25">
      <c r="A54" s="483" t="s">
        <v>38</v>
      </c>
      <c r="B54" s="514"/>
      <c r="C54" s="492"/>
      <c r="D54" s="492"/>
      <c r="E54" s="492"/>
      <c r="F54" s="492"/>
      <c r="G54" s="491"/>
      <c r="H54" s="491"/>
      <c r="I54" s="491"/>
      <c r="J54" s="491"/>
      <c r="K54" s="492"/>
      <c r="L54" s="491"/>
      <c r="M54" s="491"/>
      <c r="N54" s="491"/>
      <c r="O54" s="491"/>
      <c r="P54" s="492"/>
      <c r="Q54" s="491"/>
      <c r="R54" s="491"/>
      <c r="S54" s="491"/>
      <c r="T54" s="491"/>
      <c r="U54" s="492"/>
      <c r="V54" s="491"/>
      <c r="W54" s="491"/>
      <c r="X54" s="491"/>
      <c r="Y54" s="491"/>
      <c r="Z54" s="489">
        <f>Z256</f>
        <v>7804</v>
      </c>
      <c r="AA54" s="491"/>
      <c r="AB54" s="491"/>
      <c r="AC54" s="491"/>
      <c r="AD54" s="491"/>
      <c r="AE54" s="489">
        <f t="shared" ref="AE54:AR54" si="45">AE256</f>
        <v>7196</v>
      </c>
      <c r="AF54" s="490">
        <f t="shared" si="45"/>
        <v>1243</v>
      </c>
      <c r="AG54" s="497">
        <f t="shared" si="45"/>
        <v>2258</v>
      </c>
      <c r="AH54" s="490">
        <f t="shared" si="45"/>
        <v>1995</v>
      </c>
      <c r="AI54" s="490">
        <f t="shared" si="45"/>
        <v>1842</v>
      </c>
      <c r="AJ54" s="489">
        <f t="shared" si="45"/>
        <v>7338</v>
      </c>
      <c r="AK54" s="490">
        <f t="shared" si="45"/>
        <v>1330</v>
      </c>
      <c r="AL54" s="497">
        <f t="shared" si="45"/>
        <v>2185</v>
      </c>
      <c r="AM54" s="490">
        <f t="shared" si="45"/>
        <v>2136</v>
      </c>
      <c r="AN54" s="490">
        <f t="shared" si="45"/>
        <v>1783</v>
      </c>
      <c r="AO54" s="489">
        <f t="shared" si="45"/>
        <v>7479</v>
      </c>
      <c r="AP54" s="490">
        <f t="shared" si="45"/>
        <v>1630</v>
      </c>
      <c r="AQ54" s="497">
        <f t="shared" si="45"/>
        <v>2375</v>
      </c>
      <c r="AR54" s="490">
        <f t="shared" si="45"/>
        <v>3153</v>
      </c>
      <c r="AS54" s="490">
        <f>AS256</f>
        <v>1864</v>
      </c>
      <c r="AT54" s="489">
        <f>AT256</f>
        <v>9022</v>
      </c>
      <c r="AU54" s="491"/>
      <c r="AV54" s="491"/>
      <c r="AW54" s="692"/>
      <c r="AX54" s="491"/>
      <c r="AY54" s="492"/>
      <c r="AZ54" s="491"/>
      <c r="BA54" s="491"/>
      <c r="BB54" s="491"/>
      <c r="BC54" s="491"/>
      <c r="BD54" s="492"/>
      <c r="BE54" s="492"/>
      <c r="BF54" s="492"/>
      <c r="BG54" s="492"/>
      <c r="BH54" s="484"/>
    </row>
    <row r="55" spans="1:60" s="470" customFormat="1" hidden="1" outlineLevel="1" x14ac:dyDescent="0.25">
      <c r="A55" s="483" t="s">
        <v>55</v>
      </c>
      <c r="B55" s="514"/>
      <c r="C55" s="492"/>
      <c r="D55" s="492"/>
      <c r="E55" s="492"/>
      <c r="F55" s="492"/>
      <c r="G55" s="491"/>
      <c r="H55" s="491"/>
      <c r="I55" s="491"/>
      <c r="J55" s="491"/>
      <c r="K55" s="492"/>
      <c r="L55" s="491"/>
      <c r="M55" s="491"/>
      <c r="N55" s="491"/>
      <c r="O55" s="491"/>
      <c r="P55" s="492"/>
      <c r="Q55" s="491"/>
      <c r="R55" s="491"/>
      <c r="S55" s="491"/>
      <c r="T55" s="491"/>
      <c r="U55" s="492"/>
      <c r="V55" s="491"/>
      <c r="W55" s="491"/>
      <c r="X55" s="491"/>
      <c r="Y55" s="491"/>
      <c r="Z55" s="489">
        <f>Z312</f>
        <v>5198</v>
      </c>
      <c r="AA55" s="491"/>
      <c r="AB55" s="491"/>
      <c r="AC55" s="491"/>
      <c r="AD55" s="491"/>
      <c r="AE55" s="489">
        <f t="shared" ref="AE55:AR55" si="46">AE312</f>
        <v>5487</v>
      </c>
      <c r="AF55" s="490">
        <f t="shared" si="46"/>
        <v>1954</v>
      </c>
      <c r="AG55" s="497">
        <f t="shared" si="46"/>
        <v>1309</v>
      </c>
      <c r="AH55" s="490">
        <f t="shared" si="46"/>
        <v>1655</v>
      </c>
      <c r="AI55" s="490">
        <f t="shared" si="46"/>
        <v>1177</v>
      </c>
      <c r="AJ55" s="489">
        <f t="shared" si="46"/>
        <v>6095</v>
      </c>
      <c r="AK55" s="490">
        <f t="shared" si="46"/>
        <v>2152</v>
      </c>
      <c r="AL55" s="497">
        <f t="shared" si="46"/>
        <v>1506</v>
      </c>
      <c r="AM55" s="490">
        <f t="shared" si="46"/>
        <v>1719</v>
      </c>
      <c r="AN55" s="490">
        <f t="shared" si="46"/>
        <v>1381</v>
      </c>
      <c r="AO55" s="489">
        <f t="shared" si="46"/>
        <v>6758</v>
      </c>
      <c r="AP55" s="490">
        <f t="shared" si="46"/>
        <v>2338</v>
      </c>
      <c r="AQ55" s="497">
        <f t="shared" si="46"/>
        <v>639</v>
      </c>
      <c r="AR55" s="490">
        <f t="shared" si="46"/>
        <v>-1960</v>
      </c>
      <c r="AS55" s="490">
        <f>AS312</f>
        <v>-1098</v>
      </c>
      <c r="AT55" s="489">
        <f>AT312</f>
        <v>-81</v>
      </c>
      <c r="AU55" s="491"/>
      <c r="AV55" s="491"/>
      <c r="AW55" s="692"/>
      <c r="AX55" s="491"/>
      <c r="AY55" s="492"/>
      <c r="AZ55" s="491"/>
      <c r="BA55" s="491"/>
      <c r="BB55" s="491"/>
      <c r="BC55" s="491"/>
      <c r="BD55" s="492"/>
      <c r="BE55" s="492"/>
      <c r="BF55" s="492"/>
      <c r="BG55" s="492"/>
      <c r="BH55" s="484"/>
    </row>
    <row r="56" spans="1:60" s="470" customFormat="1" hidden="1" outlineLevel="1" x14ac:dyDescent="0.25">
      <c r="A56" s="483" t="s">
        <v>87</v>
      </c>
      <c r="B56" s="514"/>
      <c r="C56" s="492"/>
      <c r="D56" s="492"/>
      <c r="E56" s="492"/>
      <c r="F56" s="492"/>
      <c r="G56" s="491"/>
      <c r="H56" s="491"/>
      <c r="I56" s="491"/>
      <c r="J56" s="491"/>
      <c r="K56" s="492"/>
      <c r="L56" s="491"/>
      <c r="M56" s="491"/>
      <c r="N56" s="491"/>
      <c r="O56" s="491"/>
      <c r="P56" s="492"/>
      <c r="Q56" s="491"/>
      <c r="R56" s="491"/>
      <c r="S56" s="491"/>
      <c r="T56" s="491"/>
      <c r="U56" s="492"/>
      <c r="V56" s="491"/>
      <c r="W56" s="491"/>
      <c r="X56" s="491"/>
      <c r="Y56" s="491"/>
      <c r="Z56" s="489">
        <f>Z397</f>
        <v>2767</v>
      </c>
      <c r="AA56" s="491"/>
      <c r="AB56" s="491"/>
      <c r="AC56" s="491"/>
      <c r="AD56" s="491"/>
      <c r="AE56" s="489">
        <f t="shared" ref="AE56:AR56" si="47">AE397</f>
        <v>2363</v>
      </c>
      <c r="AF56" s="490">
        <f t="shared" si="47"/>
        <v>825</v>
      </c>
      <c r="AG56" s="497">
        <f t="shared" si="47"/>
        <v>874</v>
      </c>
      <c r="AH56" s="490">
        <f t="shared" si="47"/>
        <v>701</v>
      </c>
      <c r="AI56" s="490">
        <f t="shared" si="47"/>
        <v>604</v>
      </c>
      <c r="AJ56" s="489">
        <f t="shared" si="47"/>
        <v>3004</v>
      </c>
      <c r="AK56" s="490">
        <f t="shared" si="47"/>
        <v>309</v>
      </c>
      <c r="AL56" s="497">
        <f t="shared" si="47"/>
        <v>534</v>
      </c>
      <c r="AM56" s="490">
        <f t="shared" si="47"/>
        <v>792</v>
      </c>
      <c r="AN56" s="497">
        <f t="shared" si="47"/>
        <v>1079</v>
      </c>
      <c r="AO56" s="489">
        <f t="shared" si="47"/>
        <v>2686</v>
      </c>
      <c r="AP56" s="490">
        <f t="shared" si="47"/>
        <v>948</v>
      </c>
      <c r="AQ56" s="497">
        <f t="shared" si="47"/>
        <v>466</v>
      </c>
      <c r="AR56" s="490">
        <f t="shared" si="47"/>
        <v>668</v>
      </c>
      <c r="AS56" s="497">
        <f>AS397</f>
        <v>419</v>
      </c>
      <c r="AT56" s="489">
        <f>AT397</f>
        <v>2501</v>
      </c>
      <c r="AU56" s="491"/>
      <c r="AV56" s="491"/>
      <c r="AW56" s="692"/>
      <c r="AX56" s="491"/>
      <c r="AY56" s="492"/>
      <c r="AZ56" s="491"/>
      <c r="BA56" s="491"/>
      <c r="BB56" s="491"/>
      <c r="BC56" s="491"/>
      <c r="BD56" s="492"/>
      <c r="BE56" s="492"/>
      <c r="BF56" s="492"/>
      <c r="BG56" s="492"/>
      <c r="BH56" s="484"/>
    </row>
    <row r="57" spans="1:60" s="470" customFormat="1" hidden="1" outlineLevel="1" x14ac:dyDescent="0.25">
      <c r="A57" s="483" t="s">
        <v>96</v>
      </c>
      <c r="B57" s="514"/>
      <c r="C57" s="492"/>
      <c r="D57" s="492"/>
      <c r="E57" s="492"/>
      <c r="F57" s="492"/>
      <c r="G57" s="491"/>
      <c r="H57" s="491"/>
      <c r="I57" s="491"/>
      <c r="J57" s="491"/>
      <c r="K57" s="492"/>
      <c r="L57" s="491"/>
      <c r="M57" s="491"/>
      <c r="N57" s="491"/>
      <c r="O57" s="491"/>
      <c r="P57" s="492"/>
      <c r="Q57" s="491"/>
      <c r="R57" s="491"/>
      <c r="S57" s="491"/>
      <c r="T57" s="491"/>
      <c r="U57" s="492"/>
      <c r="V57" s="491"/>
      <c r="W57" s="491"/>
      <c r="X57" s="491"/>
      <c r="Y57" s="491"/>
      <c r="Z57" s="489">
        <f>Z435</f>
        <v>-38</v>
      </c>
      <c r="AA57" s="491"/>
      <c r="AB57" s="491"/>
      <c r="AC57" s="491"/>
      <c r="AD57" s="491"/>
      <c r="AE57" s="489">
        <f t="shared" ref="AE57:AR57" si="48">AE435</f>
        <v>-284</v>
      </c>
      <c r="AF57" s="490">
        <f t="shared" si="48"/>
        <v>-42</v>
      </c>
      <c r="AG57" s="497">
        <f t="shared" si="48"/>
        <v>-188</v>
      </c>
      <c r="AH57" s="490">
        <f t="shared" si="48"/>
        <v>-168</v>
      </c>
      <c r="AI57" s="490">
        <f t="shared" si="48"/>
        <v>-340</v>
      </c>
      <c r="AJ57" s="489">
        <f t="shared" si="48"/>
        <v>-738</v>
      </c>
      <c r="AK57" s="490">
        <f t="shared" si="48"/>
        <v>-136</v>
      </c>
      <c r="AL57" s="497">
        <f t="shared" si="48"/>
        <v>-393</v>
      </c>
      <c r="AM57" s="490">
        <f t="shared" si="48"/>
        <v>-553</v>
      </c>
      <c r="AN57" s="490">
        <f t="shared" si="48"/>
        <v>-740</v>
      </c>
      <c r="AO57" s="489">
        <f t="shared" si="48"/>
        <v>-1814</v>
      </c>
      <c r="AP57" s="490">
        <f t="shared" si="48"/>
        <v>-693</v>
      </c>
      <c r="AQ57" s="497">
        <f t="shared" si="48"/>
        <v>-812</v>
      </c>
      <c r="AR57" s="490">
        <f t="shared" si="48"/>
        <v>-706</v>
      </c>
      <c r="AS57" s="490">
        <f>AS435</f>
        <v>-580</v>
      </c>
      <c r="AT57" s="489">
        <f>AT435</f>
        <v>-2806</v>
      </c>
      <c r="AU57" s="491"/>
      <c r="AV57" s="491"/>
      <c r="AW57" s="692"/>
      <c r="AX57" s="491"/>
      <c r="AY57" s="492"/>
      <c r="AZ57" s="491"/>
      <c r="BA57" s="491"/>
      <c r="BB57" s="491"/>
      <c r="BC57" s="491"/>
      <c r="BD57" s="492"/>
      <c r="BE57" s="492"/>
      <c r="BF57" s="492"/>
      <c r="BG57" s="492"/>
      <c r="BH57" s="484"/>
    </row>
    <row r="58" spans="1:60" s="470" customFormat="1" hidden="1" outlineLevel="1" x14ac:dyDescent="0.25">
      <c r="A58" s="483" t="s">
        <v>524</v>
      </c>
      <c r="B58" s="514"/>
      <c r="C58" s="492"/>
      <c r="D58" s="492"/>
      <c r="E58" s="492"/>
      <c r="F58" s="492"/>
      <c r="G58" s="491"/>
      <c r="H58" s="491"/>
      <c r="I58" s="491"/>
      <c r="J58" s="491"/>
      <c r="K58" s="492"/>
      <c r="L58" s="491"/>
      <c r="M58" s="491"/>
      <c r="N58" s="491"/>
      <c r="O58" s="491"/>
      <c r="P58" s="492"/>
      <c r="Q58" s="491"/>
      <c r="R58" s="491"/>
      <c r="S58" s="491"/>
      <c r="T58" s="491"/>
      <c r="U58" s="492"/>
      <c r="V58" s="491"/>
      <c r="W58" s="491"/>
      <c r="X58" s="491"/>
      <c r="Y58" s="491"/>
      <c r="Z58" s="489">
        <f>Z569</f>
        <v>0</v>
      </c>
      <c r="AA58" s="491"/>
      <c r="AB58" s="491"/>
      <c r="AC58" s="491"/>
      <c r="AD58" s="491"/>
      <c r="AE58" s="489">
        <f t="shared" ref="AE58:AT58" si="49">AE569</f>
        <v>0</v>
      </c>
      <c r="AF58" s="490">
        <f t="shared" si="49"/>
        <v>0</v>
      </c>
      <c r="AG58" s="497">
        <f t="shared" si="49"/>
        <v>0</v>
      </c>
      <c r="AH58" s="490">
        <f t="shared" si="49"/>
        <v>0</v>
      </c>
      <c r="AI58" s="490">
        <f t="shared" si="49"/>
        <v>0</v>
      </c>
      <c r="AJ58" s="489">
        <f t="shared" si="49"/>
        <v>0</v>
      </c>
      <c r="AK58" s="490">
        <f t="shared" si="49"/>
        <v>0</v>
      </c>
      <c r="AL58" s="497">
        <f t="shared" si="49"/>
        <v>25</v>
      </c>
      <c r="AM58" s="490">
        <f t="shared" si="49"/>
        <v>0</v>
      </c>
      <c r="AN58" s="490">
        <f t="shared" si="49"/>
        <v>0</v>
      </c>
      <c r="AO58" s="489">
        <f t="shared" si="49"/>
        <v>0</v>
      </c>
      <c r="AP58" s="490">
        <f t="shared" si="49"/>
        <v>0</v>
      </c>
      <c r="AQ58" s="497">
        <f t="shared" si="49"/>
        <v>0</v>
      </c>
      <c r="AR58" s="490">
        <f t="shared" si="49"/>
        <v>0</v>
      </c>
      <c r="AS58" s="490">
        <f t="shared" si="49"/>
        <v>0</v>
      </c>
      <c r="AT58" s="489">
        <f t="shared" si="49"/>
        <v>0</v>
      </c>
      <c r="AU58" s="491"/>
      <c r="AV58" s="491"/>
      <c r="AW58" s="692"/>
      <c r="AX58" s="491"/>
      <c r="AY58" s="492"/>
      <c r="AZ58" s="491"/>
      <c r="BA58" s="491"/>
      <c r="BB58" s="491"/>
      <c r="BC58" s="491"/>
      <c r="BD58" s="492"/>
      <c r="BE58" s="492"/>
      <c r="BF58" s="492"/>
      <c r="BG58" s="492"/>
      <c r="BH58" s="484"/>
    </row>
    <row r="59" spans="1:60" s="470" customFormat="1" hidden="1" outlineLevel="1" x14ac:dyDescent="0.25">
      <c r="A59" s="483" t="s">
        <v>107</v>
      </c>
      <c r="B59" s="514"/>
      <c r="C59" s="492"/>
      <c r="D59" s="492"/>
      <c r="E59" s="492"/>
      <c r="F59" s="492"/>
      <c r="G59" s="491"/>
      <c r="H59" s="491"/>
      <c r="I59" s="491"/>
      <c r="J59" s="491"/>
      <c r="K59" s="492"/>
      <c r="L59" s="491"/>
      <c r="M59" s="491"/>
      <c r="N59" s="491"/>
      <c r="O59" s="491"/>
      <c r="P59" s="492"/>
      <c r="Q59" s="491"/>
      <c r="R59" s="491"/>
      <c r="S59" s="491"/>
      <c r="T59" s="491"/>
      <c r="U59" s="492"/>
      <c r="V59" s="491"/>
      <c r="W59" s="491"/>
      <c r="X59" s="491"/>
      <c r="Y59" s="491"/>
      <c r="Z59" s="489">
        <f>Z521</f>
        <v>-10</v>
      </c>
      <c r="AA59" s="491"/>
      <c r="AB59" s="491"/>
      <c r="AC59" s="491"/>
      <c r="AD59" s="491"/>
      <c r="AE59" s="489">
        <f t="shared" ref="AE59:AR59" si="50">AE521</f>
        <v>13</v>
      </c>
      <c r="AF59" s="490">
        <f t="shared" si="50"/>
        <v>6</v>
      </c>
      <c r="AG59" s="497">
        <f t="shared" si="50"/>
        <v>-16</v>
      </c>
      <c r="AH59" s="490">
        <f t="shared" si="50"/>
        <v>6</v>
      </c>
      <c r="AI59" s="490">
        <f t="shared" si="50"/>
        <v>-6</v>
      </c>
      <c r="AJ59" s="489">
        <f t="shared" si="50"/>
        <v>-10</v>
      </c>
      <c r="AK59" s="490">
        <f t="shared" si="50"/>
        <v>0</v>
      </c>
      <c r="AL59" s="497">
        <f t="shared" si="50"/>
        <v>-41</v>
      </c>
      <c r="AM59" s="490">
        <f t="shared" si="50"/>
        <v>-133</v>
      </c>
      <c r="AN59" s="490">
        <f t="shared" si="50"/>
        <v>-67</v>
      </c>
      <c r="AO59" s="489">
        <f t="shared" si="50"/>
        <v>-241</v>
      </c>
      <c r="AP59" s="490">
        <f t="shared" si="50"/>
        <v>-221</v>
      </c>
      <c r="AQ59" s="497">
        <f t="shared" si="50"/>
        <v>-252</v>
      </c>
      <c r="AR59" s="490">
        <f t="shared" si="50"/>
        <v>-56</v>
      </c>
      <c r="AS59" s="490">
        <f>AS521</f>
        <v>1</v>
      </c>
      <c r="AT59" s="489">
        <f>AT521</f>
        <v>-528</v>
      </c>
      <c r="AU59" s="491"/>
      <c r="AV59" s="491"/>
      <c r="AW59" s="692"/>
      <c r="AX59" s="491"/>
      <c r="AY59" s="492"/>
      <c r="AZ59" s="491"/>
      <c r="BA59" s="491"/>
      <c r="BB59" s="491"/>
      <c r="BC59" s="491"/>
      <c r="BD59" s="492"/>
      <c r="BE59" s="492"/>
      <c r="BF59" s="492"/>
      <c r="BG59" s="492"/>
      <c r="BH59" s="484"/>
    </row>
    <row r="60" spans="1:60" s="498" customFormat="1" collapsed="1" x14ac:dyDescent="0.25">
      <c r="A60" s="500" t="s">
        <v>108</v>
      </c>
      <c r="B60" s="516"/>
      <c r="C60" s="511"/>
      <c r="D60" s="511"/>
      <c r="E60" s="511"/>
      <c r="F60" s="511"/>
      <c r="G60" s="510"/>
      <c r="H60" s="510"/>
      <c r="I60" s="510"/>
      <c r="J60" s="510"/>
      <c r="K60" s="511"/>
      <c r="L60" s="510"/>
      <c r="M60" s="510"/>
      <c r="N60" s="510"/>
      <c r="O60" s="510"/>
      <c r="P60" s="511"/>
      <c r="Q60" s="510"/>
      <c r="R60" s="510"/>
      <c r="S60" s="510"/>
      <c r="T60" s="510"/>
      <c r="U60" s="511"/>
      <c r="V60" s="510"/>
      <c r="W60" s="510"/>
      <c r="X60" s="510"/>
      <c r="Y60" s="510"/>
      <c r="Z60" s="507">
        <f>SUM(Z54:Z59)</f>
        <v>15721</v>
      </c>
      <c r="AA60" s="510"/>
      <c r="AB60" s="510"/>
      <c r="AC60" s="510"/>
      <c r="AD60" s="510"/>
      <c r="AE60" s="507">
        <f t="shared" ref="AE60:AO60" si="51">SUM(AE54:AE59)</f>
        <v>14775</v>
      </c>
      <c r="AF60" s="508">
        <f t="shared" si="51"/>
        <v>3986</v>
      </c>
      <c r="AG60" s="509">
        <f t="shared" si="51"/>
        <v>4237</v>
      </c>
      <c r="AH60" s="508">
        <f t="shared" si="51"/>
        <v>4189</v>
      </c>
      <c r="AI60" s="508">
        <f t="shared" si="51"/>
        <v>3277</v>
      </c>
      <c r="AJ60" s="507">
        <f t="shared" si="51"/>
        <v>15689</v>
      </c>
      <c r="AK60" s="508">
        <f t="shared" si="51"/>
        <v>3655</v>
      </c>
      <c r="AL60" s="509">
        <f t="shared" si="51"/>
        <v>3816</v>
      </c>
      <c r="AM60" s="508">
        <f t="shared" si="51"/>
        <v>3961</v>
      </c>
      <c r="AN60" s="508">
        <f t="shared" si="51"/>
        <v>3436</v>
      </c>
      <c r="AO60" s="507">
        <f t="shared" si="51"/>
        <v>14868</v>
      </c>
      <c r="AP60" s="508">
        <f t="shared" ref="AP60:AT60" si="52">SUM(AP52:AP53)</f>
        <v>3996</v>
      </c>
      <c r="AQ60" s="509">
        <f t="shared" si="52"/>
        <v>2407</v>
      </c>
      <c r="AR60" s="508">
        <f t="shared" si="52"/>
        <v>1099</v>
      </c>
      <c r="AS60" s="508">
        <f t="shared" si="52"/>
        <v>606</v>
      </c>
      <c r="AT60" s="507">
        <f t="shared" si="52"/>
        <v>8108</v>
      </c>
      <c r="AU60" s="508">
        <f>SUM(AU52:AU53)</f>
        <v>1332</v>
      </c>
      <c r="AV60" s="509">
        <f>SUM(AV52:AV53)</f>
        <v>2465</v>
      </c>
      <c r="AW60" s="869">
        <f>SUM(AW52:AW53)</f>
        <v>2382</v>
      </c>
      <c r="AX60" s="510">
        <f t="shared" ref="AX60:BG60" si="53">SUM(AX52:AX53)</f>
        <v>2956.0012603250007</v>
      </c>
      <c r="AY60" s="511">
        <f t="shared" si="53"/>
        <v>9135.0012603249888</v>
      </c>
      <c r="AZ60" s="510">
        <f t="shared" si="53"/>
        <v>4558.3030000000008</v>
      </c>
      <c r="BA60" s="510">
        <f t="shared" si="53"/>
        <v>3333.3619999999992</v>
      </c>
      <c r="BB60" s="510">
        <f t="shared" si="53"/>
        <v>4048.577400000001</v>
      </c>
      <c r="BC60" s="510">
        <f t="shared" si="53"/>
        <v>4373.9656650000006</v>
      </c>
      <c r="BD60" s="511">
        <f t="shared" si="53"/>
        <v>16314.208065000003</v>
      </c>
      <c r="BE60" s="511">
        <f t="shared" si="53"/>
        <v>20283.55255346376</v>
      </c>
      <c r="BF60" s="511">
        <f t="shared" si="53"/>
        <v>21544.432501000854</v>
      </c>
      <c r="BG60" s="511">
        <f t="shared" si="53"/>
        <v>22614.351194090443</v>
      </c>
      <c r="BH60" s="499"/>
    </row>
    <row r="61" spans="1:60" s="498" customFormat="1" hidden="1" outlineLevel="1" x14ac:dyDescent="0.25">
      <c r="A61" s="635"/>
      <c r="B61" s="264"/>
      <c r="C61" s="506"/>
      <c r="D61" s="506"/>
      <c r="E61" s="506"/>
      <c r="F61" s="506"/>
      <c r="G61" s="505"/>
      <c r="H61" s="505"/>
      <c r="I61" s="505"/>
      <c r="J61" s="505"/>
      <c r="K61" s="506"/>
      <c r="L61" s="505"/>
      <c r="M61" s="505"/>
      <c r="N61" s="505"/>
      <c r="O61" s="505"/>
      <c r="P61" s="506"/>
      <c r="Q61" s="505"/>
      <c r="R61" s="505"/>
      <c r="S61" s="505"/>
      <c r="T61" s="505"/>
      <c r="U61" s="506"/>
      <c r="V61" s="505"/>
      <c r="W61" s="505"/>
      <c r="X61" s="505"/>
      <c r="Y61" s="505"/>
      <c r="Z61" s="506"/>
      <c r="AA61" s="505"/>
      <c r="AB61" s="505"/>
      <c r="AC61" s="505"/>
      <c r="AD61" s="505"/>
      <c r="AE61" s="506"/>
      <c r="AF61" s="505"/>
      <c r="AG61" s="505"/>
      <c r="AH61" s="505"/>
      <c r="AI61" s="505"/>
      <c r="AJ61" s="506"/>
      <c r="AK61" s="505"/>
      <c r="AL61" s="505"/>
      <c r="AM61" s="505"/>
      <c r="AN61" s="505"/>
      <c r="AO61" s="506"/>
      <c r="AP61" s="505"/>
      <c r="AQ61" s="505"/>
      <c r="AR61" s="505"/>
      <c r="AS61" s="505"/>
      <c r="AT61" s="506"/>
      <c r="AU61" s="505"/>
      <c r="AV61" s="505"/>
      <c r="AW61" s="694"/>
      <c r="AX61" s="505"/>
      <c r="AY61" s="506"/>
      <c r="AZ61" s="505"/>
      <c r="BA61" s="505"/>
      <c r="BB61" s="505"/>
      <c r="BC61" s="505"/>
      <c r="BD61" s="506"/>
      <c r="BE61" s="506"/>
      <c r="BF61" s="506"/>
      <c r="BG61" s="506"/>
      <c r="BH61" s="499"/>
    </row>
    <row r="62" spans="1:60" s="470" customFormat="1" hidden="1" outlineLevel="1" x14ac:dyDescent="0.25">
      <c r="A62" s="483" t="s">
        <v>525</v>
      </c>
      <c r="B62" s="514"/>
      <c r="C62" s="492"/>
      <c r="D62" s="492"/>
      <c r="E62" s="492"/>
      <c r="F62" s="492"/>
      <c r="G62" s="491"/>
      <c r="H62" s="491"/>
      <c r="I62" s="491"/>
      <c r="J62" s="491"/>
      <c r="K62" s="492"/>
      <c r="L62" s="491"/>
      <c r="M62" s="491"/>
      <c r="N62" s="491"/>
      <c r="O62" s="491"/>
      <c r="P62" s="492"/>
      <c r="Q62" s="491"/>
      <c r="R62" s="491"/>
      <c r="S62" s="491"/>
      <c r="T62" s="491"/>
      <c r="U62" s="492"/>
      <c r="V62" s="491"/>
      <c r="W62" s="491"/>
      <c r="X62" s="491"/>
      <c r="Y62" s="491"/>
      <c r="Z62" s="492"/>
      <c r="AA62" s="491"/>
      <c r="AB62" s="491"/>
      <c r="AC62" s="491"/>
      <c r="AD62" s="491"/>
      <c r="AE62" s="492"/>
      <c r="AF62" s="490">
        <f>AF279+AF456+AF560+AF505</f>
        <v>3205</v>
      </c>
      <c r="AG62" s="497">
        <f>AG279+AG456+AG560+AG505</f>
        <v>3397</v>
      </c>
      <c r="AH62" s="490">
        <f>AH279+AH456+AH560+AH505</f>
        <v>3332</v>
      </c>
      <c r="AI62" s="490">
        <f t="shared" ref="AI62:AI72" si="54">AJ62-AH62-AG62-AF62</f>
        <v>3345</v>
      </c>
      <c r="AJ62" s="489">
        <v>13279</v>
      </c>
      <c r="AK62" s="490">
        <f>AK279+AK456+AK560+AK505</f>
        <v>3398</v>
      </c>
      <c r="AL62" s="497">
        <f>AL279+AL456+AL560+AL505</f>
        <v>3634</v>
      </c>
      <c r="AM62" s="490">
        <f>AM279+AM456+AM560+AM505</f>
        <v>4449</v>
      </c>
      <c r="AN62" s="490">
        <f>AN279+AN456+AN560+AN505</f>
        <v>4439</v>
      </c>
      <c r="AO62" s="489">
        <v>15920</v>
      </c>
      <c r="AP62" s="490">
        <f>AP279+AP456+AP560+AP505</f>
        <v>4427</v>
      </c>
      <c r="AQ62" s="497">
        <f>AQ279+AQ456+AQ560+AQ505</f>
        <v>4517</v>
      </c>
      <c r="AR62" s="490">
        <f>AR279+AR456+AR560+AR505</f>
        <v>4304</v>
      </c>
      <c r="AS62" s="490">
        <f>AT62-13273</f>
        <v>4656</v>
      </c>
      <c r="AT62" s="489">
        <v>17929</v>
      </c>
      <c r="AU62" s="490">
        <v>4402</v>
      </c>
      <c r="AV62" s="497">
        <v>4594</v>
      </c>
      <c r="AW62" s="687">
        <v>4431</v>
      </c>
      <c r="AX62" s="491"/>
      <c r="AY62" s="492"/>
      <c r="AZ62" s="491"/>
      <c r="BA62" s="491"/>
      <c r="BB62" s="491"/>
      <c r="BC62" s="491"/>
      <c r="BD62" s="492"/>
      <c r="BE62" s="492"/>
      <c r="BF62" s="492"/>
      <c r="BG62" s="492"/>
      <c r="BH62" s="484"/>
    </row>
    <row r="63" spans="1:60" s="470" customFormat="1" hidden="1" outlineLevel="1" x14ac:dyDescent="0.25">
      <c r="A63" s="483" t="s">
        <v>526</v>
      </c>
      <c r="B63" s="514"/>
      <c r="C63" s="492"/>
      <c r="D63" s="492"/>
      <c r="E63" s="492"/>
      <c r="F63" s="492"/>
      <c r="G63" s="491"/>
      <c r="H63" s="491"/>
      <c r="I63" s="491"/>
      <c r="J63" s="491"/>
      <c r="K63" s="492"/>
      <c r="L63" s="491"/>
      <c r="M63" s="491"/>
      <c r="N63" s="491"/>
      <c r="O63" s="491"/>
      <c r="P63" s="492"/>
      <c r="Q63" s="491"/>
      <c r="R63" s="491"/>
      <c r="S63" s="491"/>
      <c r="T63" s="491"/>
      <c r="U63" s="492"/>
      <c r="V63" s="491"/>
      <c r="W63" s="491"/>
      <c r="X63" s="491"/>
      <c r="Y63" s="491"/>
      <c r="Z63" s="492"/>
      <c r="AA63" s="491"/>
      <c r="AB63" s="491"/>
      <c r="AC63" s="491"/>
      <c r="AD63" s="491"/>
      <c r="AE63" s="492"/>
      <c r="AF63" s="490">
        <f>AF280+AF339+AF457+AF561</f>
        <v>2376</v>
      </c>
      <c r="AG63" s="497">
        <f>AG280+AG339+AG457+AG561</f>
        <v>1946</v>
      </c>
      <c r="AH63" s="490">
        <f>AH280+AH339+AH457+AH561</f>
        <v>1988</v>
      </c>
      <c r="AI63" s="490">
        <f t="shared" si="54"/>
        <v>1594</v>
      </c>
      <c r="AJ63" s="489">
        <v>7904</v>
      </c>
      <c r="AK63" s="490">
        <f>AK280+AK339+AK457+AK561</f>
        <v>2442</v>
      </c>
      <c r="AL63" s="497">
        <f>AL280+AL339+AL457+AL561</f>
        <v>2072</v>
      </c>
      <c r="AM63" s="490">
        <f>AM280+AM339+AM457+AM561</f>
        <v>3363</v>
      </c>
      <c r="AN63" s="490">
        <f>AN280+AN339+AN457+AN561</f>
        <v>2621</v>
      </c>
      <c r="AO63" s="489">
        <v>10505</v>
      </c>
      <c r="AP63" s="490">
        <f>AP280+AP339+AP457+AP561</f>
        <v>3392</v>
      </c>
      <c r="AQ63" s="497">
        <f>AQ280+AQ339+AQ457+AQ561</f>
        <v>2785</v>
      </c>
      <c r="AR63" s="490">
        <f>AR280+AR339+AR457+AR561</f>
        <v>1902</v>
      </c>
      <c r="AS63" s="490">
        <f>AT63-8089</f>
        <v>2766</v>
      </c>
      <c r="AT63" s="489">
        <v>10855</v>
      </c>
      <c r="AU63" s="490">
        <v>3764</v>
      </c>
      <c r="AV63" s="497">
        <v>2583</v>
      </c>
      <c r="AW63" s="687">
        <v>3163</v>
      </c>
      <c r="AX63" s="491"/>
      <c r="AY63" s="492"/>
      <c r="AZ63" s="491"/>
      <c r="BA63" s="491"/>
      <c r="BB63" s="491"/>
      <c r="BC63" s="491"/>
      <c r="BD63" s="492"/>
      <c r="BE63" s="492"/>
      <c r="BF63" s="492"/>
      <c r="BG63" s="492"/>
      <c r="BH63" s="484"/>
    </row>
    <row r="64" spans="1:60" s="470" customFormat="1" hidden="1" outlineLevel="1" x14ac:dyDescent="0.25">
      <c r="A64" s="483" t="s">
        <v>527</v>
      </c>
      <c r="B64" s="514"/>
      <c r="C64" s="492"/>
      <c r="D64" s="492"/>
      <c r="E64" s="492"/>
      <c r="F64" s="492"/>
      <c r="G64" s="491"/>
      <c r="H64" s="491"/>
      <c r="I64" s="491"/>
      <c r="J64" s="491"/>
      <c r="K64" s="492"/>
      <c r="L64" s="491"/>
      <c r="M64" s="491"/>
      <c r="N64" s="491"/>
      <c r="O64" s="491"/>
      <c r="P64" s="492"/>
      <c r="Q64" s="491"/>
      <c r="R64" s="491"/>
      <c r="S64" s="491"/>
      <c r="T64" s="491"/>
      <c r="U64" s="492"/>
      <c r="V64" s="491"/>
      <c r="W64" s="491"/>
      <c r="X64" s="491"/>
      <c r="Y64" s="491"/>
      <c r="Z64" s="492"/>
      <c r="AA64" s="491"/>
      <c r="AB64" s="491"/>
      <c r="AC64" s="491"/>
      <c r="AD64" s="491"/>
      <c r="AE64" s="492"/>
      <c r="AF64" s="490">
        <f>AF334</f>
        <v>1832</v>
      </c>
      <c r="AG64" s="497">
        <f>AG334</f>
        <v>1690</v>
      </c>
      <c r="AH64" s="490">
        <f>AH334</f>
        <v>1834</v>
      </c>
      <c r="AI64" s="490">
        <f t="shared" si="54"/>
        <v>1827</v>
      </c>
      <c r="AJ64" s="489">
        <v>7183</v>
      </c>
      <c r="AK64" s="490">
        <f>AK334</f>
        <v>1933</v>
      </c>
      <c r="AL64" s="497">
        <f>AL334</f>
        <v>1768</v>
      </c>
      <c r="AM64" s="490">
        <f>AM334</f>
        <v>1956</v>
      </c>
      <c r="AN64" s="490">
        <f>AN334</f>
        <v>1883</v>
      </c>
      <c r="AO64" s="489">
        <v>7540</v>
      </c>
      <c r="AP64" s="490">
        <f>AP334</f>
        <v>2067</v>
      </c>
      <c r="AQ64" s="497">
        <f>AQ334</f>
        <v>1554</v>
      </c>
      <c r="AR64" s="490">
        <f>AR334</f>
        <v>34</v>
      </c>
      <c r="AS64" s="490">
        <f t="shared" ref="AS64:AS72" si="55">AT64-SUM(AP64,AQ64,AR64)</f>
        <v>383</v>
      </c>
      <c r="AT64" s="489">
        <v>4038</v>
      </c>
      <c r="AU64" s="490">
        <v>549</v>
      </c>
      <c r="AV64" s="497">
        <v>597</v>
      </c>
      <c r="AW64" s="687">
        <v>1152</v>
      </c>
      <c r="AX64" s="491"/>
      <c r="AY64" s="492"/>
      <c r="AZ64" s="491"/>
      <c r="BA64" s="491"/>
      <c r="BB64" s="491"/>
      <c r="BC64" s="491"/>
      <c r="BD64" s="492"/>
      <c r="BE64" s="492"/>
      <c r="BF64" s="492"/>
      <c r="BG64" s="492"/>
      <c r="BH64" s="484"/>
    </row>
    <row r="65" spans="1:60" s="470" customFormat="1" hidden="1" outlineLevel="1" x14ac:dyDescent="0.25">
      <c r="A65" s="483" t="s">
        <v>528</v>
      </c>
      <c r="B65" s="514"/>
      <c r="C65" s="492"/>
      <c r="D65" s="492"/>
      <c r="E65" s="492"/>
      <c r="F65" s="492"/>
      <c r="G65" s="491"/>
      <c r="H65" s="491"/>
      <c r="I65" s="491"/>
      <c r="J65" s="491"/>
      <c r="K65" s="492"/>
      <c r="L65" s="491"/>
      <c r="M65" s="491"/>
      <c r="N65" s="491"/>
      <c r="O65" s="491"/>
      <c r="P65" s="492"/>
      <c r="Q65" s="491"/>
      <c r="R65" s="491"/>
      <c r="S65" s="491"/>
      <c r="T65" s="491"/>
      <c r="U65" s="492"/>
      <c r="V65" s="491"/>
      <c r="W65" s="491"/>
      <c r="X65" s="491"/>
      <c r="Y65" s="491"/>
      <c r="Z65" s="492"/>
      <c r="AA65" s="491"/>
      <c r="AB65" s="491"/>
      <c r="AC65" s="491"/>
      <c r="AD65" s="491"/>
      <c r="AE65" s="492"/>
      <c r="AF65" s="490">
        <f>AF336</f>
        <v>1463</v>
      </c>
      <c r="AG65" s="497">
        <f>AG336</f>
        <v>1461</v>
      </c>
      <c r="AH65" s="490">
        <f>AH336</f>
        <v>1530</v>
      </c>
      <c r="AI65" s="490">
        <f t="shared" si="54"/>
        <v>1484</v>
      </c>
      <c r="AJ65" s="489">
        <v>5938</v>
      </c>
      <c r="AK65" s="490">
        <f>AK336</f>
        <v>1531</v>
      </c>
      <c r="AL65" s="497">
        <f>AL336</f>
        <v>1502</v>
      </c>
      <c r="AM65" s="490">
        <f>AM336</f>
        <v>1610</v>
      </c>
      <c r="AN65" s="490">
        <f>AN336</f>
        <v>1622</v>
      </c>
      <c r="AO65" s="489">
        <v>6266</v>
      </c>
      <c r="AP65" s="490">
        <f>AP336</f>
        <v>1631</v>
      </c>
      <c r="AQ65" s="497">
        <f>AQ336</f>
        <v>1377</v>
      </c>
      <c r="AR65" s="490">
        <f>AR336</f>
        <v>80</v>
      </c>
      <c r="AS65" s="490">
        <f t="shared" si="55"/>
        <v>314</v>
      </c>
      <c r="AT65" s="489">
        <v>3402</v>
      </c>
      <c r="AU65" s="490">
        <v>432</v>
      </c>
      <c r="AV65" s="497">
        <v>514</v>
      </c>
      <c r="AW65" s="687">
        <v>776</v>
      </c>
      <c r="AX65" s="491"/>
      <c r="AY65" s="492"/>
      <c r="AZ65" s="491"/>
      <c r="BA65" s="491"/>
      <c r="BB65" s="491"/>
      <c r="BC65" s="491"/>
      <c r="BD65" s="492"/>
      <c r="BE65" s="492"/>
      <c r="BF65" s="492"/>
      <c r="BG65" s="492"/>
      <c r="BH65" s="484"/>
    </row>
    <row r="66" spans="1:60" s="470" customFormat="1" hidden="1" outlineLevel="1" x14ac:dyDescent="0.25">
      <c r="A66" s="483" t="s">
        <v>696</v>
      </c>
      <c r="B66" s="514"/>
      <c r="C66" s="492"/>
      <c r="D66" s="492"/>
      <c r="E66" s="492"/>
      <c r="F66" s="492"/>
      <c r="G66" s="491"/>
      <c r="H66" s="491"/>
      <c r="I66" s="491"/>
      <c r="J66" s="491"/>
      <c r="K66" s="492"/>
      <c r="L66" s="491"/>
      <c r="M66" s="491"/>
      <c r="N66" s="491"/>
      <c r="O66" s="491"/>
      <c r="P66" s="492"/>
      <c r="Q66" s="491"/>
      <c r="R66" s="491"/>
      <c r="S66" s="491"/>
      <c r="T66" s="491"/>
      <c r="U66" s="492"/>
      <c r="V66" s="491"/>
      <c r="W66" s="491"/>
      <c r="X66" s="491"/>
      <c r="Y66" s="491"/>
      <c r="Z66" s="492"/>
      <c r="AA66" s="491"/>
      <c r="AB66" s="491"/>
      <c r="AC66" s="491"/>
      <c r="AD66" s="491"/>
      <c r="AE66" s="492"/>
      <c r="AF66" s="490">
        <f>AF335</f>
        <v>2059</v>
      </c>
      <c r="AG66" s="497">
        <f>AG335</f>
        <v>1707</v>
      </c>
      <c r="AH66" s="490">
        <f>AH335</f>
        <v>1800</v>
      </c>
      <c r="AI66" s="490">
        <f t="shared" si="54"/>
        <v>1799</v>
      </c>
      <c r="AJ66" s="489">
        <v>7365</v>
      </c>
      <c r="AK66" s="490">
        <f>AK335</f>
        <v>2122</v>
      </c>
      <c r="AL66" s="497">
        <f>AL335</f>
        <v>1768</v>
      </c>
      <c r="AM66" s="490">
        <f>AM335</f>
        <v>1877</v>
      </c>
      <c r="AN66" s="490">
        <f>AN335</f>
        <v>1949</v>
      </c>
      <c r="AO66" s="489">
        <v>7716</v>
      </c>
      <c r="AP66" s="490">
        <f>AP335</f>
        <v>2313</v>
      </c>
      <c r="AQ66" s="497">
        <f>AQ335</f>
        <v>1584</v>
      </c>
      <c r="AR66" s="490">
        <f>AR335</f>
        <v>264</v>
      </c>
      <c r="AS66" s="490">
        <f t="shared" si="55"/>
        <v>791</v>
      </c>
      <c r="AT66" s="489">
        <v>4952</v>
      </c>
      <c r="AU66" s="490">
        <v>1163</v>
      </c>
      <c r="AV66" s="497">
        <v>911</v>
      </c>
      <c r="AW66" s="687">
        <v>1262</v>
      </c>
      <c r="AX66" s="491"/>
      <c r="AY66" s="492"/>
      <c r="AZ66" s="491"/>
      <c r="BA66" s="491"/>
      <c r="BB66" s="491"/>
      <c r="BC66" s="491"/>
      <c r="BD66" s="492"/>
      <c r="BE66" s="492"/>
      <c r="BF66" s="492"/>
      <c r="BG66" s="492"/>
      <c r="BH66" s="484"/>
    </row>
    <row r="67" spans="1:60" s="470" customFormat="1" hidden="1" outlineLevel="1" x14ac:dyDescent="0.25">
      <c r="A67" s="483" t="s">
        <v>529</v>
      </c>
      <c r="B67" s="514"/>
      <c r="C67" s="492"/>
      <c r="D67" s="492"/>
      <c r="E67" s="492"/>
      <c r="F67" s="492"/>
      <c r="G67" s="491"/>
      <c r="H67" s="491"/>
      <c r="I67" s="491"/>
      <c r="J67" s="491"/>
      <c r="K67" s="492"/>
      <c r="L67" s="491"/>
      <c r="M67" s="491"/>
      <c r="N67" s="491"/>
      <c r="O67" s="491"/>
      <c r="P67" s="492"/>
      <c r="Q67" s="491"/>
      <c r="R67" s="491"/>
      <c r="S67" s="491"/>
      <c r="T67" s="491"/>
      <c r="U67" s="492"/>
      <c r="V67" s="491"/>
      <c r="W67" s="491"/>
      <c r="X67" s="491"/>
      <c r="Y67" s="491"/>
      <c r="Z67" s="492"/>
      <c r="AA67" s="491"/>
      <c r="AB67" s="491"/>
      <c r="AC67" s="491"/>
      <c r="AD67" s="491"/>
      <c r="AE67" s="492"/>
      <c r="AF67" s="490">
        <f>AF281+AF389+AF459+AF562+AF506</f>
        <v>997</v>
      </c>
      <c r="AG67" s="497">
        <f>AG281+AG389+AG459+AG562+AG506</f>
        <v>1212</v>
      </c>
      <c r="AH67" s="490">
        <f>AH281+AH389+AH459+AH562+AH506</f>
        <v>1256</v>
      </c>
      <c r="AI67" s="490">
        <f t="shared" si="54"/>
        <v>1432</v>
      </c>
      <c r="AJ67" s="489">
        <v>4897</v>
      </c>
      <c r="AK67" s="490">
        <f>AK281+AK389+AK459+AK562+AK506</f>
        <v>1177</v>
      </c>
      <c r="AL67" s="497">
        <f>AL281+AL389+AL459+AL562+AL506</f>
        <v>1280</v>
      </c>
      <c r="AM67" s="490">
        <f>AM281+AM389+AM459+AM506</f>
        <v>1485</v>
      </c>
      <c r="AN67" s="490">
        <f>AN281+AN389+AN459+AN506</f>
        <v>1739</v>
      </c>
      <c r="AO67" s="489">
        <v>5665</v>
      </c>
      <c r="AP67" s="490">
        <f>AP281+AP389+AP459+AP562+AP506</f>
        <v>1627</v>
      </c>
      <c r="AQ67" s="497">
        <f>AQ281+AQ389+AQ459+AQ562+AQ506</f>
        <v>1708</v>
      </c>
      <c r="AR67" s="490">
        <f>AR281+AR389+AR459+AR506</f>
        <v>1567</v>
      </c>
      <c r="AS67" s="490">
        <f t="shared" si="55"/>
        <v>1541</v>
      </c>
      <c r="AT67" s="489">
        <v>6443</v>
      </c>
      <c r="AU67" s="490">
        <v>1169</v>
      </c>
      <c r="AV67" s="497">
        <v>1624</v>
      </c>
      <c r="AW67" s="687">
        <v>1230</v>
      </c>
      <c r="AX67" s="491"/>
      <c r="AY67" s="492"/>
      <c r="AZ67" s="491"/>
      <c r="BA67" s="491"/>
      <c r="BB67" s="491"/>
      <c r="BC67" s="491"/>
      <c r="BD67" s="492"/>
      <c r="BE67" s="492"/>
      <c r="BF67" s="492"/>
      <c r="BG67" s="492"/>
      <c r="BH67" s="484"/>
    </row>
    <row r="68" spans="1:60" s="470" customFormat="1" hidden="1" outlineLevel="1" x14ac:dyDescent="0.25">
      <c r="A68" s="483" t="s">
        <v>530</v>
      </c>
      <c r="B68" s="514"/>
      <c r="C68" s="492"/>
      <c r="D68" s="492"/>
      <c r="E68" s="492"/>
      <c r="F68" s="492"/>
      <c r="G68" s="491"/>
      <c r="H68" s="491"/>
      <c r="I68" s="491"/>
      <c r="J68" s="491"/>
      <c r="K68" s="492"/>
      <c r="L68" s="491"/>
      <c r="M68" s="491"/>
      <c r="N68" s="491"/>
      <c r="O68" s="491"/>
      <c r="P68" s="492"/>
      <c r="Q68" s="491"/>
      <c r="R68" s="491"/>
      <c r="S68" s="491"/>
      <c r="T68" s="491"/>
      <c r="U68" s="492"/>
      <c r="V68" s="491"/>
      <c r="W68" s="491"/>
      <c r="X68" s="491"/>
      <c r="Y68" s="491"/>
      <c r="Z68" s="492"/>
      <c r="AA68" s="491"/>
      <c r="AB68" s="491"/>
      <c r="AC68" s="491"/>
      <c r="AD68" s="491"/>
      <c r="AE68" s="492"/>
      <c r="AF68" s="490">
        <f>AF387+AF563</f>
        <v>1169</v>
      </c>
      <c r="AG68" s="497">
        <f>AG387+AG563</f>
        <v>956</v>
      </c>
      <c r="AH68" s="490">
        <f>AH387+AH563</f>
        <v>1505</v>
      </c>
      <c r="AI68" s="490">
        <f t="shared" si="54"/>
        <v>673</v>
      </c>
      <c r="AJ68" s="489">
        <v>4303</v>
      </c>
      <c r="AK68" s="490">
        <f>AK387+AK563</f>
        <v>373</v>
      </c>
      <c r="AL68" s="497">
        <f>AL387+AL563</f>
        <v>752</v>
      </c>
      <c r="AM68" s="490">
        <f>AM387+AM563</f>
        <v>2240</v>
      </c>
      <c r="AN68" s="490">
        <f>AN387+AN563</f>
        <v>1361</v>
      </c>
      <c r="AO68" s="489">
        <v>4726</v>
      </c>
      <c r="AP68" s="490">
        <f>AP387+AP563</f>
        <v>1408</v>
      </c>
      <c r="AQ68" s="497">
        <f>AQ387+AQ563</f>
        <v>603</v>
      </c>
      <c r="AR68" s="490">
        <f>AR387+AR563</f>
        <v>51</v>
      </c>
      <c r="AS68" s="490">
        <f t="shared" si="55"/>
        <v>72</v>
      </c>
      <c r="AT68" s="489">
        <v>2134</v>
      </c>
      <c r="AU68" s="490">
        <v>31</v>
      </c>
      <c r="AV68" s="497">
        <v>109</v>
      </c>
      <c r="AW68" s="687">
        <v>140</v>
      </c>
      <c r="AX68" s="491"/>
      <c r="AY68" s="492"/>
      <c r="AZ68" s="491"/>
      <c r="BA68" s="491"/>
      <c r="BB68" s="491"/>
      <c r="BC68" s="491"/>
      <c r="BD68" s="492"/>
      <c r="BE68" s="492"/>
      <c r="BF68" s="492"/>
      <c r="BG68" s="492"/>
      <c r="BH68" s="484"/>
    </row>
    <row r="69" spans="1:60" s="470" customFormat="1" hidden="1" outlineLevel="1" x14ac:dyDescent="0.25">
      <c r="A69" s="483" t="s">
        <v>531</v>
      </c>
      <c r="B69" s="514"/>
      <c r="C69" s="492"/>
      <c r="D69" s="492"/>
      <c r="E69" s="492"/>
      <c r="F69" s="492"/>
      <c r="G69" s="491"/>
      <c r="H69" s="491"/>
      <c r="I69" s="491"/>
      <c r="J69" s="491"/>
      <c r="K69" s="492"/>
      <c r="L69" s="491"/>
      <c r="M69" s="491"/>
      <c r="N69" s="491"/>
      <c r="O69" s="491"/>
      <c r="P69" s="492"/>
      <c r="Q69" s="491"/>
      <c r="R69" s="491"/>
      <c r="S69" s="491"/>
      <c r="T69" s="491"/>
      <c r="U69" s="492"/>
      <c r="V69" s="491"/>
      <c r="W69" s="491"/>
      <c r="X69" s="491"/>
      <c r="Y69" s="491"/>
      <c r="Z69" s="492"/>
      <c r="AA69" s="491"/>
      <c r="AB69" s="491"/>
      <c r="AC69" s="491"/>
      <c r="AD69" s="491"/>
      <c r="AE69" s="492"/>
      <c r="AF69" s="490">
        <f>AF337+AF390+AF460</f>
        <v>965</v>
      </c>
      <c r="AG69" s="497">
        <f>AG337+AG390+AG460</f>
        <v>783</v>
      </c>
      <c r="AH69" s="490">
        <f>AH337+AH390+AH460</f>
        <v>694</v>
      </c>
      <c r="AI69" s="490">
        <f t="shared" si="54"/>
        <v>750</v>
      </c>
      <c r="AJ69" s="489">
        <v>3192</v>
      </c>
      <c r="AK69" s="490">
        <f>AK337+AK390+AK460</f>
        <v>910</v>
      </c>
      <c r="AL69" s="497">
        <f>AL337+AL390+AL460</f>
        <v>773</v>
      </c>
      <c r="AM69" s="490">
        <f>AM337+AM390+AM460</f>
        <v>769</v>
      </c>
      <c r="AN69" s="490">
        <f>AN337+AN390+AN460</f>
        <v>925</v>
      </c>
      <c r="AO69" s="489">
        <v>3380</v>
      </c>
      <c r="AP69" s="490">
        <f>AP337+AP390+AP460</f>
        <v>1056</v>
      </c>
      <c r="AQ69" s="497">
        <f>AQ337+AQ390+AQ460</f>
        <v>716</v>
      </c>
      <c r="AR69" s="490">
        <f>AR337+AR390+AR460</f>
        <v>528</v>
      </c>
      <c r="AS69" s="490">
        <f t="shared" si="55"/>
        <v>942</v>
      </c>
      <c r="AT69" s="489">
        <v>3242</v>
      </c>
      <c r="AU69" s="490">
        <v>1095</v>
      </c>
      <c r="AV69" s="497">
        <v>796</v>
      </c>
      <c r="AW69" s="687">
        <v>790</v>
      </c>
      <c r="AX69" s="491"/>
      <c r="AY69" s="492"/>
      <c r="AZ69" s="491"/>
      <c r="BA69" s="491"/>
      <c r="BB69" s="491"/>
      <c r="BC69" s="491"/>
      <c r="BD69" s="492"/>
      <c r="BE69" s="492"/>
      <c r="BF69" s="492"/>
      <c r="BG69" s="492"/>
      <c r="BH69" s="484"/>
    </row>
    <row r="70" spans="1:60" s="470" customFormat="1" hidden="1" outlineLevel="1" x14ac:dyDescent="0.25">
      <c r="A70" s="483" t="s">
        <v>568</v>
      </c>
      <c r="B70" s="514"/>
      <c r="C70" s="492"/>
      <c r="D70" s="492"/>
      <c r="E70" s="492"/>
      <c r="F70" s="492"/>
      <c r="G70" s="491"/>
      <c r="H70" s="491"/>
      <c r="I70" s="491"/>
      <c r="J70" s="491"/>
      <c r="K70" s="492"/>
      <c r="L70" s="491"/>
      <c r="M70" s="491"/>
      <c r="N70" s="491"/>
      <c r="O70" s="491"/>
      <c r="P70" s="492"/>
      <c r="Q70" s="491"/>
      <c r="R70" s="491"/>
      <c r="S70" s="491"/>
      <c r="T70" s="491"/>
      <c r="U70" s="492"/>
      <c r="V70" s="491"/>
      <c r="W70" s="491"/>
      <c r="X70" s="491"/>
      <c r="Y70" s="491"/>
      <c r="Z70" s="492"/>
      <c r="AA70" s="491"/>
      <c r="AB70" s="491"/>
      <c r="AC70" s="491"/>
      <c r="AD70" s="491"/>
      <c r="AE70" s="492"/>
      <c r="AF70" s="491"/>
      <c r="AG70" s="491"/>
      <c r="AH70" s="491"/>
      <c r="AI70" s="490">
        <f t="shared" si="54"/>
        <v>168</v>
      </c>
      <c r="AJ70" s="489">
        <v>168</v>
      </c>
      <c r="AK70" s="491"/>
      <c r="AL70" s="491"/>
      <c r="AM70" s="491"/>
      <c r="AN70" s="490">
        <f>AN458</f>
        <v>0</v>
      </c>
      <c r="AO70" s="489">
        <v>2244</v>
      </c>
      <c r="AP70" s="490">
        <f>AP458</f>
        <v>1326</v>
      </c>
      <c r="AQ70" s="497">
        <f>AQ458</f>
        <v>1796</v>
      </c>
      <c r="AR70" s="490">
        <f>AR458</f>
        <v>2129</v>
      </c>
      <c r="AS70" s="490">
        <f t="shared" si="55"/>
        <v>2394</v>
      </c>
      <c r="AT70" s="489">
        <v>7645</v>
      </c>
      <c r="AU70" s="490">
        <v>2546</v>
      </c>
      <c r="AV70" s="497">
        <v>3000</v>
      </c>
      <c r="AW70" s="687">
        <v>3156</v>
      </c>
      <c r="AX70" s="491"/>
      <c r="AY70" s="492"/>
      <c r="AZ70" s="491"/>
      <c r="BA70" s="491"/>
      <c r="BB70" s="491"/>
      <c r="BC70" s="491"/>
      <c r="BD70" s="492"/>
      <c r="BE70" s="492"/>
      <c r="BF70" s="492"/>
      <c r="BG70" s="492"/>
      <c r="BH70" s="484"/>
    </row>
    <row r="71" spans="1:60" s="470" customFormat="1" hidden="1" outlineLevel="1" x14ac:dyDescent="0.25">
      <c r="A71" s="483" t="s">
        <v>533</v>
      </c>
      <c r="B71" s="514"/>
      <c r="C71" s="492"/>
      <c r="D71" s="492"/>
      <c r="E71" s="492"/>
      <c r="F71" s="492"/>
      <c r="G71" s="491"/>
      <c r="H71" s="491"/>
      <c r="I71" s="491"/>
      <c r="J71" s="491"/>
      <c r="K71" s="492"/>
      <c r="L71" s="491"/>
      <c r="M71" s="491"/>
      <c r="N71" s="491"/>
      <c r="O71" s="491"/>
      <c r="P71" s="492"/>
      <c r="Q71" s="491"/>
      <c r="R71" s="491"/>
      <c r="S71" s="491"/>
      <c r="T71" s="491"/>
      <c r="U71" s="492"/>
      <c r="V71" s="491"/>
      <c r="W71" s="491"/>
      <c r="X71" s="491"/>
      <c r="Y71" s="491"/>
      <c r="Z71" s="492"/>
      <c r="AA71" s="491"/>
      <c r="AB71" s="491"/>
      <c r="AC71" s="491"/>
      <c r="AD71" s="491"/>
      <c r="AE71" s="492"/>
      <c r="AF71" s="490">
        <f>AF388+AF461+AF564</f>
        <v>391</v>
      </c>
      <c r="AG71" s="497">
        <f>AG388+AG461+AG564</f>
        <v>495</v>
      </c>
      <c r="AH71" s="490">
        <f>AH388+AH461+AH564</f>
        <v>417</v>
      </c>
      <c r="AI71" s="490">
        <f t="shared" si="54"/>
        <v>447</v>
      </c>
      <c r="AJ71" s="489">
        <v>1750</v>
      </c>
      <c r="AK71" s="490">
        <f>AK388+AK461+AK564</f>
        <v>453</v>
      </c>
      <c r="AL71" s="497">
        <f>AL388+AL461+AL564</f>
        <v>294</v>
      </c>
      <c r="AM71" s="490">
        <f>AM388+AM461+AM564</f>
        <v>456</v>
      </c>
      <c r="AN71" s="490">
        <f>AN388+AN461+AN564</f>
        <v>631</v>
      </c>
      <c r="AO71" s="489">
        <v>1831</v>
      </c>
      <c r="AP71" s="490">
        <f>AP388+AP461+AP564</f>
        <v>538</v>
      </c>
      <c r="AQ71" s="497">
        <f>AQ388+AQ461+AQ564</f>
        <v>446</v>
      </c>
      <c r="AR71" s="490">
        <f>AR388+AR461+AR564</f>
        <v>416</v>
      </c>
      <c r="AS71" s="490">
        <f t="shared" si="55"/>
        <v>212</v>
      </c>
      <c r="AT71" s="489">
        <v>1612</v>
      </c>
      <c r="AU71" s="490">
        <v>300</v>
      </c>
      <c r="AV71" s="497">
        <v>219</v>
      </c>
      <c r="AW71" s="687">
        <v>236</v>
      </c>
      <c r="AX71" s="491"/>
      <c r="AY71" s="492"/>
      <c r="AZ71" s="491"/>
      <c r="BA71" s="491"/>
      <c r="BB71" s="491"/>
      <c r="BC71" s="491"/>
      <c r="BD71" s="492"/>
      <c r="BE71" s="492"/>
      <c r="BF71" s="492"/>
      <c r="BG71" s="492"/>
      <c r="BH71" s="484"/>
    </row>
    <row r="72" spans="1:60" s="470" customFormat="1" hidden="1" outlineLevel="1" x14ac:dyDescent="0.25">
      <c r="A72" s="483" t="s">
        <v>534</v>
      </c>
      <c r="B72" s="514"/>
      <c r="C72" s="492"/>
      <c r="D72" s="492"/>
      <c r="E72" s="492"/>
      <c r="F72" s="492"/>
      <c r="G72" s="491"/>
      <c r="H72" s="491"/>
      <c r="I72" s="491"/>
      <c r="J72" s="491"/>
      <c r="K72" s="492"/>
      <c r="L72" s="491"/>
      <c r="M72" s="491"/>
      <c r="N72" s="491"/>
      <c r="O72" s="491"/>
      <c r="P72" s="492"/>
      <c r="Q72" s="491"/>
      <c r="R72" s="491"/>
      <c r="S72" s="491"/>
      <c r="T72" s="491"/>
      <c r="U72" s="492"/>
      <c r="V72" s="491"/>
      <c r="W72" s="491"/>
      <c r="X72" s="491"/>
      <c r="Y72" s="491"/>
      <c r="Z72" s="492"/>
      <c r="AA72" s="491"/>
      <c r="AB72" s="491"/>
      <c r="AC72" s="491"/>
      <c r="AD72" s="491"/>
      <c r="AE72" s="492"/>
      <c r="AF72" s="490">
        <f>AF282+AF340+AF391+AF462+AF565</f>
        <v>894</v>
      </c>
      <c r="AG72" s="497">
        <f>AG282+AG340+AG391+AG462+AG565</f>
        <v>898</v>
      </c>
      <c r="AH72" s="490">
        <f>AH282+AH340+AH391+AH462+AH565</f>
        <v>873</v>
      </c>
      <c r="AI72" s="490">
        <f t="shared" si="54"/>
        <v>790</v>
      </c>
      <c r="AJ72" s="489">
        <v>3455</v>
      </c>
      <c r="AK72" s="490">
        <f>AK282+AK340+AK391+AK462+AK565</f>
        <v>964</v>
      </c>
      <c r="AL72" s="497">
        <f>AL282+AL340+AL391+AL462+AL565</f>
        <v>1079</v>
      </c>
      <c r="AM72" s="490">
        <f>AM282+AM340+AM391+AM462+AM565</f>
        <v>2040</v>
      </c>
      <c r="AN72" s="490">
        <f>AN282+AN340+AN391+AN462+AN565</f>
        <v>1930</v>
      </c>
      <c r="AO72" s="489">
        <v>3777</v>
      </c>
      <c r="AP72" s="490">
        <f>AP282+AP340+AP391+AP462+AP565</f>
        <v>1073</v>
      </c>
      <c r="AQ72" s="497">
        <f>AQ282+AQ340+AQ391+AQ462+AQ565</f>
        <v>923</v>
      </c>
      <c r="AR72" s="490">
        <f>AR282+AR340+AR391+AR462+AR565</f>
        <v>504</v>
      </c>
      <c r="AS72" s="490">
        <f t="shared" si="55"/>
        <v>636</v>
      </c>
      <c r="AT72" s="489">
        <v>3136</v>
      </c>
      <c r="AU72" s="490">
        <v>798</v>
      </c>
      <c r="AV72" s="497">
        <v>666</v>
      </c>
      <c r="AW72" s="687">
        <v>686</v>
      </c>
      <c r="AX72" s="491"/>
      <c r="AY72" s="492"/>
      <c r="AZ72" s="491"/>
      <c r="BA72" s="491"/>
      <c r="BB72" s="491"/>
      <c r="BC72" s="491"/>
      <c r="BD72" s="492"/>
      <c r="BE72" s="492"/>
      <c r="BF72" s="492"/>
      <c r="BG72" s="492"/>
      <c r="BH72" s="484"/>
    </row>
    <row r="73" spans="1:60" s="498" customFormat="1" hidden="1" outlineLevel="1" x14ac:dyDescent="0.25">
      <c r="A73" s="500" t="s">
        <v>127</v>
      </c>
      <c r="B73" s="516"/>
      <c r="C73" s="511"/>
      <c r="D73" s="511"/>
      <c r="E73" s="511"/>
      <c r="F73" s="511"/>
      <c r="G73" s="510"/>
      <c r="H73" s="510"/>
      <c r="I73" s="510"/>
      <c r="J73" s="510"/>
      <c r="K73" s="511"/>
      <c r="L73" s="510"/>
      <c r="M73" s="510"/>
      <c r="N73" s="510"/>
      <c r="O73" s="510"/>
      <c r="P73" s="511"/>
      <c r="Q73" s="510"/>
      <c r="R73" s="510"/>
      <c r="S73" s="510"/>
      <c r="T73" s="510"/>
      <c r="U73" s="511"/>
      <c r="V73" s="510"/>
      <c r="W73" s="510"/>
      <c r="X73" s="510"/>
      <c r="Y73" s="510"/>
      <c r="Z73" s="511"/>
      <c r="AA73" s="510"/>
      <c r="AB73" s="510"/>
      <c r="AC73" s="510"/>
      <c r="AD73" s="510"/>
      <c r="AE73" s="511"/>
      <c r="AF73" s="508">
        <f t="shared" ref="AF73:AT73" si="56">SUM(AF62:AF72)</f>
        <v>15351</v>
      </c>
      <c r="AG73" s="509">
        <f t="shared" si="56"/>
        <v>14545</v>
      </c>
      <c r="AH73" s="508">
        <f t="shared" si="56"/>
        <v>15229</v>
      </c>
      <c r="AI73" s="508">
        <f t="shared" si="56"/>
        <v>14309</v>
      </c>
      <c r="AJ73" s="507">
        <f t="shared" si="56"/>
        <v>59434</v>
      </c>
      <c r="AK73" s="508">
        <f t="shared" si="56"/>
        <v>15303</v>
      </c>
      <c r="AL73" s="509">
        <f t="shared" si="56"/>
        <v>14922</v>
      </c>
      <c r="AM73" s="508">
        <f t="shared" si="56"/>
        <v>20245</v>
      </c>
      <c r="AN73" s="508">
        <f t="shared" si="56"/>
        <v>19100</v>
      </c>
      <c r="AO73" s="507">
        <f t="shared" si="56"/>
        <v>69570</v>
      </c>
      <c r="AP73" s="508">
        <f t="shared" si="56"/>
        <v>20858</v>
      </c>
      <c r="AQ73" s="509">
        <f t="shared" si="56"/>
        <v>18009</v>
      </c>
      <c r="AR73" s="508">
        <f t="shared" si="56"/>
        <v>11779</v>
      </c>
      <c r="AS73" s="508">
        <f t="shared" si="56"/>
        <v>14707</v>
      </c>
      <c r="AT73" s="507">
        <f t="shared" si="56"/>
        <v>65388</v>
      </c>
      <c r="AU73" s="508">
        <f>SUM(AU62:AU72)</f>
        <v>16249</v>
      </c>
      <c r="AV73" s="509">
        <f>SUM(AV62:AV72)</f>
        <v>15613</v>
      </c>
      <c r="AW73" s="869">
        <f>SUM(AW62:AW72)</f>
        <v>17022</v>
      </c>
      <c r="AX73" s="510"/>
      <c r="AY73" s="511"/>
      <c r="AZ73" s="510"/>
      <c r="BA73" s="510"/>
      <c r="BB73" s="510"/>
      <c r="BC73" s="510"/>
      <c r="BD73" s="511"/>
      <c r="BE73" s="511"/>
      <c r="BF73" s="511"/>
      <c r="BG73" s="511"/>
      <c r="BH73" s="499"/>
    </row>
    <row r="74" spans="1:60" s="44" customFormat="1" collapsed="1" x14ac:dyDescent="0.25">
      <c r="A74" s="748"/>
      <c r="B74" s="246"/>
      <c r="C74" s="478"/>
      <c r="D74" s="478"/>
      <c r="E74" s="478"/>
      <c r="F74" s="478"/>
      <c r="G74" s="480"/>
      <c r="H74" s="480"/>
      <c r="I74" s="480"/>
      <c r="J74" s="480"/>
      <c r="K74" s="478"/>
      <c r="L74" s="480"/>
      <c r="M74" s="480"/>
      <c r="N74" s="480"/>
      <c r="O74" s="480"/>
      <c r="P74" s="478"/>
      <c r="Q74" s="480"/>
      <c r="R74" s="480"/>
      <c r="S74" s="480"/>
      <c r="T74" s="480"/>
      <c r="U74" s="478"/>
      <c r="V74" s="480"/>
      <c r="W74" s="480"/>
      <c r="X74" s="480"/>
      <c r="Y74" s="480"/>
      <c r="Z74" s="478"/>
      <c r="AA74" s="480"/>
      <c r="AB74" s="480"/>
      <c r="AC74" s="480"/>
      <c r="AD74" s="480"/>
      <c r="AE74" s="478"/>
      <c r="AF74" s="480"/>
      <c r="AG74" s="480"/>
      <c r="AH74" s="480"/>
      <c r="AI74" s="480"/>
      <c r="AJ74" s="478"/>
      <c r="AK74" s="480"/>
      <c r="AL74" s="480"/>
      <c r="AM74" s="480"/>
      <c r="AN74" s="480"/>
      <c r="AO74" s="478"/>
      <c r="AP74" s="480"/>
      <c r="AQ74" s="480"/>
      <c r="AR74" s="480"/>
      <c r="AS74" s="480"/>
      <c r="AT74" s="478"/>
      <c r="AU74" s="480"/>
      <c r="AV74" s="480"/>
      <c r="AW74" s="708"/>
      <c r="AX74" s="480"/>
      <c r="AY74" s="478"/>
      <c r="AZ74" s="480"/>
      <c r="BA74" s="480"/>
      <c r="BB74" s="480"/>
      <c r="BC74" s="480"/>
      <c r="BD74" s="478"/>
      <c r="BE74" s="478"/>
      <c r="BF74" s="478"/>
      <c r="BG74" s="478"/>
      <c r="BH74" s="473"/>
    </row>
    <row r="75" spans="1:60" s="664" customFormat="1" x14ac:dyDescent="0.25">
      <c r="A75" s="685" t="s">
        <v>734</v>
      </c>
      <c r="B75" s="512"/>
      <c r="C75" s="513"/>
      <c r="D75" s="513"/>
      <c r="E75" s="513"/>
      <c r="F75" s="513"/>
      <c r="G75" s="513"/>
      <c r="H75" s="513"/>
      <c r="I75" s="513"/>
      <c r="J75" s="513"/>
      <c r="K75" s="513"/>
      <c r="L75" s="513"/>
      <c r="M75" s="513"/>
      <c r="N75" s="513"/>
      <c r="O75" s="513"/>
      <c r="P75" s="513"/>
      <c r="Q75" s="513"/>
      <c r="R75" s="513"/>
      <c r="S75" s="513"/>
      <c r="T75" s="513"/>
      <c r="U75" s="513"/>
      <c r="V75" s="513"/>
      <c r="W75" s="513"/>
      <c r="X75" s="513"/>
      <c r="Y75" s="513"/>
      <c r="Z75" s="513"/>
      <c r="AA75" s="513"/>
      <c r="AB75" s="513"/>
      <c r="AC75" s="513"/>
      <c r="AD75" s="513"/>
      <c r="AE75" s="513"/>
      <c r="AF75" s="513"/>
      <c r="AG75" s="513"/>
      <c r="AH75" s="513"/>
      <c r="AI75" s="513"/>
      <c r="AJ75" s="513"/>
      <c r="AK75" s="513"/>
      <c r="AL75" s="513"/>
      <c r="AM75" s="513"/>
      <c r="AN75" s="513"/>
      <c r="AO75" s="513"/>
      <c r="AP75" s="513"/>
      <c r="AQ75" s="513"/>
      <c r="AR75" s="513"/>
      <c r="AS75" s="513"/>
      <c r="AT75" s="513"/>
      <c r="AU75" s="513"/>
      <c r="AV75" s="513"/>
      <c r="AW75" s="674"/>
      <c r="AX75" s="513"/>
      <c r="AY75" s="513"/>
      <c r="AZ75" s="513"/>
      <c r="BA75" s="513"/>
      <c r="BB75" s="513"/>
      <c r="BC75" s="513"/>
      <c r="BD75" s="513"/>
      <c r="BE75" s="513"/>
      <c r="BF75" s="513"/>
      <c r="BG75" s="513"/>
      <c r="BH75" s="663"/>
    </row>
    <row r="76" spans="1:60" s="470" customFormat="1" hidden="1" outlineLevel="1" x14ac:dyDescent="0.25">
      <c r="A76" s="96" t="s">
        <v>872</v>
      </c>
      <c r="B76" s="514"/>
      <c r="C76" s="492"/>
      <c r="D76" s="492"/>
      <c r="E76" s="492"/>
      <c r="F76" s="492"/>
      <c r="G76" s="491"/>
      <c r="H76" s="491"/>
      <c r="I76" s="491"/>
      <c r="J76" s="491"/>
      <c r="K76" s="492"/>
      <c r="L76" s="491"/>
      <c r="M76" s="491"/>
      <c r="N76" s="491"/>
      <c r="O76" s="491"/>
      <c r="P76" s="492"/>
      <c r="Q76" s="491"/>
      <c r="R76" s="491"/>
      <c r="S76" s="491"/>
      <c r="T76" s="491"/>
      <c r="U76" s="492"/>
      <c r="V76" s="491"/>
      <c r="W76" s="491"/>
      <c r="X76" s="491"/>
      <c r="Y76" s="491"/>
      <c r="Z76" s="492"/>
      <c r="AA76" s="491"/>
      <c r="AB76" s="491"/>
      <c r="AC76" s="491"/>
      <c r="AD76" s="491"/>
      <c r="AE76" s="492"/>
      <c r="AF76" s="491"/>
      <c r="AG76" s="491"/>
      <c r="AH76" s="491"/>
      <c r="AI76" s="491"/>
      <c r="AJ76" s="492"/>
      <c r="AK76" s="491"/>
      <c r="AL76" s="491"/>
      <c r="AM76" s="491"/>
      <c r="AN76" s="491"/>
      <c r="AO76" s="492"/>
      <c r="AP76" s="490">
        <v>3650</v>
      </c>
      <c r="AQ76" s="497">
        <v>3745</v>
      </c>
      <c r="AR76" s="491">
        <v>3646</v>
      </c>
      <c r="AS76" s="491"/>
      <c r="AT76" s="492"/>
      <c r="AU76" s="490">
        <v>3773</v>
      </c>
      <c r="AV76" s="497">
        <v>3927</v>
      </c>
      <c r="AW76" s="692">
        <v>3791</v>
      </c>
      <c r="AX76" s="491"/>
      <c r="AY76" s="492"/>
      <c r="AZ76" s="491"/>
      <c r="BA76" s="491"/>
      <c r="BB76" s="491"/>
      <c r="BC76" s="491"/>
      <c r="BD76" s="492"/>
      <c r="BE76" s="492"/>
      <c r="BF76" s="492"/>
      <c r="BG76" s="492"/>
      <c r="BH76" s="484"/>
    </row>
    <row r="77" spans="1:60" s="470" customFormat="1" hidden="1" outlineLevel="1" x14ac:dyDescent="0.25">
      <c r="A77" s="363" t="s">
        <v>873</v>
      </c>
      <c r="B77" s="573"/>
      <c r="C77" s="322"/>
      <c r="D77" s="322"/>
      <c r="E77" s="322"/>
      <c r="F77" s="322"/>
      <c r="G77" s="321"/>
      <c r="H77" s="321"/>
      <c r="I77" s="321"/>
      <c r="J77" s="321"/>
      <c r="K77" s="322"/>
      <c r="L77" s="321"/>
      <c r="M77" s="321"/>
      <c r="N77" s="321"/>
      <c r="O77" s="321"/>
      <c r="P77" s="322"/>
      <c r="Q77" s="321"/>
      <c r="R77" s="321"/>
      <c r="S77" s="321"/>
      <c r="T77" s="321"/>
      <c r="U77" s="322"/>
      <c r="V77" s="321"/>
      <c r="W77" s="321"/>
      <c r="X77" s="321"/>
      <c r="Y77" s="321"/>
      <c r="Z77" s="322"/>
      <c r="AA77" s="321"/>
      <c r="AB77" s="321"/>
      <c r="AC77" s="321"/>
      <c r="AD77" s="321"/>
      <c r="AE77" s="322"/>
      <c r="AF77" s="321"/>
      <c r="AG77" s="321"/>
      <c r="AH77" s="321"/>
      <c r="AI77" s="321"/>
      <c r="AJ77" s="322"/>
      <c r="AK77" s="321"/>
      <c r="AL77" s="321"/>
      <c r="AM77" s="321"/>
      <c r="AN77" s="321"/>
      <c r="AO77" s="322"/>
      <c r="AP77" s="319">
        <v>964</v>
      </c>
      <c r="AQ77" s="320">
        <v>970</v>
      </c>
      <c r="AR77" s="321">
        <v>849</v>
      </c>
      <c r="AS77" s="321"/>
      <c r="AT77" s="322"/>
      <c r="AU77" s="319">
        <v>867</v>
      </c>
      <c r="AV77" s="320">
        <v>888</v>
      </c>
      <c r="AW77" s="693">
        <v>852</v>
      </c>
      <c r="AX77" s="321"/>
      <c r="AY77" s="322"/>
      <c r="AZ77" s="321"/>
      <c r="BA77" s="321"/>
      <c r="BB77" s="321"/>
      <c r="BC77" s="321"/>
      <c r="BD77" s="322"/>
      <c r="BE77" s="322"/>
      <c r="BF77" s="322"/>
      <c r="BG77" s="322"/>
      <c r="BH77" s="484"/>
    </row>
    <row r="78" spans="1:60" s="498" customFormat="1" collapsed="1" x14ac:dyDescent="0.25">
      <c r="A78" s="591" t="s">
        <v>735</v>
      </c>
      <c r="B78" s="264"/>
      <c r="C78" s="506"/>
      <c r="D78" s="506"/>
      <c r="E78" s="506"/>
      <c r="F78" s="506"/>
      <c r="G78" s="505"/>
      <c r="H78" s="505"/>
      <c r="I78" s="505"/>
      <c r="J78" s="505"/>
      <c r="K78" s="506"/>
      <c r="L78" s="505"/>
      <c r="M78" s="505"/>
      <c r="N78" s="505"/>
      <c r="O78" s="505"/>
      <c r="P78" s="506"/>
      <c r="Q78" s="505"/>
      <c r="R78" s="505"/>
      <c r="S78" s="505"/>
      <c r="T78" s="505"/>
      <c r="U78" s="506"/>
      <c r="V78" s="505"/>
      <c r="W78" s="505"/>
      <c r="X78" s="505"/>
      <c r="Y78" s="505"/>
      <c r="Z78" s="506"/>
      <c r="AA78" s="505"/>
      <c r="AB78" s="505"/>
      <c r="AC78" s="505"/>
      <c r="AD78" s="505"/>
      <c r="AE78" s="506"/>
      <c r="AF78" s="505"/>
      <c r="AG78" s="505"/>
      <c r="AH78" s="505"/>
      <c r="AI78" s="505"/>
      <c r="AJ78" s="506"/>
      <c r="AK78" s="505"/>
      <c r="AL78" s="505"/>
      <c r="AM78" s="505"/>
      <c r="AN78" s="505"/>
      <c r="AO78" s="506"/>
      <c r="AP78" s="503">
        <f>SUM(AP76,AP77)</f>
        <v>4614</v>
      </c>
      <c r="AQ78" s="504">
        <f>SUM(AQ76,AQ77)</f>
        <v>4715</v>
      </c>
      <c r="AR78" s="503">
        <f>SUM(AR76,AR77)</f>
        <v>4495</v>
      </c>
      <c r="AS78" s="503">
        <v>4867</v>
      </c>
      <c r="AT78" s="502">
        <f>SUM(AP78,AQ78,AR78,AS78)</f>
        <v>18691</v>
      </c>
      <c r="AU78" s="503">
        <f>SUM(AU76,AU77)</f>
        <v>4640</v>
      </c>
      <c r="AV78" s="504">
        <f>SUM(AV76,AV77)</f>
        <v>4815</v>
      </c>
      <c r="AW78" s="689">
        <f>SUM(AW76,AW77)</f>
        <v>4643</v>
      </c>
      <c r="AX78" s="505">
        <f>AS78*(1+AX9)</f>
        <v>4964.34</v>
      </c>
      <c r="AY78" s="506">
        <f>SUM(AU78,AV78,AW78,AX78)</f>
        <v>19062.34</v>
      </c>
      <c r="AZ78" s="505">
        <f>AU78*(1+AZ9)</f>
        <v>4547.2</v>
      </c>
      <c r="BA78" s="505">
        <f>AV78*(1+BA9)</f>
        <v>4718.7</v>
      </c>
      <c r="BB78" s="505">
        <f>AW78*(1+BB9)</f>
        <v>4550.1400000000003</v>
      </c>
      <c r="BC78" s="505">
        <f>AX78*(1+BC9)</f>
        <v>4865.0532000000003</v>
      </c>
      <c r="BD78" s="506">
        <f>SUM(AZ78,BA78,BB78,BC78)</f>
        <v>18681.093200000003</v>
      </c>
      <c r="BE78" s="506">
        <f>BD78*(1+BE9)</f>
        <v>19054.715064000004</v>
      </c>
      <c r="BF78" s="506">
        <f>BE78*(1+BF9)</f>
        <v>18673.620762720002</v>
      </c>
      <c r="BG78" s="506">
        <f>BF78*(1+BG9)</f>
        <v>19047.093177974402</v>
      </c>
      <c r="BH78" s="499"/>
    </row>
    <row r="79" spans="1:60" s="470" customFormat="1" hidden="1" outlineLevel="1" x14ac:dyDescent="0.25">
      <c r="A79" s="171" t="s">
        <v>874</v>
      </c>
      <c r="B79" s="514"/>
      <c r="C79" s="492"/>
      <c r="D79" s="492"/>
      <c r="E79" s="492"/>
      <c r="F79" s="492"/>
      <c r="G79" s="491"/>
      <c r="H79" s="491"/>
      <c r="I79" s="491"/>
      <c r="J79" s="491"/>
      <c r="K79" s="492"/>
      <c r="L79" s="491"/>
      <c r="M79" s="491"/>
      <c r="N79" s="491"/>
      <c r="O79" s="491"/>
      <c r="P79" s="492"/>
      <c r="Q79" s="491"/>
      <c r="R79" s="491"/>
      <c r="S79" s="491"/>
      <c r="T79" s="491"/>
      <c r="U79" s="492"/>
      <c r="V79" s="491"/>
      <c r="W79" s="491"/>
      <c r="X79" s="491"/>
      <c r="Y79" s="491"/>
      <c r="Z79" s="492"/>
      <c r="AA79" s="491"/>
      <c r="AB79" s="491"/>
      <c r="AC79" s="491"/>
      <c r="AD79" s="491"/>
      <c r="AE79" s="492"/>
      <c r="AF79" s="491"/>
      <c r="AG79" s="491"/>
      <c r="AH79" s="491"/>
      <c r="AI79" s="491"/>
      <c r="AJ79" s="492"/>
      <c r="AK79" s="491"/>
      <c r="AL79" s="491"/>
      <c r="AM79" s="491"/>
      <c r="AN79" s="491"/>
      <c r="AO79" s="492"/>
      <c r="AP79" s="490">
        <v>1309</v>
      </c>
      <c r="AQ79" s="497">
        <v>918</v>
      </c>
      <c r="AR79" s="491">
        <v>462</v>
      </c>
      <c r="AS79" s="491"/>
      <c r="AT79" s="492"/>
      <c r="AU79" s="490">
        <v>1217</v>
      </c>
      <c r="AV79" s="497">
        <v>711</v>
      </c>
      <c r="AW79" s="692">
        <v>831</v>
      </c>
      <c r="AX79" s="491"/>
      <c r="AY79" s="492"/>
      <c r="AZ79" s="491"/>
      <c r="BA79" s="491"/>
      <c r="BB79" s="491"/>
      <c r="BC79" s="491"/>
      <c r="BD79" s="492"/>
      <c r="BE79" s="492"/>
      <c r="BF79" s="492"/>
      <c r="BG79" s="492"/>
      <c r="BH79" s="484"/>
    </row>
    <row r="80" spans="1:60" s="470" customFormat="1" hidden="1" outlineLevel="1" x14ac:dyDescent="0.25">
      <c r="A80" s="171" t="s">
        <v>875</v>
      </c>
      <c r="B80" s="514"/>
      <c r="C80" s="492"/>
      <c r="D80" s="492"/>
      <c r="E80" s="492"/>
      <c r="F80" s="492"/>
      <c r="G80" s="491"/>
      <c r="H80" s="491"/>
      <c r="I80" s="491"/>
      <c r="J80" s="491"/>
      <c r="K80" s="492"/>
      <c r="L80" s="491"/>
      <c r="M80" s="491"/>
      <c r="N80" s="491"/>
      <c r="O80" s="491"/>
      <c r="P80" s="492"/>
      <c r="Q80" s="491"/>
      <c r="R80" s="491"/>
      <c r="S80" s="491"/>
      <c r="T80" s="491"/>
      <c r="U80" s="492"/>
      <c r="V80" s="491"/>
      <c r="W80" s="491"/>
      <c r="X80" s="491"/>
      <c r="Y80" s="491"/>
      <c r="Z80" s="492"/>
      <c r="AA80" s="491"/>
      <c r="AB80" s="491"/>
      <c r="AC80" s="491"/>
      <c r="AD80" s="491"/>
      <c r="AE80" s="492"/>
      <c r="AF80" s="491"/>
      <c r="AG80" s="491"/>
      <c r="AH80" s="491"/>
      <c r="AI80" s="491"/>
      <c r="AJ80" s="492"/>
      <c r="AK80" s="491"/>
      <c r="AL80" s="491"/>
      <c r="AM80" s="491"/>
      <c r="AN80" s="491"/>
      <c r="AO80" s="492"/>
      <c r="AP80" s="490">
        <v>941</v>
      </c>
      <c r="AQ80" s="497">
        <v>911</v>
      </c>
      <c r="AR80" s="491">
        <v>720</v>
      </c>
      <c r="AS80" s="491"/>
      <c r="AT80" s="492"/>
      <c r="AU80" s="490">
        <v>984</v>
      </c>
      <c r="AV80" s="497">
        <v>722</v>
      </c>
      <c r="AW80" s="692">
        <v>877</v>
      </c>
      <c r="AX80" s="491"/>
      <c r="AY80" s="492"/>
      <c r="AZ80" s="491"/>
      <c r="BA80" s="491"/>
      <c r="BB80" s="491"/>
      <c r="BC80" s="491"/>
      <c r="BD80" s="492"/>
      <c r="BE80" s="492"/>
      <c r="BF80" s="492"/>
      <c r="BG80" s="492"/>
      <c r="BH80" s="484"/>
    </row>
    <row r="81" spans="1:60" s="470" customFormat="1" hidden="1" outlineLevel="1" x14ac:dyDescent="0.25">
      <c r="A81" s="849" t="s">
        <v>876</v>
      </c>
      <c r="B81" s="758"/>
      <c r="C81" s="582"/>
      <c r="D81" s="582"/>
      <c r="E81" s="582"/>
      <c r="F81" s="582"/>
      <c r="G81" s="581"/>
      <c r="H81" s="581"/>
      <c r="I81" s="581"/>
      <c r="J81" s="581"/>
      <c r="K81" s="582"/>
      <c r="L81" s="581"/>
      <c r="M81" s="581"/>
      <c r="N81" s="581"/>
      <c r="O81" s="581"/>
      <c r="P81" s="582"/>
      <c r="Q81" s="581"/>
      <c r="R81" s="581"/>
      <c r="S81" s="581"/>
      <c r="T81" s="581"/>
      <c r="U81" s="582"/>
      <c r="V81" s="581"/>
      <c r="W81" s="581"/>
      <c r="X81" s="581"/>
      <c r="Y81" s="581"/>
      <c r="Z81" s="582"/>
      <c r="AA81" s="581"/>
      <c r="AB81" s="581"/>
      <c r="AC81" s="581"/>
      <c r="AD81" s="581"/>
      <c r="AE81" s="582"/>
      <c r="AF81" s="581"/>
      <c r="AG81" s="581"/>
      <c r="AH81" s="581"/>
      <c r="AI81" s="581"/>
      <c r="AJ81" s="582"/>
      <c r="AK81" s="581"/>
      <c r="AL81" s="581"/>
      <c r="AM81" s="581"/>
      <c r="AN81" s="581"/>
      <c r="AO81" s="582"/>
      <c r="AP81" s="580">
        <f>SUM(AP79,AP80)</f>
        <v>2250</v>
      </c>
      <c r="AQ81" s="580">
        <f>SUM(AQ79,AQ80)</f>
        <v>1829</v>
      </c>
      <c r="AR81" s="581">
        <f>SUM(AR79,AR80)</f>
        <v>1182</v>
      </c>
      <c r="AS81" s="581"/>
      <c r="AT81" s="582"/>
      <c r="AU81" s="579">
        <f>SUM(AU79,AU80)</f>
        <v>2201</v>
      </c>
      <c r="AV81" s="580">
        <f>SUM(AV79,AV80)</f>
        <v>1433</v>
      </c>
      <c r="AW81" s="759">
        <f>SUM(AW79,AW80)</f>
        <v>1708</v>
      </c>
      <c r="AX81" s="581"/>
      <c r="AY81" s="582"/>
      <c r="AZ81" s="581"/>
      <c r="BA81" s="581"/>
      <c r="BB81" s="581"/>
      <c r="BC81" s="581"/>
      <c r="BD81" s="582"/>
      <c r="BE81" s="582"/>
      <c r="BF81" s="582"/>
      <c r="BG81" s="582"/>
      <c r="BH81" s="484"/>
    </row>
    <row r="82" spans="1:60" s="470" customFormat="1" hidden="1" outlineLevel="1" x14ac:dyDescent="0.25">
      <c r="A82" s="363" t="s">
        <v>877</v>
      </c>
      <c r="B82" s="573"/>
      <c r="C82" s="322"/>
      <c r="D82" s="322"/>
      <c r="E82" s="322"/>
      <c r="F82" s="322"/>
      <c r="G82" s="321"/>
      <c r="H82" s="321"/>
      <c r="I82" s="321"/>
      <c r="J82" s="321"/>
      <c r="K82" s="322"/>
      <c r="L82" s="321"/>
      <c r="M82" s="321"/>
      <c r="N82" s="321"/>
      <c r="O82" s="321"/>
      <c r="P82" s="322"/>
      <c r="Q82" s="321"/>
      <c r="R82" s="321"/>
      <c r="S82" s="321"/>
      <c r="T82" s="321"/>
      <c r="U82" s="322"/>
      <c r="V82" s="321"/>
      <c r="W82" s="321"/>
      <c r="X82" s="321"/>
      <c r="Y82" s="321"/>
      <c r="Z82" s="322"/>
      <c r="AA82" s="321"/>
      <c r="AB82" s="321"/>
      <c r="AC82" s="321"/>
      <c r="AD82" s="321"/>
      <c r="AE82" s="322"/>
      <c r="AF82" s="321"/>
      <c r="AG82" s="321"/>
      <c r="AH82" s="321"/>
      <c r="AI82" s="321"/>
      <c r="AJ82" s="322"/>
      <c r="AK82" s="321"/>
      <c r="AL82" s="321"/>
      <c r="AM82" s="321"/>
      <c r="AN82" s="321"/>
      <c r="AO82" s="322"/>
      <c r="AP82" s="319">
        <v>481</v>
      </c>
      <c r="AQ82" s="320">
        <v>342</v>
      </c>
      <c r="AR82" s="321">
        <v>153</v>
      </c>
      <c r="AS82" s="321"/>
      <c r="AT82" s="322"/>
      <c r="AU82" s="319">
        <v>634</v>
      </c>
      <c r="AV82" s="320">
        <v>382</v>
      </c>
      <c r="AW82" s="693">
        <v>492</v>
      </c>
      <c r="AX82" s="321"/>
      <c r="AY82" s="322"/>
      <c r="AZ82" s="321"/>
      <c r="BA82" s="321"/>
      <c r="BB82" s="321"/>
      <c r="BC82" s="321"/>
      <c r="BD82" s="322"/>
      <c r="BE82" s="322"/>
      <c r="BF82" s="322"/>
      <c r="BG82" s="322"/>
      <c r="BH82" s="484"/>
    </row>
    <row r="83" spans="1:60" s="498" customFormat="1" collapsed="1" x14ac:dyDescent="0.25">
      <c r="A83" s="591" t="s">
        <v>736</v>
      </c>
      <c r="B83" s="264"/>
      <c r="C83" s="506"/>
      <c r="D83" s="506"/>
      <c r="E83" s="506"/>
      <c r="F83" s="506"/>
      <c r="G83" s="505"/>
      <c r="H83" s="505"/>
      <c r="I83" s="505"/>
      <c r="J83" s="505"/>
      <c r="K83" s="506"/>
      <c r="L83" s="505"/>
      <c r="M83" s="505"/>
      <c r="N83" s="505"/>
      <c r="O83" s="505"/>
      <c r="P83" s="506"/>
      <c r="Q83" s="505"/>
      <c r="R83" s="505"/>
      <c r="S83" s="505"/>
      <c r="T83" s="505"/>
      <c r="U83" s="506"/>
      <c r="V83" s="505"/>
      <c r="W83" s="505"/>
      <c r="X83" s="505"/>
      <c r="Y83" s="505"/>
      <c r="Z83" s="506"/>
      <c r="AA83" s="505"/>
      <c r="AB83" s="505"/>
      <c r="AC83" s="505"/>
      <c r="AD83" s="505"/>
      <c r="AE83" s="506"/>
      <c r="AF83" s="505"/>
      <c r="AG83" s="505"/>
      <c r="AH83" s="505"/>
      <c r="AI83" s="505"/>
      <c r="AJ83" s="506"/>
      <c r="AK83" s="505"/>
      <c r="AL83" s="505"/>
      <c r="AM83" s="505"/>
      <c r="AN83" s="505"/>
      <c r="AO83" s="506"/>
      <c r="AP83" s="504">
        <f>SUM(AP81,AP82)</f>
        <v>2731</v>
      </c>
      <c r="AQ83" s="504">
        <f>SUM(AQ81,AQ82)</f>
        <v>2171</v>
      </c>
      <c r="AR83" s="503">
        <f>SUM(AR81,AR82)</f>
        <v>1335</v>
      </c>
      <c r="AS83" s="503">
        <v>2015</v>
      </c>
      <c r="AT83" s="502">
        <f>SUM(AP83,AQ83,AR83,AS83)</f>
        <v>8252</v>
      </c>
      <c r="AU83" s="503">
        <f>SUM(AU81,AU82)</f>
        <v>2835</v>
      </c>
      <c r="AV83" s="504">
        <f>SUM(AV81,AV82)</f>
        <v>1815</v>
      </c>
      <c r="AW83" s="689">
        <f>SUM(AW81,AW82)</f>
        <v>2200</v>
      </c>
      <c r="AX83" s="505">
        <f>AS83*(1+AX14)</f>
        <v>2055.3000000000002</v>
      </c>
      <c r="AY83" s="506">
        <f>SUM(AU83,AV83,AW83,AX83)</f>
        <v>8905.2999999999993</v>
      </c>
      <c r="AZ83" s="505">
        <f>AU83*(1+AZ14)</f>
        <v>2778.2999999999997</v>
      </c>
      <c r="BA83" s="505">
        <f>AV83*(1+BA14)</f>
        <v>1778.7</v>
      </c>
      <c r="BB83" s="505">
        <f>AW83*(1+BB14)</f>
        <v>2156</v>
      </c>
      <c r="BC83" s="505">
        <f>AX83*(1+BC14)</f>
        <v>2014.1940000000002</v>
      </c>
      <c r="BD83" s="506">
        <f>SUM(AZ83,BA83,BB83,BC83)</f>
        <v>8727.1939999999995</v>
      </c>
      <c r="BE83" s="506">
        <f>BD83*(1+BE14)</f>
        <v>8901.7378799999988</v>
      </c>
      <c r="BF83" s="506">
        <f>BE83*(1+BF14)</f>
        <v>9079.7726375999991</v>
      </c>
      <c r="BG83" s="506">
        <f>BF83*(1+BG14)</f>
        <v>9261.3680903519999</v>
      </c>
      <c r="BH83" s="499"/>
    </row>
    <row r="84" spans="1:60" s="498" customFormat="1" x14ac:dyDescent="0.25">
      <c r="A84" s="857" t="s">
        <v>737</v>
      </c>
      <c r="B84" s="858"/>
      <c r="C84" s="859"/>
      <c r="D84" s="859"/>
      <c r="E84" s="859"/>
      <c r="F84" s="859"/>
      <c r="G84" s="860"/>
      <c r="H84" s="860"/>
      <c r="I84" s="860"/>
      <c r="J84" s="860"/>
      <c r="K84" s="859"/>
      <c r="L84" s="860"/>
      <c r="M84" s="860"/>
      <c r="N84" s="860"/>
      <c r="O84" s="860"/>
      <c r="P84" s="859"/>
      <c r="Q84" s="860"/>
      <c r="R84" s="860"/>
      <c r="S84" s="860"/>
      <c r="T84" s="860"/>
      <c r="U84" s="859"/>
      <c r="V84" s="860"/>
      <c r="W84" s="860"/>
      <c r="X84" s="860"/>
      <c r="Y84" s="860"/>
      <c r="Z84" s="859"/>
      <c r="AA84" s="860"/>
      <c r="AB84" s="860"/>
      <c r="AC84" s="860"/>
      <c r="AD84" s="860"/>
      <c r="AE84" s="859"/>
      <c r="AF84" s="860"/>
      <c r="AG84" s="860"/>
      <c r="AH84" s="860"/>
      <c r="AI84" s="860"/>
      <c r="AJ84" s="859"/>
      <c r="AK84" s="860"/>
      <c r="AL84" s="860"/>
      <c r="AM84" s="860"/>
      <c r="AN84" s="860"/>
      <c r="AO84" s="859"/>
      <c r="AP84" s="913">
        <v>191</v>
      </c>
      <c r="AQ84" s="914">
        <v>139</v>
      </c>
      <c r="AR84" s="913">
        <v>180</v>
      </c>
      <c r="AS84" s="913">
        <v>130</v>
      </c>
      <c r="AT84" s="861">
        <f>SUM(AP84,AQ84,AR84,AS84)</f>
        <v>640</v>
      </c>
      <c r="AU84" s="913">
        <v>218</v>
      </c>
      <c r="AV84" s="914">
        <v>116</v>
      </c>
      <c r="AW84" s="944">
        <v>113</v>
      </c>
      <c r="AX84" s="862">
        <v>160</v>
      </c>
      <c r="AY84" s="859">
        <f>SUM(AU84,AV84,AW84,AX84)</f>
        <v>607</v>
      </c>
      <c r="AZ84" s="862">
        <v>160</v>
      </c>
      <c r="BA84" s="862">
        <v>160</v>
      </c>
      <c r="BB84" s="862">
        <v>160</v>
      </c>
      <c r="BC84" s="862">
        <v>160</v>
      </c>
      <c r="BD84" s="859">
        <f>SUM(AZ84,BA84,BB84,BC84)</f>
        <v>640</v>
      </c>
      <c r="BE84" s="863">
        <v>640</v>
      </c>
      <c r="BF84" s="863">
        <v>640</v>
      </c>
      <c r="BG84" s="863">
        <v>640</v>
      </c>
      <c r="BH84" s="499"/>
    </row>
    <row r="85" spans="1:60" s="498" customFormat="1" x14ac:dyDescent="0.25">
      <c r="A85" s="501" t="s">
        <v>738</v>
      </c>
      <c r="B85" s="264"/>
      <c r="C85" s="506"/>
      <c r="D85" s="506"/>
      <c r="E85" s="506"/>
      <c r="F85" s="506"/>
      <c r="G85" s="505"/>
      <c r="H85" s="505"/>
      <c r="I85" s="505"/>
      <c r="J85" s="505"/>
      <c r="K85" s="506"/>
      <c r="L85" s="505"/>
      <c r="M85" s="505"/>
      <c r="N85" s="505"/>
      <c r="O85" s="505"/>
      <c r="P85" s="506"/>
      <c r="Q85" s="505"/>
      <c r="R85" s="505"/>
      <c r="S85" s="505"/>
      <c r="T85" s="505"/>
      <c r="U85" s="506"/>
      <c r="V85" s="505"/>
      <c r="W85" s="505"/>
      <c r="X85" s="505"/>
      <c r="Y85" s="505"/>
      <c r="Z85" s="506"/>
      <c r="AA85" s="505"/>
      <c r="AB85" s="505"/>
      <c r="AC85" s="505"/>
      <c r="AD85" s="505"/>
      <c r="AE85" s="506"/>
      <c r="AF85" s="505"/>
      <c r="AG85" s="505"/>
      <c r="AH85" s="505"/>
      <c r="AI85" s="505"/>
      <c r="AJ85" s="506"/>
      <c r="AK85" s="505"/>
      <c r="AL85" s="505"/>
      <c r="AM85" s="505"/>
      <c r="AN85" s="505"/>
      <c r="AO85" s="506"/>
      <c r="AP85" s="503">
        <f>AP78+AP83+AP84</f>
        <v>7536</v>
      </c>
      <c r="AQ85" s="504">
        <f>AQ78+AQ83+AQ84</f>
        <v>7025</v>
      </c>
      <c r="AR85" s="503">
        <f>AR78+AR83+AR84</f>
        <v>6010</v>
      </c>
      <c r="AS85" s="503">
        <f>SUM(AS78:AS84)</f>
        <v>7012</v>
      </c>
      <c r="AT85" s="502">
        <f>SUM(AT78:AT84)</f>
        <v>27583</v>
      </c>
      <c r="AU85" s="503">
        <f>AU78+AU83+AU84</f>
        <v>7693</v>
      </c>
      <c r="AV85" s="504">
        <f>AV78+AV83+AV84</f>
        <v>6746</v>
      </c>
      <c r="AW85" s="689">
        <f>AW78+AW83+AW84</f>
        <v>6956</v>
      </c>
      <c r="AX85" s="505">
        <f t="shared" ref="AX85:BG85" si="57">SUM(AX78:AX84)</f>
        <v>7179.64</v>
      </c>
      <c r="AY85" s="506">
        <f t="shared" si="57"/>
        <v>28574.639999999999</v>
      </c>
      <c r="AZ85" s="505">
        <f t="shared" si="57"/>
        <v>7485.5</v>
      </c>
      <c r="BA85" s="505">
        <f t="shared" si="57"/>
        <v>6657.4</v>
      </c>
      <c r="BB85" s="505">
        <f t="shared" si="57"/>
        <v>6866.14</v>
      </c>
      <c r="BC85" s="505">
        <f t="shared" si="57"/>
        <v>7039.2472000000007</v>
      </c>
      <c r="BD85" s="506">
        <f t="shared" si="57"/>
        <v>28048.287200000002</v>
      </c>
      <c r="BE85" s="506">
        <f t="shared" si="57"/>
        <v>28596.452944000004</v>
      </c>
      <c r="BF85" s="506">
        <f t="shared" si="57"/>
        <v>28393.393400320001</v>
      </c>
      <c r="BG85" s="506">
        <f t="shared" si="57"/>
        <v>28948.461268326402</v>
      </c>
      <c r="BH85" s="499"/>
    </row>
    <row r="86" spans="1:60" s="470" customFormat="1" x14ac:dyDescent="0.25">
      <c r="A86" s="483" t="s">
        <v>739</v>
      </c>
      <c r="B86" s="514"/>
      <c r="C86" s="492"/>
      <c r="D86" s="492"/>
      <c r="E86" s="492"/>
      <c r="F86" s="492"/>
      <c r="G86" s="491"/>
      <c r="H86" s="491"/>
      <c r="I86" s="491"/>
      <c r="J86" s="491"/>
      <c r="K86" s="492"/>
      <c r="L86" s="491"/>
      <c r="M86" s="491"/>
      <c r="N86" s="491"/>
      <c r="O86" s="491"/>
      <c r="P86" s="492"/>
      <c r="Q86" s="491"/>
      <c r="R86" s="491"/>
      <c r="S86" s="491"/>
      <c r="T86" s="491"/>
      <c r="U86" s="492"/>
      <c r="V86" s="491"/>
      <c r="W86" s="491"/>
      <c r="X86" s="491"/>
      <c r="Y86" s="491"/>
      <c r="Z86" s="492"/>
      <c r="AA86" s="491"/>
      <c r="AB86" s="491"/>
      <c r="AC86" s="491"/>
      <c r="AD86" s="491"/>
      <c r="AE86" s="492"/>
      <c r="AF86" s="491"/>
      <c r="AG86" s="491"/>
      <c r="AH86" s="491"/>
      <c r="AI86" s="491"/>
      <c r="AJ86" s="492"/>
      <c r="AK86" s="491"/>
      <c r="AL86" s="491"/>
      <c r="AM86" s="491"/>
      <c r="AN86" s="491"/>
      <c r="AO86" s="492"/>
      <c r="AP86" s="490">
        <v>4958</v>
      </c>
      <c r="AQ86" s="497">
        <v>3776</v>
      </c>
      <c r="AR86" s="490">
        <v>2091</v>
      </c>
      <c r="AS86" s="490">
        <v>4484</v>
      </c>
      <c r="AT86" s="489">
        <f>SUM(AP86,AQ86,AR86,AS86)</f>
        <v>15309</v>
      </c>
      <c r="AU86" s="490">
        <v>5421</v>
      </c>
      <c r="AV86" s="497">
        <v>3191</v>
      </c>
      <c r="AW86" s="687">
        <v>4091</v>
      </c>
      <c r="AX86" s="491">
        <f>AX85*AX92</f>
        <v>4953.9515999999994</v>
      </c>
      <c r="AY86" s="492">
        <f>SUM(AU86,AV86,AW86,AX86)</f>
        <v>17656.9516</v>
      </c>
      <c r="AZ86" s="491">
        <f>AZ85*AZ92</f>
        <v>4491.3</v>
      </c>
      <c r="BA86" s="491">
        <f>BA85*BA92</f>
        <v>4660.1799999999994</v>
      </c>
      <c r="BB86" s="491">
        <f>BB85*BB92</f>
        <v>4668.9752000000008</v>
      </c>
      <c r="BC86" s="491">
        <f>BC85*BC92</f>
        <v>4857.0805680000003</v>
      </c>
      <c r="BD86" s="492">
        <f>SUM(AZ86,BA86,BB86,BC86)</f>
        <v>18677.535768000002</v>
      </c>
      <c r="BE86" s="492">
        <f>BE85*BE92</f>
        <v>18301.729884160002</v>
      </c>
      <c r="BF86" s="492">
        <f>BF85*BF92</f>
        <v>18455.705710208</v>
      </c>
      <c r="BG86" s="492">
        <f>BG85*BG92</f>
        <v>18816.499824412163</v>
      </c>
      <c r="BH86" s="484"/>
    </row>
    <row r="87" spans="1:60" s="470" customFormat="1" x14ac:dyDescent="0.25">
      <c r="A87" s="483" t="s">
        <v>741</v>
      </c>
      <c r="B87" s="514"/>
      <c r="C87" s="492"/>
      <c r="D87" s="492"/>
      <c r="E87" s="492"/>
      <c r="F87" s="492"/>
      <c r="G87" s="491"/>
      <c r="H87" s="491"/>
      <c r="I87" s="491"/>
      <c r="J87" s="491"/>
      <c r="K87" s="492"/>
      <c r="L87" s="491"/>
      <c r="M87" s="491"/>
      <c r="N87" s="491"/>
      <c r="O87" s="491"/>
      <c r="P87" s="492"/>
      <c r="Q87" s="491"/>
      <c r="R87" s="491"/>
      <c r="S87" s="491"/>
      <c r="T87" s="491"/>
      <c r="U87" s="492"/>
      <c r="V87" s="491"/>
      <c r="W87" s="491"/>
      <c r="X87" s="491"/>
      <c r="Y87" s="491"/>
      <c r="Z87" s="492"/>
      <c r="AA87" s="491"/>
      <c r="AB87" s="491"/>
      <c r="AC87" s="491"/>
      <c r="AD87" s="491"/>
      <c r="AE87" s="492"/>
      <c r="AF87" s="491"/>
      <c r="AG87" s="491"/>
      <c r="AH87" s="491"/>
      <c r="AI87" s="491"/>
      <c r="AJ87" s="492"/>
      <c r="AK87" s="491"/>
      <c r="AL87" s="491"/>
      <c r="AM87" s="491"/>
      <c r="AN87" s="491"/>
      <c r="AO87" s="492"/>
      <c r="AP87" s="490">
        <v>918</v>
      </c>
      <c r="AQ87" s="497">
        <v>888</v>
      </c>
      <c r="AR87" s="490">
        <v>776</v>
      </c>
      <c r="AS87" s="490">
        <v>748</v>
      </c>
      <c r="AT87" s="489">
        <f>SUM(AP87,AQ87,AR87,AS87)</f>
        <v>3330</v>
      </c>
      <c r="AU87" s="490">
        <v>724</v>
      </c>
      <c r="AV87" s="497">
        <v>890</v>
      </c>
      <c r="AW87" s="687">
        <v>851</v>
      </c>
      <c r="AX87" s="491">
        <f>AX85*AX93</f>
        <v>861.55679999999995</v>
      </c>
      <c r="AY87" s="492">
        <f>SUM(AU87,AV87,AW87,AX87)</f>
        <v>3326.5567999999998</v>
      </c>
      <c r="AZ87" s="491">
        <f>AZ85*AZ93</f>
        <v>823.40499999999997</v>
      </c>
      <c r="BA87" s="491">
        <f>BA85*BA93</f>
        <v>732.31399999999996</v>
      </c>
      <c r="BB87" s="491">
        <f>BB85*BB93</f>
        <v>755.27539999999999</v>
      </c>
      <c r="BC87" s="491">
        <f>BC85*BC93</f>
        <v>774.31719200000009</v>
      </c>
      <c r="BD87" s="492">
        <f>SUM(AZ87,BA87,BB87,BC87)</f>
        <v>3085.311592</v>
      </c>
      <c r="BE87" s="492">
        <f>BE85*BE93</f>
        <v>3145.6098238400004</v>
      </c>
      <c r="BF87" s="492">
        <f>BF85*BF93</f>
        <v>3123.2732740352003</v>
      </c>
      <c r="BG87" s="492">
        <f>BG85*BG93</f>
        <v>3184.330739515904</v>
      </c>
      <c r="BH87" s="484"/>
    </row>
    <row r="88" spans="1:60" s="470" customFormat="1" x14ac:dyDescent="0.25">
      <c r="A88" s="483" t="s">
        <v>740</v>
      </c>
      <c r="B88" s="514"/>
      <c r="C88" s="492"/>
      <c r="D88" s="492"/>
      <c r="E88" s="492"/>
      <c r="F88" s="492"/>
      <c r="G88" s="491"/>
      <c r="H88" s="491"/>
      <c r="I88" s="491"/>
      <c r="J88" s="491"/>
      <c r="K88" s="492"/>
      <c r="L88" s="491"/>
      <c r="M88" s="491"/>
      <c r="N88" s="491"/>
      <c r="O88" s="491"/>
      <c r="P88" s="492"/>
      <c r="Q88" s="491"/>
      <c r="R88" s="491"/>
      <c r="S88" s="491"/>
      <c r="T88" s="491"/>
      <c r="U88" s="492"/>
      <c r="V88" s="491"/>
      <c r="W88" s="491"/>
      <c r="X88" s="491"/>
      <c r="Y88" s="491"/>
      <c r="Z88" s="492"/>
      <c r="AA88" s="491"/>
      <c r="AB88" s="491"/>
      <c r="AC88" s="491"/>
      <c r="AD88" s="491"/>
      <c r="AE88" s="492"/>
      <c r="AF88" s="491"/>
      <c r="AG88" s="491"/>
      <c r="AH88" s="491"/>
      <c r="AI88" s="491"/>
      <c r="AJ88" s="492"/>
      <c r="AK88" s="491"/>
      <c r="AL88" s="491"/>
      <c r="AM88" s="491"/>
      <c r="AN88" s="491"/>
      <c r="AO88" s="492"/>
      <c r="AP88" s="490">
        <v>66</v>
      </c>
      <c r="AQ88" s="497">
        <v>57</v>
      </c>
      <c r="AR88" s="490">
        <v>74</v>
      </c>
      <c r="AS88" s="490">
        <v>65</v>
      </c>
      <c r="AT88" s="489">
        <f>SUM(AP88,AQ88,AR88,AS88)</f>
        <v>262</v>
      </c>
      <c r="AU88" s="490">
        <v>53</v>
      </c>
      <c r="AV88" s="497">
        <v>36</v>
      </c>
      <c r="AW88" s="687">
        <v>42</v>
      </c>
      <c r="AX88" s="496">
        <v>65</v>
      </c>
      <c r="AY88" s="492">
        <f>SUM(AU88,AV88,AW88,AX88)</f>
        <v>196</v>
      </c>
      <c r="AZ88" s="496">
        <v>65</v>
      </c>
      <c r="BA88" s="496">
        <v>65</v>
      </c>
      <c r="BB88" s="496">
        <v>65</v>
      </c>
      <c r="BC88" s="496">
        <v>65</v>
      </c>
      <c r="BD88" s="492">
        <f>SUM(AZ88,BA88,BB88,BC88)</f>
        <v>260</v>
      </c>
      <c r="BE88" s="361">
        <v>260</v>
      </c>
      <c r="BF88" s="361">
        <v>260</v>
      </c>
      <c r="BG88" s="361">
        <v>260</v>
      </c>
      <c r="BH88" s="484"/>
    </row>
    <row r="89" spans="1:60" s="470" customFormat="1" x14ac:dyDescent="0.25">
      <c r="A89" s="218" t="s">
        <v>742</v>
      </c>
      <c r="B89" s="573"/>
      <c r="C89" s="322"/>
      <c r="D89" s="322"/>
      <c r="E89" s="322"/>
      <c r="F89" s="322"/>
      <c r="G89" s="321"/>
      <c r="H89" s="321"/>
      <c r="I89" s="321"/>
      <c r="J89" s="321"/>
      <c r="K89" s="322"/>
      <c r="L89" s="321"/>
      <c r="M89" s="321"/>
      <c r="N89" s="321"/>
      <c r="O89" s="321"/>
      <c r="P89" s="322"/>
      <c r="Q89" s="321"/>
      <c r="R89" s="321"/>
      <c r="S89" s="321"/>
      <c r="T89" s="321"/>
      <c r="U89" s="322"/>
      <c r="V89" s="321"/>
      <c r="W89" s="321"/>
      <c r="X89" s="321"/>
      <c r="Y89" s="321"/>
      <c r="Z89" s="322"/>
      <c r="AA89" s="321"/>
      <c r="AB89" s="321"/>
      <c r="AC89" s="321"/>
      <c r="AD89" s="321"/>
      <c r="AE89" s="322"/>
      <c r="AF89" s="321"/>
      <c r="AG89" s="321"/>
      <c r="AH89" s="321"/>
      <c r="AI89" s="321"/>
      <c r="AJ89" s="322"/>
      <c r="AK89" s="321"/>
      <c r="AL89" s="321"/>
      <c r="AM89" s="321"/>
      <c r="AN89" s="321"/>
      <c r="AO89" s="322"/>
      <c r="AP89" s="319">
        <v>-214</v>
      </c>
      <c r="AQ89" s="320">
        <v>-177</v>
      </c>
      <c r="AR89" s="319">
        <v>-216</v>
      </c>
      <c r="AS89" s="319">
        <v>-124</v>
      </c>
      <c r="AT89" s="318">
        <f>SUM(AP89,AQ89,AR89,AS89)</f>
        <v>-731</v>
      </c>
      <c r="AU89" s="319">
        <v>-234</v>
      </c>
      <c r="AV89" s="320">
        <v>-220</v>
      </c>
      <c r="AW89" s="688">
        <v>-215</v>
      </c>
      <c r="AX89" s="360">
        <v>-200</v>
      </c>
      <c r="AY89" s="322">
        <f>SUM(AU89,AV89,AW89,AX89)</f>
        <v>-869</v>
      </c>
      <c r="AZ89" s="360">
        <v>-200</v>
      </c>
      <c r="BA89" s="360">
        <v>-200</v>
      </c>
      <c r="BB89" s="360">
        <v>-200</v>
      </c>
      <c r="BC89" s="360">
        <v>-200</v>
      </c>
      <c r="BD89" s="322">
        <f>SUM(AZ89,BA89,BB89,BC89)</f>
        <v>-800</v>
      </c>
      <c r="BE89" s="362">
        <v>-800</v>
      </c>
      <c r="BF89" s="362">
        <v>-800</v>
      </c>
      <c r="BG89" s="362">
        <v>-800</v>
      </c>
      <c r="BH89" s="484"/>
    </row>
    <row r="90" spans="1:60" s="498" customFormat="1" x14ac:dyDescent="0.25">
      <c r="A90" s="501" t="s">
        <v>743</v>
      </c>
      <c r="B90" s="264"/>
      <c r="C90" s="506"/>
      <c r="D90" s="506"/>
      <c r="E90" s="506"/>
      <c r="F90" s="506"/>
      <c r="G90" s="505"/>
      <c r="H90" s="505"/>
      <c r="I90" s="505"/>
      <c r="J90" s="505"/>
      <c r="K90" s="506"/>
      <c r="L90" s="505"/>
      <c r="M90" s="505"/>
      <c r="N90" s="505"/>
      <c r="O90" s="505"/>
      <c r="P90" s="506"/>
      <c r="Q90" s="505"/>
      <c r="R90" s="505"/>
      <c r="S90" s="505"/>
      <c r="T90" s="505"/>
      <c r="U90" s="506"/>
      <c r="V90" s="505"/>
      <c r="W90" s="505"/>
      <c r="X90" s="505"/>
      <c r="Y90" s="505"/>
      <c r="Z90" s="506"/>
      <c r="AA90" s="505"/>
      <c r="AB90" s="505"/>
      <c r="AC90" s="505"/>
      <c r="AD90" s="505"/>
      <c r="AE90" s="506"/>
      <c r="AF90" s="505"/>
      <c r="AG90" s="505"/>
      <c r="AH90" s="505"/>
      <c r="AI90" s="505"/>
      <c r="AJ90" s="506"/>
      <c r="AK90" s="505"/>
      <c r="AL90" s="505"/>
      <c r="AM90" s="505"/>
      <c r="AN90" s="505"/>
      <c r="AO90" s="506"/>
      <c r="AP90" s="503">
        <f>AP85-SUM(AP86:AP89)</f>
        <v>1808</v>
      </c>
      <c r="AQ90" s="504">
        <f t="shared" ref="AQ90:AU90" si="58">AQ85-SUM(AQ86:AQ89)</f>
        <v>2481</v>
      </c>
      <c r="AR90" s="503">
        <f t="shared" si="58"/>
        <v>3285</v>
      </c>
      <c r="AS90" s="503">
        <f t="shared" si="58"/>
        <v>1839</v>
      </c>
      <c r="AT90" s="502">
        <f t="shared" si="58"/>
        <v>9413</v>
      </c>
      <c r="AU90" s="503">
        <f t="shared" si="58"/>
        <v>1729</v>
      </c>
      <c r="AV90" s="504">
        <f>AV85-SUM(AV86:AV89)</f>
        <v>2849</v>
      </c>
      <c r="AW90" s="689">
        <f>AW85-SUM(AW86:AW89)</f>
        <v>2187</v>
      </c>
      <c r="AX90" s="505">
        <f t="shared" ref="AX90" si="59">AX85-SUM(AX86:AX89)</f>
        <v>1499.1316000000006</v>
      </c>
      <c r="AY90" s="506">
        <f t="shared" ref="AY90" si="60">AY85-SUM(AY86:AY89)</f>
        <v>8264.1316000000006</v>
      </c>
      <c r="AZ90" s="505">
        <f t="shared" ref="AZ90" si="61">AZ85-SUM(AZ86:AZ89)</f>
        <v>2305.7950000000001</v>
      </c>
      <c r="BA90" s="505">
        <f t="shared" ref="BA90" si="62">BA85-SUM(BA86:BA89)</f>
        <v>1399.9059999999999</v>
      </c>
      <c r="BB90" s="505">
        <f t="shared" ref="BB90" si="63">BB85-SUM(BB86:BB89)</f>
        <v>1576.8893999999991</v>
      </c>
      <c r="BC90" s="505">
        <f t="shared" ref="BC90" si="64">BC85-SUM(BC86:BC89)</f>
        <v>1542.84944</v>
      </c>
      <c r="BD90" s="506">
        <f t="shared" ref="BD90" si="65">BD85-SUM(BD86:BD89)</f>
        <v>6825.4398400000027</v>
      </c>
      <c r="BE90" s="506">
        <f t="shared" ref="BE90" si="66">BE85-SUM(BE86:BE89)</f>
        <v>7689.1132360000011</v>
      </c>
      <c r="BF90" s="506">
        <f t="shared" ref="BF90" si="67">BF85-SUM(BF86:BF89)</f>
        <v>7354.414416076801</v>
      </c>
      <c r="BG90" s="506">
        <f t="shared" ref="BG90" si="68">BG85-SUM(BG86:BG89)</f>
        <v>7487.6307043983361</v>
      </c>
      <c r="BH90" s="499"/>
    </row>
    <row r="91" spans="1:60" s="469" customFormat="1" x14ac:dyDescent="0.25">
      <c r="A91" s="748"/>
      <c r="B91" s="246"/>
      <c r="C91" s="478"/>
      <c r="D91" s="478"/>
      <c r="E91" s="478"/>
      <c r="F91" s="478"/>
      <c r="G91" s="480"/>
      <c r="H91" s="480"/>
      <c r="I91" s="480"/>
      <c r="J91" s="480"/>
      <c r="K91" s="478"/>
      <c r="L91" s="480"/>
      <c r="M91" s="480"/>
      <c r="N91" s="480"/>
      <c r="O91" s="480"/>
      <c r="P91" s="478"/>
      <c r="Q91" s="480"/>
      <c r="R91" s="480"/>
      <c r="S91" s="480"/>
      <c r="T91" s="480"/>
      <c r="U91" s="478"/>
      <c r="V91" s="480"/>
      <c r="W91" s="480"/>
      <c r="X91" s="480"/>
      <c r="Y91" s="480"/>
      <c r="Z91" s="478"/>
      <c r="AA91" s="480"/>
      <c r="AB91" s="480"/>
      <c r="AC91" s="480"/>
      <c r="AD91" s="480"/>
      <c r="AE91" s="478"/>
      <c r="AF91" s="480"/>
      <c r="AG91" s="480"/>
      <c r="AH91" s="480"/>
      <c r="AI91" s="480"/>
      <c r="AJ91" s="478"/>
      <c r="AK91" s="480"/>
      <c r="AL91" s="480"/>
      <c r="AM91" s="480"/>
      <c r="AN91" s="480"/>
      <c r="AO91" s="478"/>
      <c r="AP91" s="480"/>
      <c r="AQ91" s="480"/>
      <c r="AR91" s="480"/>
      <c r="AS91" s="480"/>
      <c r="AT91" s="478"/>
      <c r="AU91" s="480"/>
      <c r="AV91" s="480"/>
      <c r="AW91" s="708"/>
      <c r="AX91" s="480"/>
      <c r="AY91" s="478"/>
      <c r="AZ91" s="480"/>
      <c r="BA91" s="480"/>
      <c r="BB91" s="480"/>
      <c r="BC91" s="480"/>
      <c r="BD91" s="478"/>
      <c r="BE91" s="478"/>
      <c r="BF91" s="478"/>
      <c r="BG91" s="478"/>
      <c r="BH91" s="473"/>
    </row>
    <row r="92" spans="1:60" s="343" customFormat="1" x14ac:dyDescent="0.25">
      <c r="A92" s="168" t="s">
        <v>744</v>
      </c>
      <c r="B92" s="655"/>
      <c r="C92" s="183"/>
      <c r="D92" s="183"/>
      <c r="E92" s="183"/>
      <c r="F92" s="183"/>
      <c r="G92" s="634"/>
      <c r="H92" s="634"/>
      <c r="I92" s="634"/>
      <c r="J92" s="634"/>
      <c r="K92" s="183"/>
      <c r="L92" s="634"/>
      <c r="M92" s="634"/>
      <c r="N92" s="634"/>
      <c r="O92" s="634"/>
      <c r="P92" s="183"/>
      <c r="Q92" s="634"/>
      <c r="R92" s="634"/>
      <c r="S92" s="634"/>
      <c r="T92" s="634"/>
      <c r="U92" s="183"/>
      <c r="V92" s="634"/>
      <c r="W92" s="634"/>
      <c r="X92" s="634"/>
      <c r="Y92" s="634"/>
      <c r="Z92" s="183"/>
      <c r="AA92" s="634"/>
      <c r="AB92" s="634"/>
      <c r="AC92" s="634"/>
      <c r="AD92" s="634"/>
      <c r="AE92" s="183"/>
      <c r="AF92" s="634"/>
      <c r="AG92" s="634"/>
      <c r="AH92" s="634"/>
      <c r="AI92" s="634"/>
      <c r="AJ92" s="183"/>
      <c r="AK92" s="634"/>
      <c r="AL92" s="634"/>
      <c r="AM92" s="634"/>
      <c r="AN92" s="634"/>
      <c r="AO92" s="183"/>
      <c r="AP92" s="340">
        <f t="shared" ref="AP92:AW92" si="69">AP86/AP85</f>
        <v>0.65790870488322717</v>
      </c>
      <c r="AQ92" s="341">
        <f t="shared" si="69"/>
        <v>0.53750889679715308</v>
      </c>
      <c r="AR92" s="340">
        <f t="shared" si="69"/>
        <v>0.34792013311148084</v>
      </c>
      <c r="AS92" s="340">
        <f t="shared" si="69"/>
        <v>0.6394751853964632</v>
      </c>
      <c r="AT92" s="339">
        <f t="shared" si="69"/>
        <v>0.55501577058333029</v>
      </c>
      <c r="AU92" s="340">
        <f t="shared" si="69"/>
        <v>0.70466658000779925</v>
      </c>
      <c r="AV92" s="341">
        <f t="shared" si="69"/>
        <v>0.47302104951082125</v>
      </c>
      <c r="AW92" s="690">
        <f t="shared" si="69"/>
        <v>0.58812535940195509</v>
      </c>
      <c r="AX92" s="356">
        <v>0.69</v>
      </c>
      <c r="AY92" s="183">
        <f>AY86/AY85</f>
        <v>0.61792385135910721</v>
      </c>
      <c r="AZ92" s="356">
        <v>0.6</v>
      </c>
      <c r="BA92" s="356">
        <v>0.7</v>
      </c>
      <c r="BB92" s="356">
        <v>0.68</v>
      </c>
      <c r="BC92" s="356">
        <v>0.69</v>
      </c>
      <c r="BD92" s="183">
        <f>BD86/BD85</f>
        <v>0.66590646462005709</v>
      </c>
      <c r="BE92" s="358">
        <v>0.64</v>
      </c>
      <c r="BF92" s="358">
        <v>0.65</v>
      </c>
      <c r="BG92" s="358">
        <v>0.65</v>
      </c>
      <c r="BH92" s="342"/>
    </row>
    <row r="93" spans="1:60" s="343" customFormat="1" x14ac:dyDescent="0.25">
      <c r="A93" s="344" t="s">
        <v>745</v>
      </c>
      <c r="B93" s="749"/>
      <c r="C93" s="348"/>
      <c r="D93" s="348"/>
      <c r="E93" s="348"/>
      <c r="F93" s="348"/>
      <c r="G93" s="738"/>
      <c r="H93" s="738"/>
      <c r="I93" s="738"/>
      <c r="J93" s="738"/>
      <c r="K93" s="348"/>
      <c r="L93" s="738"/>
      <c r="M93" s="738"/>
      <c r="N93" s="738"/>
      <c r="O93" s="738"/>
      <c r="P93" s="348"/>
      <c r="Q93" s="738"/>
      <c r="R93" s="738"/>
      <c r="S93" s="738"/>
      <c r="T93" s="738"/>
      <c r="U93" s="348"/>
      <c r="V93" s="738"/>
      <c r="W93" s="738"/>
      <c r="X93" s="738"/>
      <c r="Y93" s="738"/>
      <c r="Z93" s="348"/>
      <c r="AA93" s="738"/>
      <c r="AB93" s="738"/>
      <c r="AC93" s="738"/>
      <c r="AD93" s="738"/>
      <c r="AE93" s="348"/>
      <c r="AF93" s="738"/>
      <c r="AG93" s="738"/>
      <c r="AH93" s="738"/>
      <c r="AI93" s="738"/>
      <c r="AJ93" s="348"/>
      <c r="AK93" s="738"/>
      <c r="AL93" s="738"/>
      <c r="AM93" s="738"/>
      <c r="AN93" s="738"/>
      <c r="AO93" s="348"/>
      <c r="AP93" s="346">
        <f t="shared" ref="AP93:AW93" si="70">AP87/AP85</f>
        <v>0.12181528662420382</v>
      </c>
      <c r="AQ93" s="347">
        <f t="shared" si="70"/>
        <v>0.12640569395017795</v>
      </c>
      <c r="AR93" s="346">
        <f t="shared" si="70"/>
        <v>0.12911813643926789</v>
      </c>
      <c r="AS93" s="346">
        <f t="shared" si="70"/>
        <v>0.10667427267541357</v>
      </c>
      <c r="AT93" s="345">
        <f t="shared" si="70"/>
        <v>0.12072653445963093</v>
      </c>
      <c r="AU93" s="346">
        <f t="shared" si="70"/>
        <v>9.4111529962303389E-2</v>
      </c>
      <c r="AV93" s="347">
        <f t="shared" si="70"/>
        <v>0.13193003261191819</v>
      </c>
      <c r="AW93" s="870">
        <f t="shared" si="70"/>
        <v>0.12234042553191489</v>
      </c>
      <c r="AX93" s="357">
        <v>0.12</v>
      </c>
      <c r="AY93" s="348">
        <f>AY87/AY85</f>
        <v>0.11641640279632569</v>
      </c>
      <c r="AZ93" s="357">
        <v>0.11</v>
      </c>
      <c r="BA93" s="357">
        <v>0.11</v>
      </c>
      <c r="BB93" s="357">
        <v>0.11</v>
      </c>
      <c r="BC93" s="357">
        <v>0.11</v>
      </c>
      <c r="BD93" s="348">
        <f>BD87/BD85</f>
        <v>0.10999999999999999</v>
      </c>
      <c r="BE93" s="359">
        <v>0.11</v>
      </c>
      <c r="BF93" s="359">
        <v>0.11</v>
      </c>
      <c r="BG93" s="359">
        <v>0.11</v>
      </c>
      <c r="BH93" s="342"/>
    </row>
    <row r="94" spans="1:60" s="343" customFormat="1" x14ac:dyDescent="0.25">
      <c r="A94" s="684" t="s">
        <v>746</v>
      </c>
      <c r="B94" s="655"/>
      <c r="C94" s="183"/>
      <c r="D94" s="183"/>
      <c r="E94" s="183"/>
      <c r="F94" s="183"/>
      <c r="G94" s="634"/>
      <c r="H94" s="634"/>
      <c r="I94" s="634"/>
      <c r="J94" s="634"/>
      <c r="K94" s="183"/>
      <c r="L94" s="634"/>
      <c r="M94" s="634"/>
      <c r="N94" s="634"/>
      <c r="O94" s="634"/>
      <c r="P94" s="183"/>
      <c r="Q94" s="634"/>
      <c r="R94" s="634"/>
      <c r="S94" s="634"/>
      <c r="T94" s="634"/>
      <c r="U94" s="183"/>
      <c r="V94" s="634"/>
      <c r="W94" s="634"/>
      <c r="X94" s="634"/>
      <c r="Y94" s="634"/>
      <c r="Z94" s="183"/>
      <c r="AA94" s="634"/>
      <c r="AB94" s="634"/>
      <c r="AC94" s="634"/>
      <c r="AD94" s="634"/>
      <c r="AE94" s="183"/>
      <c r="AF94" s="634"/>
      <c r="AG94" s="634"/>
      <c r="AH94" s="634"/>
      <c r="AI94" s="634"/>
      <c r="AJ94" s="183"/>
      <c r="AK94" s="634"/>
      <c r="AL94" s="634"/>
      <c r="AM94" s="634"/>
      <c r="AN94" s="634"/>
      <c r="AO94" s="183"/>
      <c r="AP94" s="340">
        <f t="shared" ref="AP94:BG94" si="71">AP90/AP85</f>
        <v>0.23991507430997877</v>
      </c>
      <c r="AQ94" s="341">
        <f t="shared" si="71"/>
        <v>0.35316725978647689</v>
      </c>
      <c r="AR94" s="340">
        <f t="shared" si="71"/>
        <v>0.54658901830282858</v>
      </c>
      <c r="AS94" s="340">
        <f t="shared" si="71"/>
        <v>0.26226468910439249</v>
      </c>
      <c r="AT94" s="339">
        <f t="shared" si="71"/>
        <v>0.34126092158213395</v>
      </c>
      <c r="AU94" s="340">
        <f t="shared" si="71"/>
        <v>0.22474977252047315</v>
      </c>
      <c r="AV94" s="341">
        <f t="shared" si="71"/>
        <v>0.42232434034983696</v>
      </c>
      <c r="AW94" s="690">
        <f t="shared" si="71"/>
        <v>0.31440483036227718</v>
      </c>
      <c r="AX94" s="634">
        <f t="shared" si="71"/>
        <v>0.2088031711896419</v>
      </c>
      <c r="AY94" s="183">
        <f t="shared" si="71"/>
        <v>0.28921209856012187</v>
      </c>
      <c r="AZ94" s="634">
        <f t="shared" si="71"/>
        <v>0.30803486741032665</v>
      </c>
      <c r="BA94" s="634">
        <f t="shared" si="71"/>
        <v>0.21027818667948447</v>
      </c>
      <c r="BB94" s="634">
        <f t="shared" si="71"/>
        <v>0.22966170220822749</v>
      </c>
      <c r="BC94" s="634">
        <f t="shared" si="71"/>
        <v>0.21917818712205472</v>
      </c>
      <c r="BD94" s="183">
        <f t="shared" si="71"/>
        <v>0.24334604788273853</v>
      </c>
      <c r="BE94" s="183">
        <f t="shared" si="71"/>
        <v>0.26888346086339709</v>
      </c>
      <c r="BF94" s="183">
        <f t="shared" si="71"/>
        <v>0.25901850872090249</v>
      </c>
      <c r="BG94" s="183">
        <f t="shared" si="71"/>
        <v>0.25865384121783475</v>
      </c>
      <c r="BH94" s="342"/>
    </row>
    <row r="95" spans="1:60" s="498" customFormat="1" hidden="1" outlineLevel="1" x14ac:dyDescent="0.25">
      <c r="A95" s="635"/>
      <c r="B95" s="264"/>
      <c r="C95" s="506"/>
      <c r="D95" s="506"/>
      <c r="E95" s="506"/>
      <c r="F95" s="506"/>
      <c r="G95" s="505"/>
      <c r="H95" s="505"/>
      <c r="I95" s="505"/>
      <c r="J95" s="505"/>
      <c r="K95" s="506"/>
      <c r="L95" s="505"/>
      <c r="M95" s="505"/>
      <c r="N95" s="505"/>
      <c r="O95" s="505"/>
      <c r="P95" s="506"/>
      <c r="Q95" s="505"/>
      <c r="R95" s="505"/>
      <c r="S95" s="505"/>
      <c r="T95" s="505"/>
      <c r="U95" s="506"/>
      <c r="V95" s="505"/>
      <c r="W95" s="505"/>
      <c r="X95" s="505"/>
      <c r="Y95" s="505"/>
      <c r="Z95" s="506"/>
      <c r="AA95" s="505"/>
      <c r="AB95" s="505"/>
      <c r="AC95" s="505"/>
      <c r="AD95" s="505"/>
      <c r="AE95" s="506"/>
      <c r="AF95" s="505"/>
      <c r="AG95" s="505"/>
      <c r="AH95" s="505"/>
      <c r="AI95" s="505"/>
      <c r="AJ95" s="506"/>
      <c r="AK95" s="505"/>
      <c r="AL95" s="505"/>
      <c r="AM95" s="505"/>
      <c r="AN95" s="505"/>
      <c r="AO95" s="506"/>
      <c r="AP95" s="505"/>
      <c r="AQ95" s="505"/>
      <c r="AR95" s="505"/>
      <c r="AS95" s="505"/>
      <c r="AT95" s="506"/>
      <c r="AU95" s="505"/>
      <c r="AV95" s="505"/>
      <c r="AW95" s="694"/>
      <c r="AX95" s="505"/>
      <c r="AY95" s="506"/>
      <c r="AZ95" s="505"/>
      <c r="BA95" s="505"/>
      <c r="BB95" s="505"/>
      <c r="BC95" s="505"/>
      <c r="BD95" s="506"/>
      <c r="BE95" s="506"/>
      <c r="BF95" s="506"/>
      <c r="BG95" s="506"/>
      <c r="BH95" s="499"/>
    </row>
    <row r="96" spans="1:60" s="903" customFormat="1" hidden="1" outlineLevel="1" x14ac:dyDescent="0.25">
      <c r="A96" s="898" t="s">
        <v>891</v>
      </c>
      <c r="B96" s="899"/>
      <c r="C96" s="492"/>
      <c r="D96" s="492"/>
      <c r="E96" s="492"/>
      <c r="F96" s="492"/>
      <c r="G96" s="491"/>
      <c r="H96" s="491"/>
      <c r="I96" s="491"/>
      <c r="J96" s="491"/>
      <c r="K96" s="492"/>
      <c r="L96" s="491"/>
      <c r="M96" s="491"/>
      <c r="N96" s="491"/>
      <c r="O96" s="491"/>
      <c r="P96" s="492"/>
      <c r="Q96" s="491"/>
      <c r="R96" s="491"/>
      <c r="S96" s="491"/>
      <c r="T96" s="491"/>
      <c r="U96" s="492"/>
      <c r="V96" s="491"/>
      <c r="W96" s="491"/>
      <c r="X96" s="491"/>
      <c r="Y96" s="491"/>
      <c r="Z96" s="492"/>
      <c r="AA96" s="491"/>
      <c r="AB96" s="491"/>
      <c r="AC96" s="491"/>
      <c r="AD96" s="491"/>
      <c r="AE96" s="492"/>
      <c r="AF96" s="491"/>
      <c r="AG96" s="491"/>
      <c r="AH96" s="491"/>
      <c r="AI96" s="491"/>
      <c r="AJ96" s="492"/>
      <c r="AK96" s="491"/>
      <c r="AL96" s="491"/>
      <c r="AM96" s="491"/>
      <c r="AN96" s="491"/>
      <c r="AO96" s="492"/>
      <c r="AP96" s="915">
        <v>5993</v>
      </c>
      <c r="AQ96" s="497">
        <v>5638</v>
      </c>
      <c r="AR96" s="497">
        <v>4926</v>
      </c>
      <c r="AS96" s="491"/>
      <c r="AT96" s="492"/>
      <c r="AU96" s="915">
        <v>6070</v>
      </c>
      <c r="AV96" s="497">
        <v>5418</v>
      </c>
      <c r="AW96" s="945">
        <v>5561</v>
      </c>
      <c r="AX96" s="901"/>
      <c r="AY96" s="900"/>
      <c r="AZ96" s="901"/>
      <c r="BA96" s="901"/>
      <c r="BB96" s="901"/>
      <c r="BC96" s="901"/>
      <c r="BD96" s="900"/>
      <c r="BE96" s="900"/>
      <c r="BF96" s="900"/>
      <c r="BG96" s="900"/>
      <c r="BH96" s="902"/>
    </row>
    <row r="97" spans="1:60" s="470" customFormat="1" hidden="1" outlineLevel="1" x14ac:dyDescent="0.25">
      <c r="A97" s="218" t="s">
        <v>892</v>
      </c>
      <c r="B97" s="573"/>
      <c r="C97" s="322"/>
      <c r="D97" s="322"/>
      <c r="E97" s="322"/>
      <c r="F97" s="322"/>
      <c r="G97" s="321"/>
      <c r="H97" s="321"/>
      <c r="I97" s="321"/>
      <c r="J97" s="321"/>
      <c r="K97" s="322"/>
      <c r="L97" s="321"/>
      <c r="M97" s="321"/>
      <c r="N97" s="321"/>
      <c r="O97" s="321"/>
      <c r="P97" s="322"/>
      <c r="Q97" s="321"/>
      <c r="R97" s="321"/>
      <c r="S97" s="321"/>
      <c r="T97" s="321"/>
      <c r="U97" s="322"/>
      <c r="V97" s="321"/>
      <c r="W97" s="321"/>
      <c r="X97" s="321"/>
      <c r="Y97" s="321"/>
      <c r="Z97" s="322"/>
      <c r="AA97" s="321"/>
      <c r="AB97" s="321"/>
      <c r="AC97" s="321"/>
      <c r="AD97" s="321"/>
      <c r="AE97" s="322"/>
      <c r="AF97" s="321"/>
      <c r="AG97" s="321"/>
      <c r="AH97" s="321"/>
      <c r="AI97" s="321"/>
      <c r="AJ97" s="322"/>
      <c r="AK97" s="321"/>
      <c r="AL97" s="321"/>
      <c r="AM97" s="321"/>
      <c r="AN97" s="321"/>
      <c r="AO97" s="322"/>
      <c r="AP97" s="319">
        <v>1543</v>
      </c>
      <c r="AQ97" s="320">
        <v>1387</v>
      </c>
      <c r="AR97" s="320">
        <v>1084</v>
      </c>
      <c r="AS97" s="321"/>
      <c r="AT97" s="322"/>
      <c r="AU97" s="319">
        <v>1623</v>
      </c>
      <c r="AV97" s="320">
        <v>1328</v>
      </c>
      <c r="AW97" s="693">
        <v>1395</v>
      </c>
      <c r="AX97" s="321"/>
      <c r="AY97" s="322"/>
      <c r="AZ97" s="321"/>
      <c r="BA97" s="321"/>
      <c r="BB97" s="321"/>
      <c r="BC97" s="321"/>
      <c r="BD97" s="322"/>
      <c r="BE97" s="322"/>
      <c r="BF97" s="322"/>
      <c r="BG97" s="322"/>
      <c r="BH97" s="484"/>
    </row>
    <row r="98" spans="1:60" s="498" customFormat="1" hidden="1" outlineLevel="1" x14ac:dyDescent="0.25">
      <c r="A98" s="501" t="s">
        <v>738</v>
      </c>
      <c r="B98" s="264"/>
      <c r="C98" s="506"/>
      <c r="D98" s="506"/>
      <c r="E98" s="506"/>
      <c r="F98" s="506"/>
      <c r="G98" s="505"/>
      <c r="H98" s="505"/>
      <c r="I98" s="505"/>
      <c r="J98" s="505"/>
      <c r="K98" s="506"/>
      <c r="L98" s="505"/>
      <c r="M98" s="505"/>
      <c r="N98" s="505"/>
      <c r="O98" s="505"/>
      <c r="P98" s="506"/>
      <c r="Q98" s="505"/>
      <c r="R98" s="505"/>
      <c r="S98" s="505"/>
      <c r="T98" s="505"/>
      <c r="U98" s="506"/>
      <c r="V98" s="505"/>
      <c r="W98" s="505"/>
      <c r="X98" s="505"/>
      <c r="Y98" s="505"/>
      <c r="Z98" s="506"/>
      <c r="AA98" s="505"/>
      <c r="AB98" s="505"/>
      <c r="AC98" s="505"/>
      <c r="AD98" s="505"/>
      <c r="AE98" s="506"/>
      <c r="AF98" s="505"/>
      <c r="AG98" s="505"/>
      <c r="AH98" s="505"/>
      <c r="AI98" s="505"/>
      <c r="AJ98" s="506"/>
      <c r="AK98" s="505"/>
      <c r="AL98" s="505"/>
      <c r="AM98" s="505"/>
      <c r="AN98" s="505"/>
      <c r="AO98" s="506"/>
      <c r="AP98" s="503">
        <f t="shared" ref="AP98:AV98" si="72">SUM(AP96,AP97)</f>
        <v>7536</v>
      </c>
      <c r="AQ98" s="504">
        <f t="shared" si="72"/>
        <v>7025</v>
      </c>
      <c r="AR98" s="504">
        <f t="shared" si="72"/>
        <v>6010</v>
      </c>
      <c r="AS98" s="503">
        <f>AS85</f>
        <v>7012</v>
      </c>
      <c r="AT98" s="502">
        <f>AT85</f>
        <v>27583</v>
      </c>
      <c r="AU98" s="503">
        <f t="shared" si="72"/>
        <v>7693</v>
      </c>
      <c r="AV98" s="504">
        <f t="shared" si="72"/>
        <v>6746</v>
      </c>
      <c r="AW98" s="689">
        <f>SUM(AW96,AW97)</f>
        <v>6956</v>
      </c>
      <c r="AX98" s="505"/>
      <c r="AY98" s="506"/>
      <c r="AZ98" s="505"/>
      <c r="BA98" s="505"/>
      <c r="BB98" s="505"/>
      <c r="BC98" s="505"/>
      <c r="BD98" s="506"/>
      <c r="BE98" s="506"/>
      <c r="BF98" s="506"/>
      <c r="BG98" s="506"/>
      <c r="BH98" s="499"/>
    </row>
    <row r="99" spans="1:60" s="910" customFormat="1" hidden="1" outlineLevel="1" x14ac:dyDescent="0.25">
      <c r="A99" s="912"/>
      <c r="B99" s="906"/>
      <c r="C99" s="506"/>
      <c r="D99" s="506"/>
      <c r="E99" s="506"/>
      <c r="F99" s="506"/>
      <c r="G99" s="505"/>
      <c r="H99" s="505"/>
      <c r="I99" s="505"/>
      <c r="J99" s="505"/>
      <c r="K99" s="506"/>
      <c r="L99" s="505"/>
      <c r="M99" s="505"/>
      <c r="N99" s="505"/>
      <c r="O99" s="505"/>
      <c r="P99" s="506"/>
      <c r="Q99" s="505"/>
      <c r="R99" s="505"/>
      <c r="S99" s="505"/>
      <c r="T99" s="505"/>
      <c r="U99" s="506"/>
      <c r="V99" s="505"/>
      <c r="W99" s="505"/>
      <c r="X99" s="505"/>
      <c r="Y99" s="505"/>
      <c r="Z99" s="506"/>
      <c r="AA99" s="505"/>
      <c r="AB99" s="505"/>
      <c r="AC99" s="505"/>
      <c r="AD99" s="505"/>
      <c r="AE99" s="506"/>
      <c r="AF99" s="505"/>
      <c r="AG99" s="505"/>
      <c r="AH99" s="505"/>
      <c r="AI99" s="505"/>
      <c r="AJ99" s="506"/>
      <c r="AK99" s="505"/>
      <c r="AL99" s="505"/>
      <c r="AM99" s="505"/>
      <c r="AN99" s="505"/>
      <c r="AO99" s="506"/>
      <c r="AP99" s="505"/>
      <c r="AQ99" s="505"/>
      <c r="AR99" s="505"/>
      <c r="AS99" s="505"/>
      <c r="AT99" s="506"/>
      <c r="AU99" s="505"/>
      <c r="AV99" s="505"/>
      <c r="AW99" s="694"/>
      <c r="AX99" s="908"/>
      <c r="AY99" s="907"/>
      <c r="AZ99" s="908"/>
      <c r="BA99" s="908"/>
      <c r="BB99" s="908"/>
      <c r="BC99" s="908"/>
      <c r="BD99" s="907"/>
      <c r="BE99" s="907"/>
      <c r="BF99" s="907"/>
      <c r="BG99" s="907"/>
      <c r="BH99" s="909"/>
    </row>
    <row r="100" spans="1:60" s="903" customFormat="1" hidden="1" outlineLevel="1" x14ac:dyDescent="0.25">
      <c r="A100" s="898" t="s">
        <v>893</v>
      </c>
      <c r="B100" s="899"/>
      <c r="C100" s="492"/>
      <c r="D100" s="492"/>
      <c r="E100" s="492"/>
      <c r="F100" s="492"/>
      <c r="G100" s="491"/>
      <c r="H100" s="491"/>
      <c r="I100" s="491"/>
      <c r="J100" s="491"/>
      <c r="K100" s="492"/>
      <c r="L100" s="491"/>
      <c r="M100" s="491"/>
      <c r="N100" s="491"/>
      <c r="O100" s="491"/>
      <c r="P100" s="492"/>
      <c r="Q100" s="491"/>
      <c r="R100" s="491"/>
      <c r="S100" s="491"/>
      <c r="T100" s="491"/>
      <c r="U100" s="492"/>
      <c r="V100" s="491"/>
      <c r="W100" s="491"/>
      <c r="X100" s="491"/>
      <c r="Y100" s="491"/>
      <c r="Z100" s="492"/>
      <c r="AA100" s="491"/>
      <c r="AB100" s="491"/>
      <c r="AC100" s="491"/>
      <c r="AD100" s="491"/>
      <c r="AE100" s="492"/>
      <c r="AF100" s="491"/>
      <c r="AG100" s="491"/>
      <c r="AH100" s="491"/>
      <c r="AI100" s="491"/>
      <c r="AJ100" s="492"/>
      <c r="AK100" s="491"/>
      <c r="AL100" s="491"/>
      <c r="AM100" s="491"/>
      <c r="AN100" s="491"/>
      <c r="AO100" s="492"/>
      <c r="AP100" s="915">
        <v>1206</v>
      </c>
      <c r="AQ100" s="497">
        <v>2031</v>
      </c>
      <c r="AR100" s="497">
        <v>2850</v>
      </c>
      <c r="AS100" s="491"/>
      <c r="AT100" s="492"/>
      <c r="AU100" s="915">
        <v>1120</v>
      </c>
      <c r="AV100" s="497">
        <v>2281</v>
      </c>
      <c r="AW100" s="945">
        <v>1803</v>
      </c>
      <c r="AX100" s="901"/>
      <c r="AY100" s="900"/>
      <c r="AZ100" s="901"/>
      <c r="BA100" s="901"/>
      <c r="BB100" s="901"/>
      <c r="BC100" s="901"/>
      <c r="BD100" s="900"/>
      <c r="BE100" s="900"/>
      <c r="BF100" s="900"/>
      <c r="BG100" s="900"/>
      <c r="BH100" s="902"/>
    </row>
    <row r="101" spans="1:60" s="903" customFormat="1" hidden="1" outlineLevel="1" x14ac:dyDescent="0.25">
      <c r="A101" s="898" t="s">
        <v>894</v>
      </c>
      <c r="B101" s="899"/>
      <c r="C101" s="492"/>
      <c r="D101" s="492"/>
      <c r="E101" s="492"/>
      <c r="F101" s="492"/>
      <c r="G101" s="491"/>
      <c r="H101" s="491"/>
      <c r="I101" s="491"/>
      <c r="J101" s="491"/>
      <c r="K101" s="492"/>
      <c r="L101" s="491"/>
      <c r="M101" s="491"/>
      <c r="N101" s="491"/>
      <c r="O101" s="491"/>
      <c r="P101" s="492"/>
      <c r="Q101" s="491"/>
      <c r="R101" s="491"/>
      <c r="S101" s="491"/>
      <c r="T101" s="491"/>
      <c r="U101" s="492"/>
      <c r="V101" s="491"/>
      <c r="W101" s="491"/>
      <c r="X101" s="491"/>
      <c r="Y101" s="491"/>
      <c r="Z101" s="492"/>
      <c r="AA101" s="491"/>
      <c r="AB101" s="491"/>
      <c r="AC101" s="491"/>
      <c r="AD101" s="491"/>
      <c r="AE101" s="492"/>
      <c r="AF101" s="491"/>
      <c r="AG101" s="491"/>
      <c r="AH101" s="491"/>
      <c r="AI101" s="491"/>
      <c r="AJ101" s="492"/>
      <c r="AK101" s="491"/>
      <c r="AL101" s="491"/>
      <c r="AM101" s="491"/>
      <c r="AN101" s="491"/>
      <c r="AO101" s="492"/>
      <c r="AP101" s="915">
        <v>388</v>
      </c>
      <c r="AQ101" s="497">
        <v>273</v>
      </c>
      <c r="AR101" s="497">
        <v>219</v>
      </c>
      <c r="AS101" s="491"/>
      <c r="AT101" s="492"/>
      <c r="AU101" s="915">
        <v>375</v>
      </c>
      <c r="AV101" s="497">
        <v>348</v>
      </c>
      <c r="AW101" s="945">
        <v>169</v>
      </c>
      <c r="AX101" s="901"/>
      <c r="AY101" s="900"/>
      <c r="AZ101" s="901"/>
      <c r="BA101" s="901"/>
      <c r="BB101" s="901"/>
      <c r="BC101" s="901"/>
      <c r="BD101" s="900"/>
      <c r="BE101" s="900"/>
      <c r="BF101" s="900"/>
      <c r="BG101" s="900"/>
      <c r="BH101" s="902"/>
    </row>
    <row r="102" spans="1:60" s="903" customFormat="1" hidden="1" outlineLevel="1" x14ac:dyDescent="0.25">
      <c r="A102" s="904" t="s">
        <v>37</v>
      </c>
      <c r="B102" s="573"/>
      <c r="C102" s="322"/>
      <c r="D102" s="322"/>
      <c r="E102" s="322"/>
      <c r="F102" s="322"/>
      <c r="G102" s="321"/>
      <c r="H102" s="321"/>
      <c r="I102" s="321"/>
      <c r="J102" s="321"/>
      <c r="K102" s="322"/>
      <c r="L102" s="321"/>
      <c r="M102" s="321"/>
      <c r="N102" s="321"/>
      <c r="O102" s="321"/>
      <c r="P102" s="322"/>
      <c r="Q102" s="321"/>
      <c r="R102" s="321"/>
      <c r="S102" s="321"/>
      <c r="T102" s="321"/>
      <c r="U102" s="322"/>
      <c r="V102" s="321"/>
      <c r="W102" s="321"/>
      <c r="X102" s="321"/>
      <c r="Y102" s="321"/>
      <c r="Z102" s="322"/>
      <c r="AA102" s="321"/>
      <c r="AB102" s="321"/>
      <c r="AC102" s="321"/>
      <c r="AD102" s="321"/>
      <c r="AE102" s="322"/>
      <c r="AF102" s="321"/>
      <c r="AG102" s="321"/>
      <c r="AH102" s="321"/>
      <c r="AI102" s="321"/>
      <c r="AJ102" s="322"/>
      <c r="AK102" s="321"/>
      <c r="AL102" s="321"/>
      <c r="AM102" s="321"/>
      <c r="AN102" s="321"/>
      <c r="AO102" s="322"/>
      <c r="AP102" s="916">
        <v>214</v>
      </c>
      <c r="AQ102" s="320">
        <v>177</v>
      </c>
      <c r="AR102" s="320">
        <v>216</v>
      </c>
      <c r="AS102" s="321"/>
      <c r="AT102" s="322"/>
      <c r="AU102" s="916">
        <v>234</v>
      </c>
      <c r="AV102" s="320">
        <v>220</v>
      </c>
      <c r="AW102" s="946">
        <v>215</v>
      </c>
      <c r="AX102" s="321"/>
      <c r="AY102" s="322"/>
      <c r="AZ102" s="321"/>
      <c r="BA102" s="321"/>
      <c r="BB102" s="321"/>
      <c r="BC102" s="321"/>
      <c r="BD102" s="322"/>
      <c r="BE102" s="322"/>
      <c r="BF102" s="322"/>
      <c r="BG102" s="322"/>
      <c r="BH102" s="902"/>
    </row>
    <row r="103" spans="1:60" s="910" customFormat="1" hidden="1" outlineLevel="1" x14ac:dyDescent="0.25">
      <c r="A103" s="905" t="s">
        <v>743</v>
      </c>
      <c r="B103" s="906"/>
      <c r="C103" s="506"/>
      <c r="D103" s="506"/>
      <c r="E103" s="506"/>
      <c r="F103" s="506"/>
      <c r="G103" s="505"/>
      <c r="H103" s="505"/>
      <c r="I103" s="505"/>
      <c r="J103" s="505"/>
      <c r="K103" s="506"/>
      <c r="L103" s="505"/>
      <c r="M103" s="505"/>
      <c r="N103" s="505"/>
      <c r="O103" s="505"/>
      <c r="P103" s="506"/>
      <c r="Q103" s="505"/>
      <c r="R103" s="505"/>
      <c r="S103" s="505"/>
      <c r="T103" s="505"/>
      <c r="U103" s="506"/>
      <c r="V103" s="505"/>
      <c r="W103" s="505"/>
      <c r="X103" s="505"/>
      <c r="Y103" s="505"/>
      <c r="Z103" s="506"/>
      <c r="AA103" s="505"/>
      <c r="AB103" s="505"/>
      <c r="AC103" s="505"/>
      <c r="AD103" s="505"/>
      <c r="AE103" s="506"/>
      <c r="AF103" s="505"/>
      <c r="AG103" s="505"/>
      <c r="AH103" s="505"/>
      <c r="AI103" s="505"/>
      <c r="AJ103" s="506"/>
      <c r="AK103" s="505"/>
      <c r="AL103" s="505"/>
      <c r="AM103" s="505"/>
      <c r="AN103" s="505"/>
      <c r="AO103" s="506"/>
      <c r="AP103" s="503">
        <f>SUM(AP100,AP101,AP102)</f>
        <v>1808</v>
      </c>
      <c r="AQ103" s="504">
        <f>SUM(AQ100,AQ101,AQ102)</f>
        <v>2481</v>
      </c>
      <c r="AR103" s="504">
        <f>SUM(AR100,AR101,AR102)</f>
        <v>3285</v>
      </c>
      <c r="AS103" s="503">
        <f>AS90</f>
        <v>1839</v>
      </c>
      <c r="AT103" s="502">
        <f>AT90</f>
        <v>9413</v>
      </c>
      <c r="AU103" s="503">
        <f>SUM(AU100,AU101,AU102)</f>
        <v>1729</v>
      </c>
      <c r="AV103" s="504">
        <f>SUM(AV100,AV101,AV102)</f>
        <v>2849</v>
      </c>
      <c r="AW103" s="689">
        <f>SUM(AW100,AW101,AW102)</f>
        <v>2187</v>
      </c>
      <c r="AX103" s="908"/>
      <c r="AY103" s="907"/>
      <c r="AZ103" s="908"/>
      <c r="BA103" s="908"/>
      <c r="BB103" s="908"/>
      <c r="BC103" s="908"/>
      <c r="BD103" s="907"/>
      <c r="BE103" s="907"/>
      <c r="BF103" s="907"/>
      <c r="BG103" s="907"/>
      <c r="BH103" s="909"/>
    </row>
    <row r="104" spans="1:60" s="469" customFormat="1" hidden="1" outlineLevel="1" x14ac:dyDescent="0.25">
      <c r="A104" s="748"/>
      <c r="B104" s="246"/>
      <c r="C104" s="478"/>
      <c r="D104" s="478"/>
      <c r="E104" s="478"/>
      <c r="F104" s="478"/>
      <c r="G104" s="480"/>
      <c r="H104" s="480"/>
      <c r="I104" s="480"/>
      <c r="J104" s="480"/>
      <c r="K104" s="478"/>
      <c r="L104" s="480"/>
      <c r="M104" s="480"/>
      <c r="N104" s="480"/>
      <c r="O104" s="480"/>
      <c r="P104" s="478"/>
      <c r="Q104" s="480"/>
      <c r="R104" s="480"/>
      <c r="S104" s="480"/>
      <c r="T104" s="480"/>
      <c r="U104" s="478"/>
      <c r="V104" s="480"/>
      <c r="W104" s="480"/>
      <c r="X104" s="480"/>
      <c r="Y104" s="480"/>
      <c r="Z104" s="478"/>
      <c r="AA104" s="480"/>
      <c r="AB104" s="480"/>
      <c r="AC104" s="480"/>
      <c r="AD104" s="480"/>
      <c r="AE104" s="478"/>
      <c r="AF104" s="480"/>
      <c r="AG104" s="480"/>
      <c r="AH104" s="480"/>
      <c r="AI104" s="480"/>
      <c r="AJ104" s="478"/>
      <c r="AK104" s="480"/>
      <c r="AL104" s="480"/>
      <c r="AM104" s="480"/>
      <c r="AN104" s="480"/>
      <c r="AO104" s="478"/>
      <c r="AP104" s="480"/>
      <c r="AQ104" s="480"/>
      <c r="AR104" s="480"/>
      <c r="AS104" s="480"/>
      <c r="AT104" s="478"/>
      <c r="AU104" s="480"/>
      <c r="AV104" s="480"/>
      <c r="AW104" s="708"/>
      <c r="AX104" s="480"/>
      <c r="AY104" s="478"/>
      <c r="AZ104" s="480"/>
      <c r="BA104" s="480"/>
      <c r="BB104" s="480"/>
      <c r="BC104" s="480"/>
      <c r="BD104" s="478"/>
      <c r="BE104" s="478"/>
      <c r="BF104" s="478"/>
      <c r="BG104" s="478"/>
      <c r="BH104" s="473"/>
    </row>
    <row r="105" spans="1:60" s="343" customFormat="1" hidden="1" outlineLevel="1" x14ac:dyDescent="0.25">
      <c r="A105" s="911" t="s">
        <v>895</v>
      </c>
      <c r="B105" s="655"/>
      <c r="C105" s="183"/>
      <c r="D105" s="183"/>
      <c r="E105" s="183"/>
      <c r="F105" s="183"/>
      <c r="G105" s="634"/>
      <c r="H105" s="634"/>
      <c r="I105" s="634"/>
      <c r="J105" s="634"/>
      <c r="K105" s="183"/>
      <c r="L105" s="634"/>
      <c r="M105" s="634"/>
      <c r="N105" s="634"/>
      <c r="O105" s="634"/>
      <c r="P105" s="183"/>
      <c r="Q105" s="634"/>
      <c r="R105" s="634"/>
      <c r="S105" s="634"/>
      <c r="T105" s="634"/>
      <c r="U105" s="183"/>
      <c r="V105" s="634"/>
      <c r="W105" s="634"/>
      <c r="X105" s="634"/>
      <c r="Y105" s="634"/>
      <c r="Z105" s="183"/>
      <c r="AA105" s="634"/>
      <c r="AB105" s="634"/>
      <c r="AC105" s="634"/>
      <c r="AD105" s="634"/>
      <c r="AE105" s="183"/>
      <c r="AF105" s="634"/>
      <c r="AG105" s="634"/>
      <c r="AH105" s="634"/>
      <c r="AI105" s="634"/>
      <c r="AJ105" s="183"/>
      <c r="AK105" s="634"/>
      <c r="AL105" s="634"/>
      <c r="AM105" s="634"/>
      <c r="AN105" s="634"/>
      <c r="AO105" s="183"/>
      <c r="AP105" s="634">
        <f t="shared" ref="AP105:AR105" si="73">IFERROR(AP100/AP96,"N/A")</f>
        <v>0.20123477390288669</v>
      </c>
      <c r="AQ105" s="634">
        <f t="shared" si="73"/>
        <v>0.36023412557644557</v>
      </c>
      <c r="AR105" s="634">
        <f t="shared" si="73"/>
        <v>0.57856272838002432</v>
      </c>
      <c r="AS105" s="634" t="str">
        <f>IFERROR(AS100/AS96,"N/A")</f>
        <v>N/A</v>
      </c>
      <c r="AT105" s="183" t="str">
        <f t="shared" ref="AT105:AW105" si="74">IFERROR(AT100/AT96,"N/A")</f>
        <v>N/A</v>
      </c>
      <c r="AU105" s="634">
        <f t="shared" si="74"/>
        <v>0.18451400329489293</v>
      </c>
      <c r="AV105" s="634">
        <f t="shared" si="74"/>
        <v>0.42100406053894424</v>
      </c>
      <c r="AW105" s="691">
        <f t="shared" si="74"/>
        <v>0.32422226218306061</v>
      </c>
      <c r="AX105" s="634"/>
      <c r="AY105" s="183"/>
      <c r="AZ105" s="634"/>
      <c r="BA105" s="634"/>
      <c r="BB105" s="634"/>
      <c r="BC105" s="634"/>
      <c r="BD105" s="183"/>
      <c r="BE105" s="183"/>
      <c r="BF105" s="183"/>
      <c r="BG105" s="183"/>
      <c r="BH105" s="342"/>
    </row>
    <row r="106" spans="1:60" s="343" customFormat="1" hidden="1" outlineLevel="1" x14ac:dyDescent="0.25">
      <c r="A106" s="911" t="s">
        <v>896</v>
      </c>
      <c r="B106" s="655"/>
      <c r="C106" s="183"/>
      <c r="D106" s="183"/>
      <c r="E106" s="183"/>
      <c r="F106" s="183"/>
      <c r="G106" s="634"/>
      <c r="H106" s="634"/>
      <c r="I106" s="634"/>
      <c r="J106" s="634"/>
      <c r="K106" s="183"/>
      <c r="L106" s="634"/>
      <c r="M106" s="634"/>
      <c r="N106" s="634"/>
      <c r="O106" s="634"/>
      <c r="P106" s="183"/>
      <c r="Q106" s="634"/>
      <c r="R106" s="634"/>
      <c r="S106" s="634"/>
      <c r="T106" s="634"/>
      <c r="U106" s="183"/>
      <c r="V106" s="634"/>
      <c r="W106" s="634"/>
      <c r="X106" s="634"/>
      <c r="Y106" s="634"/>
      <c r="Z106" s="183"/>
      <c r="AA106" s="634"/>
      <c r="AB106" s="634"/>
      <c r="AC106" s="634"/>
      <c r="AD106" s="634"/>
      <c r="AE106" s="183"/>
      <c r="AF106" s="634"/>
      <c r="AG106" s="634"/>
      <c r="AH106" s="634"/>
      <c r="AI106" s="634"/>
      <c r="AJ106" s="183"/>
      <c r="AK106" s="634"/>
      <c r="AL106" s="634"/>
      <c r="AM106" s="634"/>
      <c r="AN106" s="634"/>
      <c r="AO106" s="183"/>
      <c r="AP106" s="634">
        <f t="shared" ref="AP106:AW106" si="75">IFERROR(AP101/AP97,"N/A")</f>
        <v>0.25145819831497085</v>
      </c>
      <c r="AQ106" s="634">
        <f t="shared" si="75"/>
        <v>0.19682768565248737</v>
      </c>
      <c r="AR106" s="634">
        <f t="shared" si="75"/>
        <v>0.20202952029520296</v>
      </c>
      <c r="AS106" s="634" t="str">
        <f t="shared" si="75"/>
        <v>N/A</v>
      </c>
      <c r="AT106" s="183" t="str">
        <f t="shared" si="75"/>
        <v>N/A</v>
      </c>
      <c r="AU106" s="634">
        <f t="shared" si="75"/>
        <v>0.23105360443622922</v>
      </c>
      <c r="AV106" s="634">
        <f t="shared" si="75"/>
        <v>0.26204819277108432</v>
      </c>
      <c r="AW106" s="691">
        <f t="shared" si="75"/>
        <v>0.12114695340501792</v>
      </c>
      <c r="AX106" s="634"/>
      <c r="AY106" s="183"/>
      <c r="AZ106" s="634"/>
      <c r="BA106" s="634"/>
      <c r="BB106" s="634"/>
      <c r="BC106" s="634"/>
      <c r="BD106" s="183"/>
      <c r="BE106" s="183"/>
      <c r="BF106" s="183"/>
      <c r="BG106" s="183"/>
      <c r="BH106" s="342"/>
    </row>
    <row r="107" spans="1:60" s="498" customFormat="1" collapsed="1" x14ac:dyDescent="0.25">
      <c r="A107" s="635"/>
      <c r="B107" s="264"/>
      <c r="C107" s="506"/>
      <c r="D107" s="506"/>
      <c r="E107" s="506"/>
      <c r="F107" s="506"/>
      <c r="G107" s="505"/>
      <c r="H107" s="505"/>
      <c r="I107" s="505"/>
      <c r="J107" s="505"/>
      <c r="K107" s="506"/>
      <c r="L107" s="505"/>
      <c r="M107" s="505"/>
      <c r="N107" s="505"/>
      <c r="O107" s="505"/>
      <c r="P107" s="506"/>
      <c r="Q107" s="505"/>
      <c r="R107" s="505"/>
      <c r="S107" s="505"/>
      <c r="T107" s="505"/>
      <c r="U107" s="506"/>
      <c r="V107" s="505"/>
      <c r="W107" s="505"/>
      <c r="X107" s="505"/>
      <c r="Y107" s="505"/>
      <c r="Z107" s="506"/>
      <c r="AA107" s="505"/>
      <c r="AB107" s="505"/>
      <c r="AC107" s="505"/>
      <c r="AD107" s="505"/>
      <c r="AE107" s="506"/>
      <c r="AF107" s="505"/>
      <c r="AG107" s="505"/>
      <c r="AH107" s="505"/>
      <c r="AI107" s="505"/>
      <c r="AJ107" s="506"/>
      <c r="AK107" s="505"/>
      <c r="AL107" s="505"/>
      <c r="AM107" s="505"/>
      <c r="AN107" s="505"/>
      <c r="AO107" s="506"/>
      <c r="AP107" s="505"/>
      <c r="AQ107" s="505"/>
      <c r="AR107" s="505"/>
      <c r="AS107" s="505"/>
      <c r="AT107" s="506"/>
      <c r="AU107" s="505"/>
      <c r="AV107" s="505"/>
      <c r="AW107" s="694"/>
      <c r="AX107" s="505"/>
      <c r="AY107" s="506"/>
      <c r="AZ107" s="505"/>
      <c r="BA107" s="505"/>
      <c r="BB107" s="505"/>
      <c r="BC107" s="505"/>
      <c r="BD107" s="506"/>
      <c r="BE107" s="506"/>
      <c r="BF107" s="506"/>
      <c r="BG107" s="506"/>
      <c r="BH107" s="499"/>
    </row>
    <row r="108" spans="1:60" s="470" customFormat="1" hidden="1" outlineLevel="1" x14ac:dyDescent="0.25">
      <c r="A108" s="483" t="s">
        <v>754</v>
      </c>
      <c r="B108" s="514"/>
      <c r="C108" s="492"/>
      <c r="D108" s="492"/>
      <c r="E108" s="492"/>
      <c r="F108" s="492"/>
      <c r="G108" s="491"/>
      <c r="H108" s="491"/>
      <c r="I108" s="491"/>
      <c r="J108" s="491"/>
      <c r="K108" s="492"/>
      <c r="L108" s="491"/>
      <c r="M108" s="491"/>
      <c r="N108" s="491"/>
      <c r="O108" s="491"/>
      <c r="P108" s="492"/>
      <c r="Q108" s="491"/>
      <c r="R108" s="491"/>
      <c r="S108" s="491"/>
      <c r="T108" s="491"/>
      <c r="U108" s="492"/>
      <c r="V108" s="491"/>
      <c r="W108" s="491"/>
      <c r="X108" s="491"/>
      <c r="Y108" s="491"/>
      <c r="Z108" s="492"/>
      <c r="AA108" s="491"/>
      <c r="AB108" s="491"/>
      <c r="AC108" s="491"/>
      <c r="AD108" s="491"/>
      <c r="AE108" s="492"/>
      <c r="AF108" s="491"/>
      <c r="AG108" s="491"/>
      <c r="AH108" s="491"/>
      <c r="AI108" s="491"/>
      <c r="AJ108" s="492"/>
      <c r="AK108" s="491"/>
      <c r="AL108" s="491"/>
      <c r="AM108" s="491"/>
      <c r="AN108" s="491"/>
      <c r="AO108" s="492"/>
      <c r="AP108" s="490">
        <v>1326</v>
      </c>
      <c r="AQ108" s="497">
        <v>1796</v>
      </c>
      <c r="AR108" s="490">
        <v>2129</v>
      </c>
      <c r="AS108" s="490">
        <v>2394</v>
      </c>
      <c r="AT108" s="489">
        <f>SUM(AP108,AQ108,AR108,AS108)</f>
        <v>7645</v>
      </c>
      <c r="AU108" s="490">
        <v>2546</v>
      </c>
      <c r="AV108" s="497">
        <v>3000</v>
      </c>
      <c r="AW108" s="687">
        <v>3156</v>
      </c>
      <c r="AX108" s="491"/>
      <c r="AY108" s="492"/>
      <c r="AZ108" s="491"/>
      <c r="BA108" s="491"/>
      <c r="BB108" s="491"/>
      <c r="BC108" s="491"/>
      <c r="BD108" s="492"/>
      <c r="BE108" s="492"/>
      <c r="BF108" s="492"/>
      <c r="BG108" s="492"/>
      <c r="BH108" s="484"/>
    </row>
    <row r="109" spans="1:60" s="470" customFormat="1" hidden="1" outlineLevel="1" x14ac:dyDescent="0.25">
      <c r="A109" s="483" t="s">
        <v>747</v>
      </c>
      <c r="B109" s="514"/>
      <c r="C109" s="492"/>
      <c r="D109" s="492"/>
      <c r="E109" s="492"/>
      <c r="F109" s="492"/>
      <c r="G109" s="491"/>
      <c r="H109" s="491"/>
      <c r="I109" s="491"/>
      <c r="J109" s="491"/>
      <c r="K109" s="492"/>
      <c r="L109" s="491"/>
      <c r="M109" s="491"/>
      <c r="N109" s="491"/>
      <c r="O109" s="491"/>
      <c r="P109" s="492"/>
      <c r="Q109" s="491"/>
      <c r="R109" s="491"/>
      <c r="S109" s="491"/>
      <c r="T109" s="491"/>
      <c r="U109" s="492"/>
      <c r="V109" s="491"/>
      <c r="W109" s="491"/>
      <c r="X109" s="491"/>
      <c r="Y109" s="491"/>
      <c r="Z109" s="492"/>
      <c r="AA109" s="491"/>
      <c r="AB109" s="491"/>
      <c r="AC109" s="491"/>
      <c r="AD109" s="491"/>
      <c r="AE109" s="492"/>
      <c r="AF109" s="491"/>
      <c r="AG109" s="491"/>
      <c r="AH109" s="491"/>
      <c r="AI109" s="491"/>
      <c r="AJ109" s="492"/>
      <c r="AK109" s="491"/>
      <c r="AL109" s="491"/>
      <c r="AM109" s="491"/>
      <c r="AN109" s="491"/>
      <c r="AO109" s="492"/>
      <c r="AP109" s="490">
        <v>599</v>
      </c>
      <c r="AQ109" s="497">
        <v>558</v>
      </c>
      <c r="AR109" s="490">
        <v>509</v>
      </c>
      <c r="AS109" s="490">
        <v>691</v>
      </c>
      <c r="AT109" s="489">
        <f>SUM(AP109,AQ109,AR109,AS109)</f>
        <v>2357</v>
      </c>
      <c r="AU109" s="490">
        <v>882</v>
      </c>
      <c r="AV109" s="497">
        <v>717</v>
      </c>
      <c r="AW109" s="687">
        <v>909</v>
      </c>
      <c r="AX109" s="491"/>
      <c r="AY109" s="492"/>
      <c r="AZ109" s="491"/>
      <c r="BA109" s="491"/>
      <c r="BB109" s="491"/>
      <c r="BC109" s="491"/>
      <c r="BD109" s="492"/>
      <c r="BE109" s="492"/>
      <c r="BF109" s="492"/>
      <c r="BG109" s="492"/>
      <c r="BH109" s="484"/>
    </row>
    <row r="110" spans="1:60" s="470" customFormat="1" hidden="1" outlineLevel="1" x14ac:dyDescent="0.25">
      <c r="A110" s="218" t="s">
        <v>755</v>
      </c>
      <c r="B110" s="573"/>
      <c r="C110" s="322"/>
      <c r="D110" s="322"/>
      <c r="E110" s="322"/>
      <c r="F110" s="322"/>
      <c r="G110" s="321"/>
      <c r="H110" s="321"/>
      <c r="I110" s="321"/>
      <c r="J110" s="321"/>
      <c r="K110" s="322"/>
      <c r="L110" s="321"/>
      <c r="M110" s="321"/>
      <c r="N110" s="321"/>
      <c r="O110" s="321"/>
      <c r="P110" s="322"/>
      <c r="Q110" s="321"/>
      <c r="R110" s="321"/>
      <c r="S110" s="321"/>
      <c r="T110" s="321"/>
      <c r="U110" s="322"/>
      <c r="V110" s="321"/>
      <c r="W110" s="321"/>
      <c r="X110" s="321"/>
      <c r="Y110" s="321"/>
      <c r="Z110" s="322"/>
      <c r="AA110" s="321"/>
      <c r="AB110" s="321"/>
      <c r="AC110" s="321"/>
      <c r="AD110" s="321"/>
      <c r="AE110" s="322"/>
      <c r="AF110" s="321"/>
      <c r="AG110" s="321"/>
      <c r="AH110" s="321"/>
      <c r="AI110" s="321"/>
      <c r="AJ110" s="322"/>
      <c r="AK110" s="321"/>
      <c r="AL110" s="321"/>
      <c r="AM110" s="321"/>
      <c r="AN110" s="321"/>
      <c r="AO110" s="322"/>
      <c r="AP110" s="319">
        <v>100</v>
      </c>
      <c r="AQ110" s="320">
        <v>161</v>
      </c>
      <c r="AR110" s="319">
        <v>74</v>
      </c>
      <c r="AS110" s="319">
        <v>215</v>
      </c>
      <c r="AT110" s="318">
        <f>SUM(AP110,AQ110,AR110,AS110)</f>
        <v>550</v>
      </c>
      <c r="AU110" s="319">
        <v>76</v>
      </c>
      <c r="AV110" s="320">
        <v>282</v>
      </c>
      <c r="AW110" s="688">
        <v>191</v>
      </c>
      <c r="AX110" s="321"/>
      <c r="AY110" s="322"/>
      <c r="AZ110" s="321"/>
      <c r="BA110" s="321"/>
      <c r="BB110" s="321"/>
      <c r="BC110" s="321"/>
      <c r="BD110" s="322"/>
      <c r="BE110" s="322"/>
      <c r="BF110" s="322"/>
      <c r="BG110" s="322"/>
      <c r="BH110" s="484"/>
    </row>
    <row r="111" spans="1:60" s="498" customFormat="1" collapsed="1" x14ac:dyDescent="0.25">
      <c r="A111" s="501" t="s">
        <v>748</v>
      </c>
      <c r="B111" s="264"/>
      <c r="C111" s="506"/>
      <c r="D111" s="506"/>
      <c r="E111" s="506"/>
      <c r="F111" s="506"/>
      <c r="G111" s="505"/>
      <c r="H111" s="505"/>
      <c r="I111" s="505"/>
      <c r="J111" s="505"/>
      <c r="K111" s="506"/>
      <c r="L111" s="505"/>
      <c r="M111" s="505"/>
      <c r="N111" s="505"/>
      <c r="O111" s="505"/>
      <c r="P111" s="506"/>
      <c r="Q111" s="505"/>
      <c r="R111" s="505"/>
      <c r="S111" s="505"/>
      <c r="T111" s="505"/>
      <c r="U111" s="506"/>
      <c r="V111" s="505"/>
      <c r="W111" s="505"/>
      <c r="X111" s="505"/>
      <c r="Y111" s="505"/>
      <c r="Z111" s="506"/>
      <c r="AA111" s="505"/>
      <c r="AB111" s="505"/>
      <c r="AC111" s="505"/>
      <c r="AD111" s="505"/>
      <c r="AE111" s="506"/>
      <c r="AF111" s="505"/>
      <c r="AG111" s="505"/>
      <c r="AH111" s="505"/>
      <c r="AI111" s="505"/>
      <c r="AJ111" s="506"/>
      <c r="AK111" s="505"/>
      <c r="AL111" s="505"/>
      <c r="AM111" s="505"/>
      <c r="AN111" s="505"/>
      <c r="AO111" s="506"/>
      <c r="AP111" s="503">
        <f>SUM(AP108:AP110)</f>
        <v>2025</v>
      </c>
      <c r="AQ111" s="504">
        <f t="shared" ref="AQ111:AU111" si="76">SUM(AQ108:AQ110)</f>
        <v>2515</v>
      </c>
      <c r="AR111" s="503">
        <f t="shared" si="76"/>
        <v>2712</v>
      </c>
      <c r="AS111" s="503">
        <f t="shared" si="76"/>
        <v>3300</v>
      </c>
      <c r="AT111" s="502">
        <f t="shared" si="76"/>
        <v>10552</v>
      </c>
      <c r="AU111" s="503">
        <f t="shared" si="76"/>
        <v>3504</v>
      </c>
      <c r="AV111" s="504">
        <f>SUM(AV108:AV110)</f>
        <v>3999</v>
      </c>
      <c r="AW111" s="689">
        <f>SUM(AW108:AW110)</f>
        <v>4256</v>
      </c>
      <c r="AX111" s="505">
        <f t="shared" ref="AX111:BG111" si="77">AX197</f>
        <v>4451.8113225000006</v>
      </c>
      <c r="AY111" s="506">
        <f t="shared" si="77"/>
        <v>15694.063322500002</v>
      </c>
      <c r="AZ111" s="505">
        <f t="shared" si="77"/>
        <v>4845.937952016001</v>
      </c>
      <c r="BA111" s="505">
        <f t="shared" si="77"/>
        <v>5293.0242392873843</v>
      </c>
      <c r="BB111" s="505">
        <f t="shared" si="77"/>
        <v>5750.40178097434</v>
      </c>
      <c r="BC111" s="505">
        <f t="shared" si="77"/>
        <v>6275.2013741536284</v>
      </c>
      <c r="BD111" s="506">
        <f t="shared" si="77"/>
        <v>22164.565346431351</v>
      </c>
      <c r="BE111" s="506">
        <f t="shared" si="77"/>
        <v>27052.293349274903</v>
      </c>
      <c r="BF111" s="506">
        <f t="shared" si="77"/>
        <v>31955.413727486382</v>
      </c>
      <c r="BG111" s="506">
        <f t="shared" si="77"/>
        <v>37618.941559029954</v>
      </c>
      <c r="BH111" s="499"/>
    </row>
    <row r="112" spans="1:60" s="470" customFormat="1" x14ac:dyDescent="0.25">
      <c r="A112" s="483" t="s">
        <v>749</v>
      </c>
      <c r="B112" s="514"/>
      <c r="C112" s="492"/>
      <c r="D112" s="492"/>
      <c r="E112" s="492"/>
      <c r="F112" s="492"/>
      <c r="G112" s="491"/>
      <c r="H112" s="491"/>
      <c r="I112" s="491"/>
      <c r="J112" s="491"/>
      <c r="K112" s="492"/>
      <c r="L112" s="491"/>
      <c r="M112" s="491"/>
      <c r="N112" s="491"/>
      <c r="O112" s="491"/>
      <c r="P112" s="492"/>
      <c r="Q112" s="491"/>
      <c r="R112" s="491"/>
      <c r="S112" s="491"/>
      <c r="T112" s="491"/>
      <c r="U112" s="492"/>
      <c r="V112" s="491"/>
      <c r="W112" s="491"/>
      <c r="X112" s="491"/>
      <c r="Y112" s="491"/>
      <c r="Z112" s="492"/>
      <c r="AA112" s="491"/>
      <c r="AB112" s="491"/>
      <c r="AC112" s="491"/>
      <c r="AD112" s="491"/>
      <c r="AE112" s="492"/>
      <c r="AF112" s="491"/>
      <c r="AG112" s="491"/>
      <c r="AH112" s="491"/>
      <c r="AI112" s="491"/>
      <c r="AJ112" s="492"/>
      <c r="AK112" s="491"/>
      <c r="AL112" s="491"/>
      <c r="AM112" s="491"/>
      <c r="AN112" s="491"/>
      <c r="AO112" s="492"/>
      <c r="AP112" s="490">
        <v>2343</v>
      </c>
      <c r="AQ112" s="497">
        <v>2465</v>
      </c>
      <c r="AR112" s="490">
        <v>2546</v>
      </c>
      <c r="AS112" s="490">
        <v>2724</v>
      </c>
      <c r="AT112" s="489">
        <f>SUM(AP112,AQ112,AR112,AS112)</f>
        <v>10078</v>
      </c>
      <c r="AU112" s="490">
        <v>2921</v>
      </c>
      <c r="AV112" s="497">
        <v>3214</v>
      </c>
      <c r="AW112" s="687">
        <v>3414</v>
      </c>
      <c r="AX112" s="491">
        <f>AX111*AX118</f>
        <v>3472.4128315500006</v>
      </c>
      <c r="AY112" s="492">
        <f>SUM(AU112,AV112,AW112,AX112)</f>
        <v>13021.41283155</v>
      </c>
      <c r="AZ112" s="491">
        <f t="shared" ref="AZ112" si="78">AZ111*AZ118</f>
        <v>3682.9128435321609</v>
      </c>
      <c r="BA112" s="491">
        <f t="shared" ref="BA112" si="79">BA111*BA118</f>
        <v>4022.6984218584121</v>
      </c>
      <c r="BB112" s="491">
        <f t="shared" ref="BB112" si="80">BB111*BB118</f>
        <v>4370.3053535404988</v>
      </c>
      <c r="BC112" s="491">
        <f t="shared" ref="BC112" si="81">BC111*BC118</f>
        <v>4769.1530443567581</v>
      </c>
      <c r="BD112" s="492">
        <f>SUM(AZ112,BA112,BB112,BC112)</f>
        <v>16845.069663287828</v>
      </c>
      <c r="BE112" s="492">
        <f t="shared" ref="BE112" si="82">BE111*BE118</f>
        <v>19477.651211477929</v>
      </c>
      <c r="BF112" s="492">
        <f t="shared" ref="BF112" si="83">BF111*BF118</f>
        <v>22368.789609240466</v>
      </c>
      <c r="BG112" s="492">
        <f t="shared" ref="BG112" si="84">BG111*BG118</f>
        <v>25957.069675730665</v>
      </c>
      <c r="BH112" s="484"/>
    </row>
    <row r="113" spans="1:60" s="470" customFormat="1" x14ac:dyDescent="0.25">
      <c r="A113" s="483" t="s">
        <v>750</v>
      </c>
      <c r="B113" s="514"/>
      <c r="C113" s="492"/>
      <c r="D113" s="492"/>
      <c r="E113" s="492"/>
      <c r="F113" s="492"/>
      <c r="G113" s="491"/>
      <c r="H113" s="491"/>
      <c r="I113" s="491"/>
      <c r="J113" s="491"/>
      <c r="K113" s="492"/>
      <c r="L113" s="491"/>
      <c r="M113" s="491"/>
      <c r="N113" s="491"/>
      <c r="O113" s="491"/>
      <c r="P113" s="492"/>
      <c r="Q113" s="491"/>
      <c r="R113" s="491"/>
      <c r="S113" s="491"/>
      <c r="T113" s="491"/>
      <c r="U113" s="492"/>
      <c r="V113" s="491"/>
      <c r="W113" s="491"/>
      <c r="X113" s="491"/>
      <c r="Y113" s="491"/>
      <c r="Z113" s="492"/>
      <c r="AA113" s="491"/>
      <c r="AB113" s="491"/>
      <c r="AC113" s="491"/>
      <c r="AD113" s="491"/>
      <c r="AE113" s="492"/>
      <c r="AF113" s="491"/>
      <c r="AG113" s="491"/>
      <c r="AH113" s="491"/>
      <c r="AI113" s="491"/>
      <c r="AJ113" s="492"/>
      <c r="AK113" s="491"/>
      <c r="AL113" s="491"/>
      <c r="AM113" s="491"/>
      <c r="AN113" s="491"/>
      <c r="AO113" s="492"/>
      <c r="AP113" s="490">
        <v>732</v>
      </c>
      <c r="AQ113" s="497">
        <v>794</v>
      </c>
      <c r="AR113" s="490">
        <v>727</v>
      </c>
      <c r="AS113" s="490">
        <v>873</v>
      </c>
      <c r="AT113" s="489">
        <f>SUM(AP113,AQ113,AR113,AS113)</f>
        <v>3126</v>
      </c>
      <c r="AU113" s="490">
        <v>970</v>
      </c>
      <c r="AV113" s="497">
        <v>1010</v>
      </c>
      <c r="AW113" s="687">
        <v>1048</v>
      </c>
      <c r="AX113" s="491">
        <f>AX111*AX119</f>
        <v>1112.9528306250002</v>
      </c>
      <c r="AY113" s="492">
        <f>SUM(AU113,AV113,AW113,AX113)</f>
        <v>4140.9528306250004</v>
      </c>
      <c r="AZ113" s="491">
        <f t="shared" ref="AZ113:BC113" si="85">AZ111*AZ119</f>
        <v>1163.0251084838401</v>
      </c>
      <c r="BA113" s="491">
        <f t="shared" si="85"/>
        <v>1270.3258174289722</v>
      </c>
      <c r="BB113" s="491">
        <f t="shared" si="85"/>
        <v>1380.0964274338417</v>
      </c>
      <c r="BC113" s="491">
        <f t="shared" si="85"/>
        <v>1506.0483297968708</v>
      </c>
      <c r="BD113" s="492">
        <f>SUM(AZ113,BA113,BB113,BC113)</f>
        <v>5319.4956831435247</v>
      </c>
      <c r="BE113" s="492">
        <f t="shared" ref="BE113:BG113" si="86">BE111*BE119</f>
        <v>6222.0274703332279</v>
      </c>
      <c r="BF113" s="492">
        <f t="shared" si="86"/>
        <v>7349.7451573218686</v>
      </c>
      <c r="BG113" s="492">
        <f t="shared" si="86"/>
        <v>9028.5459741671893</v>
      </c>
      <c r="BH113" s="484"/>
    </row>
    <row r="114" spans="1:60" s="470" customFormat="1" x14ac:dyDescent="0.25">
      <c r="A114" s="483" t="s">
        <v>751</v>
      </c>
      <c r="B114" s="514"/>
      <c r="C114" s="492"/>
      <c r="D114" s="492"/>
      <c r="E114" s="492"/>
      <c r="F114" s="492"/>
      <c r="G114" s="491"/>
      <c r="H114" s="491"/>
      <c r="I114" s="491"/>
      <c r="J114" s="491"/>
      <c r="K114" s="492"/>
      <c r="L114" s="491"/>
      <c r="M114" s="491"/>
      <c r="N114" s="491"/>
      <c r="O114" s="491"/>
      <c r="P114" s="492"/>
      <c r="Q114" s="491"/>
      <c r="R114" s="491"/>
      <c r="S114" s="491"/>
      <c r="T114" s="491"/>
      <c r="U114" s="492"/>
      <c r="V114" s="491"/>
      <c r="W114" s="491"/>
      <c r="X114" s="491"/>
      <c r="Y114" s="491"/>
      <c r="Z114" s="492"/>
      <c r="AA114" s="491"/>
      <c r="AB114" s="491"/>
      <c r="AC114" s="491"/>
      <c r="AD114" s="491"/>
      <c r="AE114" s="492"/>
      <c r="AF114" s="491"/>
      <c r="AG114" s="491"/>
      <c r="AH114" s="491"/>
      <c r="AI114" s="491"/>
      <c r="AJ114" s="492"/>
      <c r="AK114" s="491"/>
      <c r="AL114" s="491"/>
      <c r="AM114" s="491"/>
      <c r="AN114" s="491"/>
      <c r="AO114" s="492"/>
      <c r="AP114" s="490">
        <v>60</v>
      </c>
      <c r="AQ114" s="497">
        <v>60</v>
      </c>
      <c r="AR114" s="490">
        <v>63</v>
      </c>
      <c r="AS114" s="490">
        <v>77</v>
      </c>
      <c r="AT114" s="489">
        <f>SUM(AP114,AQ114,AR114,AS114)</f>
        <v>260</v>
      </c>
      <c r="AU114" s="490">
        <v>79</v>
      </c>
      <c r="AV114" s="497">
        <v>65</v>
      </c>
      <c r="AW114" s="687">
        <v>87</v>
      </c>
      <c r="AX114" s="496">
        <v>65</v>
      </c>
      <c r="AY114" s="492">
        <f>SUM(AU114,AV114,AW114,AX114)</f>
        <v>296</v>
      </c>
      <c r="AZ114" s="496">
        <v>65</v>
      </c>
      <c r="BA114" s="496">
        <v>65</v>
      </c>
      <c r="BB114" s="496">
        <v>65</v>
      </c>
      <c r="BC114" s="496">
        <v>65</v>
      </c>
      <c r="BD114" s="492">
        <f>SUM(AZ114,BA114,BB114,BC114)</f>
        <v>260</v>
      </c>
      <c r="BE114" s="361">
        <v>260</v>
      </c>
      <c r="BF114" s="361">
        <v>260</v>
      </c>
      <c r="BG114" s="361">
        <v>260</v>
      </c>
      <c r="BH114" s="484"/>
    </row>
    <row r="115" spans="1:60" s="470" customFormat="1" x14ac:dyDescent="0.25">
      <c r="A115" s="218" t="s">
        <v>752</v>
      </c>
      <c r="B115" s="573"/>
      <c r="C115" s="322"/>
      <c r="D115" s="322"/>
      <c r="E115" s="322"/>
      <c r="F115" s="322"/>
      <c r="G115" s="321"/>
      <c r="H115" s="321"/>
      <c r="I115" s="321"/>
      <c r="J115" s="321"/>
      <c r="K115" s="322"/>
      <c r="L115" s="321"/>
      <c r="M115" s="321"/>
      <c r="N115" s="321"/>
      <c r="O115" s="321"/>
      <c r="P115" s="322"/>
      <c r="Q115" s="321"/>
      <c r="R115" s="321"/>
      <c r="S115" s="321"/>
      <c r="T115" s="321"/>
      <c r="U115" s="322"/>
      <c r="V115" s="321"/>
      <c r="W115" s="321"/>
      <c r="X115" s="321"/>
      <c r="Y115" s="321"/>
      <c r="Z115" s="322"/>
      <c r="AA115" s="321"/>
      <c r="AB115" s="321"/>
      <c r="AC115" s="321"/>
      <c r="AD115" s="321"/>
      <c r="AE115" s="322"/>
      <c r="AF115" s="321"/>
      <c r="AG115" s="321"/>
      <c r="AH115" s="321"/>
      <c r="AI115" s="321"/>
      <c r="AJ115" s="322"/>
      <c r="AK115" s="321"/>
      <c r="AL115" s="321"/>
      <c r="AM115" s="321"/>
      <c r="AN115" s="321"/>
      <c r="AO115" s="322"/>
      <c r="AP115" s="319">
        <v>0</v>
      </c>
      <c r="AQ115" s="320">
        <v>1</v>
      </c>
      <c r="AR115" s="319">
        <v>0</v>
      </c>
      <c r="AS115" s="319">
        <v>0</v>
      </c>
      <c r="AT115" s="318">
        <f>SUM(AP115,AQ115,AR115,AS115)</f>
        <v>1</v>
      </c>
      <c r="AU115" s="319">
        <v>0</v>
      </c>
      <c r="AV115" s="321"/>
      <c r="AW115" s="688">
        <v>0</v>
      </c>
      <c r="AX115" s="360">
        <v>0</v>
      </c>
      <c r="AY115" s="322">
        <f>SUM(AU115,AV115,AW115,AX115)</f>
        <v>0</v>
      </c>
      <c r="AZ115" s="360">
        <v>0</v>
      </c>
      <c r="BA115" s="360">
        <v>0</v>
      </c>
      <c r="BB115" s="360">
        <v>0</v>
      </c>
      <c r="BC115" s="360">
        <v>0</v>
      </c>
      <c r="BD115" s="322">
        <f>SUM(AZ115,BA115,BB115,BC115)</f>
        <v>0</v>
      </c>
      <c r="BE115" s="362">
        <v>0</v>
      </c>
      <c r="BF115" s="362">
        <v>0</v>
      </c>
      <c r="BG115" s="362">
        <v>0</v>
      </c>
      <c r="BH115" s="484"/>
    </row>
    <row r="116" spans="1:60" s="498" customFormat="1" x14ac:dyDescent="0.25">
      <c r="A116" s="501" t="s">
        <v>753</v>
      </c>
      <c r="B116" s="264"/>
      <c r="C116" s="506"/>
      <c r="D116" s="506"/>
      <c r="E116" s="506"/>
      <c r="F116" s="506"/>
      <c r="G116" s="505"/>
      <c r="H116" s="505"/>
      <c r="I116" s="505"/>
      <c r="J116" s="505"/>
      <c r="K116" s="506"/>
      <c r="L116" s="505"/>
      <c r="M116" s="505"/>
      <c r="N116" s="505"/>
      <c r="O116" s="505"/>
      <c r="P116" s="506"/>
      <c r="Q116" s="505"/>
      <c r="R116" s="505"/>
      <c r="S116" s="505"/>
      <c r="T116" s="505"/>
      <c r="U116" s="506"/>
      <c r="V116" s="505"/>
      <c r="W116" s="505"/>
      <c r="X116" s="505"/>
      <c r="Y116" s="505"/>
      <c r="Z116" s="506"/>
      <c r="AA116" s="505"/>
      <c r="AB116" s="505"/>
      <c r="AC116" s="505"/>
      <c r="AD116" s="505"/>
      <c r="AE116" s="506"/>
      <c r="AF116" s="505"/>
      <c r="AG116" s="505"/>
      <c r="AH116" s="505"/>
      <c r="AI116" s="505"/>
      <c r="AJ116" s="506"/>
      <c r="AK116" s="505"/>
      <c r="AL116" s="505"/>
      <c r="AM116" s="505"/>
      <c r="AN116" s="505"/>
      <c r="AO116" s="506"/>
      <c r="AP116" s="503">
        <f>AP111-SUM(AP112:AP115)</f>
        <v>-1110</v>
      </c>
      <c r="AQ116" s="504">
        <f t="shared" ref="AQ116:AU116" si="87">AQ111-SUM(AQ112:AQ115)</f>
        <v>-805</v>
      </c>
      <c r="AR116" s="503">
        <f t="shared" si="87"/>
        <v>-624</v>
      </c>
      <c r="AS116" s="503">
        <f t="shared" si="87"/>
        <v>-374</v>
      </c>
      <c r="AT116" s="502">
        <f t="shared" si="87"/>
        <v>-2913</v>
      </c>
      <c r="AU116" s="503">
        <f t="shared" si="87"/>
        <v>-466</v>
      </c>
      <c r="AV116" s="504">
        <f>AV111-SUM(AV112:AV115)</f>
        <v>-290</v>
      </c>
      <c r="AW116" s="689">
        <f>AW111-SUM(AW112:AW115)</f>
        <v>-293</v>
      </c>
      <c r="AX116" s="505">
        <f t="shared" ref="AX116" si="88">AX111-SUM(AX112:AX115)</f>
        <v>-198.55433967499994</v>
      </c>
      <c r="AY116" s="506">
        <f t="shared" ref="AY116" si="89">AY111-SUM(AY112:AY115)</f>
        <v>-1764.3023396749995</v>
      </c>
      <c r="AZ116" s="505">
        <f t="shared" ref="AZ116" si="90">AZ111-SUM(AZ112:AZ115)</f>
        <v>-65</v>
      </c>
      <c r="BA116" s="505">
        <f t="shared" ref="BA116" si="91">BA111-SUM(BA112:BA115)</f>
        <v>-65</v>
      </c>
      <c r="BB116" s="505">
        <f t="shared" ref="BB116" si="92">BB111-SUM(BB112:BB115)</f>
        <v>-65</v>
      </c>
      <c r="BC116" s="505">
        <f t="shared" ref="BC116" si="93">BC111-SUM(BC112:BC115)</f>
        <v>-65</v>
      </c>
      <c r="BD116" s="506">
        <f t="shared" ref="BD116" si="94">BD111-SUM(BD112:BD115)</f>
        <v>-260</v>
      </c>
      <c r="BE116" s="506">
        <f t="shared" ref="BE116" si="95">BE111-SUM(BE112:BE115)</f>
        <v>1092.6146674637457</v>
      </c>
      <c r="BF116" s="506">
        <f t="shared" ref="BF116" si="96">BF111-SUM(BF112:BF115)</f>
        <v>1976.8789609240484</v>
      </c>
      <c r="BG116" s="506">
        <f t="shared" ref="BG116" si="97">BG111-SUM(BG112:BG115)</f>
        <v>2373.3259091321015</v>
      </c>
      <c r="BH116" s="499"/>
    </row>
    <row r="117" spans="1:60" s="469" customFormat="1" x14ac:dyDescent="0.25">
      <c r="A117" s="748"/>
      <c r="B117" s="246"/>
      <c r="C117" s="478"/>
      <c r="D117" s="478"/>
      <c r="E117" s="478"/>
      <c r="F117" s="478"/>
      <c r="G117" s="480"/>
      <c r="H117" s="480"/>
      <c r="I117" s="480"/>
      <c r="J117" s="480"/>
      <c r="K117" s="478"/>
      <c r="L117" s="480"/>
      <c r="M117" s="480"/>
      <c r="N117" s="480"/>
      <c r="O117" s="480"/>
      <c r="P117" s="478"/>
      <c r="Q117" s="480"/>
      <c r="R117" s="480"/>
      <c r="S117" s="480"/>
      <c r="T117" s="480"/>
      <c r="U117" s="478"/>
      <c r="V117" s="480"/>
      <c r="W117" s="480"/>
      <c r="X117" s="480"/>
      <c r="Y117" s="480"/>
      <c r="Z117" s="478"/>
      <c r="AA117" s="480"/>
      <c r="AB117" s="480"/>
      <c r="AC117" s="480"/>
      <c r="AD117" s="480"/>
      <c r="AE117" s="478"/>
      <c r="AF117" s="480"/>
      <c r="AG117" s="480"/>
      <c r="AH117" s="480"/>
      <c r="AI117" s="480"/>
      <c r="AJ117" s="478"/>
      <c r="AK117" s="480"/>
      <c r="AL117" s="480"/>
      <c r="AM117" s="480"/>
      <c r="AN117" s="480"/>
      <c r="AO117" s="478"/>
      <c r="AP117" s="480"/>
      <c r="AQ117" s="480"/>
      <c r="AR117" s="480"/>
      <c r="AS117" s="480"/>
      <c r="AT117" s="478"/>
      <c r="AU117" s="480"/>
      <c r="AV117" s="480"/>
      <c r="AW117" s="708"/>
      <c r="AX117" s="480"/>
      <c r="AY117" s="478"/>
      <c r="AZ117" s="480"/>
      <c r="BA117" s="480"/>
      <c r="BB117" s="480"/>
      <c r="BC117" s="480"/>
      <c r="BD117" s="478"/>
      <c r="BE117" s="478"/>
      <c r="BF117" s="478"/>
      <c r="BG117" s="478"/>
      <c r="BH117" s="473"/>
    </row>
    <row r="118" spans="1:60" s="343" customFormat="1" x14ac:dyDescent="0.25">
      <c r="A118" s="168" t="s">
        <v>758</v>
      </c>
      <c r="B118" s="655"/>
      <c r="C118" s="183"/>
      <c r="D118" s="183"/>
      <c r="E118" s="183"/>
      <c r="F118" s="183"/>
      <c r="G118" s="634"/>
      <c r="H118" s="634"/>
      <c r="I118" s="634"/>
      <c r="J118" s="634"/>
      <c r="K118" s="183"/>
      <c r="L118" s="634"/>
      <c r="M118" s="634"/>
      <c r="N118" s="634"/>
      <c r="O118" s="634"/>
      <c r="P118" s="183"/>
      <c r="Q118" s="634"/>
      <c r="R118" s="634"/>
      <c r="S118" s="634"/>
      <c r="T118" s="634"/>
      <c r="U118" s="183"/>
      <c r="V118" s="634"/>
      <c r="W118" s="634"/>
      <c r="X118" s="634"/>
      <c r="Y118" s="634"/>
      <c r="Z118" s="183"/>
      <c r="AA118" s="634"/>
      <c r="AB118" s="634"/>
      <c r="AC118" s="634"/>
      <c r="AD118" s="634"/>
      <c r="AE118" s="183"/>
      <c r="AF118" s="634"/>
      <c r="AG118" s="634"/>
      <c r="AH118" s="634"/>
      <c r="AI118" s="634"/>
      <c r="AJ118" s="183"/>
      <c r="AK118" s="634"/>
      <c r="AL118" s="634"/>
      <c r="AM118" s="634"/>
      <c r="AN118" s="634"/>
      <c r="AO118" s="183"/>
      <c r="AP118" s="340">
        <f>AP112/AP111</f>
        <v>1.1570370370370371</v>
      </c>
      <c r="AQ118" s="341">
        <f t="shared" ref="AQ118:AT118" si="98">AQ112/AQ111</f>
        <v>0.98011928429423456</v>
      </c>
      <c r="AR118" s="340">
        <f t="shared" si="98"/>
        <v>0.9387905604719764</v>
      </c>
      <c r="AS118" s="340">
        <f t="shared" si="98"/>
        <v>0.82545454545454544</v>
      </c>
      <c r="AT118" s="339">
        <f t="shared" si="98"/>
        <v>0.95507960576194084</v>
      </c>
      <c r="AU118" s="340">
        <f>AU112/AU111</f>
        <v>0.83361872146118721</v>
      </c>
      <c r="AV118" s="341">
        <f>AV112/AV111</f>
        <v>0.80370092523130787</v>
      </c>
      <c r="AW118" s="690">
        <f>AW112/AW111</f>
        <v>0.80216165413533835</v>
      </c>
      <c r="AX118" s="356">
        <v>0.78</v>
      </c>
      <c r="AY118" s="183">
        <f t="shared" ref="AY118" si="99">AY112/AY111</f>
        <v>0.82970308988633168</v>
      </c>
      <c r="AZ118" s="356">
        <v>0.76</v>
      </c>
      <c r="BA118" s="356">
        <v>0.76</v>
      </c>
      <c r="BB118" s="356">
        <v>0.76</v>
      </c>
      <c r="BC118" s="356">
        <v>0.76</v>
      </c>
      <c r="BD118" s="183">
        <f t="shared" ref="BD118" si="100">BD112/BD111</f>
        <v>0.76</v>
      </c>
      <c r="BE118" s="358">
        <v>0.72</v>
      </c>
      <c r="BF118" s="358">
        <v>0.7</v>
      </c>
      <c r="BG118" s="358">
        <v>0.69</v>
      </c>
      <c r="BH118" s="342"/>
    </row>
    <row r="119" spans="1:60" s="343" customFormat="1" x14ac:dyDescent="0.25">
      <c r="A119" s="344" t="s">
        <v>756</v>
      </c>
      <c r="B119" s="749"/>
      <c r="C119" s="348"/>
      <c r="D119" s="348"/>
      <c r="E119" s="348"/>
      <c r="F119" s="348"/>
      <c r="G119" s="738"/>
      <c r="H119" s="738"/>
      <c r="I119" s="738"/>
      <c r="J119" s="738"/>
      <c r="K119" s="348"/>
      <c r="L119" s="738"/>
      <c r="M119" s="738"/>
      <c r="N119" s="738"/>
      <c r="O119" s="738"/>
      <c r="P119" s="348"/>
      <c r="Q119" s="738"/>
      <c r="R119" s="738"/>
      <c r="S119" s="738"/>
      <c r="T119" s="738"/>
      <c r="U119" s="348"/>
      <c r="V119" s="738"/>
      <c r="W119" s="738"/>
      <c r="X119" s="738"/>
      <c r="Y119" s="738"/>
      <c r="Z119" s="348"/>
      <c r="AA119" s="738"/>
      <c r="AB119" s="738"/>
      <c r="AC119" s="738"/>
      <c r="AD119" s="738"/>
      <c r="AE119" s="348"/>
      <c r="AF119" s="738"/>
      <c r="AG119" s="738"/>
      <c r="AH119" s="738"/>
      <c r="AI119" s="738"/>
      <c r="AJ119" s="348"/>
      <c r="AK119" s="738"/>
      <c r="AL119" s="738"/>
      <c r="AM119" s="738"/>
      <c r="AN119" s="738"/>
      <c r="AO119" s="348"/>
      <c r="AP119" s="346">
        <f>AP113/AP111</f>
        <v>0.36148148148148146</v>
      </c>
      <c r="AQ119" s="347">
        <f t="shared" ref="AQ119:AT119" si="101">AQ113/AQ111</f>
        <v>0.31570576540755468</v>
      </c>
      <c r="AR119" s="346">
        <f t="shared" si="101"/>
        <v>0.26806784660766964</v>
      </c>
      <c r="AS119" s="346">
        <f t="shared" si="101"/>
        <v>0.26454545454545453</v>
      </c>
      <c r="AT119" s="345">
        <f t="shared" si="101"/>
        <v>0.29624715693707354</v>
      </c>
      <c r="AU119" s="346">
        <f>AU113/AU111</f>
        <v>0.27682648401826482</v>
      </c>
      <c r="AV119" s="347">
        <f>AV113/AV111</f>
        <v>0.25256314078519632</v>
      </c>
      <c r="AW119" s="870">
        <f>AW113/AW111</f>
        <v>0.2462406015037594</v>
      </c>
      <c r="AX119" s="357">
        <v>0.25</v>
      </c>
      <c r="AY119" s="348">
        <f t="shared" ref="AY119" si="102">AY113/AY111</f>
        <v>0.26385472936688542</v>
      </c>
      <c r="AZ119" s="357">
        <v>0.24</v>
      </c>
      <c r="BA119" s="357">
        <v>0.24</v>
      </c>
      <c r="BB119" s="357">
        <v>0.24</v>
      </c>
      <c r="BC119" s="357">
        <v>0.24</v>
      </c>
      <c r="BD119" s="348">
        <f t="shared" ref="BD119" si="103">BD113/BD111</f>
        <v>0.24000000000000002</v>
      </c>
      <c r="BE119" s="359">
        <v>0.23</v>
      </c>
      <c r="BF119" s="359">
        <v>0.23</v>
      </c>
      <c r="BG119" s="359">
        <v>0.24</v>
      </c>
      <c r="BH119" s="342"/>
    </row>
    <row r="120" spans="1:60" s="343" customFormat="1" x14ac:dyDescent="0.25">
      <c r="A120" s="684" t="s">
        <v>757</v>
      </c>
      <c r="B120" s="655"/>
      <c r="C120" s="183"/>
      <c r="D120" s="183"/>
      <c r="E120" s="183"/>
      <c r="F120" s="183"/>
      <c r="G120" s="634"/>
      <c r="H120" s="634"/>
      <c r="I120" s="634"/>
      <c r="J120" s="634"/>
      <c r="K120" s="183"/>
      <c r="L120" s="634"/>
      <c r="M120" s="634"/>
      <c r="N120" s="634"/>
      <c r="O120" s="634"/>
      <c r="P120" s="183"/>
      <c r="Q120" s="634"/>
      <c r="R120" s="634"/>
      <c r="S120" s="634"/>
      <c r="T120" s="634"/>
      <c r="U120" s="183"/>
      <c r="V120" s="634"/>
      <c r="W120" s="634"/>
      <c r="X120" s="634"/>
      <c r="Y120" s="634"/>
      <c r="Z120" s="183"/>
      <c r="AA120" s="634"/>
      <c r="AB120" s="634"/>
      <c r="AC120" s="634"/>
      <c r="AD120" s="634"/>
      <c r="AE120" s="183"/>
      <c r="AF120" s="634"/>
      <c r="AG120" s="634"/>
      <c r="AH120" s="634"/>
      <c r="AI120" s="634"/>
      <c r="AJ120" s="183"/>
      <c r="AK120" s="634"/>
      <c r="AL120" s="634"/>
      <c r="AM120" s="634"/>
      <c r="AN120" s="634"/>
      <c r="AO120" s="183"/>
      <c r="AP120" s="340">
        <f>AP116/AP111</f>
        <v>-0.54814814814814816</v>
      </c>
      <c r="AQ120" s="341">
        <f t="shared" ref="AQ120:BG120" si="104">AQ116/AQ111</f>
        <v>-0.32007952286282304</v>
      </c>
      <c r="AR120" s="340">
        <f>AR116/AR111</f>
        <v>-0.23008849557522124</v>
      </c>
      <c r="AS120" s="340">
        <f t="shared" si="104"/>
        <v>-0.11333333333333333</v>
      </c>
      <c r="AT120" s="339">
        <f t="shared" si="104"/>
        <v>-0.27606141015921154</v>
      </c>
      <c r="AU120" s="340">
        <f>AU116/AU111</f>
        <v>-0.13299086757990869</v>
      </c>
      <c r="AV120" s="341">
        <f>AV116/AV111</f>
        <v>-7.2518129532383097E-2</v>
      </c>
      <c r="AW120" s="690">
        <f>AW116/AW111</f>
        <v>-6.8843984962406013E-2</v>
      </c>
      <c r="AX120" s="634">
        <f t="shared" si="104"/>
        <v>-4.4600798482065475E-2</v>
      </c>
      <c r="AY120" s="183">
        <f t="shared" si="104"/>
        <v>-0.11241845425369121</v>
      </c>
      <c r="AZ120" s="634">
        <f t="shared" si="104"/>
        <v>-1.3413295969453919E-2</v>
      </c>
      <c r="BA120" s="634">
        <f t="shared" si="104"/>
        <v>-1.228031406271269E-2</v>
      </c>
      <c r="BB120" s="634">
        <f t="shared" si="104"/>
        <v>-1.1303557990514272E-2</v>
      </c>
      <c r="BC120" s="634">
        <f t="shared" si="104"/>
        <v>-1.0358233325821661E-2</v>
      </c>
      <c r="BD120" s="183">
        <f t="shared" si="104"/>
        <v>-1.1730435311327312E-2</v>
      </c>
      <c r="BE120" s="183">
        <f t="shared" si="104"/>
        <v>4.0388984895176422E-2</v>
      </c>
      <c r="BF120" s="183">
        <f t="shared" si="104"/>
        <v>6.1863663471320982E-2</v>
      </c>
      <c r="BG120" s="183">
        <f t="shared" si="104"/>
        <v>6.3088588109476318E-2</v>
      </c>
      <c r="BH120" s="342"/>
    </row>
    <row r="121" spans="1:60" s="469" customFormat="1" x14ac:dyDescent="0.25">
      <c r="A121" s="748"/>
      <c r="B121" s="246"/>
      <c r="C121" s="478"/>
      <c r="D121" s="478"/>
      <c r="E121" s="478"/>
      <c r="F121" s="478"/>
      <c r="G121" s="480"/>
      <c r="H121" s="480"/>
      <c r="I121" s="480"/>
      <c r="J121" s="480"/>
      <c r="K121" s="478"/>
      <c r="L121" s="480"/>
      <c r="M121" s="480"/>
      <c r="N121" s="480"/>
      <c r="O121" s="480"/>
      <c r="P121" s="478"/>
      <c r="Q121" s="480"/>
      <c r="R121" s="480"/>
      <c r="S121" s="480"/>
      <c r="T121" s="480"/>
      <c r="U121" s="478"/>
      <c r="V121" s="480"/>
      <c r="W121" s="480"/>
      <c r="X121" s="480"/>
      <c r="Y121" s="480"/>
      <c r="Z121" s="478"/>
      <c r="AA121" s="480"/>
      <c r="AB121" s="480"/>
      <c r="AC121" s="480"/>
      <c r="AD121" s="480"/>
      <c r="AE121" s="478"/>
      <c r="AF121" s="480"/>
      <c r="AG121" s="480"/>
      <c r="AH121" s="480"/>
      <c r="AI121" s="480"/>
      <c r="AJ121" s="478"/>
      <c r="AK121" s="480"/>
      <c r="AL121" s="480"/>
      <c r="AM121" s="480"/>
      <c r="AN121" s="480"/>
      <c r="AO121" s="478"/>
      <c r="AP121" s="480"/>
      <c r="AQ121" s="480"/>
      <c r="AR121" s="480"/>
      <c r="AS121" s="480"/>
      <c r="AT121" s="478"/>
      <c r="AU121" s="480"/>
      <c r="AV121" s="480"/>
      <c r="AW121" s="708"/>
      <c r="AX121" s="480"/>
      <c r="AY121" s="478"/>
      <c r="AZ121" s="480"/>
      <c r="BA121" s="480"/>
      <c r="BB121" s="480"/>
      <c r="BC121" s="480"/>
      <c r="BD121" s="478"/>
      <c r="BE121" s="478"/>
      <c r="BF121" s="478"/>
      <c r="BG121" s="478"/>
      <c r="BH121" s="473"/>
    </row>
    <row r="122" spans="1:60" s="470" customFormat="1" x14ac:dyDescent="0.25">
      <c r="A122" s="483" t="s">
        <v>768</v>
      </c>
      <c r="B122" s="514"/>
      <c r="C122" s="492"/>
      <c r="D122" s="492"/>
      <c r="E122" s="492"/>
      <c r="F122" s="492"/>
      <c r="G122" s="491"/>
      <c r="H122" s="491"/>
      <c r="I122" s="491"/>
      <c r="J122" s="491"/>
      <c r="K122" s="492"/>
      <c r="L122" s="491"/>
      <c r="M122" s="491"/>
      <c r="N122" s="491"/>
      <c r="O122" s="491"/>
      <c r="P122" s="492"/>
      <c r="Q122" s="491"/>
      <c r="R122" s="491"/>
      <c r="S122" s="491"/>
      <c r="T122" s="491"/>
      <c r="U122" s="492"/>
      <c r="V122" s="491"/>
      <c r="W122" s="491"/>
      <c r="X122" s="491"/>
      <c r="Y122" s="491"/>
      <c r="Z122" s="492"/>
      <c r="AA122" s="491"/>
      <c r="AB122" s="491"/>
      <c r="AC122" s="491"/>
      <c r="AD122" s="491"/>
      <c r="AE122" s="492"/>
      <c r="AF122" s="491"/>
      <c r="AG122" s="491"/>
      <c r="AH122" s="491"/>
      <c r="AI122" s="491"/>
      <c r="AJ122" s="492"/>
      <c r="AK122" s="491"/>
      <c r="AL122" s="491"/>
      <c r="AM122" s="491"/>
      <c r="AN122" s="491"/>
      <c r="AO122" s="492"/>
      <c r="AP122" s="490">
        <v>1439</v>
      </c>
      <c r="AQ122" s="497">
        <v>1524</v>
      </c>
      <c r="AR122" s="490">
        <v>1411</v>
      </c>
      <c r="AS122" s="490">
        <v>1299</v>
      </c>
      <c r="AT122" s="489">
        <f>SUM(AP122,AQ122,AR122,AS122)</f>
        <v>5673</v>
      </c>
      <c r="AU122" s="490">
        <v>1022</v>
      </c>
      <c r="AV122" s="497">
        <v>1344</v>
      </c>
      <c r="AW122" s="687">
        <v>1012</v>
      </c>
      <c r="AX122" s="491">
        <f>AS122*(1+AX17)</f>
        <v>1493.85</v>
      </c>
      <c r="AY122" s="492">
        <f>SUM(AU122,AV122,AW122,AX122)</f>
        <v>4871.8500000000004</v>
      </c>
      <c r="AZ122" s="491">
        <f t="shared" ref="AZ122:BC124" si="105">AU122*(1+AZ17)</f>
        <v>1124.2</v>
      </c>
      <c r="BA122" s="491">
        <f t="shared" si="105"/>
        <v>1478.4</v>
      </c>
      <c r="BB122" s="491">
        <f t="shared" si="105"/>
        <v>1163.8</v>
      </c>
      <c r="BC122" s="491">
        <f t="shared" si="105"/>
        <v>1717.9274999999998</v>
      </c>
      <c r="BD122" s="492">
        <f>SUM(AZ122,BA122,BB122,BC122)</f>
        <v>5484.3275000000003</v>
      </c>
      <c r="BE122" s="492">
        <f t="shared" ref="BE122:BG124" si="106">BD122*(1+BE17)</f>
        <v>6032.7602500000012</v>
      </c>
      <c r="BF122" s="492">
        <f t="shared" si="106"/>
        <v>6515.3810700000013</v>
      </c>
      <c r="BG122" s="492">
        <f t="shared" si="106"/>
        <v>7166.9191770000016</v>
      </c>
      <c r="BH122" s="484"/>
    </row>
    <row r="123" spans="1:60" s="470" customFormat="1" x14ac:dyDescent="0.25">
      <c r="A123" s="483" t="s">
        <v>769</v>
      </c>
      <c r="B123" s="514"/>
      <c r="C123" s="492"/>
      <c r="D123" s="492"/>
      <c r="E123" s="492"/>
      <c r="F123" s="492"/>
      <c r="G123" s="491"/>
      <c r="H123" s="491"/>
      <c r="I123" s="491"/>
      <c r="J123" s="491"/>
      <c r="K123" s="492"/>
      <c r="L123" s="491"/>
      <c r="M123" s="491"/>
      <c r="N123" s="491"/>
      <c r="O123" s="491"/>
      <c r="P123" s="492"/>
      <c r="Q123" s="491"/>
      <c r="R123" s="491"/>
      <c r="S123" s="491"/>
      <c r="T123" s="491"/>
      <c r="U123" s="492"/>
      <c r="V123" s="491"/>
      <c r="W123" s="491"/>
      <c r="X123" s="491"/>
      <c r="Y123" s="491"/>
      <c r="Z123" s="492"/>
      <c r="AA123" s="491"/>
      <c r="AB123" s="491"/>
      <c r="AC123" s="491"/>
      <c r="AD123" s="491"/>
      <c r="AE123" s="492"/>
      <c r="AF123" s="491"/>
      <c r="AG123" s="491"/>
      <c r="AH123" s="491"/>
      <c r="AI123" s="491"/>
      <c r="AJ123" s="492"/>
      <c r="AK123" s="491"/>
      <c r="AL123" s="491"/>
      <c r="AM123" s="491"/>
      <c r="AN123" s="491"/>
      <c r="AO123" s="492"/>
      <c r="AP123" s="490">
        <v>1408</v>
      </c>
      <c r="AQ123" s="497">
        <v>603</v>
      </c>
      <c r="AR123" s="490">
        <v>51</v>
      </c>
      <c r="AS123" s="490">
        <v>72</v>
      </c>
      <c r="AT123" s="489">
        <f>SUM(AP123,AQ123,AR123,AS123)</f>
        <v>2134</v>
      </c>
      <c r="AU123" s="490">
        <v>31</v>
      </c>
      <c r="AV123" s="497">
        <v>109</v>
      </c>
      <c r="AW123" s="687">
        <v>140</v>
      </c>
      <c r="AX123" s="491">
        <f>AS123*(1+AX18)</f>
        <v>61.199999999999996</v>
      </c>
      <c r="AY123" s="492">
        <f>SUM(AU123,AV123,AW123,AX123)</f>
        <v>341.2</v>
      </c>
      <c r="AZ123" s="491">
        <f t="shared" si="105"/>
        <v>651</v>
      </c>
      <c r="BA123" s="491">
        <f t="shared" si="105"/>
        <v>1199</v>
      </c>
      <c r="BB123" s="491">
        <f t="shared" si="105"/>
        <v>2240</v>
      </c>
      <c r="BC123" s="491">
        <f t="shared" si="105"/>
        <v>1285.1999999999998</v>
      </c>
      <c r="BD123" s="492">
        <f>SUM(AZ123,BA123,BB123,BC123)</f>
        <v>5375.2</v>
      </c>
      <c r="BE123" s="492">
        <f t="shared" si="106"/>
        <v>5912.72</v>
      </c>
      <c r="BF123" s="492">
        <f t="shared" si="106"/>
        <v>6385.7376000000004</v>
      </c>
      <c r="BG123" s="492">
        <f t="shared" si="106"/>
        <v>7024.3113600000006</v>
      </c>
      <c r="BH123" s="484"/>
    </row>
    <row r="124" spans="1:60" s="470" customFormat="1" x14ac:dyDescent="0.25">
      <c r="A124" s="483" t="s">
        <v>770</v>
      </c>
      <c r="B124" s="514"/>
      <c r="C124" s="492"/>
      <c r="D124" s="492"/>
      <c r="E124" s="492"/>
      <c r="F124" s="492"/>
      <c r="G124" s="491"/>
      <c r="H124" s="491"/>
      <c r="I124" s="491"/>
      <c r="J124" s="491"/>
      <c r="K124" s="492"/>
      <c r="L124" s="491"/>
      <c r="M124" s="491"/>
      <c r="N124" s="491"/>
      <c r="O124" s="491"/>
      <c r="P124" s="492"/>
      <c r="Q124" s="491"/>
      <c r="R124" s="491"/>
      <c r="S124" s="491"/>
      <c r="T124" s="491"/>
      <c r="U124" s="492"/>
      <c r="V124" s="491"/>
      <c r="W124" s="491"/>
      <c r="X124" s="491"/>
      <c r="Y124" s="491"/>
      <c r="Z124" s="492"/>
      <c r="AA124" s="491"/>
      <c r="AB124" s="491"/>
      <c r="AC124" s="491"/>
      <c r="AD124" s="491"/>
      <c r="AE124" s="492"/>
      <c r="AF124" s="491"/>
      <c r="AG124" s="491"/>
      <c r="AH124" s="491"/>
      <c r="AI124" s="491"/>
      <c r="AJ124" s="492"/>
      <c r="AK124" s="491"/>
      <c r="AL124" s="491"/>
      <c r="AM124" s="491"/>
      <c r="AN124" s="491"/>
      <c r="AO124" s="492"/>
      <c r="AP124" s="490">
        <v>596</v>
      </c>
      <c r="AQ124" s="497">
        <v>489</v>
      </c>
      <c r="AR124" s="490">
        <v>470</v>
      </c>
      <c r="AS124" s="490">
        <v>247</v>
      </c>
      <c r="AT124" s="489">
        <f>SUM(AP124,AQ124,AR124,AS124)</f>
        <v>1802</v>
      </c>
      <c r="AU124" s="490">
        <v>300</v>
      </c>
      <c r="AV124" s="497">
        <v>219</v>
      </c>
      <c r="AW124" s="687">
        <v>236</v>
      </c>
      <c r="AX124" s="491">
        <f>AS124*(1+AX19)</f>
        <v>296.39999999999998</v>
      </c>
      <c r="AY124" s="492">
        <f>SUM(AU124,AV124,AW124,AX124)</f>
        <v>1051.4000000000001</v>
      </c>
      <c r="AZ124" s="491">
        <f t="shared" si="105"/>
        <v>360</v>
      </c>
      <c r="BA124" s="491">
        <f t="shared" si="105"/>
        <v>262.8</v>
      </c>
      <c r="BB124" s="491">
        <f t="shared" si="105"/>
        <v>283.2</v>
      </c>
      <c r="BC124" s="491">
        <f t="shared" si="105"/>
        <v>355.67999999999995</v>
      </c>
      <c r="BD124" s="492">
        <f>SUM(AZ124,BA124,BB124,BC124)</f>
        <v>1261.6799999999998</v>
      </c>
      <c r="BE124" s="492">
        <f t="shared" si="106"/>
        <v>1450.9319999999998</v>
      </c>
      <c r="BF124" s="492">
        <f t="shared" si="106"/>
        <v>1596.0251999999998</v>
      </c>
      <c r="BG124" s="492">
        <f t="shared" si="106"/>
        <v>1835.4289799999997</v>
      </c>
      <c r="BH124" s="484"/>
    </row>
    <row r="125" spans="1:60" s="470" customFormat="1" x14ac:dyDescent="0.25">
      <c r="A125" s="218" t="s">
        <v>771</v>
      </c>
      <c r="B125" s="573"/>
      <c r="C125" s="322"/>
      <c r="D125" s="322"/>
      <c r="E125" s="322"/>
      <c r="F125" s="322"/>
      <c r="G125" s="321"/>
      <c r="H125" s="321"/>
      <c r="I125" s="321"/>
      <c r="J125" s="321"/>
      <c r="K125" s="322"/>
      <c r="L125" s="321"/>
      <c r="M125" s="321"/>
      <c r="N125" s="321"/>
      <c r="O125" s="321"/>
      <c r="P125" s="322"/>
      <c r="Q125" s="321"/>
      <c r="R125" s="321"/>
      <c r="S125" s="321"/>
      <c r="T125" s="321"/>
      <c r="U125" s="322"/>
      <c r="V125" s="321"/>
      <c r="W125" s="321"/>
      <c r="X125" s="321"/>
      <c r="Y125" s="321"/>
      <c r="Z125" s="322"/>
      <c r="AA125" s="321"/>
      <c r="AB125" s="321"/>
      <c r="AC125" s="321"/>
      <c r="AD125" s="321"/>
      <c r="AE125" s="322"/>
      <c r="AF125" s="321"/>
      <c r="AG125" s="321"/>
      <c r="AH125" s="321"/>
      <c r="AI125" s="321"/>
      <c r="AJ125" s="322"/>
      <c r="AK125" s="321"/>
      <c r="AL125" s="321"/>
      <c r="AM125" s="321"/>
      <c r="AN125" s="321"/>
      <c r="AO125" s="322"/>
      <c r="AP125" s="319">
        <v>467</v>
      </c>
      <c r="AQ125" s="320">
        <v>395</v>
      </c>
      <c r="AR125" s="319">
        <v>251</v>
      </c>
      <c r="AS125" s="319">
        <v>255</v>
      </c>
      <c r="AT125" s="318">
        <f>SUM(AP125,AQ125,AR125,AS125)</f>
        <v>1368</v>
      </c>
      <c r="AU125" s="319">
        <v>349</v>
      </c>
      <c r="AV125" s="320">
        <v>244</v>
      </c>
      <c r="AW125" s="688">
        <v>293</v>
      </c>
      <c r="AX125" s="360">
        <v>350</v>
      </c>
      <c r="AY125" s="322">
        <f>SUM(AU125,AV125,AW125,AX125)</f>
        <v>1236</v>
      </c>
      <c r="AZ125" s="360">
        <v>350</v>
      </c>
      <c r="BA125" s="360">
        <v>350</v>
      </c>
      <c r="BB125" s="360">
        <v>350</v>
      </c>
      <c r="BC125" s="360">
        <v>350</v>
      </c>
      <c r="BD125" s="322">
        <f>SUM(AZ125,BA125,BB125,BC125)</f>
        <v>1400</v>
      </c>
      <c r="BE125" s="362">
        <v>1400</v>
      </c>
      <c r="BF125" s="362">
        <v>1400</v>
      </c>
      <c r="BG125" s="362">
        <v>1400</v>
      </c>
      <c r="BH125" s="484"/>
    </row>
    <row r="126" spans="1:60" s="498" customFormat="1" x14ac:dyDescent="0.25">
      <c r="A126" s="501" t="s">
        <v>759</v>
      </c>
      <c r="B126" s="264"/>
      <c r="C126" s="506"/>
      <c r="D126" s="506"/>
      <c r="E126" s="506"/>
      <c r="F126" s="506"/>
      <c r="G126" s="505"/>
      <c r="H126" s="505"/>
      <c r="I126" s="505"/>
      <c r="J126" s="505"/>
      <c r="K126" s="506"/>
      <c r="L126" s="505"/>
      <c r="M126" s="505"/>
      <c r="N126" s="505"/>
      <c r="O126" s="505"/>
      <c r="P126" s="506"/>
      <c r="Q126" s="505"/>
      <c r="R126" s="505"/>
      <c r="S126" s="505"/>
      <c r="T126" s="505"/>
      <c r="U126" s="506"/>
      <c r="V126" s="505"/>
      <c r="W126" s="505"/>
      <c r="X126" s="505"/>
      <c r="Y126" s="505"/>
      <c r="Z126" s="506"/>
      <c r="AA126" s="505"/>
      <c r="AB126" s="505"/>
      <c r="AC126" s="505"/>
      <c r="AD126" s="505"/>
      <c r="AE126" s="506"/>
      <c r="AF126" s="505"/>
      <c r="AG126" s="505"/>
      <c r="AH126" s="505"/>
      <c r="AI126" s="505"/>
      <c r="AJ126" s="506"/>
      <c r="AK126" s="505"/>
      <c r="AL126" s="505"/>
      <c r="AM126" s="505"/>
      <c r="AN126" s="505"/>
      <c r="AO126" s="506"/>
      <c r="AP126" s="503">
        <f>SUM(AP122:AP125)</f>
        <v>3910</v>
      </c>
      <c r="AQ126" s="504">
        <f t="shared" ref="AQ126:AW126" si="107">SUM(AQ122:AQ125)</f>
        <v>3011</v>
      </c>
      <c r="AR126" s="503">
        <f t="shared" si="107"/>
        <v>2183</v>
      </c>
      <c r="AS126" s="503">
        <f t="shared" si="107"/>
        <v>1873</v>
      </c>
      <c r="AT126" s="502">
        <f t="shared" si="107"/>
        <v>10977</v>
      </c>
      <c r="AU126" s="503">
        <f t="shared" si="107"/>
        <v>1702</v>
      </c>
      <c r="AV126" s="504">
        <f>SUM(AV122:AV125)</f>
        <v>1916</v>
      </c>
      <c r="AW126" s="689">
        <f t="shared" si="107"/>
        <v>1681</v>
      </c>
      <c r="AX126" s="505">
        <f t="shared" ref="AX126" si="108">SUM(AX122:AX125)</f>
        <v>2201.4499999999998</v>
      </c>
      <c r="AY126" s="506">
        <f t="shared" ref="AY126" si="109">SUM(AY122:AY125)</f>
        <v>7500.4500000000007</v>
      </c>
      <c r="AZ126" s="505">
        <f t="shared" ref="AZ126" si="110">SUM(AZ122:AZ125)</f>
        <v>2485.1999999999998</v>
      </c>
      <c r="BA126" s="505">
        <f t="shared" ref="BA126" si="111">SUM(BA122:BA125)</f>
        <v>3290.2000000000003</v>
      </c>
      <c r="BB126" s="505">
        <f t="shared" ref="BB126" si="112">SUM(BB122:BB125)</f>
        <v>4037</v>
      </c>
      <c r="BC126" s="505">
        <f t="shared" ref="BC126" si="113">SUM(BC122:BC125)</f>
        <v>3708.8074999999994</v>
      </c>
      <c r="BD126" s="506">
        <f t="shared" ref="BD126" si="114">SUM(BD122:BD125)</f>
        <v>13521.2075</v>
      </c>
      <c r="BE126" s="506">
        <f t="shared" ref="BE126" si="115">SUM(BE122:BE125)</f>
        <v>14796.412250000001</v>
      </c>
      <c r="BF126" s="506">
        <f t="shared" ref="BF126" si="116">SUM(BF122:BF125)</f>
        <v>15897.143870000002</v>
      </c>
      <c r="BG126" s="506">
        <f t="shared" ref="BG126" si="117">SUM(BG122:BG125)</f>
        <v>17426.659517000004</v>
      </c>
      <c r="BH126" s="499"/>
    </row>
    <row r="127" spans="1:60" s="470" customFormat="1" x14ac:dyDescent="0.25">
      <c r="A127" s="483" t="s">
        <v>760</v>
      </c>
      <c r="B127" s="514"/>
      <c r="C127" s="492"/>
      <c r="D127" s="492"/>
      <c r="E127" s="492"/>
      <c r="F127" s="492"/>
      <c r="G127" s="491"/>
      <c r="H127" s="491"/>
      <c r="I127" s="491"/>
      <c r="J127" s="491"/>
      <c r="K127" s="492"/>
      <c r="L127" s="491"/>
      <c r="M127" s="491"/>
      <c r="N127" s="491"/>
      <c r="O127" s="491"/>
      <c r="P127" s="492"/>
      <c r="Q127" s="491"/>
      <c r="R127" s="491"/>
      <c r="S127" s="491"/>
      <c r="T127" s="491"/>
      <c r="U127" s="492"/>
      <c r="V127" s="491"/>
      <c r="W127" s="491"/>
      <c r="X127" s="491"/>
      <c r="Y127" s="491"/>
      <c r="Z127" s="492"/>
      <c r="AA127" s="491"/>
      <c r="AB127" s="491"/>
      <c r="AC127" s="491"/>
      <c r="AD127" s="491"/>
      <c r="AE127" s="492"/>
      <c r="AF127" s="491"/>
      <c r="AG127" s="491"/>
      <c r="AH127" s="491"/>
      <c r="AI127" s="491"/>
      <c r="AJ127" s="492"/>
      <c r="AK127" s="491"/>
      <c r="AL127" s="491"/>
      <c r="AM127" s="491"/>
      <c r="AN127" s="491"/>
      <c r="AO127" s="492"/>
      <c r="AP127" s="490">
        <v>1998</v>
      </c>
      <c r="AQ127" s="497">
        <v>2110</v>
      </c>
      <c r="AR127" s="490">
        <v>1459</v>
      </c>
      <c r="AS127" s="490">
        <v>1304</v>
      </c>
      <c r="AT127" s="489">
        <f>SUM(AP127,AQ127,AR127,AS127)</f>
        <v>6871</v>
      </c>
      <c r="AU127" s="490">
        <v>1074</v>
      </c>
      <c r="AV127" s="497">
        <v>1136</v>
      </c>
      <c r="AW127" s="687">
        <v>1056</v>
      </c>
      <c r="AX127" s="491">
        <f>AX126*AX133</f>
        <v>1364.8989999999999</v>
      </c>
      <c r="AY127" s="492">
        <f>SUM(AU127,AV127,AW127,AX127)</f>
        <v>4630.8989999999994</v>
      </c>
      <c r="AZ127" s="491">
        <f t="shared" ref="AZ127" si="118">AZ126*AZ133</f>
        <v>1491.12</v>
      </c>
      <c r="BA127" s="491">
        <f t="shared" ref="BA127" si="119">BA126*BA133</f>
        <v>1974.1200000000001</v>
      </c>
      <c r="BB127" s="491">
        <f t="shared" ref="BB127" si="120">BB126*BB133</f>
        <v>2422.1999999999998</v>
      </c>
      <c r="BC127" s="491">
        <f t="shared" ref="BC127" si="121">BC126*BC133</f>
        <v>2225.2844999999998</v>
      </c>
      <c r="BD127" s="492">
        <f>SUM(AZ127,BA127,BB127,BC127)</f>
        <v>8112.7244999999994</v>
      </c>
      <c r="BE127" s="492">
        <f t="shared" ref="BE127" si="122">BE126*BE133</f>
        <v>8877.84735</v>
      </c>
      <c r="BF127" s="492">
        <f t="shared" ref="BF127" si="123">BF126*BF133</f>
        <v>9538.2863219999999</v>
      </c>
      <c r="BG127" s="492">
        <f t="shared" ref="BG127" si="124">BG126*BG133</f>
        <v>10455.995710200003</v>
      </c>
      <c r="BH127" s="484"/>
    </row>
    <row r="128" spans="1:60" s="470" customFormat="1" x14ac:dyDescent="0.25">
      <c r="A128" s="483" t="s">
        <v>761</v>
      </c>
      <c r="B128" s="514"/>
      <c r="C128" s="492"/>
      <c r="D128" s="492"/>
      <c r="E128" s="492"/>
      <c r="F128" s="492"/>
      <c r="G128" s="491"/>
      <c r="H128" s="491"/>
      <c r="I128" s="491"/>
      <c r="J128" s="491"/>
      <c r="K128" s="492"/>
      <c r="L128" s="491"/>
      <c r="M128" s="491"/>
      <c r="N128" s="491"/>
      <c r="O128" s="491"/>
      <c r="P128" s="492"/>
      <c r="Q128" s="491"/>
      <c r="R128" s="491"/>
      <c r="S128" s="491"/>
      <c r="T128" s="491"/>
      <c r="U128" s="492"/>
      <c r="V128" s="491"/>
      <c r="W128" s="491"/>
      <c r="X128" s="491"/>
      <c r="Y128" s="491"/>
      <c r="Z128" s="492"/>
      <c r="AA128" s="491"/>
      <c r="AB128" s="491"/>
      <c r="AC128" s="491"/>
      <c r="AD128" s="491"/>
      <c r="AE128" s="492"/>
      <c r="AF128" s="491"/>
      <c r="AG128" s="491"/>
      <c r="AH128" s="491"/>
      <c r="AI128" s="491"/>
      <c r="AJ128" s="492"/>
      <c r="AK128" s="491"/>
      <c r="AL128" s="491"/>
      <c r="AM128" s="491"/>
      <c r="AN128" s="491"/>
      <c r="AO128" s="492"/>
      <c r="AP128" s="490">
        <v>1095</v>
      </c>
      <c r="AQ128" s="497">
        <v>836</v>
      </c>
      <c r="AR128" s="490">
        <v>318</v>
      </c>
      <c r="AS128" s="490">
        <v>379</v>
      </c>
      <c r="AT128" s="489">
        <f>SUM(AP128,AQ128,AR128,AS128)</f>
        <v>2628</v>
      </c>
      <c r="AU128" s="490">
        <v>359</v>
      </c>
      <c r="AV128" s="497">
        <v>398</v>
      </c>
      <c r="AW128" s="687">
        <v>430</v>
      </c>
      <c r="AX128" s="491">
        <f>AX126*AX134</f>
        <v>484.31899999999996</v>
      </c>
      <c r="AY128" s="492">
        <f>SUM(AU128,AV128,AW128,AX128)</f>
        <v>1671.319</v>
      </c>
      <c r="AZ128" s="491">
        <f t="shared" ref="AZ128:BC128" si="125">AZ126*AZ134</f>
        <v>521.89199999999994</v>
      </c>
      <c r="BA128" s="491">
        <f t="shared" si="125"/>
        <v>690.94200000000001</v>
      </c>
      <c r="BB128" s="491">
        <f t="shared" si="125"/>
        <v>847.77</v>
      </c>
      <c r="BC128" s="491">
        <f t="shared" si="125"/>
        <v>778.84957499999985</v>
      </c>
      <c r="BD128" s="492">
        <f>SUM(AZ128,BA128,BB128,BC128)</f>
        <v>2839.4535749999995</v>
      </c>
      <c r="BE128" s="492">
        <f t="shared" ref="BE128:BG128" si="126">BE126*BE134</f>
        <v>2959.2824500000006</v>
      </c>
      <c r="BF128" s="492">
        <f t="shared" si="126"/>
        <v>3179.4287740000004</v>
      </c>
      <c r="BG128" s="492">
        <f t="shared" si="126"/>
        <v>3833.8650937400007</v>
      </c>
      <c r="BH128" s="484"/>
    </row>
    <row r="129" spans="1:60" s="470" customFormat="1" x14ac:dyDescent="0.25">
      <c r="A129" s="483" t="s">
        <v>762</v>
      </c>
      <c r="B129" s="514"/>
      <c r="C129" s="492"/>
      <c r="D129" s="492"/>
      <c r="E129" s="492"/>
      <c r="F129" s="492"/>
      <c r="G129" s="491"/>
      <c r="H129" s="491"/>
      <c r="I129" s="491"/>
      <c r="J129" s="491"/>
      <c r="K129" s="492"/>
      <c r="L129" s="491"/>
      <c r="M129" s="491"/>
      <c r="N129" s="491"/>
      <c r="O129" s="491"/>
      <c r="P129" s="492"/>
      <c r="Q129" s="491"/>
      <c r="R129" s="491"/>
      <c r="S129" s="491"/>
      <c r="T129" s="491"/>
      <c r="U129" s="492"/>
      <c r="V129" s="491"/>
      <c r="W129" s="491"/>
      <c r="X129" s="491"/>
      <c r="Y129" s="491"/>
      <c r="Z129" s="492"/>
      <c r="AA129" s="491"/>
      <c r="AB129" s="491"/>
      <c r="AC129" s="491"/>
      <c r="AD129" s="491"/>
      <c r="AE129" s="492"/>
      <c r="AF129" s="491"/>
      <c r="AG129" s="491"/>
      <c r="AH129" s="491"/>
      <c r="AI129" s="491"/>
      <c r="AJ129" s="492"/>
      <c r="AK129" s="491"/>
      <c r="AL129" s="491"/>
      <c r="AM129" s="491"/>
      <c r="AN129" s="491"/>
      <c r="AO129" s="492"/>
      <c r="AP129" s="490">
        <v>62</v>
      </c>
      <c r="AQ129" s="497">
        <v>63</v>
      </c>
      <c r="AR129" s="490">
        <v>73</v>
      </c>
      <c r="AS129" s="490">
        <v>93</v>
      </c>
      <c r="AT129" s="489">
        <f>SUM(AP129,AQ129,AR129,AS129)</f>
        <v>291</v>
      </c>
      <c r="AU129" s="490">
        <v>82</v>
      </c>
      <c r="AV129" s="497">
        <v>76</v>
      </c>
      <c r="AW129" s="687">
        <v>68</v>
      </c>
      <c r="AX129" s="496">
        <v>75</v>
      </c>
      <c r="AY129" s="492">
        <f>SUM(AU129,AV129,AW129,AX129)</f>
        <v>301</v>
      </c>
      <c r="AZ129" s="496">
        <v>75</v>
      </c>
      <c r="BA129" s="496">
        <v>75</v>
      </c>
      <c r="BB129" s="496">
        <v>75</v>
      </c>
      <c r="BC129" s="496">
        <v>75</v>
      </c>
      <c r="BD129" s="492">
        <f>SUM(AZ129,BA129,BB129,BC129)</f>
        <v>300</v>
      </c>
      <c r="BE129" s="361">
        <v>300</v>
      </c>
      <c r="BF129" s="361">
        <v>300</v>
      </c>
      <c r="BG129" s="361">
        <v>300</v>
      </c>
      <c r="BH129" s="484"/>
    </row>
    <row r="130" spans="1:60" s="470" customFormat="1" x14ac:dyDescent="0.25">
      <c r="A130" s="218" t="s">
        <v>763</v>
      </c>
      <c r="B130" s="573"/>
      <c r="C130" s="322"/>
      <c r="D130" s="322"/>
      <c r="E130" s="322"/>
      <c r="F130" s="322"/>
      <c r="G130" s="321"/>
      <c r="H130" s="321"/>
      <c r="I130" s="321"/>
      <c r="J130" s="321"/>
      <c r="K130" s="322"/>
      <c r="L130" s="321"/>
      <c r="M130" s="321"/>
      <c r="N130" s="321"/>
      <c r="O130" s="321"/>
      <c r="P130" s="322"/>
      <c r="Q130" s="321"/>
      <c r="R130" s="321"/>
      <c r="S130" s="321"/>
      <c r="T130" s="321"/>
      <c r="U130" s="322"/>
      <c r="V130" s="321"/>
      <c r="W130" s="321"/>
      <c r="X130" s="321"/>
      <c r="Y130" s="321"/>
      <c r="Z130" s="322"/>
      <c r="AA130" s="321"/>
      <c r="AB130" s="321"/>
      <c r="AC130" s="321"/>
      <c r="AD130" s="321"/>
      <c r="AE130" s="322"/>
      <c r="AF130" s="321"/>
      <c r="AG130" s="321"/>
      <c r="AH130" s="321"/>
      <c r="AI130" s="321"/>
      <c r="AJ130" s="322"/>
      <c r="AK130" s="321"/>
      <c r="AL130" s="321"/>
      <c r="AM130" s="321"/>
      <c r="AN130" s="321"/>
      <c r="AO130" s="322"/>
      <c r="AP130" s="319">
        <v>-21</v>
      </c>
      <c r="AQ130" s="320">
        <v>27</v>
      </c>
      <c r="AR130" s="319">
        <v>17</v>
      </c>
      <c r="AS130" s="319">
        <v>11</v>
      </c>
      <c r="AT130" s="318">
        <f>SUM(AP130,AQ130,AR130,AS130)</f>
        <v>34</v>
      </c>
      <c r="AU130" s="319">
        <v>-1</v>
      </c>
      <c r="AV130" s="320">
        <v>-6</v>
      </c>
      <c r="AW130" s="688">
        <v>-5</v>
      </c>
      <c r="AX130" s="360">
        <v>0</v>
      </c>
      <c r="AY130" s="322">
        <f>SUM(AU130,AV130,AW130,AX130)</f>
        <v>-12</v>
      </c>
      <c r="AZ130" s="360">
        <v>0</v>
      </c>
      <c r="BA130" s="360">
        <v>0</v>
      </c>
      <c r="BB130" s="360">
        <v>0</v>
      </c>
      <c r="BC130" s="360">
        <v>0</v>
      </c>
      <c r="BD130" s="322">
        <f>SUM(AZ130,BA130,BB130,BC130)</f>
        <v>0</v>
      </c>
      <c r="BE130" s="362">
        <v>0</v>
      </c>
      <c r="BF130" s="362">
        <v>0</v>
      </c>
      <c r="BG130" s="362">
        <v>0</v>
      </c>
      <c r="BH130" s="484"/>
    </row>
    <row r="131" spans="1:60" s="498" customFormat="1" x14ac:dyDescent="0.25">
      <c r="A131" s="501" t="s">
        <v>764</v>
      </c>
      <c r="B131" s="264"/>
      <c r="C131" s="506"/>
      <c r="D131" s="506"/>
      <c r="E131" s="506"/>
      <c r="F131" s="506"/>
      <c r="G131" s="505"/>
      <c r="H131" s="505"/>
      <c r="I131" s="505"/>
      <c r="J131" s="505"/>
      <c r="K131" s="506"/>
      <c r="L131" s="505"/>
      <c r="M131" s="505"/>
      <c r="N131" s="505"/>
      <c r="O131" s="505"/>
      <c r="P131" s="506"/>
      <c r="Q131" s="505"/>
      <c r="R131" s="505"/>
      <c r="S131" s="505"/>
      <c r="T131" s="505"/>
      <c r="U131" s="506"/>
      <c r="V131" s="505"/>
      <c r="W131" s="505"/>
      <c r="X131" s="505"/>
      <c r="Y131" s="505"/>
      <c r="Z131" s="506"/>
      <c r="AA131" s="505"/>
      <c r="AB131" s="505"/>
      <c r="AC131" s="505"/>
      <c r="AD131" s="505"/>
      <c r="AE131" s="506"/>
      <c r="AF131" s="505"/>
      <c r="AG131" s="505"/>
      <c r="AH131" s="505"/>
      <c r="AI131" s="505"/>
      <c r="AJ131" s="506"/>
      <c r="AK131" s="505"/>
      <c r="AL131" s="505"/>
      <c r="AM131" s="505"/>
      <c r="AN131" s="505"/>
      <c r="AO131" s="506"/>
      <c r="AP131" s="503">
        <f>AP126-SUM(AP127:AP130)</f>
        <v>776</v>
      </c>
      <c r="AQ131" s="504">
        <f t="shared" ref="AQ131:AU131" si="127">AQ126-SUM(AQ127:AQ130)</f>
        <v>-25</v>
      </c>
      <c r="AR131" s="503">
        <f t="shared" si="127"/>
        <v>316</v>
      </c>
      <c r="AS131" s="503">
        <f t="shared" si="127"/>
        <v>86</v>
      </c>
      <c r="AT131" s="502">
        <f t="shared" si="127"/>
        <v>1153</v>
      </c>
      <c r="AU131" s="503">
        <f t="shared" si="127"/>
        <v>188</v>
      </c>
      <c r="AV131" s="504">
        <f>AV126-SUM(AV127:AV130)</f>
        <v>312</v>
      </c>
      <c r="AW131" s="689">
        <f>AW126-SUM(AW127:AW130)</f>
        <v>132</v>
      </c>
      <c r="AX131" s="505">
        <f t="shared" ref="AX131" si="128">AX126-SUM(AX127:AX130)</f>
        <v>277.23199999999997</v>
      </c>
      <c r="AY131" s="506">
        <f t="shared" ref="AY131" si="129">AY126-SUM(AY127:AY130)</f>
        <v>909.23200000000179</v>
      </c>
      <c r="AZ131" s="505">
        <f t="shared" ref="AZ131" si="130">AZ126-SUM(AZ127:AZ130)</f>
        <v>397.1880000000001</v>
      </c>
      <c r="BA131" s="505">
        <f t="shared" ref="BA131" si="131">BA126-SUM(BA127:BA130)</f>
        <v>550.13800000000037</v>
      </c>
      <c r="BB131" s="505">
        <f t="shared" ref="BB131" si="132">BB126-SUM(BB127:BB130)</f>
        <v>692.0300000000002</v>
      </c>
      <c r="BC131" s="505">
        <f t="shared" ref="BC131" si="133">BC126-SUM(BC127:BC130)</f>
        <v>629.67342499999995</v>
      </c>
      <c r="BD131" s="506">
        <f t="shared" ref="BD131" si="134">BD126-SUM(BD127:BD130)</f>
        <v>2269.0294250000006</v>
      </c>
      <c r="BE131" s="506">
        <f t="shared" ref="BE131" si="135">BE126-SUM(BE127:BE130)</f>
        <v>2659.2824500000006</v>
      </c>
      <c r="BF131" s="506">
        <f t="shared" ref="BF131" si="136">BF126-SUM(BF127:BF130)</f>
        <v>2879.4287740000018</v>
      </c>
      <c r="BG131" s="506">
        <f t="shared" ref="BG131" si="137">BG126-SUM(BG127:BG130)</f>
        <v>2836.7987130600013</v>
      </c>
      <c r="BH131" s="499"/>
    </row>
    <row r="132" spans="1:60" s="469" customFormat="1" x14ac:dyDescent="0.25">
      <c r="A132" s="748"/>
      <c r="B132" s="246"/>
      <c r="C132" s="478"/>
      <c r="D132" s="478"/>
      <c r="E132" s="478"/>
      <c r="F132" s="478"/>
      <c r="G132" s="480"/>
      <c r="H132" s="480"/>
      <c r="I132" s="480"/>
      <c r="J132" s="480"/>
      <c r="K132" s="478"/>
      <c r="L132" s="480"/>
      <c r="M132" s="480"/>
      <c r="N132" s="480"/>
      <c r="O132" s="480"/>
      <c r="P132" s="478"/>
      <c r="Q132" s="480"/>
      <c r="R132" s="480"/>
      <c r="S132" s="480"/>
      <c r="T132" s="480"/>
      <c r="U132" s="478"/>
      <c r="V132" s="480"/>
      <c r="W132" s="480"/>
      <c r="X132" s="480"/>
      <c r="Y132" s="480"/>
      <c r="Z132" s="478"/>
      <c r="AA132" s="480"/>
      <c r="AB132" s="480"/>
      <c r="AC132" s="480"/>
      <c r="AD132" s="480"/>
      <c r="AE132" s="478"/>
      <c r="AF132" s="480"/>
      <c r="AG132" s="480"/>
      <c r="AH132" s="480"/>
      <c r="AI132" s="480"/>
      <c r="AJ132" s="478"/>
      <c r="AK132" s="480"/>
      <c r="AL132" s="480"/>
      <c r="AM132" s="480"/>
      <c r="AN132" s="480"/>
      <c r="AO132" s="478"/>
      <c r="AP132" s="480"/>
      <c r="AQ132" s="480"/>
      <c r="AR132" s="480"/>
      <c r="AS132" s="480"/>
      <c r="AT132" s="478"/>
      <c r="AU132" s="480"/>
      <c r="AV132" s="480"/>
      <c r="AW132" s="708"/>
      <c r="AX132" s="480"/>
      <c r="AY132" s="478"/>
      <c r="AZ132" s="480"/>
      <c r="BA132" s="480"/>
      <c r="BB132" s="480"/>
      <c r="BC132" s="480"/>
      <c r="BD132" s="478"/>
      <c r="BE132" s="478"/>
      <c r="BF132" s="478"/>
      <c r="BG132" s="478"/>
      <c r="BH132" s="473"/>
    </row>
    <row r="133" spans="1:60" s="343" customFormat="1" x14ac:dyDescent="0.25">
      <c r="A133" s="168" t="s">
        <v>765</v>
      </c>
      <c r="B133" s="655"/>
      <c r="C133" s="183"/>
      <c r="D133" s="183"/>
      <c r="E133" s="183"/>
      <c r="F133" s="183"/>
      <c r="G133" s="634"/>
      <c r="H133" s="634"/>
      <c r="I133" s="634"/>
      <c r="J133" s="634"/>
      <c r="K133" s="183"/>
      <c r="L133" s="634"/>
      <c r="M133" s="634"/>
      <c r="N133" s="634"/>
      <c r="O133" s="634"/>
      <c r="P133" s="183"/>
      <c r="Q133" s="634"/>
      <c r="R133" s="634"/>
      <c r="S133" s="634"/>
      <c r="T133" s="634"/>
      <c r="U133" s="183"/>
      <c r="V133" s="634"/>
      <c r="W133" s="634"/>
      <c r="X133" s="634"/>
      <c r="Y133" s="634"/>
      <c r="Z133" s="183"/>
      <c r="AA133" s="634"/>
      <c r="AB133" s="634"/>
      <c r="AC133" s="634"/>
      <c r="AD133" s="634"/>
      <c r="AE133" s="183"/>
      <c r="AF133" s="634"/>
      <c r="AG133" s="634"/>
      <c r="AH133" s="634"/>
      <c r="AI133" s="634"/>
      <c r="AJ133" s="183"/>
      <c r="AK133" s="634"/>
      <c r="AL133" s="634"/>
      <c r="AM133" s="634"/>
      <c r="AN133" s="634"/>
      <c r="AO133" s="183"/>
      <c r="AP133" s="340">
        <f>AP127/AP126</f>
        <v>0.51099744245524292</v>
      </c>
      <c r="AQ133" s="341">
        <f t="shared" ref="AQ133:AT133" si="138">AQ127/AQ126</f>
        <v>0.70076386582530725</v>
      </c>
      <c r="AR133" s="340">
        <f t="shared" si="138"/>
        <v>0.66834631241410902</v>
      </c>
      <c r="AS133" s="340">
        <f t="shared" si="138"/>
        <v>0.69620928990923647</v>
      </c>
      <c r="AT133" s="339">
        <f t="shared" si="138"/>
        <v>0.62594515805775708</v>
      </c>
      <c r="AU133" s="340">
        <f>AU127/AU126</f>
        <v>0.63102232667450053</v>
      </c>
      <c r="AV133" s="341">
        <f>AV127/AV126</f>
        <v>0.59290187891440504</v>
      </c>
      <c r="AW133" s="690">
        <f>AW127/AW126</f>
        <v>0.62819750148720999</v>
      </c>
      <c r="AX133" s="356">
        <v>0.62</v>
      </c>
      <c r="AY133" s="183">
        <f t="shared" ref="AY133" si="139">AY127/AY126</f>
        <v>0.61741615503069802</v>
      </c>
      <c r="AZ133" s="356">
        <v>0.6</v>
      </c>
      <c r="BA133" s="356">
        <v>0.6</v>
      </c>
      <c r="BB133" s="356">
        <v>0.6</v>
      </c>
      <c r="BC133" s="356">
        <v>0.6</v>
      </c>
      <c r="BD133" s="183">
        <f t="shared" ref="BD133" si="140">BD127/BD126</f>
        <v>0.6</v>
      </c>
      <c r="BE133" s="358">
        <v>0.6</v>
      </c>
      <c r="BF133" s="358">
        <v>0.6</v>
      </c>
      <c r="BG133" s="358">
        <v>0.6</v>
      </c>
      <c r="BH133" s="342"/>
    </row>
    <row r="134" spans="1:60" s="343" customFormat="1" x14ac:dyDescent="0.25">
      <c r="A134" s="344" t="s">
        <v>766</v>
      </c>
      <c r="B134" s="749"/>
      <c r="C134" s="348"/>
      <c r="D134" s="348"/>
      <c r="E134" s="348"/>
      <c r="F134" s="348"/>
      <c r="G134" s="738"/>
      <c r="H134" s="738"/>
      <c r="I134" s="738"/>
      <c r="J134" s="738"/>
      <c r="K134" s="348"/>
      <c r="L134" s="738"/>
      <c r="M134" s="738"/>
      <c r="N134" s="738"/>
      <c r="O134" s="738"/>
      <c r="P134" s="348"/>
      <c r="Q134" s="738"/>
      <c r="R134" s="738"/>
      <c r="S134" s="738"/>
      <c r="T134" s="738"/>
      <c r="U134" s="348"/>
      <c r="V134" s="738"/>
      <c r="W134" s="738"/>
      <c r="X134" s="738"/>
      <c r="Y134" s="738"/>
      <c r="Z134" s="348"/>
      <c r="AA134" s="738"/>
      <c r="AB134" s="738"/>
      <c r="AC134" s="738"/>
      <c r="AD134" s="738"/>
      <c r="AE134" s="348"/>
      <c r="AF134" s="738"/>
      <c r="AG134" s="738"/>
      <c r="AH134" s="738"/>
      <c r="AI134" s="738"/>
      <c r="AJ134" s="348"/>
      <c r="AK134" s="738"/>
      <c r="AL134" s="738"/>
      <c r="AM134" s="738"/>
      <c r="AN134" s="738"/>
      <c r="AO134" s="348"/>
      <c r="AP134" s="346">
        <f>AP128/AP126</f>
        <v>0.28005115089514065</v>
      </c>
      <c r="AQ134" s="347">
        <f t="shared" ref="AQ134:AT134" si="141">AQ128/AQ126</f>
        <v>0.2776486217203587</v>
      </c>
      <c r="AR134" s="346">
        <f t="shared" si="141"/>
        <v>0.14567109482363719</v>
      </c>
      <c r="AS134" s="346">
        <f t="shared" si="141"/>
        <v>0.20234917245061398</v>
      </c>
      <c r="AT134" s="345">
        <f t="shared" si="141"/>
        <v>0.23940967477452857</v>
      </c>
      <c r="AU134" s="346">
        <f>AU128/AU126</f>
        <v>0.21092831962397179</v>
      </c>
      <c r="AV134" s="347">
        <f>AV128/AV126</f>
        <v>0.20772442588726514</v>
      </c>
      <c r="AW134" s="870">
        <f>AW128/AW126</f>
        <v>0.25580011897679955</v>
      </c>
      <c r="AX134" s="357">
        <v>0.22</v>
      </c>
      <c r="AY134" s="348">
        <f t="shared" ref="AY134" si="142">AY128/AY126</f>
        <v>0.22282916358351829</v>
      </c>
      <c r="AZ134" s="357">
        <v>0.21</v>
      </c>
      <c r="BA134" s="357">
        <v>0.21</v>
      </c>
      <c r="BB134" s="357">
        <v>0.21</v>
      </c>
      <c r="BC134" s="357">
        <v>0.21</v>
      </c>
      <c r="BD134" s="348">
        <f t="shared" ref="BD134" si="143">BD128/BD126</f>
        <v>0.20999999999999996</v>
      </c>
      <c r="BE134" s="359">
        <v>0.2</v>
      </c>
      <c r="BF134" s="359">
        <v>0.2</v>
      </c>
      <c r="BG134" s="359">
        <v>0.22</v>
      </c>
      <c r="BH134" s="342"/>
    </row>
    <row r="135" spans="1:60" s="343" customFormat="1" x14ac:dyDescent="0.25">
      <c r="A135" s="684" t="s">
        <v>767</v>
      </c>
      <c r="B135" s="655"/>
      <c r="C135" s="183"/>
      <c r="D135" s="183"/>
      <c r="E135" s="183"/>
      <c r="F135" s="183"/>
      <c r="G135" s="634"/>
      <c r="H135" s="634"/>
      <c r="I135" s="634"/>
      <c r="J135" s="634"/>
      <c r="K135" s="183"/>
      <c r="L135" s="634"/>
      <c r="M135" s="634"/>
      <c r="N135" s="634"/>
      <c r="O135" s="634"/>
      <c r="P135" s="183"/>
      <c r="Q135" s="634"/>
      <c r="R135" s="634"/>
      <c r="S135" s="634"/>
      <c r="T135" s="634"/>
      <c r="U135" s="183"/>
      <c r="V135" s="634"/>
      <c r="W135" s="634"/>
      <c r="X135" s="634"/>
      <c r="Y135" s="634"/>
      <c r="Z135" s="183"/>
      <c r="AA135" s="634"/>
      <c r="AB135" s="634"/>
      <c r="AC135" s="634"/>
      <c r="AD135" s="634"/>
      <c r="AE135" s="183"/>
      <c r="AF135" s="634"/>
      <c r="AG135" s="634"/>
      <c r="AH135" s="634"/>
      <c r="AI135" s="634"/>
      <c r="AJ135" s="183"/>
      <c r="AK135" s="634"/>
      <c r="AL135" s="634"/>
      <c r="AM135" s="634"/>
      <c r="AN135" s="634"/>
      <c r="AO135" s="183"/>
      <c r="AP135" s="340">
        <f>AP131/AP126</f>
        <v>0.19846547314578006</v>
      </c>
      <c r="AQ135" s="340">
        <f t="shared" ref="AQ135" si="144">AQ131/AQ126</f>
        <v>-8.3028894055131187E-3</v>
      </c>
      <c r="AR135" s="340">
        <f>AR131/AR126</f>
        <v>0.14475492441594137</v>
      </c>
      <c r="AS135" s="340">
        <f t="shared" ref="AS135:BG135" si="145">AS131/AS126</f>
        <v>4.591564335290977E-2</v>
      </c>
      <c r="AT135" s="339">
        <f t="shared" si="145"/>
        <v>0.10503780632231029</v>
      </c>
      <c r="AU135" s="340">
        <f>AU131/AU126</f>
        <v>0.11045828437132785</v>
      </c>
      <c r="AV135" s="340">
        <f>AV131/AV126</f>
        <v>0.162839248434238</v>
      </c>
      <c r="AW135" s="690">
        <f>AW131/AW126</f>
        <v>7.8524687685901248E-2</v>
      </c>
      <c r="AX135" s="340">
        <f t="shared" si="145"/>
        <v>0.1259315451179904</v>
      </c>
      <c r="AY135" s="339">
        <f t="shared" ref="AY135" si="146">AY131/AY126</f>
        <v>0.12122365991373873</v>
      </c>
      <c r="AZ135" s="340">
        <f t="shared" si="145"/>
        <v>0.15982134234669249</v>
      </c>
      <c r="BA135" s="340">
        <f t="shared" si="145"/>
        <v>0.16720503312868529</v>
      </c>
      <c r="BB135" s="340">
        <f t="shared" si="145"/>
        <v>0.17142184790686157</v>
      </c>
      <c r="BC135" s="340">
        <f t="shared" si="145"/>
        <v>0.16977786660537114</v>
      </c>
      <c r="BD135" s="339">
        <f t="shared" si="145"/>
        <v>0.16781263248862949</v>
      </c>
      <c r="BE135" s="339">
        <f t="shared" si="145"/>
        <v>0.17972481470972806</v>
      </c>
      <c r="BF135" s="339">
        <f t="shared" si="145"/>
        <v>0.18112868560206352</v>
      </c>
      <c r="BG135" s="339">
        <f t="shared" si="145"/>
        <v>0.16278499676272759</v>
      </c>
      <c r="BH135" s="342"/>
    </row>
    <row r="136" spans="1:60" s="469" customFormat="1" x14ac:dyDescent="0.25">
      <c r="A136" s="210"/>
      <c r="B136" s="246"/>
      <c r="C136" s="478"/>
      <c r="D136" s="478"/>
      <c r="E136" s="478"/>
      <c r="F136" s="478"/>
      <c r="G136" s="480"/>
      <c r="H136" s="480"/>
      <c r="I136" s="480"/>
      <c r="J136" s="480"/>
      <c r="K136" s="478"/>
      <c r="L136" s="480"/>
      <c r="M136" s="480"/>
      <c r="N136" s="480"/>
      <c r="O136" s="480"/>
      <c r="P136" s="478"/>
      <c r="Q136" s="480"/>
      <c r="R136" s="480"/>
      <c r="S136" s="480"/>
      <c r="T136" s="480"/>
      <c r="U136" s="478"/>
      <c r="V136" s="480"/>
      <c r="W136" s="480"/>
      <c r="X136" s="480"/>
      <c r="Y136" s="480"/>
      <c r="Z136" s="478"/>
      <c r="AA136" s="480"/>
      <c r="AB136" s="480"/>
      <c r="AC136" s="480"/>
      <c r="AD136" s="480"/>
      <c r="AE136" s="478"/>
      <c r="AF136" s="480"/>
      <c r="AG136" s="480"/>
      <c r="AH136" s="480"/>
      <c r="AI136" s="480"/>
      <c r="AJ136" s="478"/>
      <c r="AK136" s="480"/>
      <c r="AL136" s="480"/>
      <c r="AM136" s="480"/>
      <c r="AN136" s="480"/>
      <c r="AO136" s="478"/>
      <c r="AP136" s="634"/>
      <c r="AQ136" s="634"/>
      <c r="AR136" s="634"/>
      <c r="AS136" s="634"/>
      <c r="AT136" s="183"/>
      <c r="AU136" s="634"/>
      <c r="AV136" s="634"/>
      <c r="AW136" s="691"/>
      <c r="AX136" s="480"/>
      <c r="AY136" s="478"/>
      <c r="AZ136" s="480"/>
      <c r="BA136" s="480"/>
      <c r="BB136" s="480"/>
      <c r="BC136" s="480"/>
      <c r="BD136" s="478"/>
      <c r="BE136" s="478"/>
      <c r="BF136" s="478"/>
      <c r="BG136" s="478"/>
      <c r="BH136" s="473"/>
    </row>
    <row r="137" spans="1:60" s="470" customFormat="1" x14ac:dyDescent="0.25">
      <c r="A137" s="483" t="s">
        <v>776</v>
      </c>
      <c r="B137" s="514"/>
      <c r="C137" s="492"/>
      <c r="D137" s="492"/>
      <c r="E137" s="492"/>
      <c r="F137" s="492"/>
      <c r="G137" s="491"/>
      <c r="H137" s="491"/>
      <c r="I137" s="491"/>
      <c r="J137" s="491"/>
      <c r="K137" s="492"/>
      <c r="L137" s="491"/>
      <c r="M137" s="491"/>
      <c r="N137" s="491"/>
      <c r="O137" s="491"/>
      <c r="P137" s="492"/>
      <c r="Q137" s="491"/>
      <c r="R137" s="491"/>
      <c r="S137" s="491"/>
      <c r="T137" s="491"/>
      <c r="U137" s="492"/>
      <c r="V137" s="491"/>
      <c r="W137" s="491"/>
      <c r="X137" s="491"/>
      <c r="Y137" s="491"/>
      <c r="Z137" s="492"/>
      <c r="AA137" s="491"/>
      <c r="AB137" s="491"/>
      <c r="AC137" s="491"/>
      <c r="AD137" s="491"/>
      <c r="AE137" s="492"/>
      <c r="AF137" s="491"/>
      <c r="AG137" s="491"/>
      <c r="AH137" s="491"/>
      <c r="AI137" s="491"/>
      <c r="AJ137" s="492"/>
      <c r="AK137" s="491"/>
      <c r="AL137" s="491"/>
      <c r="AM137" s="491"/>
      <c r="AN137" s="491"/>
      <c r="AO137" s="492"/>
      <c r="AP137" s="490">
        <f>AP85</f>
        <v>7536</v>
      </c>
      <c r="AQ137" s="497">
        <f>AQ85</f>
        <v>7025</v>
      </c>
      <c r="AR137" s="490">
        <f>AR85</f>
        <v>6010</v>
      </c>
      <c r="AS137" s="490">
        <f>AS85</f>
        <v>7012</v>
      </c>
      <c r="AT137" s="489">
        <f>SUM(AP137,AQ137,AR137,AS137)</f>
        <v>27583</v>
      </c>
      <c r="AU137" s="490">
        <f>AU85</f>
        <v>7693</v>
      </c>
      <c r="AV137" s="497">
        <f>AV85</f>
        <v>6746</v>
      </c>
      <c r="AW137" s="687">
        <f>AW85</f>
        <v>6956</v>
      </c>
      <c r="AX137" s="490">
        <f>AX85</f>
        <v>7179.64</v>
      </c>
      <c r="AY137" s="492">
        <f>SUM(AU137,AV137,AW137,AX137)</f>
        <v>28574.639999999999</v>
      </c>
      <c r="AZ137" s="491">
        <f>AZ85</f>
        <v>7485.5</v>
      </c>
      <c r="BA137" s="491">
        <f>BA85</f>
        <v>6657.4</v>
      </c>
      <c r="BB137" s="491">
        <f>BB85</f>
        <v>6866.14</v>
      </c>
      <c r="BC137" s="491">
        <f>BC85</f>
        <v>7039.2472000000007</v>
      </c>
      <c r="BD137" s="492">
        <f>SUM(AZ137,BA137,BB137,BC137)</f>
        <v>28048.287200000002</v>
      </c>
      <c r="BE137" s="492">
        <f>BE85</f>
        <v>28596.452944000004</v>
      </c>
      <c r="BF137" s="492">
        <f>BF85</f>
        <v>28393.393400320001</v>
      </c>
      <c r="BG137" s="492">
        <f>BG85</f>
        <v>28948.461268326402</v>
      </c>
      <c r="BH137" s="484"/>
    </row>
    <row r="138" spans="1:60" s="470" customFormat="1" x14ac:dyDescent="0.25">
      <c r="A138" s="483" t="s">
        <v>777</v>
      </c>
      <c r="B138" s="514"/>
      <c r="C138" s="492"/>
      <c r="D138" s="492"/>
      <c r="E138" s="492"/>
      <c r="F138" s="492"/>
      <c r="G138" s="491"/>
      <c r="H138" s="491"/>
      <c r="I138" s="491"/>
      <c r="J138" s="491"/>
      <c r="K138" s="492"/>
      <c r="L138" s="491"/>
      <c r="M138" s="491"/>
      <c r="N138" s="491"/>
      <c r="O138" s="491"/>
      <c r="P138" s="492"/>
      <c r="Q138" s="491"/>
      <c r="R138" s="491"/>
      <c r="S138" s="491"/>
      <c r="T138" s="491"/>
      <c r="U138" s="492"/>
      <c r="V138" s="491"/>
      <c r="W138" s="491"/>
      <c r="X138" s="491"/>
      <c r="Y138" s="491"/>
      <c r="Z138" s="492"/>
      <c r="AA138" s="491"/>
      <c r="AB138" s="491"/>
      <c r="AC138" s="491"/>
      <c r="AD138" s="491"/>
      <c r="AE138" s="492"/>
      <c r="AF138" s="491"/>
      <c r="AG138" s="491"/>
      <c r="AH138" s="491"/>
      <c r="AI138" s="491"/>
      <c r="AJ138" s="492"/>
      <c r="AK138" s="491"/>
      <c r="AL138" s="491"/>
      <c r="AM138" s="491"/>
      <c r="AN138" s="491"/>
      <c r="AO138" s="492"/>
      <c r="AP138" s="490">
        <f>AP111</f>
        <v>2025</v>
      </c>
      <c r="AQ138" s="497">
        <f t="shared" ref="AQ138:AS138" si="147">AQ111</f>
        <v>2515</v>
      </c>
      <c r="AR138" s="490">
        <f t="shared" si="147"/>
        <v>2712</v>
      </c>
      <c r="AS138" s="490">
        <f t="shared" si="147"/>
        <v>3300</v>
      </c>
      <c r="AT138" s="489">
        <f>SUM(AP138,AQ138,AR138,AS138)</f>
        <v>10552</v>
      </c>
      <c r="AU138" s="490">
        <f>AU111</f>
        <v>3504</v>
      </c>
      <c r="AV138" s="497">
        <f>AV111</f>
        <v>3999</v>
      </c>
      <c r="AW138" s="687">
        <f t="shared" ref="AW138" si="148">AW111</f>
        <v>4256</v>
      </c>
      <c r="AX138" s="490">
        <f>AX111</f>
        <v>4451.8113225000006</v>
      </c>
      <c r="AY138" s="492">
        <f>SUM(AU138,AV138,AW138,AX138)</f>
        <v>16210.811322500002</v>
      </c>
      <c r="AZ138" s="491">
        <f t="shared" ref="AZ138:BC138" si="149">AZ111</f>
        <v>4845.937952016001</v>
      </c>
      <c r="BA138" s="491">
        <f t="shared" si="149"/>
        <v>5293.0242392873843</v>
      </c>
      <c r="BB138" s="491">
        <f t="shared" si="149"/>
        <v>5750.40178097434</v>
      </c>
      <c r="BC138" s="491">
        <f t="shared" si="149"/>
        <v>6275.2013741536284</v>
      </c>
      <c r="BD138" s="492">
        <f>SUM(AZ138,BA138,BB138,BC138)</f>
        <v>22164.565346431351</v>
      </c>
      <c r="BE138" s="492">
        <f t="shared" ref="BE138:BG138" si="150">BE111</f>
        <v>27052.293349274903</v>
      </c>
      <c r="BF138" s="492">
        <f t="shared" si="150"/>
        <v>31955.413727486382</v>
      </c>
      <c r="BG138" s="492">
        <f t="shared" si="150"/>
        <v>37618.941559029954</v>
      </c>
      <c r="BH138" s="484"/>
    </row>
    <row r="139" spans="1:60" s="470" customFormat="1" x14ac:dyDescent="0.25">
      <c r="A139" s="483" t="s">
        <v>778</v>
      </c>
      <c r="B139" s="514"/>
      <c r="C139" s="492"/>
      <c r="D139" s="492"/>
      <c r="E139" s="492"/>
      <c r="F139" s="492"/>
      <c r="G139" s="491"/>
      <c r="H139" s="491"/>
      <c r="I139" s="491"/>
      <c r="J139" s="491"/>
      <c r="K139" s="492"/>
      <c r="L139" s="491"/>
      <c r="M139" s="491"/>
      <c r="N139" s="491"/>
      <c r="O139" s="491"/>
      <c r="P139" s="492"/>
      <c r="Q139" s="491"/>
      <c r="R139" s="491"/>
      <c r="S139" s="491"/>
      <c r="T139" s="491"/>
      <c r="U139" s="492"/>
      <c r="V139" s="491"/>
      <c r="W139" s="491"/>
      <c r="X139" s="491"/>
      <c r="Y139" s="491"/>
      <c r="Z139" s="492"/>
      <c r="AA139" s="491"/>
      <c r="AB139" s="491"/>
      <c r="AC139" s="491"/>
      <c r="AD139" s="491"/>
      <c r="AE139" s="492"/>
      <c r="AF139" s="491"/>
      <c r="AG139" s="491"/>
      <c r="AH139" s="491"/>
      <c r="AI139" s="491"/>
      <c r="AJ139" s="492"/>
      <c r="AK139" s="491"/>
      <c r="AL139" s="491"/>
      <c r="AM139" s="491"/>
      <c r="AN139" s="491"/>
      <c r="AO139" s="492"/>
      <c r="AP139" s="490">
        <f>AP126</f>
        <v>3910</v>
      </c>
      <c r="AQ139" s="497">
        <f t="shared" ref="AQ139:AS139" si="151">AQ126</f>
        <v>3011</v>
      </c>
      <c r="AR139" s="490">
        <f t="shared" si="151"/>
        <v>2183</v>
      </c>
      <c r="AS139" s="490">
        <f t="shared" si="151"/>
        <v>1873</v>
      </c>
      <c r="AT139" s="489">
        <f>SUM(AP139,AQ139,AR139,AS139)</f>
        <v>10977</v>
      </c>
      <c r="AU139" s="490">
        <f>AU126</f>
        <v>1702</v>
      </c>
      <c r="AV139" s="497">
        <f>AV126</f>
        <v>1916</v>
      </c>
      <c r="AW139" s="687">
        <f t="shared" ref="AW139" si="152">AW126</f>
        <v>1681</v>
      </c>
      <c r="AX139" s="490">
        <f>AX126</f>
        <v>2201.4499999999998</v>
      </c>
      <c r="AY139" s="492">
        <f>SUM(AU139,AV139,AW139,AX139)</f>
        <v>7500.45</v>
      </c>
      <c r="AZ139" s="491">
        <f t="shared" ref="AZ139:BC139" si="153">AZ126</f>
        <v>2485.1999999999998</v>
      </c>
      <c r="BA139" s="491">
        <f t="shared" si="153"/>
        <v>3290.2000000000003</v>
      </c>
      <c r="BB139" s="491">
        <f t="shared" si="153"/>
        <v>4037</v>
      </c>
      <c r="BC139" s="491">
        <f t="shared" si="153"/>
        <v>3708.8074999999994</v>
      </c>
      <c r="BD139" s="492">
        <f>SUM(AZ139,BA139,BB139,BC139)</f>
        <v>13521.207499999999</v>
      </c>
      <c r="BE139" s="492">
        <f t="shared" ref="BE139:BG139" si="154">BE126</f>
        <v>14796.412250000001</v>
      </c>
      <c r="BF139" s="492">
        <f t="shared" si="154"/>
        <v>15897.143870000002</v>
      </c>
      <c r="BG139" s="492">
        <f t="shared" si="154"/>
        <v>17426.659517000004</v>
      </c>
      <c r="BH139" s="484"/>
    </row>
    <row r="140" spans="1:60" s="470" customFormat="1" x14ac:dyDescent="0.25">
      <c r="A140" s="218" t="s">
        <v>900</v>
      </c>
      <c r="B140" s="573"/>
      <c r="C140" s="322"/>
      <c r="D140" s="322"/>
      <c r="E140" s="322"/>
      <c r="F140" s="322"/>
      <c r="G140" s="321"/>
      <c r="H140" s="321"/>
      <c r="I140" s="321"/>
      <c r="J140" s="321"/>
      <c r="K140" s="322"/>
      <c r="L140" s="321"/>
      <c r="M140" s="321"/>
      <c r="N140" s="321"/>
      <c r="O140" s="321"/>
      <c r="P140" s="322"/>
      <c r="Q140" s="321"/>
      <c r="R140" s="321"/>
      <c r="S140" s="321"/>
      <c r="T140" s="321"/>
      <c r="U140" s="322"/>
      <c r="V140" s="321"/>
      <c r="W140" s="321"/>
      <c r="X140" s="321"/>
      <c r="Y140" s="321"/>
      <c r="Z140" s="322"/>
      <c r="AA140" s="321"/>
      <c r="AB140" s="321"/>
      <c r="AC140" s="321"/>
      <c r="AD140" s="321"/>
      <c r="AE140" s="322"/>
      <c r="AF140" s="321"/>
      <c r="AG140" s="321"/>
      <c r="AH140" s="321"/>
      <c r="AI140" s="321"/>
      <c r="AJ140" s="322"/>
      <c r="AK140" s="321"/>
      <c r="AL140" s="321"/>
      <c r="AM140" s="321"/>
      <c r="AN140" s="321"/>
      <c r="AO140" s="322"/>
      <c r="AP140" s="319">
        <v>-174</v>
      </c>
      <c r="AQ140" s="320">
        <v>-186</v>
      </c>
      <c r="AR140" s="319">
        <v>-191</v>
      </c>
      <c r="AS140" s="319">
        <v>-211</v>
      </c>
      <c r="AT140" s="318">
        <f>SUM(AP140,AQ140,AR140,AS140)</f>
        <v>-762</v>
      </c>
      <c r="AU140" s="319">
        <v>-238</v>
      </c>
      <c r="AV140" s="320">
        <v>-221</v>
      </c>
      <c r="AW140" s="688">
        <v>-212</v>
      </c>
      <c r="AX140" s="360">
        <v>-200</v>
      </c>
      <c r="AY140" s="322">
        <f>SUM(AU140,AV140,AW140,AX140)</f>
        <v>-871</v>
      </c>
      <c r="AZ140" s="360">
        <v>-200</v>
      </c>
      <c r="BA140" s="360">
        <v>-200</v>
      </c>
      <c r="BB140" s="360">
        <v>-200</v>
      </c>
      <c r="BC140" s="360">
        <v>-200</v>
      </c>
      <c r="BD140" s="322">
        <f>SUM(AZ140,BA140,BB140,BC140)</f>
        <v>-800</v>
      </c>
      <c r="BE140" s="362">
        <v>-800</v>
      </c>
      <c r="BF140" s="362">
        <v>-800</v>
      </c>
      <c r="BG140" s="362">
        <v>-800</v>
      </c>
      <c r="BH140" s="484"/>
    </row>
    <row r="141" spans="1:60" s="498" customFormat="1" x14ac:dyDescent="0.25">
      <c r="A141" s="501" t="s">
        <v>779</v>
      </c>
      <c r="B141" s="264"/>
      <c r="C141" s="506"/>
      <c r="D141" s="506"/>
      <c r="E141" s="506"/>
      <c r="F141" s="506"/>
      <c r="G141" s="505"/>
      <c r="H141" s="505"/>
      <c r="I141" s="505"/>
      <c r="J141" s="505"/>
      <c r="K141" s="506"/>
      <c r="L141" s="505"/>
      <c r="M141" s="505"/>
      <c r="N141" s="505"/>
      <c r="O141" s="505"/>
      <c r="P141" s="506"/>
      <c r="Q141" s="505"/>
      <c r="R141" s="505"/>
      <c r="S141" s="505"/>
      <c r="T141" s="505"/>
      <c r="U141" s="506"/>
      <c r="V141" s="505"/>
      <c r="W141" s="505"/>
      <c r="X141" s="505"/>
      <c r="Y141" s="505"/>
      <c r="Z141" s="506"/>
      <c r="AA141" s="505"/>
      <c r="AB141" s="505"/>
      <c r="AC141" s="505"/>
      <c r="AD141" s="505"/>
      <c r="AE141" s="506"/>
      <c r="AF141" s="505"/>
      <c r="AG141" s="505"/>
      <c r="AH141" s="505"/>
      <c r="AI141" s="505"/>
      <c r="AJ141" s="506"/>
      <c r="AK141" s="505"/>
      <c r="AL141" s="505"/>
      <c r="AM141" s="505"/>
      <c r="AN141" s="505"/>
      <c r="AO141" s="506"/>
      <c r="AP141" s="503">
        <f>SUM(AP137:AP140)</f>
        <v>13297</v>
      </c>
      <c r="AQ141" s="504">
        <f t="shared" ref="AQ141:AT141" si="155">SUM(AQ137:AQ140)</f>
        <v>12365</v>
      </c>
      <c r="AR141" s="503">
        <f t="shared" si="155"/>
        <v>10714</v>
      </c>
      <c r="AS141" s="503">
        <f t="shared" si="155"/>
        <v>11974</v>
      </c>
      <c r="AT141" s="502">
        <f t="shared" si="155"/>
        <v>48350</v>
      </c>
      <c r="AU141" s="503">
        <f>SUM(AU137:AU140)</f>
        <v>12661</v>
      </c>
      <c r="AV141" s="504">
        <f>SUM(AV137:AV140)</f>
        <v>12440</v>
      </c>
      <c r="AW141" s="689">
        <f t="shared" ref="AW141" si="156">SUM(AW137:AW140)</f>
        <v>12681</v>
      </c>
      <c r="AX141" s="505">
        <f t="shared" ref="AX141" si="157">SUM(AX137:AX140)</f>
        <v>13632.901322500002</v>
      </c>
      <c r="AY141" s="506">
        <f t="shared" ref="AY141" si="158">SUM(AY137:AY140)</f>
        <v>51414.901322499994</v>
      </c>
      <c r="AZ141" s="505">
        <f t="shared" ref="AZ141" si="159">SUM(AZ137:AZ140)</f>
        <v>14616.637952016001</v>
      </c>
      <c r="BA141" s="505">
        <f t="shared" ref="BA141" si="160">SUM(BA137:BA140)</f>
        <v>15040.624239287385</v>
      </c>
      <c r="BB141" s="505">
        <f t="shared" ref="BB141" si="161">SUM(BB137:BB140)</f>
        <v>16453.541780974341</v>
      </c>
      <c r="BC141" s="505">
        <f t="shared" ref="BC141" si="162">SUM(BC137:BC140)</f>
        <v>16823.256074153629</v>
      </c>
      <c r="BD141" s="506">
        <f t="shared" ref="BD141" si="163">SUM(BD137:BD140)</f>
        <v>62934.060046431354</v>
      </c>
      <c r="BE141" s="506">
        <f t="shared" ref="BE141" si="164">SUM(BE137:BE140)</f>
        <v>69645.158543274913</v>
      </c>
      <c r="BF141" s="506">
        <f t="shared" ref="BF141" si="165">SUM(BF137:BF140)</f>
        <v>75445.950997806387</v>
      </c>
      <c r="BG141" s="506">
        <f t="shared" ref="BG141" si="166">SUM(BG137:BG140)</f>
        <v>83194.062344356367</v>
      </c>
      <c r="BH141" s="499"/>
    </row>
    <row r="142" spans="1:60" s="470" customFormat="1" x14ac:dyDescent="0.25">
      <c r="A142" s="483" t="s">
        <v>784</v>
      </c>
      <c r="B142" s="514"/>
      <c r="C142" s="492"/>
      <c r="D142" s="492"/>
      <c r="E142" s="492"/>
      <c r="F142" s="492"/>
      <c r="G142" s="491"/>
      <c r="H142" s="491"/>
      <c r="I142" s="491"/>
      <c r="J142" s="491"/>
      <c r="K142" s="492"/>
      <c r="L142" s="491"/>
      <c r="M142" s="491"/>
      <c r="N142" s="491"/>
      <c r="O142" s="491"/>
      <c r="P142" s="492"/>
      <c r="Q142" s="491"/>
      <c r="R142" s="491"/>
      <c r="S142" s="491"/>
      <c r="T142" s="491"/>
      <c r="U142" s="492"/>
      <c r="V142" s="491"/>
      <c r="W142" s="491"/>
      <c r="X142" s="491"/>
      <c r="Y142" s="491"/>
      <c r="Z142" s="492"/>
      <c r="AA142" s="491"/>
      <c r="AB142" s="491"/>
      <c r="AC142" s="491"/>
      <c r="AD142" s="491"/>
      <c r="AE142" s="492"/>
      <c r="AF142" s="491"/>
      <c r="AG142" s="491"/>
      <c r="AH142" s="491"/>
      <c r="AI142" s="491"/>
      <c r="AJ142" s="492"/>
      <c r="AK142" s="491"/>
      <c r="AL142" s="491"/>
      <c r="AM142" s="491"/>
      <c r="AN142" s="491"/>
      <c r="AO142" s="492"/>
      <c r="AP142" s="490">
        <f t="shared" ref="AP142:AS145" si="167">AP86+AP112+AP127</f>
        <v>9299</v>
      </c>
      <c r="AQ142" s="497">
        <f t="shared" si="167"/>
        <v>8351</v>
      </c>
      <c r="AR142" s="490">
        <f t="shared" si="167"/>
        <v>6096</v>
      </c>
      <c r="AS142" s="490">
        <f t="shared" si="167"/>
        <v>8512</v>
      </c>
      <c r="AT142" s="489">
        <f>SUM(AP142,AQ142,AR142,AS142)</f>
        <v>32258</v>
      </c>
      <c r="AU142" s="490">
        <f t="shared" ref="AU142:AX145" si="168">AU86+AU112+AU127</f>
        <v>9416</v>
      </c>
      <c r="AV142" s="497">
        <f t="shared" si="168"/>
        <v>7541</v>
      </c>
      <c r="AW142" s="687">
        <f t="shared" si="168"/>
        <v>8561</v>
      </c>
      <c r="AX142" s="490">
        <f t="shared" si="168"/>
        <v>9791.26343155</v>
      </c>
      <c r="AY142" s="492">
        <f>SUM(AU142,AV142,AW142,AX142)</f>
        <v>35309.263431550004</v>
      </c>
      <c r="AZ142" s="490">
        <f t="shared" ref="AZ142:BC145" si="169">AZ86+AZ112+AZ127</f>
        <v>9665.33284353216</v>
      </c>
      <c r="BA142" s="490">
        <f t="shared" si="169"/>
        <v>10656.998421858412</v>
      </c>
      <c r="BB142" s="490">
        <f t="shared" si="169"/>
        <v>11461.480553540499</v>
      </c>
      <c r="BC142" s="490">
        <f t="shared" si="169"/>
        <v>11851.518112356758</v>
      </c>
      <c r="BD142" s="492">
        <f>SUM(AZ142,BA142,BB142,BC142)</f>
        <v>43635.32993128783</v>
      </c>
      <c r="BE142" s="492">
        <f t="shared" ref="BE142:BG145" si="170">BE86+BE112+BE127</f>
        <v>46657.228445637928</v>
      </c>
      <c r="BF142" s="492">
        <f t="shared" si="170"/>
        <v>50362.78164144847</v>
      </c>
      <c r="BG142" s="492">
        <f t="shared" si="170"/>
        <v>55229.565210342829</v>
      </c>
      <c r="BH142" s="484"/>
    </row>
    <row r="143" spans="1:60" s="470" customFormat="1" x14ac:dyDescent="0.25">
      <c r="A143" s="483" t="s">
        <v>780</v>
      </c>
      <c r="B143" s="514"/>
      <c r="C143" s="492"/>
      <c r="D143" s="492"/>
      <c r="E143" s="492"/>
      <c r="F143" s="492"/>
      <c r="G143" s="491"/>
      <c r="H143" s="491"/>
      <c r="I143" s="491"/>
      <c r="J143" s="491"/>
      <c r="K143" s="492"/>
      <c r="L143" s="491"/>
      <c r="M143" s="491"/>
      <c r="N143" s="491"/>
      <c r="O143" s="491"/>
      <c r="P143" s="492"/>
      <c r="Q143" s="491"/>
      <c r="R143" s="491"/>
      <c r="S143" s="491"/>
      <c r="T143" s="491"/>
      <c r="U143" s="492"/>
      <c r="V143" s="491"/>
      <c r="W143" s="491"/>
      <c r="X143" s="491"/>
      <c r="Y143" s="491"/>
      <c r="Z143" s="492"/>
      <c r="AA143" s="491"/>
      <c r="AB143" s="491"/>
      <c r="AC143" s="491"/>
      <c r="AD143" s="491"/>
      <c r="AE143" s="492"/>
      <c r="AF143" s="491"/>
      <c r="AG143" s="491"/>
      <c r="AH143" s="491"/>
      <c r="AI143" s="491"/>
      <c r="AJ143" s="492"/>
      <c r="AK143" s="491"/>
      <c r="AL143" s="491"/>
      <c r="AM143" s="491"/>
      <c r="AN143" s="491"/>
      <c r="AO143" s="492"/>
      <c r="AP143" s="490">
        <f t="shared" si="167"/>
        <v>2745</v>
      </c>
      <c r="AQ143" s="497">
        <f t="shared" si="167"/>
        <v>2518</v>
      </c>
      <c r="AR143" s="490">
        <f t="shared" si="167"/>
        <v>1821</v>
      </c>
      <c r="AS143" s="490">
        <f t="shared" si="167"/>
        <v>2000</v>
      </c>
      <c r="AT143" s="489">
        <f>SUM(AP143,AQ143,AR143,AS143)</f>
        <v>9084</v>
      </c>
      <c r="AU143" s="490">
        <f t="shared" si="168"/>
        <v>2053</v>
      </c>
      <c r="AV143" s="497">
        <f t="shared" si="168"/>
        <v>2298</v>
      </c>
      <c r="AW143" s="687">
        <f t="shared" si="168"/>
        <v>2329</v>
      </c>
      <c r="AX143" s="490">
        <f t="shared" si="168"/>
        <v>2458.8286306250002</v>
      </c>
      <c r="AY143" s="492">
        <f>SUM(AU143,AV143,AW143,AX143)</f>
        <v>9138.8286306250011</v>
      </c>
      <c r="AZ143" s="490">
        <f t="shared" si="169"/>
        <v>2508.3221084838401</v>
      </c>
      <c r="BA143" s="490">
        <f t="shared" si="169"/>
        <v>2693.581817428972</v>
      </c>
      <c r="BB143" s="490">
        <f t="shared" si="169"/>
        <v>2983.1418274338416</v>
      </c>
      <c r="BC143" s="490">
        <f t="shared" si="169"/>
        <v>3059.2150967968705</v>
      </c>
      <c r="BD143" s="492">
        <f>SUM(AZ143,BA143,BB143,BC143)</f>
        <v>11244.260850143524</v>
      </c>
      <c r="BE143" s="492">
        <f t="shared" si="170"/>
        <v>12326.919744173229</v>
      </c>
      <c r="BF143" s="492">
        <f t="shared" si="170"/>
        <v>13652.447205357068</v>
      </c>
      <c r="BG143" s="492">
        <f t="shared" si="170"/>
        <v>16046.741807423095</v>
      </c>
      <c r="BH143" s="484"/>
    </row>
    <row r="144" spans="1:60" s="470" customFormat="1" x14ac:dyDescent="0.25">
      <c r="A144" s="483" t="s">
        <v>781</v>
      </c>
      <c r="B144" s="514"/>
      <c r="C144" s="492"/>
      <c r="D144" s="492"/>
      <c r="E144" s="492"/>
      <c r="F144" s="492"/>
      <c r="G144" s="491"/>
      <c r="H144" s="491"/>
      <c r="I144" s="491"/>
      <c r="J144" s="491"/>
      <c r="K144" s="492"/>
      <c r="L144" s="491"/>
      <c r="M144" s="491"/>
      <c r="N144" s="491"/>
      <c r="O144" s="491"/>
      <c r="P144" s="492"/>
      <c r="Q144" s="491"/>
      <c r="R144" s="491"/>
      <c r="S144" s="491"/>
      <c r="T144" s="491"/>
      <c r="U144" s="492"/>
      <c r="V144" s="491"/>
      <c r="W144" s="491"/>
      <c r="X144" s="491"/>
      <c r="Y144" s="491"/>
      <c r="Z144" s="492"/>
      <c r="AA144" s="491"/>
      <c r="AB144" s="491"/>
      <c r="AC144" s="491"/>
      <c r="AD144" s="491"/>
      <c r="AE144" s="492"/>
      <c r="AF144" s="491"/>
      <c r="AG144" s="491"/>
      <c r="AH144" s="491"/>
      <c r="AI144" s="491"/>
      <c r="AJ144" s="492"/>
      <c r="AK144" s="491"/>
      <c r="AL144" s="491"/>
      <c r="AM144" s="491"/>
      <c r="AN144" s="491"/>
      <c r="AO144" s="492"/>
      <c r="AP144" s="490">
        <f t="shared" si="167"/>
        <v>188</v>
      </c>
      <c r="AQ144" s="497">
        <f t="shared" si="167"/>
        <v>180</v>
      </c>
      <c r="AR144" s="490">
        <f t="shared" si="167"/>
        <v>210</v>
      </c>
      <c r="AS144" s="490">
        <f t="shared" si="167"/>
        <v>235</v>
      </c>
      <c r="AT144" s="489">
        <f>SUM(AP144,AQ144,AR144,AS144)</f>
        <v>813</v>
      </c>
      <c r="AU144" s="490">
        <f t="shared" si="168"/>
        <v>214</v>
      </c>
      <c r="AV144" s="497">
        <f t="shared" si="168"/>
        <v>177</v>
      </c>
      <c r="AW144" s="687">
        <f t="shared" si="168"/>
        <v>197</v>
      </c>
      <c r="AX144" s="490">
        <f t="shared" si="168"/>
        <v>205</v>
      </c>
      <c r="AY144" s="492">
        <f>SUM(AU144,AV144,AW144,AX144)</f>
        <v>793</v>
      </c>
      <c r="AZ144" s="490">
        <f t="shared" si="169"/>
        <v>205</v>
      </c>
      <c r="BA144" s="490">
        <f t="shared" si="169"/>
        <v>205</v>
      </c>
      <c r="BB144" s="490">
        <f t="shared" si="169"/>
        <v>205</v>
      </c>
      <c r="BC144" s="490">
        <f t="shared" si="169"/>
        <v>205</v>
      </c>
      <c r="BD144" s="492">
        <f>SUM(AZ144,BA144,BB144,BC144)</f>
        <v>820</v>
      </c>
      <c r="BE144" s="492">
        <f t="shared" si="170"/>
        <v>820</v>
      </c>
      <c r="BF144" s="492">
        <f t="shared" si="170"/>
        <v>820</v>
      </c>
      <c r="BG144" s="492">
        <f t="shared" si="170"/>
        <v>820</v>
      </c>
      <c r="BH144" s="484"/>
    </row>
    <row r="145" spans="1:60" s="470" customFormat="1" x14ac:dyDescent="0.25">
      <c r="A145" s="218" t="s">
        <v>782</v>
      </c>
      <c r="B145" s="573"/>
      <c r="C145" s="322"/>
      <c r="D145" s="322"/>
      <c r="E145" s="322"/>
      <c r="F145" s="322"/>
      <c r="G145" s="321"/>
      <c r="H145" s="321"/>
      <c r="I145" s="321"/>
      <c r="J145" s="321"/>
      <c r="K145" s="322"/>
      <c r="L145" s="321"/>
      <c r="M145" s="321"/>
      <c r="N145" s="321"/>
      <c r="O145" s="321"/>
      <c r="P145" s="322"/>
      <c r="Q145" s="321"/>
      <c r="R145" s="321"/>
      <c r="S145" s="321"/>
      <c r="T145" s="321"/>
      <c r="U145" s="322"/>
      <c r="V145" s="321"/>
      <c r="W145" s="321"/>
      <c r="X145" s="321"/>
      <c r="Y145" s="321"/>
      <c r="Z145" s="322"/>
      <c r="AA145" s="321"/>
      <c r="AB145" s="321"/>
      <c r="AC145" s="321"/>
      <c r="AD145" s="321"/>
      <c r="AE145" s="322"/>
      <c r="AF145" s="321"/>
      <c r="AG145" s="321"/>
      <c r="AH145" s="321"/>
      <c r="AI145" s="321"/>
      <c r="AJ145" s="322"/>
      <c r="AK145" s="321"/>
      <c r="AL145" s="321"/>
      <c r="AM145" s="321"/>
      <c r="AN145" s="321"/>
      <c r="AO145" s="322"/>
      <c r="AP145" s="319">
        <f t="shared" si="167"/>
        <v>-235</v>
      </c>
      <c r="AQ145" s="320">
        <f t="shared" si="167"/>
        <v>-149</v>
      </c>
      <c r="AR145" s="319">
        <f t="shared" si="167"/>
        <v>-199</v>
      </c>
      <c r="AS145" s="319">
        <f t="shared" si="167"/>
        <v>-113</v>
      </c>
      <c r="AT145" s="318">
        <f>SUM(AP145,AQ145,AR145,AS145)</f>
        <v>-696</v>
      </c>
      <c r="AU145" s="319">
        <f t="shared" si="168"/>
        <v>-235</v>
      </c>
      <c r="AV145" s="320">
        <f t="shared" si="168"/>
        <v>-226</v>
      </c>
      <c r="AW145" s="688">
        <f t="shared" si="168"/>
        <v>-220</v>
      </c>
      <c r="AX145" s="319">
        <f t="shared" si="168"/>
        <v>-200</v>
      </c>
      <c r="AY145" s="322">
        <f>SUM(AU145,AV145,AW145,AX145)</f>
        <v>-881</v>
      </c>
      <c r="AZ145" s="319">
        <f t="shared" si="169"/>
        <v>-200</v>
      </c>
      <c r="BA145" s="319">
        <f t="shared" si="169"/>
        <v>-200</v>
      </c>
      <c r="BB145" s="319">
        <f t="shared" si="169"/>
        <v>-200</v>
      </c>
      <c r="BC145" s="319">
        <f t="shared" si="169"/>
        <v>-200</v>
      </c>
      <c r="BD145" s="322">
        <f>SUM(AZ145,BA145,BB145,BC145)</f>
        <v>-800</v>
      </c>
      <c r="BE145" s="322">
        <f t="shared" si="170"/>
        <v>-800</v>
      </c>
      <c r="BF145" s="322">
        <f t="shared" si="170"/>
        <v>-800</v>
      </c>
      <c r="BG145" s="322">
        <f t="shared" si="170"/>
        <v>-800</v>
      </c>
      <c r="BH145" s="484"/>
    </row>
    <row r="146" spans="1:60" s="498" customFormat="1" x14ac:dyDescent="0.25">
      <c r="A146" s="501" t="s">
        <v>783</v>
      </c>
      <c r="B146" s="264"/>
      <c r="C146" s="506"/>
      <c r="D146" s="506"/>
      <c r="E146" s="506"/>
      <c r="F146" s="506"/>
      <c r="G146" s="505"/>
      <c r="H146" s="505"/>
      <c r="I146" s="505"/>
      <c r="J146" s="505"/>
      <c r="K146" s="506"/>
      <c r="L146" s="505"/>
      <c r="M146" s="505"/>
      <c r="N146" s="505"/>
      <c r="O146" s="505"/>
      <c r="P146" s="506"/>
      <c r="Q146" s="505"/>
      <c r="R146" s="505"/>
      <c r="S146" s="505"/>
      <c r="T146" s="505"/>
      <c r="U146" s="506"/>
      <c r="V146" s="505"/>
      <c r="W146" s="505"/>
      <c r="X146" s="505"/>
      <c r="Y146" s="505"/>
      <c r="Z146" s="506"/>
      <c r="AA146" s="505"/>
      <c r="AB146" s="505"/>
      <c r="AC146" s="505"/>
      <c r="AD146" s="505"/>
      <c r="AE146" s="506"/>
      <c r="AF146" s="505"/>
      <c r="AG146" s="505"/>
      <c r="AH146" s="505"/>
      <c r="AI146" s="505"/>
      <c r="AJ146" s="506"/>
      <c r="AK146" s="505"/>
      <c r="AL146" s="505"/>
      <c r="AM146" s="505"/>
      <c r="AN146" s="505"/>
      <c r="AO146" s="506"/>
      <c r="AP146" s="503">
        <f>AP141-SUM(AP142:AP145)-AP140</f>
        <v>1474</v>
      </c>
      <c r="AQ146" s="504">
        <f t="shared" ref="AQ146:AT146" si="171">AQ141-SUM(AQ142:AQ145)-AQ140</f>
        <v>1651</v>
      </c>
      <c r="AR146" s="503">
        <f t="shared" si="171"/>
        <v>2977</v>
      </c>
      <c r="AS146" s="503">
        <f t="shared" si="171"/>
        <v>1551</v>
      </c>
      <c r="AT146" s="502">
        <f t="shared" si="171"/>
        <v>7653</v>
      </c>
      <c r="AU146" s="503">
        <f>AU141-SUM(AU142:AU145)-AU140</f>
        <v>1451</v>
      </c>
      <c r="AV146" s="504">
        <f>AV141-SUM(AV142:AV145)-AV140</f>
        <v>2871</v>
      </c>
      <c r="AW146" s="689">
        <f t="shared" ref="AW146" si="172">AW141-SUM(AW142:AW145)-AW140</f>
        <v>2026</v>
      </c>
      <c r="AX146" s="505">
        <f t="shared" ref="AX146" si="173">AX141-SUM(AX142:AX145)-AX140</f>
        <v>1577.8092603250007</v>
      </c>
      <c r="AY146" s="506">
        <f t="shared" ref="AY146" si="174">AY141-SUM(AY142:AY145)-AY140</f>
        <v>7925.8092603249897</v>
      </c>
      <c r="AZ146" s="505">
        <f t="shared" ref="AZ146" si="175">AZ141-SUM(AZ142:AZ145)-AZ140</f>
        <v>2637.9830000000002</v>
      </c>
      <c r="BA146" s="505">
        <f t="shared" ref="BA146" si="176">BA141-SUM(BA142:BA145)-BA140</f>
        <v>1885.0439999999999</v>
      </c>
      <c r="BB146" s="505">
        <f t="shared" ref="BB146" si="177">BB141-SUM(BB142:BB145)-BB140</f>
        <v>2203.9194000000007</v>
      </c>
      <c r="BC146" s="505">
        <f t="shared" ref="BC146" si="178">BC141-SUM(BC142:BC145)-BC140</f>
        <v>2107.5228650000008</v>
      </c>
      <c r="BD146" s="506">
        <f t="shared" ref="BD146" si="179">BD141-SUM(BD142:BD145)-BD140</f>
        <v>8834.4692649999997</v>
      </c>
      <c r="BE146" s="506">
        <f t="shared" ref="BE146" si="180">BE141-SUM(BE142:BE145)-BE140</f>
        <v>11441.01035346376</v>
      </c>
      <c r="BF146" s="506">
        <f t="shared" ref="BF146" si="181">BF141-SUM(BF142:BF145)-BF140</f>
        <v>12210.722151000853</v>
      </c>
      <c r="BG146" s="506">
        <f t="shared" ref="BG146" si="182">BG141-SUM(BG142:BG145)-BG140</f>
        <v>12697.755326590443</v>
      </c>
      <c r="BH146" s="499"/>
    </row>
    <row r="147" spans="1:60" s="498" customFormat="1" x14ac:dyDescent="0.25">
      <c r="A147" s="635"/>
      <c r="B147" s="264"/>
      <c r="C147" s="506"/>
      <c r="D147" s="506"/>
      <c r="E147" s="506"/>
      <c r="F147" s="506"/>
      <c r="G147" s="505"/>
      <c r="H147" s="505"/>
      <c r="I147" s="505"/>
      <c r="J147" s="505"/>
      <c r="K147" s="506"/>
      <c r="L147" s="505"/>
      <c r="M147" s="505"/>
      <c r="N147" s="505"/>
      <c r="O147" s="505"/>
      <c r="P147" s="506"/>
      <c r="Q147" s="505"/>
      <c r="R147" s="505"/>
      <c r="S147" s="505"/>
      <c r="T147" s="505"/>
      <c r="U147" s="506"/>
      <c r="V147" s="505"/>
      <c r="W147" s="505"/>
      <c r="X147" s="505"/>
      <c r="Y147" s="505"/>
      <c r="Z147" s="506"/>
      <c r="AA147" s="505"/>
      <c r="AB147" s="505"/>
      <c r="AC147" s="505"/>
      <c r="AD147" s="505"/>
      <c r="AE147" s="506"/>
      <c r="AF147" s="505"/>
      <c r="AG147" s="505"/>
      <c r="AH147" s="505"/>
      <c r="AI147" s="505"/>
      <c r="AJ147" s="506"/>
      <c r="AK147" s="505"/>
      <c r="AL147" s="505"/>
      <c r="AM147" s="505"/>
      <c r="AN147" s="505"/>
      <c r="AO147" s="506"/>
      <c r="AP147" s="491"/>
      <c r="AQ147" s="491"/>
      <c r="AR147" s="491"/>
      <c r="AS147" s="491"/>
      <c r="AT147" s="492"/>
      <c r="AU147" s="491"/>
      <c r="AV147" s="491"/>
      <c r="AW147" s="692"/>
      <c r="AX147" s="505"/>
      <c r="AY147" s="506"/>
      <c r="AZ147" s="505"/>
      <c r="BA147" s="505"/>
      <c r="BB147" s="505"/>
      <c r="BC147" s="505"/>
      <c r="BD147" s="506"/>
      <c r="BE147" s="506"/>
      <c r="BF147" s="506"/>
      <c r="BG147" s="506"/>
      <c r="BH147" s="499"/>
    </row>
    <row r="148" spans="1:60" s="355" customFormat="1" x14ac:dyDescent="0.25">
      <c r="A148" s="684" t="s">
        <v>785</v>
      </c>
      <c r="B148" s="750"/>
      <c r="C148" s="354"/>
      <c r="D148" s="354"/>
      <c r="E148" s="354"/>
      <c r="F148" s="354"/>
      <c r="G148" s="353"/>
      <c r="H148" s="353"/>
      <c r="I148" s="353"/>
      <c r="J148" s="353"/>
      <c r="K148" s="354"/>
      <c r="L148" s="353"/>
      <c r="M148" s="353"/>
      <c r="N148" s="353"/>
      <c r="O148" s="353"/>
      <c r="P148" s="354"/>
      <c r="Q148" s="353"/>
      <c r="R148" s="353"/>
      <c r="S148" s="353"/>
      <c r="T148" s="353"/>
      <c r="U148" s="354"/>
      <c r="V148" s="353"/>
      <c r="W148" s="353"/>
      <c r="X148" s="353"/>
      <c r="Y148" s="353"/>
      <c r="Z148" s="354"/>
      <c r="AA148" s="353"/>
      <c r="AB148" s="353"/>
      <c r="AC148" s="353"/>
      <c r="AD148" s="353"/>
      <c r="AE148" s="354"/>
      <c r="AF148" s="353"/>
      <c r="AG148" s="353"/>
      <c r="AH148" s="353"/>
      <c r="AI148" s="353"/>
      <c r="AJ148" s="354"/>
      <c r="AK148" s="353"/>
      <c r="AL148" s="353"/>
      <c r="AM148" s="353"/>
      <c r="AN148" s="353"/>
      <c r="AO148" s="354"/>
      <c r="AP148" s="340">
        <f t="shared" ref="AP148:BG148" si="183">AP146/AP141</f>
        <v>0.11085207189591637</v>
      </c>
      <c r="AQ148" s="341">
        <f t="shared" si="183"/>
        <v>0.13352203801051354</v>
      </c>
      <c r="AR148" s="340">
        <f t="shared" si="183"/>
        <v>0.27786074295314539</v>
      </c>
      <c r="AS148" s="340">
        <f t="shared" si="183"/>
        <v>0.12953064974110573</v>
      </c>
      <c r="AT148" s="339">
        <f t="shared" si="183"/>
        <v>0.15828335056876938</v>
      </c>
      <c r="AU148" s="340">
        <f>AU146/AU141</f>
        <v>0.11460390174551773</v>
      </c>
      <c r="AV148" s="341">
        <f>AV146/AV141</f>
        <v>0.23078778135048231</v>
      </c>
      <c r="AW148" s="690">
        <f>AW146/AW141</f>
        <v>0.15976657992271903</v>
      </c>
      <c r="AX148" s="634">
        <f t="shared" si="183"/>
        <v>0.11573539799051828</v>
      </c>
      <c r="AY148" s="183">
        <f t="shared" si="183"/>
        <v>0.15415393312943163</v>
      </c>
      <c r="AZ148" s="634">
        <f t="shared" si="183"/>
        <v>0.1804780968551086</v>
      </c>
      <c r="BA148" s="634">
        <f t="shared" si="183"/>
        <v>0.12533017047763917</v>
      </c>
      <c r="BB148" s="634">
        <f t="shared" si="183"/>
        <v>0.13394802343094603</v>
      </c>
      <c r="BC148" s="634">
        <f t="shared" si="183"/>
        <v>0.12527437350477527</v>
      </c>
      <c r="BD148" s="183">
        <f t="shared" si="183"/>
        <v>0.14037659827575283</v>
      </c>
      <c r="BE148" s="183">
        <f t="shared" si="183"/>
        <v>0.16427574569099074</v>
      </c>
      <c r="BF148" s="183">
        <f t="shared" si="183"/>
        <v>0.16184728258453371</v>
      </c>
      <c r="BG148" s="183">
        <f t="shared" si="183"/>
        <v>0.15262814398979543</v>
      </c>
      <c r="BH148" s="303"/>
    </row>
    <row r="149" spans="1:60" s="498" customFormat="1" x14ac:dyDescent="0.25">
      <c r="A149" s="635"/>
      <c r="B149" s="264"/>
      <c r="C149" s="506"/>
      <c r="D149" s="506"/>
      <c r="E149" s="506"/>
      <c r="F149" s="506"/>
      <c r="G149" s="505"/>
      <c r="H149" s="505"/>
      <c r="I149" s="505"/>
      <c r="J149" s="505"/>
      <c r="K149" s="506"/>
      <c r="L149" s="505"/>
      <c r="M149" s="505"/>
      <c r="N149" s="505"/>
      <c r="O149" s="505"/>
      <c r="P149" s="506"/>
      <c r="Q149" s="505"/>
      <c r="R149" s="505"/>
      <c r="S149" s="505"/>
      <c r="T149" s="505"/>
      <c r="U149" s="506"/>
      <c r="V149" s="505"/>
      <c r="W149" s="505"/>
      <c r="X149" s="505"/>
      <c r="Y149" s="505"/>
      <c r="Z149" s="506"/>
      <c r="AA149" s="505"/>
      <c r="AB149" s="505"/>
      <c r="AC149" s="505"/>
      <c r="AD149" s="505"/>
      <c r="AE149" s="506"/>
      <c r="AF149" s="505"/>
      <c r="AG149" s="505"/>
      <c r="AH149" s="505"/>
      <c r="AI149" s="505"/>
      <c r="AJ149" s="506"/>
      <c r="AK149" s="505"/>
      <c r="AL149" s="505"/>
      <c r="AM149" s="505"/>
      <c r="AN149" s="505"/>
      <c r="AO149" s="506"/>
      <c r="AP149" s="491"/>
      <c r="AQ149" s="491"/>
      <c r="AR149" s="491"/>
      <c r="AS149" s="491"/>
      <c r="AT149" s="492"/>
      <c r="AU149" s="491"/>
      <c r="AV149" s="491"/>
      <c r="AW149" s="692"/>
      <c r="AX149" s="505"/>
      <c r="AY149" s="506"/>
      <c r="AZ149" s="505"/>
      <c r="BA149" s="505"/>
      <c r="BB149" s="505"/>
      <c r="BC149" s="505"/>
      <c r="BD149" s="506"/>
      <c r="BE149" s="506"/>
      <c r="BF149" s="506"/>
      <c r="BG149" s="506"/>
      <c r="BH149" s="499"/>
    </row>
    <row r="150" spans="1:60" s="470" customFormat="1" x14ac:dyDescent="0.25">
      <c r="A150" s="483" t="s">
        <v>807</v>
      </c>
      <c r="B150" s="514"/>
      <c r="C150" s="492"/>
      <c r="D150" s="492"/>
      <c r="E150" s="492"/>
      <c r="F150" s="492"/>
      <c r="G150" s="491"/>
      <c r="H150" s="491"/>
      <c r="I150" s="491"/>
      <c r="J150" s="491"/>
      <c r="K150" s="492"/>
      <c r="L150" s="491"/>
      <c r="M150" s="491"/>
      <c r="N150" s="491"/>
      <c r="O150" s="491"/>
      <c r="P150" s="492"/>
      <c r="Q150" s="491"/>
      <c r="R150" s="491"/>
      <c r="S150" s="491"/>
      <c r="T150" s="491"/>
      <c r="U150" s="492"/>
      <c r="V150" s="491"/>
      <c r="W150" s="491"/>
      <c r="X150" s="491"/>
      <c r="Y150" s="491"/>
      <c r="Z150" s="492"/>
      <c r="AA150" s="491"/>
      <c r="AB150" s="491"/>
      <c r="AC150" s="491"/>
      <c r="AD150" s="491"/>
      <c r="AE150" s="492"/>
      <c r="AF150" s="491"/>
      <c r="AG150" s="491"/>
      <c r="AH150" s="491"/>
      <c r="AI150" s="491"/>
      <c r="AJ150" s="492"/>
      <c r="AK150" s="491"/>
      <c r="AL150" s="491"/>
      <c r="AM150" s="491"/>
      <c r="AN150" s="491"/>
      <c r="AO150" s="492"/>
      <c r="AP150" s="490">
        <f t="shared" ref="AP150:AT151" si="184">AP269+AP407+AP448</f>
        <v>141</v>
      </c>
      <c r="AQ150" s="497">
        <f t="shared" si="184"/>
        <v>136</v>
      </c>
      <c r="AR150" s="490">
        <f t="shared" si="184"/>
        <v>168</v>
      </c>
      <c r="AS150" s="490">
        <f t="shared" si="184"/>
        <v>191</v>
      </c>
      <c r="AT150" s="489">
        <f t="shared" si="184"/>
        <v>638</v>
      </c>
      <c r="AU150" s="490">
        <v>167</v>
      </c>
      <c r="AV150" s="497">
        <v>133</v>
      </c>
      <c r="AW150" s="687">
        <v>153</v>
      </c>
      <c r="AX150" s="491">
        <f t="shared" ref="AX150:BG150" si="185">AX153-AX151-AX152</f>
        <v>160</v>
      </c>
      <c r="AY150" s="492">
        <f t="shared" si="185"/>
        <v>613</v>
      </c>
      <c r="AZ150" s="491">
        <f t="shared" si="185"/>
        <v>160</v>
      </c>
      <c r="BA150" s="491">
        <f t="shared" si="185"/>
        <v>160</v>
      </c>
      <c r="BB150" s="491">
        <f t="shared" si="185"/>
        <v>160</v>
      </c>
      <c r="BC150" s="491">
        <f t="shared" si="185"/>
        <v>160</v>
      </c>
      <c r="BD150" s="492">
        <f t="shared" si="185"/>
        <v>640</v>
      </c>
      <c r="BE150" s="492">
        <f t="shared" si="185"/>
        <v>640</v>
      </c>
      <c r="BF150" s="492">
        <f t="shared" si="185"/>
        <v>640</v>
      </c>
      <c r="BG150" s="492">
        <f t="shared" si="185"/>
        <v>640</v>
      </c>
      <c r="BH150" s="484"/>
    </row>
    <row r="151" spans="1:60" s="470" customFormat="1" x14ac:dyDescent="0.25">
      <c r="A151" s="483" t="s">
        <v>808</v>
      </c>
      <c r="B151" s="514"/>
      <c r="C151" s="492"/>
      <c r="D151" s="492"/>
      <c r="E151" s="492"/>
      <c r="F151" s="492"/>
      <c r="G151" s="491"/>
      <c r="H151" s="491"/>
      <c r="I151" s="491"/>
      <c r="J151" s="491"/>
      <c r="K151" s="492"/>
      <c r="L151" s="491"/>
      <c r="M151" s="491"/>
      <c r="N151" s="491"/>
      <c r="O151" s="491"/>
      <c r="P151" s="492"/>
      <c r="Q151" s="491"/>
      <c r="R151" s="491"/>
      <c r="S151" s="491"/>
      <c r="T151" s="491"/>
      <c r="U151" s="492"/>
      <c r="V151" s="491"/>
      <c r="W151" s="491"/>
      <c r="X151" s="491"/>
      <c r="Y151" s="491"/>
      <c r="Z151" s="492"/>
      <c r="AA151" s="491"/>
      <c r="AB151" s="491"/>
      <c r="AC151" s="491"/>
      <c r="AD151" s="491"/>
      <c r="AE151" s="492"/>
      <c r="AF151" s="491"/>
      <c r="AG151" s="491"/>
      <c r="AH151" s="491"/>
      <c r="AI151" s="491"/>
      <c r="AJ151" s="492"/>
      <c r="AK151" s="491"/>
      <c r="AL151" s="491"/>
      <c r="AM151" s="491"/>
      <c r="AN151" s="491"/>
      <c r="AO151" s="492"/>
      <c r="AP151" s="490">
        <f t="shared" si="184"/>
        <v>46</v>
      </c>
      <c r="AQ151" s="497">
        <f t="shared" si="184"/>
        <v>43</v>
      </c>
      <c r="AR151" s="490">
        <f t="shared" si="184"/>
        <v>42</v>
      </c>
      <c r="AS151" s="490">
        <f t="shared" si="184"/>
        <v>44</v>
      </c>
      <c r="AT151" s="489">
        <f t="shared" si="184"/>
        <v>175</v>
      </c>
      <c r="AU151" s="490">
        <f t="shared" ref="AU151:AV151" si="186">AU153-AU150</f>
        <v>47</v>
      </c>
      <c r="AV151" s="497">
        <f t="shared" si="186"/>
        <v>44</v>
      </c>
      <c r="AW151" s="687">
        <v>44</v>
      </c>
      <c r="AX151" s="496">
        <v>45</v>
      </c>
      <c r="AY151" s="492">
        <f>SUM(AU151,AV151,AW151,AX151)</f>
        <v>180</v>
      </c>
      <c r="AZ151" s="496">
        <v>45</v>
      </c>
      <c r="BA151" s="496">
        <v>45</v>
      </c>
      <c r="BB151" s="496">
        <v>45</v>
      </c>
      <c r="BC151" s="496">
        <v>45</v>
      </c>
      <c r="BD151" s="492">
        <f>SUM(AZ151,BA151,BB151,BC151)</f>
        <v>180</v>
      </c>
      <c r="BE151" s="361">
        <v>180</v>
      </c>
      <c r="BF151" s="361">
        <v>180</v>
      </c>
      <c r="BG151" s="361">
        <v>180</v>
      </c>
      <c r="BH151" s="484"/>
    </row>
    <row r="152" spans="1:60" s="470" customFormat="1" x14ac:dyDescent="0.25">
      <c r="A152" s="218" t="s">
        <v>809</v>
      </c>
      <c r="B152" s="573"/>
      <c r="C152" s="322"/>
      <c r="D152" s="322"/>
      <c r="E152" s="322"/>
      <c r="F152" s="322"/>
      <c r="G152" s="321"/>
      <c r="H152" s="321"/>
      <c r="I152" s="321"/>
      <c r="J152" s="321"/>
      <c r="K152" s="322"/>
      <c r="L152" s="321"/>
      <c r="M152" s="321"/>
      <c r="N152" s="321"/>
      <c r="O152" s="321"/>
      <c r="P152" s="322"/>
      <c r="Q152" s="321"/>
      <c r="R152" s="321"/>
      <c r="S152" s="321"/>
      <c r="T152" s="321"/>
      <c r="U152" s="322"/>
      <c r="V152" s="321"/>
      <c r="W152" s="321"/>
      <c r="X152" s="321"/>
      <c r="Y152" s="321"/>
      <c r="Z152" s="322"/>
      <c r="AA152" s="321"/>
      <c r="AB152" s="321"/>
      <c r="AC152" s="321"/>
      <c r="AD152" s="321"/>
      <c r="AE152" s="322"/>
      <c r="AF152" s="321"/>
      <c r="AG152" s="321"/>
      <c r="AH152" s="321"/>
      <c r="AI152" s="321"/>
      <c r="AJ152" s="322"/>
      <c r="AK152" s="321"/>
      <c r="AL152" s="321"/>
      <c r="AM152" s="321"/>
      <c r="AN152" s="321"/>
      <c r="AO152" s="322"/>
      <c r="AP152" s="319">
        <f>AP153-AP151-AP150</f>
        <v>1</v>
      </c>
      <c r="AQ152" s="320">
        <f t="shared" ref="AQ152:AT152" si="187">AQ153-AQ151-AQ150</f>
        <v>1</v>
      </c>
      <c r="AR152" s="319">
        <f t="shared" si="187"/>
        <v>0</v>
      </c>
      <c r="AS152" s="319">
        <f t="shared" si="187"/>
        <v>0</v>
      </c>
      <c r="AT152" s="318">
        <f t="shared" si="187"/>
        <v>0</v>
      </c>
      <c r="AU152" s="321"/>
      <c r="AV152" s="321"/>
      <c r="AW152" s="688">
        <f t="shared" ref="AW152" si="188">AW153-AW151-AW150</f>
        <v>0</v>
      </c>
      <c r="AX152" s="321"/>
      <c r="AY152" s="322"/>
      <c r="AZ152" s="321"/>
      <c r="BA152" s="321"/>
      <c r="BB152" s="321"/>
      <c r="BC152" s="321"/>
      <c r="BD152" s="322"/>
      <c r="BE152" s="322"/>
      <c r="BF152" s="322"/>
      <c r="BG152" s="322"/>
      <c r="BH152" s="484"/>
    </row>
    <row r="153" spans="1:60" s="498" customFormat="1" x14ac:dyDescent="0.25">
      <c r="A153" s="501" t="s">
        <v>806</v>
      </c>
      <c r="B153" s="264"/>
      <c r="C153" s="506"/>
      <c r="D153" s="506"/>
      <c r="E153" s="506"/>
      <c r="F153" s="506"/>
      <c r="G153" s="505"/>
      <c r="H153" s="505"/>
      <c r="I153" s="505"/>
      <c r="J153" s="505"/>
      <c r="K153" s="506"/>
      <c r="L153" s="505"/>
      <c r="M153" s="505"/>
      <c r="N153" s="505"/>
      <c r="O153" s="505"/>
      <c r="P153" s="506"/>
      <c r="Q153" s="505"/>
      <c r="R153" s="505"/>
      <c r="S153" s="505"/>
      <c r="T153" s="505"/>
      <c r="U153" s="506"/>
      <c r="V153" s="505"/>
      <c r="W153" s="505"/>
      <c r="X153" s="505"/>
      <c r="Y153" s="505"/>
      <c r="Z153" s="506"/>
      <c r="AA153" s="505"/>
      <c r="AB153" s="505"/>
      <c r="AC153" s="505"/>
      <c r="AD153" s="505"/>
      <c r="AE153" s="506"/>
      <c r="AF153" s="505"/>
      <c r="AG153" s="505"/>
      <c r="AH153" s="505"/>
      <c r="AI153" s="505"/>
      <c r="AJ153" s="506"/>
      <c r="AK153" s="505"/>
      <c r="AL153" s="505"/>
      <c r="AM153" s="505"/>
      <c r="AN153" s="505"/>
      <c r="AO153" s="506"/>
      <c r="AP153" s="503">
        <f t="shared" ref="AP153:BG153" si="189">AP144</f>
        <v>188</v>
      </c>
      <c r="AQ153" s="504">
        <f t="shared" si="189"/>
        <v>180</v>
      </c>
      <c r="AR153" s="503">
        <f t="shared" si="189"/>
        <v>210</v>
      </c>
      <c r="AS153" s="503">
        <f t="shared" si="189"/>
        <v>235</v>
      </c>
      <c r="AT153" s="502">
        <f t="shared" si="189"/>
        <v>813</v>
      </c>
      <c r="AU153" s="503">
        <f>AU144</f>
        <v>214</v>
      </c>
      <c r="AV153" s="504">
        <f>AV144</f>
        <v>177</v>
      </c>
      <c r="AW153" s="689">
        <f t="shared" ref="AW153" si="190">AW144</f>
        <v>197</v>
      </c>
      <c r="AX153" s="505">
        <f t="shared" si="189"/>
        <v>205</v>
      </c>
      <c r="AY153" s="506">
        <f t="shared" si="189"/>
        <v>793</v>
      </c>
      <c r="AZ153" s="505">
        <f t="shared" si="189"/>
        <v>205</v>
      </c>
      <c r="BA153" s="505">
        <f t="shared" si="189"/>
        <v>205</v>
      </c>
      <c r="BB153" s="505">
        <f t="shared" si="189"/>
        <v>205</v>
      </c>
      <c r="BC153" s="505">
        <f t="shared" si="189"/>
        <v>205</v>
      </c>
      <c r="BD153" s="506">
        <f t="shared" si="189"/>
        <v>820</v>
      </c>
      <c r="BE153" s="506">
        <f t="shared" si="189"/>
        <v>820</v>
      </c>
      <c r="BF153" s="506">
        <f t="shared" si="189"/>
        <v>820</v>
      </c>
      <c r="BG153" s="506">
        <f t="shared" si="189"/>
        <v>820</v>
      </c>
      <c r="BH153" s="499"/>
    </row>
    <row r="154" spans="1:60" s="498" customFormat="1" x14ac:dyDescent="0.25">
      <c r="A154" s="635"/>
      <c r="B154" s="264"/>
      <c r="C154" s="506"/>
      <c r="D154" s="506"/>
      <c r="E154" s="506"/>
      <c r="F154" s="506"/>
      <c r="G154" s="505"/>
      <c r="H154" s="505"/>
      <c r="I154" s="505"/>
      <c r="J154" s="505"/>
      <c r="K154" s="506"/>
      <c r="L154" s="505"/>
      <c r="M154" s="505"/>
      <c r="N154" s="505"/>
      <c r="O154" s="505"/>
      <c r="P154" s="506"/>
      <c r="Q154" s="505"/>
      <c r="R154" s="505"/>
      <c r="S154" s="505"/>
      <c r="T154" s="505"/>
      <c r="U154" s="506"/>
      <c r="V154" s="505"/>
      <c r="W154" s="505"/>
      <c r="X154" s="505"/>
      <c r="Y154" s="505"/>
      <c r="Z154" s="506"/>
      <c r="AA154" s="505"/>
      <c r="AB154" s="505"/>
      <c r="AC154" s="505"/>
      <c r="AD154" s="505"/>
      <c r="AE154" s="506"/>
      <c r="AF154" s="505"/>
      <c r="AG154" s="505"/>
      <c r="AH154" s="505"/>
      <c r="AI154" s="505"/>
      <c r="AJ154" s="506"/>
      <c r="AK154" s="505"/>
      <c r="AL154" s="505"/>
      <c r="AM154" s="505"/>
      <c r="AN154" s="505"/>
      <c r="AO154" s="506"/>
      <c r="AP154" s="491"/>
      <c r="AQ154" s="491"/>
      <c r="AR154" s="491"/>
      <c r="AS154" s="491"/>
      <c r="AT154" s="492"/>
      <c r="AU154" s="491"/>
      <c r="AV154" s="491"/>
      <c r="AW154" s="692"/>
      <c r="AX154" s="505"/>
      <c r="AY154" s="506"/>
      <c r="AZ154" s="505"/>
      <c r="BA154" s="505"/>
      <c r="BB154" s="505"/>
      <c r="BC154" s="505"/>
      <c r="BD154" s="506"/>
      <c r="BE154" s="506"/>
      <c r="BF154" s="506"/>
      <c r="BG154" s="506"/>
      <c r="BH154" s="499"/>
    </row>
    <row r="155" spans="1:60" s="498" customFormat="1" x14ac:dyDescent="0.25">
      <c r="A155" s="501" t="s">
        <v>818</v>
      </c>
      <c r="B155" s="264"/>
      <c r="C155" s="506"/>
      <c r="D155" s="506"/>
      <c r="E155" s="506"/>
      <c r="F155" s="506"/>
      <c r="G155" s="505"/>
      <c r="H155" s="505"/>
      <c r="I155" s="505"/>
      <c r="J155" s="505"/>
      <c r="K155" s="506"/>
      <c r="L155" s="505"/>
      <c r="M155" s="505"/>
      <c r="N155" s="505"/>
      <c r="O155" s="505"/>
      <c r="P155" s="506"/>
      <c r="Q155" s="505"/>
      <c r="R155" s="505"/>
      <c r="S155" s="505"/>
      <c r="T155" s="505"/>
      <c r="U155" s="506"/>
      <c r="V155" s="505"/>
      <c r="W155" s="505"/>
      <c r="X155" s="505"/>
      <c r="Y155" s="505"/>
      <c r="Z155" s="506"/>
      <c r="AA155" s="505"/>
      <c r="AB155" s="505"/>
      <c r="AC155" s="505"/>
      <c r="AD155" s="505"/>
      <c r="AE155" s="506"/>
      <c r="AF155" s="505"/>
      <c r="AG155" s="505"/>
      <c r="AH155" s="505"/>
      <c r="AI155" s="505"/>
      <c r="AJ155" s="506"/>
      <c r="AK155" s="505"/>
      <c r="AL155" s="505"/>
      <c r="AM155" s="505"/>
      <c r="AN155" s="505"/>
      <c r="AO155" s="506"/>
      <c r="AP155" s="503">
        <f>AP276+AP412+AP453</f>
        <v>188</v>
      </c>
      <c r="AQ155" s="504">
        <f>AQ276+AQ412+AQ453</f>
        <v>238</v>
      </c>
      <c r="AR155" s="503">
        <f>AR276+AR412+AR453</f>
        <v>139</v>
      </c>
      <c r="AS155" s="503">
        <f>AS276+AS412+AS453</f>
        <v>218</v>
      </c>
      <c r="AT155" s="502">
        <f>AT276+AT412+AT453</f>
        <v>783</v>
      </c>
      <c r="AU155" s="503">
        <v>177</v>
      </c>
      <c r="AV155" s="504">
        <f>369-AU155</f>
        <v>192</v>
      </c>
      <c r="AW155" s="689">
        <f>582-AV155-AU155</f>
        <v>213</v>
      </c>
      <c r="AX155" s="459">
        <v>200</v>
      </c>
      <c r="AY155" s="506">
        <f>SUM(AU155,AV155,AW155,AX155)</f>
        <v>782</v>
      </c>
      <c r="AZ155" s="459">
        <v>200</v>
      </c>
      <c r="BA155" s="459">
        <v>200</v>
      </c>
      <c r="BB155" s="459">
        <v>200</v>
      </c>
      <c r="BC155" s="459">
        <v>200</v>
      </c>
      <c r="BD155" s="506">
        <f>SUM(AZ155,BA155,BB155,BC155)</f>
        <v>800</v>
      </c>
      <c r="BE155" s="460">
        <v>800</v>
      </c>
      <c r="BF155" s="460">
        <v>800</v>
      </c>
      <c r="BG155" s="460">
        <v>800</v>
      </c>
      <c r="BH155" s="499"/>
    </row>
    <row r="156" spans="1:60" s="498" customFormat="1" x14ac:dyDescent="0.25">
      <c r="A156" s="635"/>
      <c r="B156" s="264"/>
      <c r="C156" s="506"/>
      <c r="D156" s="506"/>
      <c r="E156" s="506"/>
      <c r="F156" s="506"/>
      <c r="G156" s="505"/>
      <c r="H156" s="505"/>
      <c r="I156" s="505"/>
      <c r="J156" s="505"/>
      <c r="K156" s="506"/>
      <c r="L156" s="505"/>
      <c r="M156" s="505"/>
      <c r="N156" s="505"/>
      <c r="O156" s="505"/>
      <c r="P156" s="506"/>
      <c r="Q156" s="505"/>
      <c r="R156" s="505"/>
      <c r="S156" s="505"/>
      <c r="T156" s="505"/>
      <c r="U156" s="506"/>
      <c r="V156" s="505"/>
      <c r="W156" s="505"/>
      <c r="X156" s="505"/>
      <c r="Y156" s="505"/>
      <c r="Z156" s="506"/>
      <c r="AA156" s="505"/>
      <c r="AB156" s="505"/>
      <c r="AC156" s="505"/>
      <c r="AD156" s="505"/>
      <c r="AE156" s="506"/>
      <c r="AF156" s="505"/>
      <c r="AG156" s="505"/>
      <c r="AH156" s="505"/>
      <c r="AI156" s="505"/>
      <c r="AJ156" s="506"/>
      <c r="AK156" s="505"/>
      <c r="AL156" s="505"/>
      <c r="AM156" s="505"/>
      <c r="AN156" s="505"/>
      <c r="AO156" s="506"/>
      <c r="AP156" s="505"/>
      <c r="AQ156" s="505"/>
      <c r="AR156" s="505"/>
      <c r="AS156" s="505"/>
      <c r="AT156" s="506"/>
      <c r="AU156" s="505"/>
      <c r="AV156" s="505"/>
      <c r="AW156" s="694"/>
      <c r="AX156" s="505"/>
      <c r="AY156" s="506"/>
      <c r="AZ156" s="505"/>
      <c r="BA156" s="505"/>
      <c r="BB156" s="505"/>
      <c r="BC156" s="505"/>
      <c r="BD156" s="506"/>
      <c r="BE156" s="506"/>
      <c r="BF156" s="506"/>
      <c r="BG156" s="506"/>
      <c r="BH156" s="499"/>
    </row>
    <row r="157" spans="1:60" s="565" customFormat="1" x14ac:dyDescent="0.25">
      <c r="A157" s="300" t="s">
        <v>730</v>
      </c>
      <c r="B157" s="574"/>
      <c r="C157" s="575"/>
      <c r="D157" s="575"/>
      <c r="E157" s="575"/>
      <c r="F157" s="575"/>
      <c r="G157" s="575"/>
      <c r="H157" s="575"/>
      <c r="I157" s="575"/>
      <c r="J157" s="575"/>
      <c r="K157" s="575"/>
      <c r="L157" s="575"/>
      <c r="M157" s="575"/>
      <c r="N157" s="575"/>
      <c r="O157" s="575"/>
      <c r="P157" s="575"/>
      <c r="Q157" s="575"/>
      <c r="R157" s="575"/>
      <c r="S157" s="575"/>
      <c r="T157" s="575"/>
      <c r="U157" s="575"/>
      <c r="V157" s="575"/>
      <c r="W157" s="575"/>
      <c r="X157" s="575"/>
      <c r="Y157" s="575"/>
      <c r="Z157" s="575"/>
      <c r="AA157" s="575"/>
      <c r="AB157" s="575"/>
      <c r="AC157" s="575"/>
      <c r="AD157" s="575"/>
      <c r="AE157" s="575"/>
      <c r="AF157" s="575"/>
      <c r="AG157" s="575"/>
      <c r="AH157" s="575"/>
      <c r="AI157" s="575"/>
      <c r="AJ157" s="575"/>
      <c r="AK157" s="575"/>
      <c r="AL157" s="575"/>
      <c r="AM157" s="575"/>
      <c r="AN157" s="575"/>
      <c r="AO157" s="575"/>
      <c r="AP157" s="637" t="s">
        <v>701</v>
      </c>
      <c r="AQ157" s="637" t="s">
        <v>701</v>
      </c>
      <c r="AR157" s="637"/>
      <c r="AS157" s="637"/>
      <c r="AT157" s="637"/>
      <c r="AU157" s="637"/>
      <c r="AV157" s="637"/>
      <c r="AW157" s="638"/>
      <c r="AX157" s="575"/>
      <c r="AY157" s="575"/>
      <c r="AZ157" s="575"/>
      <c r="BA157" s="575"/>
      <c r="BB157" s="575"/>
      <c r="BC157" s="575"/>
      <c r="BD157" s="575"/>
      <c r="BE157" s="575"/>
      <c r="BF157" s="575"/>
      <c r="BG157" s="575"/>
      <c r="BH157" s="564"/>
    </row>
    <row r="158" spans="1:60" s="40" customFormat="1" x14ac:dyDescent="0.25">
      <c r="A158" s="285" t="s">
        <v>575</v>
      </c>
      <c r="B158" s="653"/>
      <c r="C158" s="964"/>
      <c r="D158" s="964"/>
      <c r="E158" s="964"/>
      <c r="F158" s="964"/>
      <c r="G158" s="965"/>
      <c r="H158" s="965"/>
      <c r="I158" s="965"/>
      <c r="J158" s="965"/>
      <c r="K158" s="964"/>
      <c r="L158" s="965"/>
      <c r="M158" s="965"/>
      <c r="N158" s="965"/>
      <c r="O158" s="965"/>
      <c r="P158" s="964"/>
      <c r="Q158" s="965"/>
      <c r="R158" s="965"/>
      <c r="S158" s="965"/>
      <c r="T158" s="965"/>
      <c r="U158" s="964"/>
      <c r="V158" s="965"/>
      <c r="W158" s="965"/>
      <c r="X158" s="965"/>
      <c r="Y158" s="965"/>
      <c r="Z158" s="964"/>
      <c r="AA158" s="965"/>
      <c r="AB158" s="965"/>
      <c r="AC158" s="965"/>
      <c r="AD158" s="965"/>
      <c r="AE158" s="964"/>
      <c r="AF158" s="965"/>
      <c r="AG158" s="965"/>
      <c r="AH158" s="965"/>
      <c r="AI158" s="965"/>
      <c r="AJ158" s="964"/>
      <c r="AK158" s="965"/>
      <c r="AL158" s="965"/>
      <c r="AM158" s="965"/>
      <c r="AN158" s="965"/>
      <c r="AO158" s="964"/>
      <c r="AP158" s="966">
        <v>26.5</v>
      </c>
      <c r="AQ158" s="967">
        <v>33.5</v>
      </c>
      <c r="AR158" s="966">
        <v>57.5</v>
      </c>
      <c r="AS158" s="966">
        <f t="shared" ref="AS158:AS182" si="191">+AT158</f>
        <v>73.7</v>
      </c>
      <c r="AT158" s="968">
        <v>73.7</v>
      </c>
      <c r="AU158" s="966">
        <v>94.9</v>
      </c>
      <c r="AV158" s="967">
        <v>103.6</v>
      </c>
      <c r="AW158" s="969">
        <v>116</v>
      </c>
      <c r="AX158" s="965">
        <f>AW158*(1+AX159)</f>
        <v>139.19999999999999</v>
      </c>
      <c r="AY158" s="964">
        <f>AX158</f>
        <v>139.19999999999999</v>
      </c>
      <c r="AZ158" s="965">
        <f>AX158*(1+AZ159)</f>
        <v>164.25599999999997</v>
      </c>
      <c r="BA158" s="965">
        <f>AZ158*(1+BA159)</f>
        <v>193.82207999999994</v>
      </c>
      <c r="BB158" s="965">
        <f t="shared" ref="BB158" si="192">BA158*(1+BB159)</f>
        <v>228.71005439999993</v>
      </c>
      <c r="BC158" s="965">
        <f t="shared" ref="BC158" si="193">BB158*(1+BC159)</f>
        <v>269.87786419199989</v>
      </c>
      <c r="BD158" s="964">
        <f>BC158</f>
        <v>269.87786419199989</v>
      </c>
      <c r="BE158" s="964">
        <f>BD158*(1+BE160)</f>
        <v>337.34733023999985</v>
      </c>
      <c r="BF158" s="964">
        <f t="shared" ref="BF158:BG158" si="194">BE158*(1+BF160)</f>
        <v>421.6841627999998</v>
      </c>
      <c r="BG158" s="964">
        <f t="shared" si="194"/>
        <v>506.02099535999974</v>
      </c>
      <c r="BH158" s="728"/>
    </row>
    <row r="159" spans="1:60" s="343" customFormat="1" x14ac:dyDescent="0.25">
      <c r="A159" s="654" t="s">
        <v>704</v>
      </c>
      <c r="B159" s="655"/>
      <c r="C159" s="183"/>
      <c r="D159" s="183"/>
      <c r="E159" s="183"/>
      <c r="F159" s="183"/>
      <c r="G159" s="634"/>
      <c r="H159" s="634"/>
      <c r="I159" s="634"/>
      <c r="J159" s="634"/>
      <c r="K159" s="183"/>
      <c r="L159" s="634"/>
      <c r="M159" s="634"/>
      <c r="N159" s="634"/>
      <c r="O159" s="634"/>
      <c r="P159" s="183"/>
      <c r="Q159" s="634"/>
      <c r="R159" s="634"/>
      <c r="S159" s="634"/>
      <c r="T159" s="634"/>
      <c r="U159" s="183"/>
      <c r="V159" s="634"/>
      <c r="W159" s="634"/>
      <c r="X159" s="634"/>
      <c r="Y159" s="634"/>
      <c r="Z159" s="183"/>
      <c r="AA159" s="634"/>
      <c r="AB159" s="634"/>
      <c r="AC159" s="634"/>
      <c r="AD159" s="634"/>
      <c r="AE159" s="183"/>
      <c r="AF159" s="634"/>
      <c r="AG159" s="634"/>
      <c r="AH159" s="634"/>
      <c r="AI159" s="634"/>
      <c r="AJ159" s="183"/>
      <c r="AK159" s="634"/>
      <c r="AL159" s="634"/>
      <c r="AM159" s="634"/>
      <c r="AN159" s="634"/>
      <c r="AO159" s="183"/>
      <c r="AP159" s="634"/>
      <c r="AQ159" s="634">
        <f>AQ158/AP158-1</f>
        <v>0.26415094339622636</v>
      </c>
      <c r="AR159" s="634">
        <f t="shared" ref="AR159:AS159" si="195">AR158/AQ158-1</f>
        <v>0.71641791044776126</v>
      </c>
      <c r="AS159" s="634">
        <f t="shared" si="195"/>
        <v>0.28173913043478271</v>
      </c>
      <c r="AT159" s="183"/>
      <c r="AU159" s="634">
        <f>AU158/AS158-1</f>
        <v>0.28765264586160111</v>
      </c>
      <c r="AV159" s="634">
        <f>AV158/AT158-1</f>
        <v>0.40569877883310701</v>
      </c>
      <c r="AW159" s="691">
        <f>AW158/AV158-1</f>
        <v>0.11969111969111967</v>
      </c>
      <c r="AX159" s="356">
        <v>0.2</v>
      </c>
      <c r="AY159" s="183"/>
      <c r="AZ159" s="356">
        <v>0.18</v>
      </c>
      <c r="BA159" s="356">
        <v>0.18</v>
      </c>
      <c r="BB159" s="356">
        <v>0.18</v>
      </c>
      <c r="BC159" s="356">
        <v>0.18</v>
      </c>
      <c r="BD159" s="183"/>
      <c r="BE159" s="183"/>
      <c r="BF159" s="183"/>
      <c r="BG159" s="183"/>
      <c r="BH159" s="342"/>
    </row>
    <row r="160" spans="1:60" s="343" customFormat="1" x14ac:dyDescent="0.25">
      <c r="A160" s="654" t="s">
        <v>725</v>
      </c>
      <c r="B160" s="655"/>
      <c r="C160" s="183"/>
      <c r="D160" s="183"/>
      <c r="E160" s="183"/>
      <c r="F160" s="183"/>
      <c r="G160" s="634"/>
      <c r="H160" s="634"/>
      <c r="I160" s="634"/>
      <c r="J160" s="634"/>
      <c r="K160" s="183"/>
      <c r="L160" s="634"/>
      <c r="M160" s="634"/>
      <c r="N160" s="634"/>
      <c r="O160" s="634"/>
      <c r="P160" s="183"/>
      <c r="Q160" s="634"/>
      <c r="R160" s="634"/>
      <c r="S160" s="634"/>
      <c r="T160" s="634"/>
      <c r="U160" s="183"/>
      <c r="V160" s="634"/>
      <c r="W160" s="634"/>
      <c r="X160" s="634"/>
      <c r="Y160" s="634"/>
      <c r="Z160" s="183"/>
      <c r="AA160" s="634"/>
      <c r="AB160" s="634"/>
      <c r="AC160" s="634"/>
      <c r="AD160" s="634"/>
      <c r="AE160" s="183"/>
      <c r="AF160" s="634"/>
      <c r="AG160" s="634"/>
      <c r="AH160" s="634"/>
      <c r="AI160" s="634"/>
      <c r="AJ160" s="183"/>
      <c r="AK160" s="634"/>
      <c r="AL160" s="634"/>
      <c r="AM160" s="634"/>
      <c r="AN160" s="634"/>
      <c r="AO160" s="183"/>
      <c r="AP160" s="634"/>
      <c r="AQ160" s="634"/>
      <c r="AR160" s="634"/>
      <c r="AS160" s="634"/>
      <c r="AT160" s="183"/>
      <c r="AU160" s="634">
        <f t="shared" ref="AU160:AW160" si="196">AU158/AP158-1</f>
        <v>2.5811320754716984</v>
      </c>
      <c r="AV160" s="634">
        <f t="shared" si="196"/>
        <v>2.0925373134328358</v>
      </c>
      <c r="AW160" s="691">
        <f t="shared" si="196"/>
        <v>1.017391304347826</v>
      </c>
      <c r="AX160" s="634">
        <f t="shared" ref="AX160" si="197">AX158/AS158-1</f>
        <v>0.88873812754409753</v>
      </c>
      <c r="AY160" s="183">
        <f t="shared" ref="AY160" si="198">AY158/AT158-1</f>
        <v>0.88873812754409753</v>
      </c>
      <c r="AZ160" s="634">
        <f t="shared" ref="AZ160" si="199">AZ158/AU158-1</f>
        <v>0.73083245521601636</v>
      </c>
      <c r="BA160" s="634">
        <f t="shared" ref="BA160" si="200">BA158/AV158-1</f>
        <v>0.87086949806949754</v>
      </c>
      <c r="BB160" s="634">
        <f t="shared" ref="BB160" si="201">BB158/AW158-1</f>
        <v>0.97163839999999935</v>
      </c>
      <c r="BC160" s="634">
        <f t="shared" ref="BC160" si="202">BC158/AX158-1</f>
        <v>0.93877775999999935</v>
      </c>
      <c r="BD160" s="183">
        <f t="shared" ref="BD160" si="203">BD158/AY158-1</f>
        <v>0.93877775999999935</v>
      </c>
      <c r="BE160" s="358">
        <v>0.25</v>
      </c>
      <c r="BF160" s="358">
        <v>0.25</v>
      </c>
      <c r="BG160" s="358">
        <v>0.2</v>
      </c>
      <c r="BH160" s="342"/>
    </row>
    <row r="161" spans="1:60" s="642" customFormat="1" x14ac:dyDescent="0.25">
      <c r="A161" s="652" t="s">
        <v>577</v>
      </c>
      <c r="B161" s="656"/>
      <c r="C161" s="640"/>
      <c r="D161" s="640"/>
      <c r="E161" s="640"/>
      <c r="F161" s="640"/>
      <c r="G161" s="639"/>
      <c r="H161" s="639"/>
      <c r="I161" s="639"/>
      <c r="J161" s="639"/>
      <c r="K161" s="640"/>
      <c r="L161" s="639"/>
      <c r="M161" s="639"/>
      <c r="N161" s="639"/>
      <c r="O161" s="639"/>
      <c r="P161" s="640"/>
      <c r="Q161" s="639"/>
      <c r="R161" s="639"/>
      <c r="S161" s="639"/>
      <c r="T161" s="639"/>
      <c r="U161" s="640"/>
      <c r="V161" s="639"/>
      <c r="W161" s="639"/>
      <c r="X161" s="639"/>
      <c r="Y161" s="639"/>
      <c r="Z161" s="640"/>
      <c r="AA161" s="639"/>
      <c r="AB161" s="639"/>
      <c r="AC161" s="639"/>
      <c r="AD161" s="639"/>
      <c r="AE161" s="640"/>
      <c r="AF161" s="639"/>
      <c r="AG161" s="639"/>
      <c r="AH161" s="639"/>
      <c r="AI161" s="639"/>
      <c r="AJ161" s="640"/>
      <c r="AK161" s="639"/>
      <c r="AL161" s="639"/>
      <c r="AM161" s="639"/>
      <c r="AN161" s="639"/>
      <c r="AO161" s="640"/>
      <c r="AP161" s="639">
        <v>5.56</v>
      </c>
      <c r="AQ161" s="639">
        <v>5.63</v>
      </c>
      <c r="AR161" s="639">
        <v>4.62</v>
      </c>
      <c r="AS161" s="639">
        <v>4.5199999999999996</v>
      </c>
      <c r="AT161" s="640">
        <v>4.8</v>
      </c>
      <c r="AU161" s="639">
        <v>4.03</v>
      </c>
      <c r="AV161" s="639">
        <v>3.99</v>
      </c>
      <c r="AW161" s="947">
        <v>4.16</v>
      </c>
      <c r="AX161" s="639">
        <f t="shared" ref="AX161" si="204">AW161*(1+AX162)</f>
        <v>4.0768000000000004</v>
      </c>
      <c r="AY161" s="640">
        <f>AVERAGE(AX161,AW161,AV161,AU161)</f>
        <v>4.0642000000000005</v>
      </c>
      <c r="AZ161" s="639">
        <f>AX161*(1+AZ162)</f>
        <v>4.0360320000000005</v>
      </c>
      <c r="BA161" s="639">
        <f>AZ161*(1+BA162)</f>
        <v>3.9956716800000005</v>
      </c>
      <c r="BB161" s="639">
        <f t="shared" ref="BB161" si="205">BA161*(1+BB162)</f>
        <v>3.9557149632000006</v>
      </c>
      <c r="BC161" s="639">
        <f t="shared" ref="BC161" si="206">BB161*(1+BC162)</f>
        <v>3.9161578135680006</v>
      </c>
      <c r="BD161" s="640">
        <f>AVERAGE(BC161,BB161,BA161,AZ161)</f>
        <v>3.9758941141920006</v>
      </c>
      <c r="BE161" s="640">
        <f>BD161*(1+BE163)</f>
        <v>3.8963762319081603</v>
      </c>
      <c r="BF161" s="640">
        <f t="shared" ref="BF161:BG161" si="207">BE161*(1+BF163)</f>
        <v>3.9353399942272418</v>
      </c>
      <c r="BG161" s="640">
        <f t="shared" si="207"/>
        <v>3.9746933941695142</v>
      </c>
      <c r="BH161" s="641"/>
    </row>
    <row r="162" spans="1:60" s="475" customFormat="1" x14ac:dyDescent="0.25">
      <c r="A162" s="654" t="s">
        <v>705</v>
      </c>
      <c r="B162" s="245"/>
      <c r="C162" s="103"/>
      <c r="D162" s="103"/>
      <c r="E162" s="103"/>
      <c r="F162" s="103"/>
      <c r="G162" s="101"/>
      <c r="H162" s="101"/>
      <c r="I162" s="101"/>
      <c r="J162" s="101"/>
      <c r="K162" s="103"/>
      <c r="L162" s="101"/>
      <c r="M162" s="101"/>
      <c r="N162" s="101"/>
      <c r="O162" s="101"/>
      <c r="P162" s="103"/>
      <c r="Q162" s="101"/>
      <c r="R162" s="101"/>
      <c r="S162" s="101"/>
      <c r="T162" s="101"/>
      <c r="U162" s="103"/>
      <c r="V162" s="101"/>
      <c r="W162" s="101"/>
      <c r="X162" s="101"/>
      <c r="Y162" s="101"/>
      <c r="Z162" s="103"/>
      <c r="AA162" s="101"/>
      <c r="AB162" s="101"/>
      <c r="AC162" s="101"/>
      <c r="AD162" s="101"/>
      <c r="AE162" s="103"/>
      <c r="AF162" s="101"/>
      <c r="AG162" s="101"/>
      <c r="AH162" s="101"/>
      <c r="AI162" s="101"/>
      <c r="AJ162" s="103"/>
      <c r="AK162" s="101"/>
      <c r="AL162" s="101"/>
      <c r="AM162" s="101"/>
      <c r="AN162" s="101"/>
      <c r="AO162" s="103"/>
      <c r="AP162" s="101"/>
      <c r="AQ162" s="101">
        <f>AQ161/AP161-1</f>
        <v>1.2589928057554101E-2</v>
      </c>
      <c r="AR162" s="101">
        <f t="shared" ref="AR162" si="208">AR161/AQ161-1</f>
        <v>-0.17939609236234455</v>
      </c>
      <c r="AS162" s="101">
        <f t="shared" ref="AS162" si="209">AS161/AR161-1</f>
        <v>-2.16450216450218E-2</v>
      </c>
      <c r="AT162" s="103"/>
      <c r="AU162" s="101">
        <f>AU161/AS161-1</f>
        <v>-0.10840707964601759</v>
      </c>
      <c r="AV162" s="101">
        <f>AV161/AT161-1</f>
        <v>-0.16874999999999996</v>
      </c>
      <c r="AW162" s="686">
        <f>AW161/AV161-1</f>
        <v>4.2606516290726759E-2</v>
      </c>
      <c r="AX162" s="474">
        <v>-0.02</v>
      </c>
      <c r="AY162" s="103"/>
      <c r="AZ162" s="474">
        <v>-0.01</v>
      </c>
      <c r="BA162" s="474">
        <v>-0.01</v>
      </c>
      <c r="BB162" s="474">
        <v>-0.01</v>
      </c>
      <c r="BC162" s="474">
        <v>-0.01</v>
      </c>
      <c r="BD162" s="103"/>
      <c r="BE162" s="103"/>
      <c r="BF162" s="103"/>
      <c r="BG162" s="103"/>
      <c r="BH162" s="477"/>
    </row>
    <row r="163" spans="1:60" s="475" customFormat="1" x14ac:dyDescent="0.25">
      <c r="A163" s="654" t="s">
        <v>724</v>
      </c>
      <c r="B163" s="245"/>
      <c r="C163" s="103"/>
      <c r="D163" s="103"/>
      <c r="E163" s="103"/>
      <c r="F163" s="103"/>
      <c r="G163" s="101"/>
      <c r="H163" s="101"/>
      <c r="I163" s="101"/>
      <c r="J163" s="101"/>
      <c r="K163" s="103"/>
      <c r="L163" s="101"/>
      <c r="M163" s="101"/>
      <c r="N163" s="101"/>
      <c r="O163" s="101"/>
      <c r="P163" s="103"/>
      <c r="Q163" s="101"/>
      <c r="R163" s="101"/>
      <c r="S163" s="101"/>
      <c r="T163" s="101"/>
      <c r="U163" s="103"/>
      <c r="V163" s="101"/>
      <c r="W163" s="101"/>
      <c r="X163" s="101"/>
      <c r="Y163" s="101"/>
      <c r="Z163" s="103"/>
      <c r="AA163" s="101"/>
      <c r="AB163" s="101"/>
      <c r="AC163" s="101"/>
      <c r="AD163" s="101"/>
      <c r="AE163" s="103"/>
      <c r="AF163" s="101"/>
      <c r="AG163" s="101"/>
      <c r="AH163" s="101"/>
      <c r="AI163" s="101"/>
      <c r="AJ163" s="103"/>
      <c r="AK163" s="101"/>
      <c r="AL163" s="101"/>
      <c r="AM163" s="101"/>
      <c r="AN163" s="101"/>
      <c r="AO163" s="103"/>
      <c r="AP163" s="101"/>
      <c r="AQ163" s="101"/>
      <c r="AR163" s="101"/>
      <c r="AS163" s="101"/>
      <c r="AT163" s="103"/>
      <c r="AU163" s="101"/>
      <c r="AV163" s="101"/>
      <c r="AW163" s="686"/>
      <c r="AX163" s="101">
        <f t="shared" ref="AX163" si="210">AX161/AS161-1</f>
        <v>-9.8053097345132567E-2</v>
      </c>
      <c r="AY163" s="103">
        <f t="shared" ref="AY163" si="211">AY161/AT161-1</f>
        <v>-0.15329166666666649</v>
      </c>
      <c r="AZ163" s="101">
        <f t="shared" ref="AZ163" si="212">AZ161/AU161-1</f>
        <v>1.4967741935485446E-3</v>
      </c>
      <c r="BA163" s="101">
        <f t="shared" ref="BA163" si="213">BA161/AV161-1</f>
        <v>1.421473684210639E-3</v>
      </c>
      <c r="BB163" s="101">
        <f t="shared" ref="BB163" si="214">BB161/AW161-1</f>
        <v>-4.9106979999999911E-2</v>
      </c>
      <c r="BC163" s="101">
        <f t="shared" ref="BC163" si="215">BC161/AX161-1</f>
        <v>-3.9403989999999944E-2</v>
      </c>
      <c r="BD163" s="103">
        <f t="shared" ref="BD163" si="216">BD161/AY161-1</f>
        <v>-2.1727741205649354E-2</v>
      </c>
      <c r="BE163" s="467">
        <v>-0.02</v>
      </c>
      <c r="BF163" s="467">
        <v>0.01</v>
      </c>
      <c r="BG163" s="467">
        <v>0.01</v>
      </c>
      <c r="BH163" s="477"/>
    </row>
    <row r="164" spans="1:60" s="19" customFormat="1" x14ac:dyDescent="0.25">
      <c r="A164" s="567" t="s">
        <v>703</v>
      </c>
      <c r="B164" s="751"/>
      <c r="C164" s="970"/>
      <c r="D164" s="970"/>
      <c r="E164" s="970"/>
      <c r="F164" s="970"/>
      <c r="G164" s="971"/>
      <c r="H164" s="971"/>
      <c r="I164" s="971"/>
      <c r="J164" s="971"/>
      <c r="K164" s="970"/>
      <c r="L164" s="971"/>
      <c r="M164" s="971"/>
      <c r="N164" s="971"/>
      <c r="O164" s="971"/>
      <c r="P164" s="970"/>
      <c r="Q164" s="971"/>
      <c r="R164" s="971"/>
      <c r="S164" s="971"/>
      <c r="T164" s="971"/>
      <c r="U164" s="970"/>
      <c r="V164" s="971"/>
      <c r="W164" s="971"/>
      <c r="X164" s="971"/>
      <c r="Y164" s="971"/>
      <c r="Z164" s="970"/>
      <c r="AA164" s="971"/>
      <c r="AB164" s="971"/>
      <c r="AC164" s="971"/>
      <c r="AD164" s="971"/>
      <c r="AE164" s="970"/>
      <c r="AF164" s="971"/>
      <c r="AG164" s="971"/>
      <c r="AH164" s="971"/>
      <c r="AI164" s="971"/>
      <c r="AJ164" s="970"/>
      <c r="AK164" s="971"/>
      <c r="AL164" s="971"/>
      <c r="AM164" s="971"/>
      <c r="AN164" s="971"/>
      <c r="AO164" s="970"/>
      <c r="AP164" s="972">
        <f>AP161*AP158*3</f>
        <v>442.02</v>
      </c>
      <c r="AQ164" s="973">
        <f>AQ161*AQ158*3</f>
        <v>565.81499999999994</v>
      </c>
      <c r="AR164" s="972">
        <f>AR161*AR158*3</f>
        <v>796.95</v>
      </c>
      <c r="AS164" s="972">
        <f>AS161*AS158*3</f>
        <v>999.37199999999984</v>
      </c>
      <c r="AT164" s="974">
        <f>SUM(AP164,AQ164,AR164,AS164)</f>
        <v>2804.1569999999997</v>
      </c>
      <c r="AU164" s="972">
        <f>AU161*AU158*3</f>
        <v>1147.3410000000001</v>
      </c>
      <c r="AV164" s="973">
        <f>AV161*AV158*3</f>
        <v>1240.0919999999999</v>
      </c>
      <c r="AW164" s="975">
        <f>AW161*AW158*3</f>
        <v>1447.68</v>
      </c>
      <c r="AX164" s="971">
        <f t="shared" ref="AX164:BC164" si="217">AX161*AX158*3</f>
        <v>1702.4716799999999</v>
      </c>
      <c r="AY164" s="970">
        <f>SUM(AU164,AV164,AW164,AX164)</f>
        <v>5537.5846799999999</v>
      </c>
      <c r="AZ164" s="971">
        <f t="shared" si="217"/>
        <v>1988.8274165759999</v>
      </c>
      <c r="BA164" s="971">
        <f t="shared" si="217"/>
        <v>2323.3481880440827</v>
      </c>
      <c r="BB164" s="971">
        <f t="shared" si="217"/>
        <v>2714.1353532730977</v>
      </c>
      <c r="BC164" s="971">
        <f t="shared" si="217"/>
        <v>3170.6529196936326</v>
      </c>
      <c r="BD164" s="970">
        <f>SUM(AZ164,BA164,BB164,BC164)</f>
        <v>10196.963877586812</v>
      </c>
      <c r="BE164" s="970">
        <f>BE161*AVERAGE(BE158,BD158)*12</f>
        <v>14195.86689000393</v>
      </c>
      <c r="BF164" s="970">
        <f t="shared" ref="BF164:BG164" si="218">BF161*AVERAGE(BF158,BE158)*12</f>
        <v>17922.281948629963</v>
      </c>
      <c r="BG164" s="970">
        <f t="shared" si="218"/>
        <v>22124.061383253207</v>
      </c>
      <c r="BH164" s="730"/>
    </row>
    <row r="165" spans="1:60" s="572" customFormat="1" x14ac:dyDescent="0.25">
      <c r="A165" s="752"/>
      <c r="B165" s="753"/>
      <c r="C165" s="570"/>
      <c r="D165" s="570"/>
      <c r="E165" s="570"/>
      <c r="F165" s="570"/>
      <c r="G165" s="569"/>
      <c r="H165" s="569"/>
      <c r="I165" s="569"/>
      <c r="J165" s="569"/>
      <c r="K165" s="570"/>
      <c r="L165" s="569"/>
      <c r="M165" s="569"/>
      <c r="N165" s="569"/>
      <c r="O165" s="569"/>
      <c r="P165" s="570"/>
      <c r="Q165" s="569"/>
      <c r="R165" s="569"/>
      <c r="S165" s="569"/>
      <c r="T165" s="569"/>
      <c r="U165" s="570"/>
      <c r="V165" s="569"/>
      <c r="W165" s="569"/>
      <c r="X165" s="569"/>
      <c r="Y165" s="569"/>
      <c r="Z165" s="570"/>
      <c r="AA165" s="569"/>
      <c r="AB165" s="569"/>
      <c r="AC165" s="569"/>
      <c r="AD165" s="569"/>
      <c r="AE165" s="570"/>
      <c r="AF165" s="569"/>
      <c r="AG165" s="569"/>
      <c r="AH165" s="569"/>
      <c r="AI165" s="569"/>
      <c r="AJ165" s="570"/>
      <c r="AK165" s="569"/>
      <c r="AL165" s="569"/>
      <c r="AM165" s="569"/>
      <c r="AN165" s="569"/>
      <c r="AO165" s="570"/>
      <c r="AP165" s="569"/>
      <c r="AQ165" s="569"/>
      <c r="AR165" s="569"/>
      <c r="AS165" s="569"/>
      <c r="AT165" s="570"/>
      <c r="AU165" s="569"/>
      <c r="AV165" s="569"/>
      <c r="AW165" s="754"/>
      <c r="AX165" s="569"/>
      <c r="AY165" s="570"/>
      <c r="AZ165" s="569"/>
      <c r="BA165" s="569"/>
      <c r="BB165" s="569"/>
      <c r="BC165" s="569"/>
      <c r="BD165" s="570"/>
      <c r="BE165" s="570"/>
      <c r="BF165" s="570"/>
      <c r="BG165" s="570"/>
      <c r="BH165" s="571"/>
    </row>
    <row r="166" spans="1:60" s="40" customFormat="1" x14ac:dyDescent="0.25">
      <c r="A166" s="657" t="s">
        <v>576</v>
      </c>
      <c r="B166" s="653"/>
      <c r="C166" s="964"/>
      <c r="D166" s="964"/>
      <c r="E166" s="964"/>
      <c r="F166" s="964"/>
      <c r="G166" s="965"/>
      <c r="H166" s="965"/>
      <c r="I166" s="965"/>
      <c r="J166" s="965"/>
      <c r="K166" s="964"/>
      <c r="L166" s="965"/>
      <c r="M166" s="965"/>
      <c r="N166" s="965"/>
      <c r="O166" s="965"/>
      <c r="P166" s="964"/>
      <c r="Q166" s="965"/>
      <c r="R166" s="965"/>
      <c r="S166" s="965"/>
      <c r="T166" s="965"/>
      <c r="U166" s="964"/>
      <c r="V166" s="965"/>
      <c r="W166" s="965"/>
      <c r="X166" s="965"/>
      <c r="Y166" s="965"/>
      <c r="Z166" s="964"/>
      <c r="AA166" s="965"/>
      <c r="AB166" s="965"/>
      <c r="AC166" s="965"/>
      <c r="AD166" s="965"/>
      <c r="AE166" s="964"/>
      <c r="AF166" s="965"/>
      <c r="AG166" s="965"/>
      <c r="AH166" s="965"/>
      <c r="AI166" s="965"/>
      <c r="AJ166" s="964"/>
      <c r="AK166" s="965">
        <v>1.4</v>
      </c>
      <c r="AL166" s="965">
        <v>2.2000000000000002</v>
      </c>
      <c r="AM166" s="965">
        <v>2.4</v>
      </c>
      <c r="AN166" s="965">
        <v>3.5</v>
      </c>
      <c r="AO166" s="964">
        <f t="shared" ref="AO166:AO182" si="219">+AN166</f>
        <v>3.5</v>
      </c>
      <c r="AP166" s="965">
        <v>6.6</v>
      </c>
      <c r="AQ166" s="965">
        <v>7.9</v>
      </c>
      <c r="AR166" s="965">
        <v>8.5</v>
      </c>
      <c r="AS166" s="965">
        <f t="shared" si="191"/>
        <v>10.3</v>
      </c>
      <c r="AT166" s="964">
        <v>10.3</v>
      </c>
      <c r="AU166" s="965">
        <v>12.1</v>
      </c>
      <c r="AV166" s="965">
        <v>13.8</v>
      </c>
      <c r="AW166" s="976">
        <v>14.9</v>
      </c>
      <c r="AX166" s="965">
        <f t="shared" ref="AX166" si="220">AW166*(1+AX167)</f>
        <v>16.39</v>
      </c>
      <c r="AY166" s="964">
        <f>AX166</f>
        <v>16.39</v>
      </c>
      <c r="AZ166" s="965">
        <f>AX166*(1+AZ167)</f>
        <v>17.209500000000002</v>
      </c>
      <c r="BA166" s="965">
        <f>AZ166*(1+BA167)</f>
        <v>18.069975000000003</v>
      </c>
      <c r="BB166" s="965">
        <f t="shared" ref="BB166" si="221">BA166*(1+BB167)</f>
        <v>18.973473750000004</v>
      </c>
      <c r="BC166" s="965">
        <f t="shared" ref="BC166" si="222">BB166*(1+BC167)</f>
        <v>19.922147437500005</v>
      </c>
      <c r="BD166" s="964">
        <f>BC166</f>
        <v>19.922147437500005</v>
      </c>
      <c r="BE166" s="964">
        <f>BD166*(1+BE168)</f>
        <v>22.910469553125004</v>
      </c>
      <c r="BF166" s="964">
        <f t="shared" ref="BF166:BG166" si="223">BE166*(1+BF168)</f>
        <v>26.347039986093755</v>
      </c>
      <c r="BG166" s="964">
        <f t="shared" si="223"/>
        <v>30.299095984007817</v>
      </c>
      <c r="BH166" s="728"/>
    </row>
    <row r="167" spans="1:60" s="343" customFormat="1" x14ac:dyDescent="0.25">
      <c r="A167" s="654" t="s">
        <v>708</v>
      </c>
      <c r="B167" s="655"/>
      <c r="C167" s="183"/>
      <c r="D167" s="183"/>
      <c r="E167" s="183"/>
      <c r="F167" s="183"/>
      <c r="G167" s="634"/>
      <c r="H167" s="634"/>
      <c r="I167" s="634"/>
      <c r="J167" s="634"/>
      <c r="K167" s="183"/>
      <c r="L167" s="634"/>
      <c r="M167" s="634"/>
      <c r="N167" s="634"/>
      <c r="O167" s="634"/>
      <c r="P167" s="183"/>
      <c r="Q167" s="634"/>
      <c r="R167" s="634"/>
      <c r="S167" s="634"/>
      <c r="T167" s="634"/>
      <c r="U167" s="183"/>
      <c r="V167" s="634"/>
      <c r="W167" s="634"/>
      <c r="X167" s="634"/>
      <c r="Y167" s="634"/>
      <c r="Z167" s="183"/>
      <c r="AA167" s="634"/>
      <c r="AB167" s="634"/>
      <c r="AC167" s="634"/>
      <c r="AD167" s="634"/>
      <c r="AE167" s="183"/>
      <c r="AF167" s="634"/>
      <c r="AG167" s="634"/>
      <c r="AH167" s="634"/>
      <c r="AI167" s="634"/>
      <c r="AJ167" s="183"/>
      <c r="AK167" s="634"/>
      <c r="AL167" s="634">
        <f>AL166/AK166-1</f>
        <v>0.57142857142857162</v>
      </c>
      <c r="AM167" s="634">
        <f t="shared" ref="AM167" si="224">AM166/AL166-1</f>
        <v>9.0909090909090828E-2</v>
      </c>
      <c r="AN167" s="634">
        <f t="shared" ref="AN167" si="225">AN166/AM166-1</f>
        <v>0.45833333333333348</v>
      </c>
      <c r="AO167" s="183"/>
      <c r="AP167" s="634">
        <f>AP166/AN166-1</f>
        <v>0.88571428571428568</v>
      </c>
      <c r="AQ167" s="634">
        <f>AQ166/AP166-1</f>
        <v>0.19696969696969702</v>
      </c>
      <c r="AR167" s="634">
        <f t="shared" ref="AR167" si="226">AR166/AQ166-1</f>
        <v>7.5949367088607556E-2</v>
      </c>
      <c r="AS167" s="634">
        <f t="shared" ref="AS167" si="227">AS166/AR166-1</f>
        <v>0.21176470588235308</v>
      </c>
      <c r="AT167" s="183"/>
      <c r="AU167" s="634">
        <f>AU166/AS166-1</f>
        <v>0.17475728155339798</v>
      </c>
      <c r="AV167" s="634">
        <f>AV166/AT166-1</f>
        <v>0.33980582524271852</v>
      </c>
      <c r="AW167" s="691">
        <f>AW166/AV166-1</f>
        <v>7.9710144927536142E-2</v>
      </c>
      <c r="AX167" s="356">
        <v>0.1</v>
      </c>
      <c r="AY167" s="183"/>
      <c r="AZ167" s="356">
        <v>0.05</v>
      </c>
      <c r="BA167" s="356">
        <v>0.05</v>
      </c>
      <c r="BB167" s="356">
        <v>0.05</v>
      </c>
      <c r="BC167" s="356">
        <v>0.05</v>
      </c>
      <c r="BD167" s="183"/>
      <c r="BE167" s="183"/>
      <c r="BF167" s="183"/>
      <c r="BG167" s="183"/>
      <c r="BH167" s="342"/>
    </row>
    <row r="168" spans="1:60" s="343" customFormat="1" x14ac:dyDescent="0.25">
      <c r="A168" s="654" t="s">
        <v>726</v>
      </c>
      <c r="B168" s="655"/>
      <c r="C168" s="183"/>
      <c r="D168" s="183"/>
      <c r="E168" s="183"/>
      <c r="F168" s="183"/>
      <c r="G168" s="634"/>
      <c r="H168" s="634"/>
      <c r="I168" s="634"/>
      <c r="J168" s="634"/>
      <c r="K168" s="183"/>
      <c r="L168" s="634"/>
      <c r="M168" s="634"/>
      <c r="N168" s="634"/>
      <c r="O168" s="634"/>
      <c r="P168" s="183"/>
      <c r="Q168" s="634"/>
      <c r="R168" s="634"/>
      <c r="S168" s="634"/>
      <c r="T168" s="634"/>
      <c r="U168" s="183"/>
      <c r="V168" s="634"/>
      <c r="W168" s="634"/>
      <c r="X168" s="634"/>
      <c r="Y168" s="634"/>
      <c r="Z168" s="183"/>
      <c r="AA168" s="634"/>
      <c r="AB168" s="634"/>
      <c r="AC168" s="634"/>
      <c r="AD168" s="634"/>
      <c r="AE168" s="183"/>
      <c r="AF168" s="634"/>
      <c r="AG168" s="634"/>
      <c r="AH168" s="634"/>
      <c r="AI168" s="634"/>
      <c r="AJ168" s="183"/>
      <c r="AK168" s="634"/>
      <c r="AL168" s="634"/>
      <c r="AM168" s="634"/>
      <c r="AN168" s="634"/>
      <c r="AO168" s="183"/>
      <c r="AP168" s="634">
        <f>AP166/AK166-1</f>
        <v>3.7142857142857144</v>
      </c>
      <c r="AQ168" s="634">
        <f t="shared" ref="AQ168" si="228">AQ166/AL166-1</f>
        <v>2.5909090909090908</v>
      </c>
      <c r="AR168" s="634">
        <f t="shared" ref="AR168" si="229">AR166/AM166-1</f>
        <v>2.541666666666667</v>
      </c>
      <c r="AS168" s="634">
        <f t="shared" ref="AS168" si="230">AS166/AN166-1</f>
        <v>1.9428571428571431</v>
      </c>
      <c r="AT168" s="183">
        <f t="shared" ref="AT168" si="231">AT166/AO166-1</f>
        <v>1.9428571428571431</v>
      </c>
      <c r="AU168" s="634">
        <f>AU166/AP166-1</f>
        <v>0.83333333333333348</v>
      </c>
      <c r="AV168" s="634">
        <f>AV166/AQ166-1</f>
        <v>0.74683544303797467</v>
      </c>
      <c r="AW168" s="691">
        <f>AW166/AR166-1</f>
        <v>0.75294117647058822</v>
      </c>
      <c r="AX168" s="634">
        <f t="shared" ref="AX168" si="232">AX166/AS166-1</f>
        <v>0.59126213592233001</v>
      </c>
      <c r="AY168" s="183">
        <f t="shared" ref="AY168" si="233">AY166/AT166-1</f>
        <v>0.59126213592233001</v>
      </c>
      <c r="AZ168" s="634">
        <f t="shared" ref="AZ168" si="234">AZ166/AU166-1</f>
        <v>0.42227272727272758</v>
      </c>
      <c r="BA168" s="634">
        <f t="shared" ref="BA168" si="235">BA166/AV166-1</f>
        <v>0.30941847826086977</v>
      </c>
      <c r="BB168" s="634">
        <f t="shared" ref="BB168" si="236">BB166/AW166-1</f>
        <v>0.27338750000000012</v>
      </c>
      <c r="BC168" s="634">
        <f t="shared" ref="BC168" si="237">BC166/AX166-1</f>
        <v>0.21550625000000023</v>
      </c>
      <c r="BD168" s="183">
        <f t="shared" ref="BD168" si="238">BD166/AY166-1</f>
        <v>0.21550625000000023</v>
      </c>
      <c r="BE168" s="358">
        <v>0.15</v>
      </c>
      <c r="BF168" s="358">
        <v>0.15</v>
      </c>
      <c r="BG168" s="358">
        <v>0.15</v>
      </c>
      <c r="BH168" s="342"/>
    </row>
    <row r="169" spans="1:60" s="642" customFormat="1" x14ac:dyDescent="0.25">
      <c r="A169" s="652" t="s">
        <v>578</v>
      </c>
      <c r="B169" s="656"/>
      <c r="C169" s="640"/>
      <c r="D169" s="640"/>
      <c r="E169" s="640"/>
      <c r="F169" s="640"/>
      <c r="G169" s="639"/>
      <c r="H169" s="639"/>
      <c r="I169" s="639"/>
      <c r="J169" s="639"/>
      <c r="K169" s="640"/>
      <c r="L169" s="639"/>
      <c r="M169" s="639"/>
      <c r="N169" s="639"/>
      <c r="O169" s="639"/>
      <c r="P169" s="640"/>
      <c r="Q169" s="639"/>
      <c r="R169" s="639"/>
      <c r="S169" s="639"/>
      <c r="T169" s="639"/>
      <c r="U169" s="640"/>
      <c r="V169" s="639"/>
      <c r="W169" s="639"/>
      <c r="X169" s="639"/>
      <c r="Y169" s="639"/>
      <c r="Z169" s="640"/>
      <c r="AA169" s="639"/>
      <c r="AB169" s="639"/>
      <c r="AC169" s="639"/>
      <c r="AD169" s="639"/>
      <c r="AE169" s="640"/>
      <c r="AF169" s="639"/>
      <c r="AG169" s="639"/>
      <c r="AH169" s="639"/>
      <c r="AI169" s="639"/>
      <c r="AJ169" s="640"/>
      <c r="AK169" s="639">
        <v>4.67</v>
      </c>
      <c r="AL169" s="639">
        <v>5.13</v>
      </c>
      <c r="AM169" s="639">
        <v>5.33</v>
      </c>
      <c r="AN169" s="639">
        <v>5.15</v>
      </c>
      <c r="AO169" s="640">
        <v>5.12</v>
      </c>
      <c r="AP169" s="639">
        <v>4.4400000000000004</v>
      </c>
      <c r="AQ169" s="639">
        <v>4.24</v>
      </c>
      <c r="AR169" s="639">
        <v>4.18</v>
      </c>
      <c r="AS169" s="639">
        <v>4.54</v>
      </c>
      <c r="AT169" s="640">
        <v>4.3499999999999996</v>
      </c>
      <c r="AU169" s="639">
        <v>4.4800000000000004</v>
      </c>
      <c r="AV169" s="639">
        <v>4.55</v>
      </c>
      <c r="AW169" s="947">
        <v>4.47</v>
      </c>
      <c r="AX169" s="639">
        <f t="shared" ref="AX169" si="239">AW169*(1+AX170)</f>
        <v>4.4253</v>
      </c>
      <c r="AY169" s="640">
        <f>AVERAGE(AX169,AW169,AV169,AU169)</f>
        <v>4.481325</v>
      </c>
      <c r="AZ169" s="639">
        <f>AX169*(1+AZ170)</f>
        <v>4.4253</v>
      </c>
      <c r="BA169" s="639">
        <f>AZ169*(1+BA170)</f>
        <v>4.4253</v>
      </c>
      <c r="BB169" s="639">
        <f t="shared" ref="BB169" si="240">BA169*(1+BB170)</f>
        <v>4.4253</v>
      </c>
      <c r="BC169" s="639">
        <f t="shared" ref="BC169" si="241">BB169*(1+BC170)</f>
        <v>4.4253</v>
      </c>
      <c r="BD169" s="640">
        <f>AVERAGE(BC169,BB169,BA169,AZ169)</f>
        <v>4.4253</v>
      </c>
      <c r="BE169" s="640">
        <f>BD169*(1+BE171)</f>
        <v>4.3367940000000003</v>
      </c>
      <c r="BF169" s="640">
        <f t="shared" ref="BF169:BG169" si="242">BE169*(1+BF171)</f>
        <v>4.3801619400000007</v>
      </c>
      <c r="BG169" s="640">
        <f t="shared" si="242"/>
        <v>4.4239635594000006</v>
      </c>
      <c r="BH169" s="641"/>
    </row>
    <row r="170" spans="1:60" s="343" customFormat="1" x14ac:dyDescent="0.25">
      <c r="A170" s="654" t="s">
        <v>707</v>
      </c>
      <c r="B170" s="655"/>
      <c r="C170" s="183"/>
      <c r="D170" s="183"/>
      <c r="E170" s="183"/>
      <c r="F170" s="183"/>
      <c r="G170" s="634"/>
      <c r="H170" s="634"/>
      <c r="I170" s="634"/>
      <c r="J170" s="634"/>
      <c r="K170" s="183"/>
      <c r="L170" s="634"/>
      <c r="M170" s="634"/>
      <c r="N170" s="634"/>
      <c r="O170" s="634"/>
      <c r="P170" s="183"/>
      <c r="Q170" s="634"/>
      <c r="R170" s="634"/>
      <c r="S170" s="634"/>
      <c r="T170" s="634"/>
      <c r="U170" s="183"/>
      <c r="V170" s="634"/>
      <c r="W170" s="634"/>
      <c r="X170" s="634"/>
      <c r="Y170" s="634"/>
      <c r="Z170" s="183"/>
      <c r="AA170" s="634"/>
      <c r="AB170" s="634"/>
      <c r="AC170" s="634"/>
      <c r="AD170" s="634"/>
      <c r="AE170" s="183"/>
      <c r="AF170" s="634"/>
      <c r="AG170" s="634"/>
      <c r="AH170" s="634"/>
      <c r="AI170" s="634"/>
      <c r="AJ170" s="183"/>
      <c r="AK170" s="634"/>
      <c r="AL170" s="634">
        <f>AL169/AK169-1</f>
        <v>9.8501070663811641E-2</v>
      </c>
      <c r="AM170" s="634">
        <f t="shared" ref="AM170" si="243">AM169/AL169-1</f>
        <v>3.8986354775828458E-2</v>
      </c>
      <c r="AN170" s="634">
        <f t="shared" ref="AN170" si="244">AN169/AM169-1</f>
        <v>-3.3771106941838602E-2</v>
      </c>
      <c r="AO170" s="183"/>
      <c r="AP170" s="634">
        <f>AP169/AN169-1</f>
        <v>-0.13786407766990294</v>
      </c>
      <c r="AQ170" s="634">
        <f>AQ169/AP169-1</f>
        <v>-4.5045045045045029E-2</v>
      </c>
      <c r="AR170" s="634">
        <f t="shared" ref="AR170" si="245">AR169/AQ169-1</f>
        <v>-1.4150943396226578E-2</v>
      </c>
      <c r="AS170" s="634">
        <f t="shared" ref="AS170" si="246">AS169/AR169-1</f>
        <v>8.6124401913875603E-2</v>
      </c>
      <c r="AT170" s="183"/>
      <c r="AU170" s="634">
        <f>AU169/AS169-1</f>
        <v>-1.3215859030836885E-2</v>
      </c>
      <c r="AV170" s="634">
        <f>AV169/AT169-1</f>
        <v>4.5977011494252817E-2</v>
      </c>
      <c r="AW170" s="691">
        <f>AW169/AV169-1</f>
        <v>-1.7582417582417631E-2</v>
      </c>
      <c r="AX170" s="356">
        <v>-0.01</v>
      </c>
      <c r="AY170" s="183"/>
      <c r="AZ170" s="356">
        <v>0</v>
      </c>
      <c r="BA170" s="356">
        <v>0</v>
      </c>
      <c r="BB170" s="356">
        <v>0</v>
      </c>
      <c r="BC170" s="356">
        <v>0</v>
      </c>
      <c r="BD170" s="183"/>
      <c r="BE170" s="183"/>
      <c r="BF170" s="183"/>
      <c r="BG170" s="183"/>
      <c r="BH170" s="342"/>
    </row>
    <row r="171" spans="1:60" s="343" customFormat="1" x14ac:dyDescent="0.25">
      <c r="A171" s="654" t="s">
        <v>723</v>
      </c>
      <c r="B171" s="655"/>
      <c r="C171" s="183"/>
      <c r="D171" s="183"/>
      <c r="E171" s="183"/>
      <c r="F171" s="183"/>
      <c r="G171" s="634"/>
      <c r="H171" s="634"/>
      <c r="I171" s="634"/>
      <c r="J171" s="634"/>
      <c r="K171" s="183"/>
      <c r="L171" s="634"/>
      <c r="M171" s="634"/>
      <c r="N171" s="634"/>
      <c r="O171" s="634"/>
      <c r="P171" s="183"/>
      <c r="Q171" s="634"/>
      <c r="R171" s="634"/>
      <c r="S171" s="634"/>
      <c r="T171" s="634"/>
      <c r="U171" s="183"/>
      <c r="V171" s="634"/>
      <c r="W171" s="634"/>
      <c r="X171" s="634"/>
      <c r="Y171" s="634"/>
      <c r="Z171" s="183"/>
      <c r="AA171" s="634"/>
      <c r="AB171" s="634"/>
      <c r="AC171" s="634"/>
      <c r="AD171" s="634"/>
      <c r="AE171" s="183"/>
      <c r="AF171" s="634"/>
      <c r="AG171" s="634"/>
      <c r="AH171" s="634"/>
      <c r="AI171" s="634"/>
      <c r="AJ171" s="183"/>
      <c r="AK171" s="634"/>
      <c r="AL171" s="634"/>
      <c r="AM171" s="634"/>
      <c r="AN171" s="634"/>
      <c r="AO171" s="183"/>
      <c r="AP171" s="634">
        <f>AP169/AK169-1</f>
        <v>-4.9250535331905709E-2</v>
      </c>
      <c r="AQ171" s="634">
        <f t="shared" ref="AQ171" si="247">AQ169/AL169-1</f>
        <v>-0.17348927875243658</v>
      </c>
      <c r="AR171" s="634">
        <f t="shared" ref="AR171" si="248">AR169/AM169-1</f>
        <v>-0.21575984990619146</v>
      </c>
      <c r="AS171" s="634">
        <f t="shared" ref="AS171" si="249">AS169/AN169-1</f>
        <v>-0.11844660194174761</v>
      </c>
      <c r="AT171" s="183">
        <f t="shared" ref="AT171" si="250">AT169/AO169-1</f>
        <v>-0.15039062500000011</v>
      </c>
      <c r="AU171" s="634">
        <f>AU169/AP169-1</f>
        <v>9.009009009008917E-3</v>
      </c>
      <c r="AV171" s="634">
        <f>AV169/AQ169-1</f>
        <v>7.3113207547169656E-2</v>
      </c>
      <c r="AW171" s="691">
        <f>AW169/AR169-1</f>
        <v>6.9377990430621983E-2</v>
      </c>
      <c r="AX171" s="634">
        <f t="shared" ref="AX171" si="251">AX169/AS169-1</f>
        <v>-2.5264317180616724E-2</v>
      </c>
      <c r="AY171" s="183">
        <f t="shared" ref="AY171" si="252">AY169/AT169-1</f>
        <v>3.0189655172413898E-2</v>
      </c>
      <c r="AZ171" s="634">
        <f t="shared" ref="AZ171" si="253">AZ169/AU169-1</f>
        <v>-1.2209821428571521E-2</v>
      </c>
      <c r="BA171" s="634">
        <f t="shared" ref="BA171" si="254">BA169/AV169-1</f>
        <v>-2.7406593406593349E-2</v>
      </c>
      <c r="BB171" s="634">
        <f t="shared" ref="BB171" si="255">BB169/AW169-1</f>
        <v>-9.9999999999998979E-3</v>
      </c>
      <c r="BC171" s="634">
        <f t="shared" ref="BC171" si="256">BC169/AX169-1</f>
        <v>0</v>
      </c>
      <c r="BD171" s="183">
        <f t="shared" ref="BD171" si="257">BD169/AY169-1</f>
        <v>-1.2501882813676701E-2</v>
      </c>
      <c r="BE171" s="358">
        <v>-0.02</v>
      </c>
      <c r="BF171" s="358">
        <v>0.01</v>
      </c>
      <c r="BG171" s="358">
        <v>0.01</v>
      </c>
      <c r="BH171" s="342"/>
    </row>
    <row r="172" spans="1:60" s="19" customFormat="1" x14ac:dyDescent="0.25">
      <c r="A172" s="643" t="s">
        <v>706</v>
      </c>
      <c r="B172" s="751"/>
      <c r="C172" s="970"/>
      <c r="D172" s="970"/>
      <c r="E172" s="970"/>
      <c r="F172" s="970"/>
      <c r="G172" s="971"/>
      <c r="H172" s="971"/>
      <c r="I172" s="971"/>
      <c r="J172" s="971"/>
      <c r="K172" s="970"/>
      <c r="L172" s="971"/>
      <c r="M172" s="971"/>
      <c r="N172" s="971"/>
      <c r="O172" s="971"/>
      <c r="P172" s="970"/>
      <c r="Q172" s="971"/>
      <c r="R172" s="971"/>
      <c r="S172" s="971"/>
      <c r="T172" s="971"/>
      <c r="U172" s="970"/>
      <c r="V172" s="971"/>
      <c r="W172" s="971"/>
      <c r="X172" s="971"/>
      <c r="Y172" s="971"/>
      <c r="Z172" s="970"/>
      <c r="AA172" s="971"/>
      <c r="AB172" s="971"/>
      <c r="AC172" s="971"/>
      <c r="AD172" s="971"/>
      <c r="AE172" s="970"/>
      <c r="AF172" s="971"/>
      <c r="AG172" s="971"/>
      <c r="AH172" s="971"/>
      <c r="AI172" s="971"/>
      <c r="AJ172" s="970"/>
      <c r="AK172" s="972">
        <f t="shared" ref="AK172:AN172" si="258">AK169*AK166*3</f>
        <v>19.613999999999997</v>
      </c>
      <c r="AL172" s="973">
        <f t="shared" si="258"/>
        <v>33.858000000000004</v>
      </c>
      <c r="AM172" s="972">
        <f t="shared" si="258"/>
        <v>38.375999999999998</v>
      </c>
      <c r="AN172" s="972">
        <f t="shared" si="258"/>
        <v>54.075000000000003</v>
      </c>
      <c r="AO172" s="974">
        <f>SUM(AK172,AL172,AM172,AN172)</f>
        <v>145.923</v>
      </c>
      <c r="AP172" s="972">
        <f>AP169*AP166*3</f>
        <v>87.912000000000006</v>
      </c>
      <c r="AQ172" s="973">
        <f t="shared" ref="AQ172:AS172" si="259">AQ169*AQ166*3</f>
        <v>100.488</v>
      </c>
      <c r="AR172" s="972">
        <f t="shared" si="259"/>
        <v>106.59</v>
      </c>
      <c r="AS172" s="972">
        <f t="shared" si="259"/>
        <v>140.286</v>
      </c>
      <c r="AT172" s="974">
        <f>SUM(AP172,AQ172,AR172,AS172)</f>
        <v>435.27600000000001</v>
      </c>
      <c r="AU172" s="972">
        <f>AU169*AU166*3</f>
        <v>162.62400000000002</v>
      </c>
      <c r="AV172" s="973">
        <f>AV169*AV166*3</f>
        <v>188.37</v>
      </c>
      <c r="AW172" s="975">
        <f>AW169*AW166*3</f>
        <v>199.80899999999997</v>
      </c>
      <c r="AX172" s="971">
        <f>AX169*AX166*3</f>
        <v>217.59200100000004</v>
      </c>
      <c r="AY172" s="970">
        <f>SUM(AU172,AV172,AW172,AX172)</f>
        <v>768.39500100000009</v>
      </c>
      <c r="AZ172" s="971">
        <f t="shared" ref="AZ172:BC172" si="260">AZ169*AZ166*3</f>
        <v>228.47160105000003</v>
      </c>
      <c r="BA172" s="971">
        <f t="shared" si="260"/>
        <v>239.89518110250003</v>
      </c>
      <c r="BB172" s="971">
        <f t="shared" si="260"/>
        <v>251.88994015762503</v>
      </c>
      <c r="BC172" s="971">
        <f t="shared" si="260"/>
        <v>264.48443716550628</v>
      </c>
      <c r="BD172" s="970">
        <f>SUM(AZ172,BA172,BB172,BC172)</f>
        <v>984.74115947563132</v>
      </c>
      <c r="BE172" s="970">
        <f>BE169*AVERAGE(BE166,BD166)*12</f>
        <v>1114.5374182154437</v>
      </c>
      <c r="BF172" s="970">
        <f t="shared" ref="BF172:BG172" si="261">BF169*AVERAGE(BF166,BE166)*12</f>
        <v>1294.5352112572377</v>
      </c>
      <c r="BG172" s="970">
        <f t="shared" si="261"/>
        <v>1503.6026478752815</v>
      </c>
      <c r="BH172" s="730"/>
    </row>
    <row r="173" spans="1:60" s="19" customFormat="1" x14ac:dyDescent="0.25">
      <c r="A173" s="755"/>
      <c r="B173" s="756"/>
      <c r="C173" s="977"/>
      <c r="D173" s="977"/>
      <c r="E173" s="977"/>
      <c r="F173" s="977"/>
      <c r="G173" s="978"/>
      <c r="H173" s="978"/>
      <c r="I173" s="978"/>
      <c r="J173" s="978"/>
      <c r="K173" s="977"/>
      <c r="L173" s="978"/>
      <c r="M173" s="978"/>
      <c r="N173" s="978"/>
      <c r="O173" s="978"/>
      <c r="P173" s="977"/>
      <c r="Q173" s="978"/>
      <c r="R173" s="978"/>
      <c r="S173" s="978"/>
      <c r="T173" s="978"/>
      <c r="U173" s="977"/>
      <c r="V173" s="978"/>
      <c r="W173" s="978"/>
      <c r="X173" s="978"/>
      <c r="Y173" s="978"/>
      <c r="Z173" s="977"/>
      <c r="AA173" s="978"/>
      <c r="AB173" s="978"/>
      <c r="AC173" s="978"/>
      <c r="AD173" s="978"/>
      <c r="AE173" s="977"/>
      <c r="AF173" s="978"/>
      <c r="AG173" s="978"/>
      <c r="AH173" s="978"/>
      <c r="AI173" s="978"/>
      <c r="AJ173" s="977"/>
      <c r="AK173" s="978"/>
      <c r="AL173" s="978"/>
      <c r="AM173" s="978"/>
      <c r="AN173" s="978"/>
      <c r="AO173" s="977"/>
      <c r="AP173" s="978"/>
      <c r="AQ173" s="978"/>
      <c r="AR173" s="978"/>
      <c r="AS173" s="978"/>
      <c r="AT173" s="977"/>
      <c r="AU173" s="978"/>
      <c r="AV173" s="978"/>
      <c r="AW173" s="979"/>
      <c r="AX173" s="978"/>
      <c r="AY173" s="977"/>
      <c r="AZ173" s="978"/>
      <c r="BA173" s="978"/>
      <c r="BB173" s="978"/>
      <c r="BC173" s="978"/>
      <c r="BD173" s="977"/>
      <c r="BE173" s="977"/>
      <c r="BF173" s="977"/>
      <c r="BG173" s="977"/>
      <c r="BH173" s="730"/>
    </row>
    <row r="174" spans="1:60" s="40" customFormat="1" x14ac:dyDescent="0.25">
      <c r="A174" s="657" t="s">
        <v>711</v>
      </c>
      <c r="B174" s="653"/>
      <c r="C174" s="964"/>
      <c r="D174" s="964"/>
      <c r="E174" s="964"/>
      <c r="F174" s="964"/>
      <c r="G174" s="965"/>
      <c r="H174" s="965"/>
      <c r="I174" s="965"/>
      <c r="J174" s="965"/>
      <c r="K174" s="964"/>
      <c r="L174" s="965"/>
      <c r="M174" s="965"/>
      <c r="N174" s="965"/>
      <c r="O174" s="965"/>
      <c r="P174" s="964"/>
      <c r="Q174" s="965"/>
      <c r="R174" s="965"/>
      <c r="S174" s="965"/>
      <c r="T174" s="965"/>
      <c r="U174" s="964"/>
      <c r="V174" s="965"/>
      <c r="W174" s="965"/>
      <c r="X174" s="965"/>
      <c r="Y174" s="965"/>
      <c r="Z174" s="964"/>
      <c r="AA174" s="965"/>
      <c r="AB174" s="965"/>
      <c r="AC174" s="965"/>
      <c r="AD174" s="965"/>
      <c r="AE174" s="964"/>
      <c r="AF174" s="965"/>
      <c r="AG174" s="965"/>
      <c r="AH174" s="965"/>
      <c r="AI174" s="965"/>
      <c r="AJ174" s="964"/>
      <c r="AK174" s="965">
        <v>21.1</v>
      </c>
      <c r="AL174" s="965">
        <v>23.2</v>
      </c>
      <c r="AM174" s="965">
        <v>25.7</v>
      </c>
      <c r="AN174" s="965">
        <v>25.6</v>
      </c>
      <c r="AO174" s="964">
        <f t="shared" si="219"/>
        <v>25.6</v>
      </c>
      <c r="AP174" s="965">
        <v>27.2</v>
      </c>
      <c r="AQ174" s="965">
        <v>28.8</v>
      </c>
      <c r="AR174" s="965">
        <v>32.1</v>
      </c>
      <c r="AS174" s="965">
        <f t="shared" si="191"/>
        <v>32.5</v>
      </c>
      <c r="AT174" s="964">
        <v>32.5</v>
      </c>
      <c r="AU174" s="965">
        <v>35.4</v>
      </c>
      <c r="AV174" s="965">
        <v>37.799999999999997</v>
      </c>
      <c r="AW174" s="976">
        <v>39.1</v>
      </c>
      <c r="AX174" s="965">
        <f t="shared" ref="AX174" si="262">AW174*(1+AX175)</f>
        <v>39.882000000000005</v>
      </c>
      <c r="AY174" s="964">
        <f>AX174</f>
        <v>39.882000000000005</v>
      </c>
      <c r="AZ174" s="965">
        <f>AX174*(1+AZ175)</f>
        <v>41.876100000000008</v>
      </c>
      <c r="BA174" s="965">
        <f>AZ174*(1+BA175)</f>
        <v>43.969905000000011</v>
      </c>
      <c r="BB174" s="965">
        <f t="shared" ref="BB174" si="263">BA174*(1+BB175)</f>
        <v>44.849303100000014</v>
      </c>
      <c r="BC174" s="965">
        <f t="shared" ref="BC174" si="264">BB174*(1+BC175)</f>
        <v>45.746289162000018</v>
      </c>
      <c r="BD174" s="964">
        <f>BC174</f>
        <v>45.746289162000018</v>
      </c>
      <c r="BE174" s="964">
        <f>BD174*(1+BE176)</f>
        <v>51.235843861440024</v>
      </c>
      <c r="BF174" s="964">
        <f t="shared" ref="BF174:BG174" si="265">BE174*(1+BF176)</f>
        <v>57.384145124812832</v>
      </c>
      <c r="BG174" s="964">
        <f t="shared" si="265"/>
        <v>64.270242539790374</v>
      </c>
      <c r="BH174" s="728"/>
    </row>
    <row r="175" spans="1:60" s="343" customFormat="1" x14ac:dyDescent="0.25">
      <c r="A175" s="654" t="s">
        <v>713</v>
      </c>
      <c r="B175" s="655"/>
      <c r="C175" s="183"/>
      <c r="D175" s="183"/>
      <c r="E175" s="183"/>
      <c r="F175" s="183"/>
      <c r="G175" s="634"/>
      <c r="H175" s="634"/>
      <c r="I175" s="634"/>
      <c r="J175" s="634"/>
      <c r="K175" s="183"/>
      <c r="L175" s="634"/>
      <c r="M175" s="634"/>
      <c r="N175" s="634"/>
      <c r="O175" s="634"/>
      <c r="P175" s="183"/>
      <c r="Q175" s="634"/>
      <c r="R175" s="634"/>
      <c r="S175" s="634"/>
      <c r="T175" s="634"/>
      <c r="U175" s="183"/>
      <c r="V175" s="634"/>
      <c r="W175" s="634"/>
      <c r="X175" s="634"/>
      <c r="Y175" s="634"/>
      <c r="Z175" s="183"/>
      <c r="AA175" s="634"/>
      <c r="AB175" s="634"/>
      <c r="AC175" s="634"/>
      <c r="AD175" s="634"/>
      <c r="AE175" s="183"/>
      <c r="AF175" s="634"/>
      <c r="AG175" s="634"/>
      <c r="AH175" s="634"/>
      <c r="AI175" s="634"/>
      <c r="AJ175" s="183"/>
      <c r="AK175" s="634"/>
      <c r="AL175" s="634">
        <f>AL174/AK174-1</f>
        <v>9.9526066350710707E-2</v>
      </c>
      <c r="AM175" s="634">
        <f t="shared" ref="AM175" si="266">AM174/AL174-1</f>
        <v>0.10775862068965525</v>
      </c>
      <c r="AN175" s="634">
        <f t="shared" ref="AN175" si="267">AN174/AM174-1</f>
        <v>-3.8910505836574627E-3</v>
      </c>
      <c r="AO175" s="183"/>
      <c r="AP175" s="634">
        <f>AP174/AN174-1</f>
        <v>6.25E-2</v>
      </c>
      <c r="AQ175" s="634">
        <f>AQ174/AP174-1</f>
        <v>5.8823529411764719E-2</v>
      </c>
      <c r="AR175" s="634">
        <f t="shared" ref="AR175" si="268">AR174/AQ174-1</f>
        <v>0.11458333333333326</v>
      </c>
      <c r="AS175" s="634">
        <f t="shared" ref="AS175" si="269">AS174/AR174-1</f>
        <v>1.2461059190031154E-2</v>
      </c>
      <c r="AT175" s="183"/>
      <c r="AU175" s="634">
        <f>AU174/AS174-1</f>
        <v>8.9230769230769225E-2</v>
      </c>
      <c r="AV175" s="634">
        <f>AV174/AT174-1</f>
        <v>0.1630769230769229</v>
      </c>
      <c r="AW175" s="691">
        <f>AW174/AV174-1</f>
        <v>3.4391534391534417E-2</v>
      </c>
      <c r="AX175" s="356">
        <v>0.02</v>
      </c>
      <c r="AY175" s="183"/>
      <c r="AZ175" s="356">
        <v>0.05</v>
      </c>
      <c r="BA175" s="356">
        <v>0.05</v>
      </c>
      <c r="BB175" s="356">
        <v>0.02</v>
      </c>
      <c r="BC175" s="356">
        <v>0.02</v>
      </c>
      <c r="BD175" s="183"/>
      <c r="BE175" s="183"/>
      <c r="BF175" s="183"/>
      <c r="BG175" s="183"/>
      <c r="BH175" s="342"/>
    </row>
    <row r="176" spans="1:60" s="343" customFormat="1" x14ac:dyDescent="0.25">
      <c r="A176" s="654" t="s">
        <v>727</v>
      </c>
      <c r="B176" s="655"/>
      <c r="C176" s="183"/>
      <c r="D176" s="183"/>
      <c r="E176" s="183"/>
      <c r="F176" s="183"/>
      <c r="G176" s="634"/>
      <c r="H176" s="634"/>
      <c r="I176" s="634"/>
      <c r="J176" s="634"/>
      <c r="K176" s="183"/>
      <c r="L176" s="634"/>
      <c r="M176" s="634"/>
      <c r="N176" s="634"/>
      <c r="O176" s="634"/>
      <c r="P176" s="183"/>
      <c r="Q176" s="634"/>
      <c r="R176" s="634"/>
      <c r="S176" s="634"/>
      <c r="T176" s="634"/>
      <c r="U176" s="183"/>
      <c r="V176" s="634"/>
      <c r="W176" s="634"/>
      <c r="X176" s="634"/>
      <c r="Y176" s="634"/>
      <c r="Z176" s="183"/>
      <c r="AA176" s="634"/>
      <c r="AB176" s="634"/>
      <c r="AC176" s="634"/>
      <c r="AD176" s="634"/>
      <c r="AE176" s="183"/>
      <c r="AF176" s="634"/>
      <c r="AG176" s="634"/>
      <c r="AH176" s="634"/>
      <c r="AI176" s="634"/>
      <c r="AJ176" s="183"/>
      <c r="AK176" s="634"/>
      <c r="AL176" s="634"/>
      <c r="AM176" s="634"/>
      <c r="AN176" s="634"/>
      <c r="AO176" s="183"/>
      <c r="AP176" s="634">
        <f>AP174/AK174-1</f>
        <v>0.2890995260663507</v>
      </c>
      <c r="AQ176" s="634">
        <f t="shared" ref="AQ176" si="270">AQ174/AL174-1</f>
        <v>0.24137931034482762</v>
      </c>
      <c r="AR176" s="634">
        <f t="shared" ref="AR176" si="271">AR174/AM174-1</f>
        <v>0.24902723735408561</v>
      </c>
      <c r="AS176" s="634">
        <f t="shared" ref="AS176" si="272">AS174/AN174-1</f>
        <v>0.26953125</v>
      </c>
      <c r="AT176" s="183">
        <f t="shared" ref="AT176" si="273">AT174/AO174-1</f>
        <v>0.26953125</v>
      </c>
      <c r="AU176" s="634">
        <f>AU174/AP174-1</f>
        <v>0.30147058823529416</v>
      </c>
      <c r="AV176" s="634">
        <f>AV174/AQ174-1</f>
        <v>0.31249999999999978</v>
      </c>
      <c r="AW176" s="691">
        <f>AW174/AR174-1</f>
        <v>0.2180685358255452</v>
      </c>
      <c r="AX176" s="634">
        <f t="shared" ref="AX176" si="274">AX174/AS174-1</f>
        <v>0.22713846153846173</v>
      </c>
      <c r="AY176" s="183">
        <f t="shared" ref="AY176" si="275">AY174/AT174-1</f>
        <v>0.22713846153846173</v>
      </c>
      <c r="AZ176" s="634">
        <f t="shared" ref="AZ176" si="276">AZ174/AU174-1</f>
        <v>0.18294067796610203</v>
      </c>
      <c r="BA176" s="634">
        <f t="shared" ref="BA176" si="277">BA174/AV174-1</f>
        <v>0.1632250000000004</v>
      </c>
      <c r="BB176" s="634">
        <f t="shared" ref="BB176" si="278">BB174/AW174-1</f>
        <v>0.14704100000000042</v>
      </c>
      <c r="BC176" s="634">
        <f t="shared" ref="BC176" si="279">BC174/AX174-1</f>
        <v>0.1470410000000002</v>
      </c>
      <c r="BD176" s="183">
        <f t="shared" ref="BD176" si="280">BD174/AY174-1</f>
        <v>0.1470410000000002</v>
      </c>
      <c r="BE176" s="358">
        <v>0.12</v>
      </c>
      <c r="BF176" s="358">
        <v>0.12</v>
      </c>
      <c r="BG176" s="358">
        <v>0.12</v>
      </c>
      <c r="BH176" s="342"/>
    </row>
    <row r="177" spans="1:60" s="642" customFormat="1" x14ac:dyDescent="0.25">
      <c r="A177" s="652" t="s">
        <v>710</v>
      </c>
      <c r="B177" s="656"/>
      <c r="C177" s="640"/>
      <c r="D177" s="640"/>
      <c r="E177" s="640"/>
      <c r="F177" s="640"/>
      <c r="G177" s="639"/>
      <c r="H177" s="639"/>
      <c r="I177" s="639"/>
      <c r="J177" s="639"/>
      <c r="K177" s="640"/>
      <c r="L177" s="639"/>
      <c r="M177" s="639"/>
      <c r="N177" s="639"/>
      <c r="O177" s="639"/>
      <c r="P177" s="640"/>
      <c r="Q177" s="639"/>
      <c r="R177" s="639"/>
      <c r="S177" s="639"/>
      <c r="T177" s="639"/>
      <c r="U177" s="640"/>
      <c r="V177" s="639"/>
      <c r="W177" s="639"/>
      <c r="X177" s="639"/>
      <c r="Y177" s="639"/>
      <c r="Z177" s="640"/>
      <c r="AA177" s="639"/>
      <c r="AB177" s="639"/>
      <c r="AC177" s="639"/>
      <c r="AD177" s="639"/>
      <c r="AE177" s="640"/>
      <c r="AF177" s="639"/>
      <c r="AG177" s="639"/>
      <c r="AH177" s="639"/>
      <c r="AI177" s="639"/>
      <c r="AJ177" s="640"/>
      <c r="AK177" s="639">
        <v>14.49</v>
      </c>
      <c r="AL177" s="639">
        <v>12.73</v>
      </c>
      <c r="AM177" s="639">
        <v>12.68</v>
      </c>
      <c r="AN177" s="639">
        <v>12.67</v>
      </c>
      <c r="AO177" s="640">
        <v>13.09</v>
      </c>
      <c r="AP177" s="639">
        <v>13.15</v>
      </c>
      <c r="AQ177" s="639">
        <v>12.06</v>
      </c>
      <c r="AR177" s="639">
        <v>11.39</v>
      </c>
      <c r="AS177" s="639">
        <v>12.59</v>
      </c>
      <c r="AT177" s="640">
        <v>12.24</v>
      </c>
      <c r="AU177" s="639">
        <v>13.51</v>
      </c>
      <c r="AV177" s="639">
        <v>12.08</v>
      </c>
      <c r="AW177" s="947">
        <v>13.15</v>
      </c>
      <c r="AX177" s="639">
        <f t="shared" ref="AX177" si="281">AW177*(1+AX178)</f>
        <v>12.887</v>
      </c>
      <c r="AY177" s="640">
        <f>AVERAGE(AX177,AW177,AV177,AU177)</f>
        <v>12.906749999999999</v>
      </c>
      <c r="AZ177" s="639">
        <f>AX177*(1+AZ178)</f>
        <v>12.887</v>
      </c>
      <c r="BA177" s="639">
        <f>AZ177*(1+BA178)</f>
        <v>12.887</v>
      </c>
      <c r="BB177" s="639">
        <f t="shared" ref="BB177" si="282">BA177*(1+BB178)</f>
        <v>12.887</v>
      </c>
      <c r="BC177" s="639">
        <f t="shared" ref="BC177" si="283">BB177*(1+BC178)</f>
        <v>12.887</v>
      </c>
      <c r="BD177" s="640">
        <f>AVERAGE(BC177,BB177,BA177,AZ177)</f>
        <v>12.887</v>
      </c>
      <c r="BE177" s="640">
        <f>BD177*(1+BE179)</f>
        <v>12.62926</v>
      </c>
      <c r="BF177" s="640">
        <f t="shared" ref="BF177:BG177" si="284">BE177*(1+BF179)</f>
        <v>12.502967400000001</v>
      </c>
      <c r="BG177" s="640">
        <f t="shared" si="284"/>
        <v>12.627997074000001</v>
      </c>
      <c r="BH177" s="641"/>
    </row>
    <row r="178" spans="1:60" s="343" customFormat="1" x14ac:dyDescent="0.25">
      <c r="A178" s="654" t="s">
        <v>714</v>
      </c>
      <c r="B178" s="655"/>
      <c r="C178" s="183"/>
      <c r="D178" s="183"/>
      <c r="E178" s="183"/>
      <c r="F178" s="183"/>
      <c r="G178" s="634"/>
      <c r="H178" s="634"/>
      <c r="I178" s="634"/>
      <c r="J178" s="634"/>
      <c r="K178" s="183"/>
      <c r="L178" s="634"/>
      <c r="M178" s="634"/>
      <c r="N178" s="634"/>
      <c r="O178" s="634"/>
      <c r="P178" s="183"/>
      <c r="Q178" s="634"/>
      <c r="R178" s="634"/>
      <c r="S178" s="634"/>
      <c r="T178" s="634"/>
      <c r="U178" s="183"/>
      <c r="V178" s="634"/>
      <c r="W178" s="634"/>
      <c r="X178" s="634"/>
      <c r="Y178" s="634"/>
      <c r="Z178" s="183"/>
      <c r="AA178" s="634"/>
      <c r="AB178" s="634"/>
      <c r="AC178" s="634"/>
      <c r="AD178" s="634"/>
      <c r="AE178" s="183"/>
      <c r="AF178" s="634"/>
      <c r="AG178" s="634"/>
      <c r="AH178" s="634"/>
      <c r="AI178" s="634"/>
      <c r="AJ178" s="183"/>
      <c r="AK178" s="634"/>
      <c r="AL178" s="634">
        <f>AL177/AK177-1</f>
        <v>-0.12146307798481715</v>
      </c>
      <c r="AM178" s="634">
        <f t="shared" ref="AM178" si="285">AM177/AL177-1</f>
        <v>-3.9277297721916904E-3</v>
      </c>
      <c r="AN178" s="634">
        <f t="shared" ref="AN178" si="286">AN177/AM177-1</f>
        <v>-7.8864353312302349E-4</v>
      </c>
      <c r="AO178" s="183"/>
      <c r="AP178" s="634">
        <f>AP177/AN177-1</f>
        <v>3.7884767166535216E-2</v>
      </c>
      <c r="AQ178" s="634">
        <f>AQ177/AP177-1</f>
        <v>-8.2889733840304181E-2</v>
      </c>
      <c r="AR178" s="634">
        <f t="shared" ref="AR178" si="287">AR177/AQ177-1</f>
        <v>-5.555555555555558E-2</v>
      </c>
      <c r="AS178" s="634">
        <f t="shared" ref="AS178" si="288">AS177/AR177-1</f>
        <v>0.10535557506584725</v>
      </c>
      <c r="AT178" s="183"/>
      <c r="AU178" s="634">
        <f>AU177/AS177-1</f>
        <v>7.3073868149324817E-2</v>
      </c>
      <c r="AV178" s="634">
        <f>AV177/AT177-1</f>
        <v>-1.3071895424836666E-2</v>
      </c>
      <c r="AW178" s="691">
        <f>AW177/AV177-1</f>
        <v>8.8576158940397276E-2</v>
      </c>
      <c r="AX178" s="356">
        <v>-0.02</v>
      </c>
      <c r="AY178" s="183"/>
      <c r="AZ178" s="356">
        <v>0</v>
      </c>
      <c r="BA178" s="356">
        <v>0</v>
      </c>
      <c r="BB178" s="356">
        <v>0</v>
      </c>
      <c r="BC178" s="356">
        <v>0</v>
      </c>
      <c r="BD178" s="183"/>
      <c r="BE178" s="183"/>
      <c r="BF178" s="183"/>
      <c r="BG178" s="183"/>
      <c r="BH178" s="342"/>
    </row>
    <row r="179" spans="1:60" s="343" customFormat="1" x14ac:dyDescent="0.25">
      <c r="A179" s="654" t="s">
        <v>722</v>
      </c>
      <c r="B179" s="655"/>
      <c r="C179" s="183"/>
      <c r="D179" s="183"/>
      <c r="E179" s="183"/>
      <c r="F179" s="183"/>
      <c r="G179" s="634"/>
      <c r="H179" s="634"/>
      <c r="I179" s="634"/>
      <c r="J179" s="634"/>
      <c r="K179" s="183"/>
      <c r="L179" s="634"/>
      <c r="M179" s="634"/>
      <c r="N179" s="634"/>
      <c r="O179" s="634"/>
      <c r="P179" s="183"/>
      <c r="Q179" s="634"/>
      <c r="R179" s="634"/>
      <c r="S179" s="634"/>
      <c r="T179" s="634"/>
      <c r="U179" s="183"/>
      <c r="V179" s="634"/>
      <c r="W179" s="634"/>
      <c r="X179" s="634"/>
      <c r="Y179" s="634"/>
      <c r="Z179" s="183"/>
      <c r="AA179" s="634"/>
      <c r="AB179" s="634"/>
      <c r="AC179" s="634"/>
      <c r="AD179" s="634"/>
      <c r="AE179" s="183"/>
      <c r="AF179" s="634"/>
      <c r="AG179" s="634"/>
      <c r="AH179" s="634"/>
      <c r="AI179" s="634"/>
      <c r="AJ179" s="183"/>
      <c r="AK179" s="634"/>
      <c r="AL179" s="634"/>
      <c r="AM179" s="634"/>
      <c r="AN179" s="634"/>
      <c r="AO179" s="183"/>
      <c r="AP179" s="634">
        <f>AP177/AK177-1</f>
        <v>-9.2477570738440318E-2</v>
      </c>
      <c r="AQ179" s="634">
        <f t="shared" ref="AQ179" si="289">AQ177/AL177-1</f>
        <v>-5.2631578947368363E-2</v>
      </c>
      <c r="AR179" s="634">
        <f t="shared" ref="AR179" si="290">AR177/AM177-1</f>
        <v>-0.10173501577287059</v>
      </c>
      <c r="AS179" s="634">
        <f t="shared" ref="AS179" si="291">AS177/AN177-1</f>
        <v>-6.3141278610892027E-3</v>
      </c>
      <c r="AT179" s="348">
        <f t="shared" ref="AT179" si="292">AT177/AO177-1</f>
        <v>-6.4935064935064957E-2</v>
      </c>
      <c r="AU179" s="634">
        <f>AU177/AP177-1</f>
        <v>2.7376425855513364E-2</v>
      </c>
      <c r="AV179" s="634">
        <f>AV177/AQ177-1</f>
        <v>1.6583747927030323E-3</v>
      </c>
      <c r="AW179" s="691">
        <f>AW177/AR177-1</f>
        <v>0.154521510096576</v>
      </c>
      <c r="AX179" s="634">
        <f t="shared" ref="AX179" si="293">AX177/AS177-1</f>
        <v>2.3590150913423313E-2</v>
      </c>
      <c r="AY179" s="183">
        <f t="shared" ref="AY179" si="294">AY177/AT177-1</f>
        <v>5.4473039215686248E-2</v>
      </c>
      <c r="AZ179" s="634">
        <f t="shared" ref="AZ179" si="295">AZ177/AU177-1</f>
        <v>-4.6113989637305619E-2</v>
      </c>
      <c r="BA179" s="634">
        <f t="shared" ref="BA179" si="296">BA177/AV177-1</f>
        <v>6.6804635761589459E-2</v>
      </c>
      <c r="BB179" s="634">
        <f t="shared" ref="BB179" si="297">BB177/AW177-1</f>
        <v>-2.0000000000000018E-2</v>
      </c>
      <c r="BC179" s="634">
        <f t="shared" ref="BC179" si="298">BC177/AX177-1</f>
        <v>0</v>
      </c>
      <c r="BD179" s="183">
        <f t="shared" ref="BD179" si="299">BD177/AY177-1</f>
        <v>-1.5302070621959762E-3</v>
      </c>
      <c r="BE179" s="358">
        <v>-0.02</v>
      </c>
      <c r="BF179" s="358">
        <v>-0.01</v>
      </c>
      <c r="BG179" s="358">
        <v>0.01</v>
      </c>
      <c r="BH179" s="342"/>
    </row>
    <row r="180" spans="1:60" s="19" customFormat="1" x14ac:dyDescent="0.25">
      <c r="A180" s="643" t="s">
        <v>709</v>
      </c>
      <c r="B180" s="751"/>
      <c r="C180" s="970"/>
      <c r="D180" s="970"/>
      <c r="E180" s="970"/>
      <c r="F180" s="970"/>
      <c r="G180" s="971"/>
      <c r="H180" s="971"/>
      <c r="I180" s="971"/>
      <c r="J180" s="971"/>
      <c r="K180" s="970"/>
      <c r="L180" s="971"/>
      <c r="M180" s="971"/>
      <c r="N180" s="971"/>
      <c r="O180" s="971"/>
      <c r="P180" s="970"/>
      <c r="Q180" s="971"/>
      <c r="R180" s="971"/>
      <c r="S180" s="971"/>
      <c r="T180" s="971"/>
      <c r="U180" s="970"/>
      <c r="V180" s="971"/>
      <c r="W180" s="971"/>
      <c r="X180" s="971"/>
      <c r="Y180" s="971"/>
      <c r="Z180" s="970"/>
      <c r="AA180" s="971"/>
      <c r="AB180" s="971"/>
      <c r="AC180" s="971"/>
      <c r="AD180" s="971"/>
      <c r="AE180" s="970"/>
      <c r="AF180" s="971"/>
      <c r="AG180" s="971"/>
      <c r="AH180" s="971"/>
      <c r="AI180" s="971"/>
      <c r="AJ180" s="970"/>
      <c r="AK180" s="972">
        <f t="shared" ref="AK180:AN180" si="300">AK177*AK174*3</f>
        <v>917.2170000000001</v>
      </c>
      <c r="AL180" s="973">
        <f t="shared" si="300"/>
        <v>886.00800000000004</v>
      </c>
      <c r="AM180" s="972">
        <f t="shared" si="300"/>
        <v>977.62799999999993</v>
      </c>
      <c r="AN180" s="972">
        <f t="shared" si="300"/>
        <v>973.05600000000004</v>
      </c>
      <c r="AO180" s="974">
        <f>SUM(AK180,AL180,AM180,AN180)</f>
        <v>3753.9090000000001</v>
      </c>
      <c r="AP180" s="972">
        <f>AP177*AP174*3</f>
        <v>1073.04</v>
      </c>
      <c r="AQ180" s="973">
        <f t="shared" ref="AQ180:AS180" si="301">AQ177*AQ174*3</f>
        <v>1041.9840000000002</v>
      </c>
      <c r="AR180" s="972">
        <f t="shared" si="301"/>
        <v>1096.857</v>
      </c>
      <c r="AS180" s="972">
        <f t="shared" si="301"/>
        <v>1227.5250000000001</v>
      </c>
      <c r="AT180" s="974">
        <f>SUM(AP180,AQ180,AR180,AS180)</f>
        <v>4439.4060000000009</v>
      </c>
      <c r="AU180" s="972">
        <f>AU177*AU174*3</f>
        <v>1434.7619999999999</v>
      </c>
      <c r="AV180" s="973">
        <f>AV177*AV174*3</f>
        <v>1369.8719999999998</v>
      </c>
      <c r="AW180" s="975">
        <f>AW177*AW174*3</f>
        <v>1542.4950000000003</v>
      </c>
      <c r="AX180" s="971">
        <f>AX177*AX174*3</f>
        <v>1541.8780020000004</v>
      </c>
      <c r="AY180" s="970">
        <f>SUM(AU180,AV180,AW180,AX180)</f>
        <v>5889.0070020000012</v>
      </c>
      <c r="AZ180" s="971">
        <f t="shared" ref="AZ180:BC180" si="302">AZ177*AZ174*3</f>
        <v>1618.9719021000005</v>
      </c>
      <c r="BA180" s="971">
        <f t="shared" si="302"/>
        <v>1699.9204972050006</v>
      </c>
      <c r="BB180" s="971">
        <f t="shared" si="302"/>
        <v>1733.9189071491005</v>
      </c>
      <c r="BC180" s="971">
        <f t="shared" si="302"/>
        <v>1768.5972852920827</v>
      </c>
      <c r="BD180" s="970">
        <f>SUM(AZ180,BA180,BB180,BC180)</f>
        <v>6821.4085917461834</v>
      </c>
      <c r="BE180" s="970">
        <f>BE177*AVERAGE(BE174,BD174)*12</f>
        <v>7348.8754398456622</v>
      </c>
      <c r="BF180" s="970">
        <f t="shared" ref="BF180:BG180" si="303">BF177*AVERAGE(BF174,BE174)*12</f>
        <v>8148.4330877008715</v>
      </c>
      <c r="BG180" s="970">
        <f t="shared" si="303"/>
        <v>9217.5075088072263</v>
      </c>
      <c r="BH180" s="730"/>
    </row>
    <row r="181" spans="1:60" s="40" customFormat="1" x14ac:dyDescent="0.25">
      <c r="A181" s="657"/>
      <c r="B181" s="653"/>
      <c r="C181" s="964"/>
      <c r="D181" s="964"/>
      <c r="E181" s="964"/>
      <c r="F181" s="964"/>
      <c r="G181" s="965"/>
      <c r="H181" s="965"/>
      <c r="I181" s="965"/>
      <c r="J181" s="965"/>
      <c r="K181" s="964"/>
      <c r="L181" s="965"/>
      <c r="M181" s="965"/>
      <c r="N181" s="965"/>
      <c r="O181" s="965"/>
      <c r="P181" s="964"/>
      <c r="Q181" s="965"/>
      <c r="R181" s="965"/>
      <c r="S181" s="965"/>
      <c r="T181" s="965"/>
      <c r="U181" s="964"/>
      <c r="V181" s="965"/>
      <c r="W181" s="965"/>
      <c r="X181" s="965"/>
      <c r="Y181" s="965"/>
      <c r="Z181" s="964"/>
      <c r="AA181" s="965"/>
      <c r="AB181" s="965"/>
      <c r="AC181" s="965"/>
      <c r="AD181" s="965"/>
      <c r="AE181" s="964"/>
      <c r="AF181" s="965"/>
      <c r="AG181" s="965"/>
      <c r="AH181" s="965"/>
      <c r="AI181" s="965"/>
      <c r="AJ181" s="964"/>
      <c r="AK181" s="965"/>
      <c r="AL181" s="965"/>
      <c r="AM181" s="965"/>
      <c r="AN181" s="965"/>
      <c r="AO181" s="964"/>
      <c r="AP181" s="965"/>
      <c r="AQ181" s="965"/>
      <c r="AR181" s="965"/>
      <c r="AS181" s="965"/>
      <c r="AT181" s="964"/>
      <c r="AU181" s="965"/>
      <c r="AV181" s="965"/>
      <c r="AW181" s="976"/>
      <c r="AX181" s="965"/>
      <c r="AY181" s="964"/>
      <c r="AZ181" s="965"/>
      <c r="BA181" s="965"/>
      <c r="BB181" s="965"/>
      <c r="BC181" s="965"/>
      <c r="BD181" s="964"/>
      <c r="BE181" s="964"/>
      <c r="BF181" s="964"/>
      <c r="BG181" s="964"/>
      <c r="BH181" s="728"/>
    </row>
    <row r="182" spans="1:60" s="40" customFormat="1" x14ac:dyDescent="0.25">
      <c r="A182" s="657" t="s">
        <v>580</v>
      </c>
      <c r="B182" s="653"/>
      <c r="C182" s="964"/>
      <c r="D182" s="964"/>
      <c r="E182" s="964"/>
      <c r="F182" s="964"/>
      <c r="G182" s="965"/>
      <c r="H182" s="965"/>
      <c r="I182" s="965"/>
      <c r="J182" s="965"/>
      <c r="K182" s="964"/>
      <c r="L182" s="965"/>
      <c r="M182" s="965"/>
      <c r="N182" s="965"/>
      <c r="O182" s="965"/>
      <c r="P182" s="964"/>
      <c r="Q182" s="965"/>
      <c r="R182" s="965"/>
      <c r="S182" s="965"/>
      <c r="T182" s="965"/>
      <c r="U182" s="964"/>
      <c r="V182" s="965"/>
      <c r="W182" s="965"/>
      <c r="X182" s="965"/>
      <c r="Y182" s="965"/>
      <c r="Z182" s="964"/>
      <c r="AA182" s="965"/>
      <c r="AB182" s="965"/>
      <c r="AC182" s="965"/>
      <c r="AD182" s="965"/>
      <c r="AE182" s="964"/>
      <c r="AF182" s="965"/>
      <c r="AG182" s="965"/>
      <c r="AH182" s="965"/>
      <c r="AI182" s="965"/>
      <c r="AJ182" s="964"/>
      <c r="AK182" s="965">
        <v>1.7</v>
      </c>
      <c r="AL182" s="965">
        <v>2</v>
      </c>
      <c r="AM182" s="965">
        <v>2.2000000000000002</v>
      </c>
      <c r="AN182" s="965">
        <v>2.9</v>
      </c>
      <c r="AO182" s="964">
        <f t="shared" si="219"/>
        <v>2.9</v>
      </c>
      <c r="AP182" s="965">
        <v>3.2</v>
      </c>
      <c r="AQ182" s="965">
        <v>3.3</v>
      </c>
      <c r="AR182" s="965">
        <v>3.4</v>
      </c>
      <c r="AS182" s="965">
        <f t="shared" si="191"/>
        <v>4.0999999999999996</v>
      </c>
      <c r="AT182" s="964">
        <v>4.0999999999999996</v>
      </c>
      <c r="AU182" s="965">
        <v>4</v>
      </c>
      <c r="AV182" s="965">
        <v>3.8</v>
      </c>
      <c r="AW182" s="976">
        <v>3.7</v>
      </c>
      <c r="AX182" s="965">
        <f t="shared" ref="AX182" si="304">AW182*(1+AX183)</f>
        <v>3.8850000000000002</v>
      </c>
      <c r="AY182" s="964">
        <f>AX182</f>
        <v>3.8850000000000002</v>
      </c>
      <c r="AZ182" s="965">
        <f>AX182*(1+AZ183)</f>
        <v>3.9627000000000003</v>
      </c>
      <c r="BA182" s="965">
        <f>AZ182*(1+BA183)</f>
        <v>4.0419540000000005</v>
      </c>
      <c r="BB182" s="965">
        <f t="shared" ref="BB182" si="305">BA182*(1+BB183)</f>
        <v>4.122793080000001</v>
      </c>
      <c r="BC182" s="965">
        <f t="shared" ref="BC182" si="306">BB182*(1+BC183)</f>
        <v>4.2052489416000007</v>
      </c>
      <c r="BD182" s="964">
        <f>BC182</f>
        <v>4.2052489416000007</v>
      </c>
      <c r="BE182" s="964">
        <f>BD182*(1+BE184)</f>
        <v>4.4155113886800006</v>
      </c>
      <c r="BF182" s="964">
        <f t="shared" ref="BF182:BG182" si="307">BE182*(1+BF184)</f>
        <v>4.5921318442272003</v>
      </c>
      <c r="BG182" s="964">
        <f t="shared" si="307"/>
        <v>4.7758171179962883</v>
      </c>
      <c r="BH182" s="728"/>
    </row>
    <row r="183" spans="1:60" s="343" customFormat="1" x14ac:dyDescent="0.25">
      <c r="A183" s="654" t="s">
        <v>715</v>
      </c>
      <c r="B183" s="655"/>
      <c r="C183" s="183"/>
      <c r="D183" s="183"/>
      <c r="E183" s="183"/>
      <c r="F183" s="183"/>
      <c r="G183" s="634"/>
      <c r="H183" s="634"/>
      <c r="I183" s="634"/>
      <c r="J183" s="634"/>
      <c r="K183" s="183"/>
      <c r="L183" s="634"/>
      <c r="M183" s="634"/>
      <c r="N183" s="634"/>
      <c r="O183" s="634"/>
      <c r="P183" s="183"/>
      <c r="Q183" s="634"/>
      <c r="R183" s="634"/>
      <c r="S183" s="634"/>
      <c r="T183" s="634"/>
      <c r="U183" s="183"/>
      <c r="V183" s="634"/>
      <c r="W183" s="634"/>
      <c r="X183" s="634"/>
      <c r="Y183" s="634"/>
      <c r="Z183" s="183"/>
      <c r="AA183" s="634"/>
      <c r="AB183" s="634"/>
      <c r="AC183" s="634"/>
      <c r="AD183" s="634"/>
      <c r="AE183" s="183"/>
      <c r="AF183" s="634"/>
      <c r="AG183" s="634"/>
      <c r="AH183" s="634"/>
      <c r="AI183" s="634"/>
      <c r="AJ183" s="183"/>
      <c r="AK183" s="634"/>
      <c r="AL183" s="634">
        <f>AL182/AK182-1</f>
        <v>0.17647058823529416</v>
      </c>
      <c r="AM183" s="634">
        <f t="shared" ref="AM183" si="308">AM182/AL182-1</f>
        <v>0.10000000000000009</v>
      </c>
      <c r="AN183" s="634">
        <f t="shared" ref="AN183" si="309">AN182/AM182-1</f>
        <v>0.31818181818181812</v>
      </c>
      <c r="AO183" s="183"/>
      <c r="AP183" s="634">
        <f>AP182/AN182-1</f>
        <v>0.10344827586206895</v>
      </c>
      <c r="AQ183" s="634">
        <f>AQ182/AP182-1</f>
        <v>3.1249999999999778E-2</v>
      </c>
      <c r="AR183" s="634">
        <f t="shared" ref="AR183" si="310">AR182/AQ182-1</f>
        <v>3.0303030303030276E-2</v>
      </c>
      <c r="AS183" s="634">
        <f t="shared" ref="AS183" si="311">AS182/AR182-1</f>
        <v>0.20588235294117641</v>
      </c>
      <c r="AT183" s="183"/>
      <c r="AU183" s="634">
        <f>AU182/AS182-1</f>
        <v>-2.4390243902438935E-2</v>
      </c>
      <c r="AV183" s="634">
        <f>AV182/AT182-1</f>
        <v>-7.3170731707317027E-2</v>
      </c>
      <c r="AW183" s="691">
        <f>AW182/AV182-1</f>
        <v>-2.631578947368407E-2</v>
      </c>
      <c r="AX183" s="356">
        <v>0.05</v>
      </c>
      <c r="AY183" s="183"/>
      <c r="AZ183" s="356">
        <v>0.02</v>
      </c>
      <c r="BA183" s="356">
        <v>0.02</v>
      </c>
      <c r="BB183" s="356">
        <v>0.02</v>
      </c>
      <c r="BC183" s="356">
        <v>0.02</v>
      </c>
      <c r="BD183" s="183"/>
      <c r="BE183" s="183"/>
      <c r="BF183" s="183"/>
      <c r="BG183" s="183"/>
      <c r="BH183" s="342"/>
    </row>
    <row r="184" spans="1:60" s="343" customFormat="1" x14ac:dyDescent="0.25">
      <c r="A184" s="654" t="s">
        <v>728</v>
      </c>
      <c r="B184" s="655"/>
      <c r="C184" s="183"/>
      <c r="D184" s="183"/>
      <c r="E184" s="183"/>
      <c r="F184" s="183"/>
      <c r="G184" s="634"/>
      <c r="H184" s="634"/>
      <c r="I184" s="634"/>
      <c r="J184" s="634"/>
      <c r="K184" s="183"/>
      <c r="L184" s="634"/>
      <c r="M184" s="634"/>
      <c r="N184" s="634"/>
      <c r="O184" s="634"/>
      <c r="P184" s="183"/>
      <c r="Q184" s="634"/>
      <c r="R184" s="634"/>
      <c r="S184" s="634"/>
      <c r="T184" s="634"/>
      <c r="U184" s="183"/>
      <c r="V184" s="634"/>
      <c r="W184" s="634"/>
      <c r="X184" s="634"/>
      <c r="Y184" s="634"/>
      <c r="Z184" s="183"/>
      <c r="AA184" s="634"/>
      <c r="AB184" s="634"/>
      <c r="AC184" s="634"/>
      <c r="AD184" s="634"/>
      <c r="AE184" s="183"/>
      <c r="AF184" s="634"/>
      <c r="AG184" s="634"/>
      <c r="AH184" s="634"/>
      <c r="AI184" s="634"/>
      <c r="AJ184" s="183"/>
      <c r="AK184" s="634"/>
      <c r="AL184" s="634"/>
      <c r="AM184" s="634"/>
      <c r="AN184" s="634"/>
      <c r="AO184" s="183"/>
      <c r="AP184" s="634">
        <f>AP182/AK182-1</f>
        <v>0.88235294117647078</v>
      </c>
      <c r="AQ184" s="634">
        <f t="shared" ref="AQ184" si="312">AQ182/AL182-1</f>
        <v>0.64999999999999991</v>
      </c>
      <c r="AR184" s="634">
        <f t="shared" ref="AR184" si="313">AR182/AM182-1</f>
        <v>0.54545454545454519</v>
      </c>
      <c r="AS184" s="634">
        <f t="shared" ref="AS184" si="314">AS182/AN182-1</f>
        <v>0.4137931034482758</v>
      </c>
      <c r="AT184" s="183">
        <f t="shared" ref="AT184" si="315">AT182/AO182-1</f>
        <v>0.4137931034482758</v>
      </c>
      <c r="AU184" s="634">
        <f>AU182/AP182-1</f>
        <v>0.25</v>
      </c>
      <c r="AV184" s="634">
        <f>AV182/AQ182-1</f>
        <v>0.1515151515151516</v>
      </c>
      <c r="AW184" s="691">
        <f>AW182/AR182-1</f>
        <v>8.8235294117647189E-2</v>
      </c>
      <c r="AX184" s="634">
        <f t="shared" ref="AX184" si="316">AX182/AS182-1</f>
        <v>-5.2439024390243727E-2</v>
      </c>
      <c r="AY184" s="183">
        <f t="shared" ref="AY184" si="317">AY182/AT182-1</f>
        <v>-5.2439024390243727E-2</v>
      </c>
      <c r="AZ184" s="634">
        <f t="shared" ref="AZ184" si="318">AZ182/AU182-1</f>
        <v>-9.3249999999999167E-3</v>
      </c>
      <c r="BA184" s="634">
        <f t="shared" ref="BA184" si="319">BA182/AV182-1</f>
        <v>6.3672105263158141E-2</v>
      </c>
      <c r="BB184" s="634">
        <f t="shared" ref="BB184" si="320">BB182/AW182-1</f>
        <v>0.11426840000000027</v>
      </c>
      <c r="BC184" s="634">
        <f t="shared" ref="BC184" si="321">BC182/AX182-1</f>
        <v>8.2432160000000199E-2</v>
      </c>
      <c r="BD184" s="183">
        <f t="shared" ref="BD184" si="322">BD182/AY182-1</f>
        <v>8.2432160000000199E-2</v>
      </c>
      <c r="BE184" s="358">
        <v>0.05</v>
      </c>
      <c r="BF184" s="358">
        <v>0.04</v>
      </c>
      <c r="BG184" s="358">
        <v>0.04</v>
      </c>
      <c r="BH184" s="342"/>
    </row>
    <row r="185" spans="1:60" s="642" customFormat="1" x14ac:dyDescent="0.25">
      <c r="A185" s="652" t="s">
        <v>579</v>
      </c>
      <c r="B185" s="656"/>
      <c r="C185" s="640"/>
      <c r="D185" s="640"/>
      <c r="E185" s="640"/>
      <c r="F185" s="640"/>
      <c r="G185" s="639"/>
      <c r="H185" s="639"/>
      <c r="I185" s="639"/>
      <c r="J185" s="639"/>
      <c r="K185" s="640"/>
      <c r="L185" s="639"/>
      <c r="M185" s="639"/>
      <c r="N185" s="639"/>
      <c r="O185" s="639"/>
      <c r="P185" s="640"/>
      <c r="Q185" s="639"/>
      <c r="R185" s="639"/>
      <c r="S185" s="639"/>
      <c r="T185" s="639"/>
      <c r="U185" s="640"/>
      <c r="V185" s="639"/>
      <c r="W185" s="639"/>
      <c r="X185" s="639"/>
      <c r="Y185" s="639"/>
      <c r="Z185" s="640"/>
      <c r="AA185" s="639"/>
      <c r="AB185" s="639"/>
      <c r="AC185" s="639"/>
      <c r="AD185" s="639"/>
      <c r="AE185" s="640"/>
      <c r="AF185" s="639"/>
      <c r="AG185" s="639"/>
      <c r="AH185" s="639"/>
      <c r="AI185" s="639"/>
      <c r="AJ185" s="640"/>
      <c r="AK185" s="639">
        <v>52.31</v>
      </c>
      <c r="AL185" s="639">
        <v>52.58</v>
      </c>
      <c r="AM185" s="639">
        <v>58.42</v>
      </c>
      <c r="AN185" s="639">
        <v>58.82</v>
      </c>
      <c r="AO185" s="640">
        <v>55.98</v>
      </c>
      <c r="AP185" s="639">
        <v>59.47</v>
      </c>
      <c r="AQ185" s="639">
        <v>67.75</v>
      </c>
      <c r="AR185" s="639">
        <v>68.11</v>
      </c>
      <c r="AS185" s="639">
        <v>71.900000000000006</v>
      </c>
      <c r="AT185" s="640">
        <v>67.239999999999995</v>
      </c>
      <c r="AU185" s="639">
        <v>75.11</v>
      </c>
      <c r="AV185" s="639">
        <v>81.83</v>
      </c>
      <c r="AW185" s="947">
        <v>84.09</v>
      </c>
      <c r="AX185" s="639">
        <f t="shared" ref="AX185" si="323">AW185*(1+AX186)</f>
        <v>84.930900000000008</v>
      </c>
      <c r="AY185" s="640">
        <f>AVERAGE(AX185,AW185,AV185,AU185)</f>
        <v>81.490225000000009</v>
      </c>
      <c r="AZ185" s="639">
        <f>AX185*(1+AZ186)</f>
        <v>84.930900000000008</v>
      </c>
      <c r="BA185" s="639">
        <f>AZ185*(1+BA186)</f>
        <v>84.930900000000008</v>
      </c>
      <c r="BB185" s="639">
        <f t="shared" ref="BB185" si="324">BA185*(1+BB186)</f>
        <v>84.930900000000008</v>
      </c>
      <c r="BC185" s="639">
        <f t="shared" ref="BC185" si="325">BB185*(1+BC186)</f>
        <v>84.930900000000008</v>
      </c>
      <c r="BD185" s="640">
        <f>AVERAGE(BC185,BB185,BA185,AZ185)</f>
        <v>84.930900000000008</v>
      </c>
      <c r="BE185" s="640">
        <f>BD185*(1+BE187)</f>
        <v>84.930900000000008</v>
      </c>
      <c r="BF185" s="640">
        <f t="shared" ref="BF185:BG185" si="326">BE185*(1+BF187)</f>
        <v>84.930900000000008</v>
      </c>
      <c r="BG185" s="640">
        <f t="shared" si="326"/>
        <v>84.930900000000008</v>
      </c>
      <c r="BH185" s="641"/>
    </row>
    <row r="186" spans="1:60" s="343" customFormat="1" x14ac:dyDescent="0.25">
      <c r="A186" s="654" t="s">
        <v>716</v>
      </c>
      <c r="B186" s="655"/>
      <c r="C186" s="183"/>
      <c r="D186" s="183"/>
      <c r="E186" s="183"/>
      <c r="F186" s="183"/>
      <c r="G186" s="634"/>
      <c r="H186" s="634"/>
      <c r="I186" s="634"/>
      <c r="J186" s="634"/>
      <c r="K186" s="183"/>
      <c r="L186" s="634"/>
      <c r="M186" s="634"/>
      <c r="N186" s="634"/>
      <c r="O186" s="634"/>
      <c r="P186" s="183"/>
      <c r="Q186" s="634"/>
      <c r="R186" s="634"/>
      <c r="S186" s="634"/>
      <c r="T186" s="634"/>
      <c r="U186" s="183"/>
      <c r="V186" s="634"/>
      <c r="W186" s="634"/>
      <c r="X186" s="634"/>
      <c r="Y186" s="634"/>
      <c r="Z186" s="183"/>
      <c r="AA186" s="634"/>
      <c r="AB186" s="634"/>
      <c r="AC186" s="634"/>
      <c r="AD186" s="634"/>
      <c r="AE186" s="183"/>
      <c r="AF186" s="634"/>
      <c r="AG186" s="634"/>
      <c r="AH186" s="634"/>
      <c r="AI186" s="634"/>
      <c r="AJ186" s="183"/>
      <c r="AK186" s="634"/>
      <c r="AL186" s="634">
        <f>AL185/AK185-1</f>
        <v>5.1615369910149589E-3</v>
      </c>
      <c r="AM186" s="634">
        <f t="shared" ref="AM186" si="327">AM185/AL185-1</f>
        <v>0.11106884747052126</v>
      </c>
      <c r="AN186" s="634">
        <f t="shared" ref="AN186" si="328">AN185/AM185-1</f>
        <v>6.8469702156794821E-3</v>
      </c>
      <c r="AO186" s="183"/>
      <c r="AP186" s="634">
        <f>AP185/AN185-1</f>
        <v>1.1050663039782416E-2</v>
      </c>
      <c r="AQ186" s="634">
        <f>AQ185/AP185-1</f>
        <v>0.1392298637968723</v>
      </c>
      <c r="AR186" s="634">
        <f t="shared" ref="AR186" si="329">AR185/AQ185-1</f>
        <v>5.3136531365314266E-3</v>
      </c>
      <c r="AS186" s="634">
        <f t="shared" ref="AS186" si="330">AS185/AR185-1</f>
        <v>5.564527969461186E-2</v>
      </c>
      <c r="AT186" s="183"/>
      <c r="AU186" s="634">
        <f>AU185/AS185-1</f>
        <v>4.4645340751042983E-2</v>
      </c>
      <c r="AV186" s="634">
        <f>AV185/AT185-1</f>
        <v>0.2169839381320644</v>
      </c>
      <c r="AW186" s="691">
        <f>AW185/AV185-1</f>
        <v>2.7618232921911234E-2</v>
      </c>
      <c r="AX186" s="356">
        <v>0.01</v>
      </c>
      <c r="AY186" s="183"/>
      <c r="AZ186" s="356">
        <v>0</v>
      </c>
      <c r="BA186" s="356">
        <v>0</v>
      </c>
      <c r="BB186" s="356">
        <v>0</v>
      </c>
      <c r="BC186" s="356">
        <v>0</v>
      </c>
      <c r="BD186" s="183"/>
      <c r="BE186" s="183"/>
      <c r="BF186" s="183"/>
      <c r="BG186" s="183"/>
      <c r="BH186" s="342"/>
    </row>
    <row r="187" spans="1:60" s="343" customFormat="1" x14ac:dyDescent="0.25">
      <c r="A187" s="654" t="s">
        <v>729</v>
      </c>
      <c r="B187" s="655"/>
      <c r="C187" s="183"/>
      <c r="D187" s="183"/>
      <c r="E187" s="183"/>
      <c r="F187" s="183"/>
      <c r="G187" s="634"/>
      <c r="H187" s="634"/>
      <c r="I187" s="634"/>
      <c r="J187" s="634"/>
      <c r="K187" s="183"/>
      <c r="L187" s="634"/>
      <c r="M187" s="634"/>
      <c r="N187" s="634"/>
      <c r="O187" s="634"/>
      <c r="P187" s="183"/>
      <c r="Q187" s="634"/>
      <c r="R187" s="634"/>
      <c r="S187" s="634"/>
      <c r="T187" s="634"/>
      <c r="U187" s="183"/>
      <c r="V187" s="634"/>
      <c r="W187" s="634"/>
      <c r="X187" s="634"/>
      <c r="Y187" s="634"/>
      <c r="Z187" s="183"/>
      <c r="AA187" s="634"/>
      <c r="AB187" s="634"/>
      <c r="AC187" s="634"/>
      <c r="AD187" s="634"/>
      <c r="AE187" s="183"/>
      <c r="AF187" s="634"/>
      <c r="AG187" s="634"/>
      <c r="AH187" s="634"/>
      <c r="AI187" s="634"/>
      <c r="AJ187" s="183"/>
      <c r="AK187" s="634"/>
      <c r="AL187" s="634"/>
      <c r="AM187" s="634"/>
      <c r="AN187" s="634"/>
      <c r="AO187" s="183"/>
      <c r="AP187" s="634">
        <f>AP185/AK185-1</f>
        <v>0.13687631428025226</v>
      </c>
      <c r="AQ187" s="634">
        <f t="shared" ref="AQ187:AT187" si="331">AQ185/AL185-1</f>
        <v>0.28851274248763792</v>
      </c>
      <c r="AR187" s="634">
        <f t="shared" si="331"/>
        <v>0.16586785347483723</v>
      </c>
      <c r="AS187" s="634">
        <f t="shared" si="331"/>
        <v>0.22237334240054407</v>
      </c>
      <c r="AT187" s="183">
        <f t="shared" si="331"/>
        <v>0.20114326545194716</v>
      </c>
      <c r="AU187" s="634">
        <f>AU185/AP185-1</f>
        <v>0.2629897427274257</v>
      </c>
      <c r="AV187" s="634">
        <f>AV185/AQ185-1</f>
        <v>0.20782287822878232</v>
      </c>
      <c r="AW187" s="691">
        <f>AW185/AR185-1</f>
        <v>0.23462046689179283</v>
      </c>
      <c r="AX187" s="634">
        <f t="shared" ref="AX187" si="332">AX185/AS185-1</f>
        <v>0.18123643949930468</v>
      </c>
      <c r="AY187" s="183">
        <f t="shared" ref="AY187" si="333">AY185/AT185-1</f>
        <v>0.21193077037477726</v>
      </c>
      <c r="AZ187" s="634">
        <f t="shared" ref="AZ187" si="334">AZ185/AU185-1</f>
        <v>0.1307535614432167</v>
      </c>
      <c r="BA187" s="634">
        <f t="shared" ref="BA187" si="335">BA185/AV185-1</f>
        <v>3.7894415251130464E-2</v>
      </c>
      <c r="BB187" s="634">
        <f t="shared" ref="BB187" si="336">BB185/AW185-1</f>
        <v>1.0000000000000009E-2</v>
      </c>
      <c r="BC187" s="634">
        <f t="shared" ref="BC187" si="337">BC185/AX185-1</f>
        <v>0</v>
      </c>
      <c r="BD187" s="183">
        <f t="shared" ref="BD187" si="338">BD185/AY185-1</f>
        <v>4.2221935207566341E-2</v>
      </c>
      <c r="BE187" s="358">
        <v>0</v>
      </c>
      <c r="BF187" s="358">
        <v>0</v>
      </c>
      <c r="BG187" s="358">
        <v>0</v>
      </c>
      <c r="BH187" s="342"/>
    </row>
    <row r="188" spans="1:60" s="19" customFormat="1" x14ac:dyDescent="0.25">
      <c r="A188" s="643" t="s">
        <v>712</v>
      </c>
      <c r="B188" s="751"/>
      <c r="C188" s="970"/>
      <c r="D188" s="970"/>
      <c r="E188" s="970"/>
      <c r="F188" s="970"/>
      <c r="G188" s="971"/>
      <c r="H188" s="971"/>
      <c r="I188" s="971"/>
      <c r="J188" s="971"/>
      <c r="K188" s="970"/>
      <c r="L188" s="971"/>
      <c r="M188" s="971"/>
      <c r="N188" s="971"/>
      <c r="O188" s="971"/>
      <c r="P188" s="970"/>
      <c r="Q188" s="971"/>
      <c r="R188" s="971"/>
      <c r="S188" s="971"/>
      <c r="T188" s="971"/>
      <c r="U188" s="970"/>
      <c r="V188" s="971"/>
      <c r="W188" s="971"/>
      <c r="X188" s="971"/>
      <c r="Y188" s="971"/>
      <c r="Z188" s="970"/>
      <c r="AA188" s="971"/>
      <c r="AB188" s="971"/>
      <c r="AC188" s="971"/>
      <c r="AD188" s="971"/>
      <c r="AE188" s="970"/>
      <c r="AF188" s="971"/>
      <c r="AG188" s="971"/>
      <c r="AH188" s="971"/>
      <c r="AI188" s="971"/>
      <c r="AJ188" s="970"/>
      <c r="AK188" s="972">
        <f t="shared" ref="AK188:AN188" si="339">AK185*AK182*3</f>
        <v>266.78100000000001</v>
      </c>
      <c r="AL188" s="973">
        <f t="shared" si="339"/>
        <v>315.48</v>
      </c>
      <c r="AM188" s="972">
        <f t="shared" si="339"/>
        <v>385.572</v>
      </c>
      <c r="AN188" s="972">
        <f t="shared" si="339"/>
        <v>511.73400000000004</v>
      </c>
      <c r="AO188" s="974">
        <f>SUM(AK188,AL188,AM188,AN188)</f>
        <v>1479.567</v>
      </c>
      <c r="AP188" s="972">
        <f>AP185*AP182*3</f>
        <v>570.91200000000003</v>
      </c>
      <c r="AQ188" s="973">
        <f t="shared" ref="AQ188:AS188" si="340">AQ185*AQ182*3</f>
        <v>670.72499999999991</v>
      </c>
      <c r="AR188" s="972">
        <f t="shared" si="340"/>
        <v>694.72199999999998</v>
      </c>
      <c r="AS188" s="972">
        <f t="shared" si="340"/>
        <v>884.37000000000012</v>
      </c>
      <c r="AT188" s="974">
        <f>SUM(AP188,AQ188,AR188,AS188)</f>
        <v>2820.7290000000003</v>
      </c>
      <c r="AU188" s="972">
        <f>AU185*AU182*3</f>
        <v>901.31999999999994</v>
      </c>
      <c r="AV188" s="973">
        <f>AV185*AV182*3</f>
        <v>932.86199999999985</v>
      </c>
      <c r="AW188" s="975">
        <f>AW185*AW182*3</f>
        <v>933.39900000000011</v>
      </c>
      <c r="AX188" s="971">
        <f>AX185*AX182*3</f>
        <v>989.86963950000018</v>
      </c>
      <c r="AY188" s="970">
        <f>SUM(AU188,AV188,AW188,AX188)</f>
        <v>3757.4506395000003</v>
      </c>
      <c r="AZ188" s="971">
        <f t="shared" ref="AZ188:BC188" si="341">AZ185*AZ182*3</f>
        <v>1009.6670322900002</v>
      </c>
      <c r="BA188" s="971">
        <f t="shared" si="341"/>
        <v>1029.8603729358003</v>
      </c>
      <c r="BB188" s="971">
        <f t="shared" si="341"/>
        <v>1050.4575803945163</v>
      </c>
      <c r="BC188" s="971">
        <f t="shared" si="341"/>
        <v>1071.4667320024066</v>
      </c>
      <c r="BD188" s="970">
        <f>SUM(AZ188,BA188,BB188,BC188)</f>
        <v>4161.4517176227237</v>
      </c>
      <c r="BE188" s="970">
        <f>BE185*AVERAGE(BE182,BD182)*12</f>
        <v>4393.0136012098665</v>
      </c>
      <c r="BF188" s="970">
        <f t="shared" ref="BF188:BG188" si="342">BF185*AVERAGE(BF182,BE182)*12</f>
        <v>4590.1634798983096</v>
      </c>
      <c r="BG188" s="970">
        <f t="shared" si="342"/>
        <v>4773.7700190942423</v>
      </c>
      <c r="BH188" s="730"/>
    </row>
    <row r="189" spans="1:60" s="19" customFormat="1" x14ac:dyDescent="0.25">
      <c r="A189" s="752"/>
      <c r="B189" s="756"/>
      <c r="C189" s="977"/>
      <c r="D189" s="977"/>
      <c r="E189" s="977"/>
      <c r="F189" s="977"/>
      <c r="G189" s="978"/>
      <c r="H189" s="978"/>
      <c r="I189" s="978"/>
      <c r="J189" s="978"/>
      <c r="K189" s="977"/>
      <c r="L189" s="978"/>
      <c r="M189" s="978"/>
      <c r="N189" s="978"/>
      <c r="O189" s="978"/>
      <c r="P189" s="977"/>
      <c r="Q189" s="978"/>
      <c r="R189" s="978"/>
      <c r="S189" s="978"/>
      <c r="T189" s="978"/>
      <c r="U189" s="977"/>
      <c r="V189" s="978"/>
      <c r="W189" s="978"/>
      <c r="X189" s="978"/>
      <c r="Y189" s="978"/>
      <c r="Z189" s="977"/>
      <c r="AA189" s="978"/>
      <c r="AB189" s="978"/>
      <c r="AC189" s="978"/>
      <c r="AD189" s="978"/>
      <c r="AE189" s="977"/>
      <c r="AF189" s="978"/>
      <c r="AG189" s="978"/>
      <c r="AH189" s="978"/>
      <c r="AI189" s="978"/>
      <c r="AJ189" s="977"/>
      <c r="AK189" s="978"/>
      <c r="AL189" s="978"/>
      <c r="AM189" s="978"/>
      <c r="AN189" s="978"/>
      <c r="AO189" s="977"/>
      <c r="AP189" s="978"/>
      <c r="AQ189" s="978"/>
      <c r="AR189" s="978"/>
      <c r="AS189" s="978"/>
      <c r="AT189" s="977"/>
      <c r="AU189" s="978"/>
      <c r="AV189" s="978"/>
      <c r="AW189" s="979"/>
      <c r="AX189" s="978"/>
      <c r="AY189" s="977"/>
      <c r="AZ189" s="978"/>
      <c r="BA189" s="978"/>
      <c r="BB189" s="978"/>
      <c r="BC189" s="978"/>
      <c r="BD189" s="977"/>
      <c r="BE189" s="977"/>
      <c r="BF189" s="977"/>
      <c r="BG189" s="977"/>
      <c r="BH189" s="730"/>
    </row>
    <row r="190" spans="1:60" s="19" customFormat="1" x14ac:dyDescent="0.25">
      <c r="A190" s="566" t="s">
        <v>721</v>
      </c>
      <c r="B190" s="756"/>
      <c r="C190" s="977"/>
      <c r="D190" s="977"/>
      <c r="E190" s="977"/>
      <c r="F190" s="977"/>
      <c r="G190" s="978"/>
      <c r="H190" s="978"/>
      <c r="I190" s="978"/>
      <c r="J190" s="978"/>
      <c r="K190" s="977"/>
      <c r="L190" s="978"/>
      <c r="M190" s="978"/>
      <c r="N190" s="978"/>
      <c r="O190" s="978"/>
      <c r="P190" s="977"/>
      <c r="Q190" s="978"/>
      <c r="R190" s="978"/>
      <c r="S190" s="978"/>
      <c r="T190" s="978"/>
      <c r="U190" s="977"/>
      <c r="V190" s="978"/>
      <c r="W190" s="978"/>
      <c r="X190" s="978"/>
      <c r="Y190" s="978"/>
      <c r="Z190" s="977"/>
      <c r="AA190" s="978"/>
      <c r="AB190" s="978"/>
      <c r="AC190" s="978"/>
      <c r="AD190" s="978"/>
      <c r="AE190" s="980">
        <v>13.2</v>
      </c>
      <c r="AF190" s="978"/>
      <c r="AG190" s="978"/>
      <c r="AH190" s="978"/>
      <c r="AI190" s="978"/>
      <c r="AJ190" s="980">
        <v>20</v>
      </c>
      <c r="AK190" s="981">
        <f t="shared" ref="AK190:AT190" si="343">AK182+AK174</f>
        <v>22.8</v>
      </c>
      <c r="AL190" s="982">
        <f t="shared" si="343"/>
        <v>25.2</v>
      </c>
      <c r="AM190" s="981">
        <f t="shared" si="343"/>
        <v>27.9</v>
      </c>
      <c r="AN190" s="981">
        <f t="shared" si="343"/>
        <v>28.5</v>
      </c>
      <c r="AO190" s="980">
        <f t="shared" si="343"/>
        <v>28.5</v>
      </c>
      <c r="AP190" s="981">
        <f t="shared" si="343"/>
        <v>30.4</v>
      </c>
      <c r="AQ190" s="982">
        <f t="shared" si="343"/>
        <v>32.1</v>
      </c>
      <c r="AR190" s="981">
        <f t="shared" si="343"/>
        <v>35.5</v>
      </c>
      <c r="AS190" s="981">
        <f t="shared" si="343"/>
        <v>36.6</v>
      </c>
      <c r="AT190" s="980">
        <f t="shared" si="343"/>
        <v>36.6</v>
      </c>
      <c r="AU190" s="981">
        <f>AU182+AU174</f>
        <v>39.4</v>
      </c>
      <c r="AV190" s="982">
        <f>AV182+AV174</f>
        <v>41.599999999999994</v>
      </c>
      <c r="AW190" s="983">
        <f>AW182+AW174</f>
        <v>42.800000000000004</v>
      </c>
      <c r="AX190" s="978">
        <f t="shared" ref="AX190:BG190" si="344">AX182+AX174</f>
        <v>43.767000000000003</v>
      </c>
      <c r="AY190" s="977">
        <f t="shared" si="344"/>
        <v>43.767000000000003</v>
      </c>
      <c r="AZ190" s="978">
        <f t="shared" si="344"/>
        <v>45.838800000000006</v>
      </c>
      <c r="BA190" s="978">
        <f t="shared" si="344"/>
        <v>48.011859000000015</v>
      </c>
      <c r="BB190" s="978">
        <f t="shared" si="344"/>
        <v>48.972096180000015</v>
      </c>
      <c r="BC190" s="978">
        <f t="shared" si="344"/>
        <v>49.951538103600015</v>
      </c>
      <c r="BD190" s="977">
        <f t="shared" si="344"/>
        <v>49.951538103600015</v>
      </c>
      <c r="BE190" s="977">
        <f t="shared" si="344"/>
        <v>55.651355250120027</v>
      </c>
      <c r="BF190" s="977">
        <f t="shared" si="344"/>
        <v>61.976276969040029</v>
      </c>
      <c r="BG190" s="977">
        <f t="shared" si="344"/>
        <v>69.046059657786657</v>
      </c>
      <c r="BH190" s="730"/>
    </row>
    <row r="191" spans="1:60" s="343" customFormat="1" x14ac:dyDescent="0.25">
      <c r="A191" s="168" t="s">
        <v>732</v>
      </c>
      <c r="B191" s="655"/>
      <c r="C191" s="183"/>
      <c r="D191" s="183"/>
      <c r="E191" s="183"/>
      <c r="F191" s="183"/>
      <c r="G191" s="634"/>
      <c r="H191" s="634"/>
      <c r="I191" s="634"/>
      <c r="J191" s="634"/>
      <c r="K191" s="183"/>
      <c r="L191" s="634"/>
      <c r="M191" s="634"/>
      <c r="N191" s="634"/>
      <c r="O191" s="634"/>
      <c r="P191" s="183"/>
      <c r="Q191" s="634"/>
      <c r="R191" s="634"/>
      <c r="S191" s="634"/>
      <c r="T191" s="634"/>
      <c r="U191" s="183"/>
      <c r="V191" s="634"/>
      <c r="W191" s="634"/>
      <c r="X191" s="634"/>
      <c r="Y191" s="634"/>
      <c r="Z191" s="183"/>
      <c r="AA191" s="634"/>
      <c r="AB191" s="634"/>
      <c r="AC191" s="634"/>
      <c r="AD191" s="634"/>
      <c r="AE191" s="183"/>
      <c r="AF191" s="634"/>
      <c r="AG191" s="634"/>
      <c r="AH191" s="634"/>
      <c r="AI191" s="634"/>
      <c r="AJ191" s="183"/>
      <c r="AK191" s="634"/>
      <c r="AL191" s="634"/>
      <c r="AM191" s="634"/>
      <c r="AN191" s="634"/>
      <c r="AO191" s="183"/>
      <c r="AP191" s="340">
        <f>AP190/AK190-1</f>
        <v>0.33333333333333326</v>
      </c>
      <c r="AQ191" s="341">
        <f t="shared" ref="AQ191:BD191" si="345">AQ190/AL190-1</f>
        <v>0.27380952380952395</v>
      </c>
      <c r="AR191" s="340">
        <f t="shared" si="345"/>
        <v>0.2724014336917564</v>
      </c>
      <c r="AS191" s="340">
        <f t="shared" si="345"/>
        <v>0.28421052631578947</v>
      </c>
      <c r="AT191" s="339">
        <f t="shared" si="345"/>
        <v>0.28421052631578947</v>
      </c>
      <c r="AU191" s="340">
        <f>AU190/AP190-1</f>
        <v>0.29605263157894735</v>
      </c>
      <c r="AV191" s="341">
        <f>AV190/AQ190-1</f>
        <v>0.29595015576323958</v>
      </c>
      <c r="AW191" s="690">
        <f>AW190/AR190-1</f>
        <v>0.20563380281690158</v>
      </c>
      <c r="AX191" s="634">
        <f t="shared" si="345"/>
        <v>0.19581967213114759</v>
      </c>
      <c r="AY191" s="183">
        <f t="shared" si="345"/>
        <v>0.19581967213114759</v>
      </c>
      <c r="AZ191" s="634">
        <f t="shared" si="345"/>
        <v>0.16342131979695451</v>
      </c>
      <c r="BA191" s="634">
        <f t="shared" si="345"/>
        <v>0.15413122596153905</v>
      </c>
      <c r="BB191" s="634">
        <f t="shared" si="345"/>
        <v>0.14420785467289754</v>
      </c>
      <c r="BC191" s="634">
        <f t="shared" si="345"/>
        <v>0.14130596347933411</v>
      </c>
      <c r="BD191" s="183">
        <f t="shared" si="345"/>
        <v>0.14130596347933411</v>
      </c>
      <c r="BE191" s="183">
        <f>BE190/BD190-1</f>
        <v>0.1141069397042096</v>
      </c>
      <c r="BF191" s="183">
        <f t="shared" ref="BF191:BG191" si="346">BF190/BE190-1</f>
        <v>0.11365260900643315</v>
      </c>
      <c r="BG191" s="183">
        <f t="shared" si="346"/>
        <v>0.11407240051347878</v>
      </c>
      <c r="BH191" s="342"/>
    </row>
    <row r="192" spans="1:60" s="651" customFormat="1" x14ac:dyDescent="0.25">
      <c r="A192" s="644" t="s">
        <v>731</v>
      </c>
      <c r="B192" s="757"/>
      <c r="C192" s="649"/>
      <c r="D192" s="649"/>
      <c r="E192" s="649"/>
      <c r="F192" s="649"/>
      <c r="G192" s="648"/>
      <c r="H192" s="648"/>
      <c r="I192" s="648"/>
      <c r="J192" s="648"/>
      <c r="K192" s="649"/>
      <c r="L192" s="648"/>
      <c r="M192" s="648"/>
      <c r="N192" s="648"/>
      <c r="O192" s="648"/>
      <c r="P192" s="649"/>
      <c r="Q192" s="648"/>
      <c r="R192" s="648"/>
      <c r="S192" s="648"/>
      <c r="T192" s="648"/>
      <c r="U192" s="649"/>
      <c r="V192" s="648"/>
      <c r="W192" s="648"/>
      <c r="X192" s="648"/>
      <c r="Y192" s="648"/>
      <c r="Z192" s="649"/>
      <c r="AA192" s="648"/>
      <c r="AB192" s="648"/>
      <c r="AC192" s="648"/>
      <c r="AD192" s="648"/>
      <c r="AE192" s="649"/>
      <c r="AF192" s="648"/>
      <c r="AG192" s="648"/>
      <c r="AH192" s="648"/>
      <c r="AI192" s="648"/>
      <c r="AJ192" s="649"/>
      <c r="AK192" s="646">
        <f>AK193/AK190/3</f>
        <v>17.309912280701756</v>
      </c>
      <c r="AL192" s="647">
        <f t="shared" ref="AL192:AN192" si="347">AL193/AL190/3</f>
        <v>15.892698412698413</v>
      </c>
      <c r="AM192" s="646">
        <f t="shared" si="347"/>
        <v>16.286738351254481</v>
      </c>
      <c r="AN192" s="646">
        <f t="shared" si="347"/>
        <v>17.365964912280702</v>
      </c>
      <c r="AO192" s="645">
        <f>AO193/AO190/12</f>
        <v>15.302561403508774</v>
      </c>
      <c r="AP192" s="646">
        <f>AP193/AP190/3</f>
        <v>18.02578947368421</v>
      </c>
      <c r="AQ192" s="647">
        <f t="shared" ref="AQ192:AS192" si="348">AQ193/AQ190/3</f>
        <v>17.785140186915886</v>
      </c>
      <c r="AR192" s="646">
        <f t="shared" si="348"/>
        <v>16.822338028169014</v>
      </c>
      <c r="AS192" s="646">
        <f t="shared" si="348"/>
        <v>19.234016393442626</v>
      </c>
      <c r="AT192" s="645">
        <f>AT193/AT190/12</f>
        <v>16.530362021857925</v>
      </c>
      <c r="AU192" s="646">
        <f>AU193/AU190/3</f>
        <v>19.763807106598986</v>
      </c>
      <c r="AV192" s="647">
        <f>AV193/AV190/3</f>
        <v>18.451394230769228</v>
      </c>
      <c r="AW192" s="871">
        <f>AW193/AW190/3</f>
        <v>19.282663551401871</v>
      </c>
      <c r="AX192" s="648">
        <f>AX193/AX190/3</f>
        <v>19.282013400507235</v>
      </c>
      <c r="AY192" s="649">
        <f>AY193/AY190/12</f>
        <v>18.367068113533026</v>
      </c>
      <c r="AZ192" s="648">
        <f>AZ193/AZ190/3</f>
        <v>19.115094158878509</v>
      </c>
      <c r="BA192" s="648">
        <f t="shared" ref="BA192:BC192" si="349">BA193/BA190/3</f>
        <v>18.952129237770198</v>
      </c>
      <c r="BB192" s="648">
        <f t="shared" si="349"/>
        <v>18.952129237770194</v>
      </c>
      <c r="BC192" s="648">
        <f t="shared" si="349"/>
        <v>18.952129237770198</v>
      </c>
      <c r="BD192" s="649">
        <f>BD193/BD190/12</f>
        <v>18.32252606948482</v>
      </c>
      <c r="BE192" s="649">
        <f>BE193/BE190/12</f>
        <v>17.582514370468697</v>
      </c>
      <c r="BF192" s="649">
        <f t="shared" ref="BF192:BG192" si="350">BF193/BF190/12</f>
        <v>17.128323382459563</v>
      </c>
      <c r="BG192" s="649">
        <f t="shared" si="350"/>
        <v>16.886405969732994</v>
      </c>
      <c r="BH192" s="650"/>
    </row>
    <row r="193" spans="1:60" s="19" customFormat="1" x14ac:dyDescent="0.25">
      <c r="A193" s="567" t="s">
        <v>720</v>
      </c>
      <c r="B193" s="751"/>
      <c r="C193" s="970"/>
      <c r="D193" s="970"/>
      <c r="E193" s="970"/>
      <c r="F193" s="970"/>
      <c r="G193" s="971"/>
      <c r="H193" s="971"/>
      <c r="I193" s="971"/>
      <c r="J193" s="971"/>
      <c r="K193" s="970"/>
      <c r="L193" s="971"/>
      <c r="M193" s="971"/>
      <c r="N193" s="971"/>
      <c r="O193" s="971"/>
      <c r="P193" s="970"/>
      <c r="Q193" s="971"/>
      <c r="R193" s="971"/>
      <c r="S193" s="971"/>
      <c r="T193" s="971"/>
      <c r="U193" s="970"/>
      <c r="V193" s="971"/>
      <c r="W193" s="971"/>
      <c r="X193" s="971"/>
      <c r="Y193" s="971"/>
      <c r="Z193" s="970"/>
      <c r="AA193" s="971"/>
      <c r="AB193" s="971"/>
      <c r="AC193" s="971"/>
      <c r="AD193" s="971"/>
      <c r="AE193" s="970"/>
      <c r="AF193" s="971"/>
      <c r="AG193" s="971"/>
      <c r="AH193" s="971"/>
      <c r="AI193" s="971"/>
      <c r="AJ193" s="970"/>
      <c r="AK193" s="972">
        <f t="shared" ref="AK193:AR193" si="351">AK188+AK180</f>
        <v>1183.998</v>
      </c>
      <c r="AL193" s="973">
        <f t="shared" si="351"/>
        <v>1201.4880000000001</v>
      </c>
      <c r="AM193" s="972">
        <f t="shared" si="351"/>
        <v>1363.1999999999998</v>
      </c>
      <c r="AN193" s="972">
        <f t="shared" si="351"/>
        <v>1484.79</v>
      </c>
      <c r="AO193" s="974">
        <f t="shared" si="351"/>
        <v>5233.4760000000006</v>
      </c>
      <c r="AP193" s="972">
        <f t="shared" si="351"/>
        <v>1643.952</v>
      </c>
      <c r="AQ193" s="973">
        <f t="shared" si="351"/>
        <v>1712.7090000000001</v>
      </c>
      <c r="AR193" s="972">
        <f t="shared" si="351"/>
        <v>1791.579</v>
      </c>
      <c r="AS193" s="972">
        <f>AS188+AS180</f>
        <v>2111.8950000000004</v>
      </c>
      <c r="AT193" s="974">
        <f>AT188+AT180</f>
        <v>7260.1350000000011</v>
      </c>
      <c r="AU193" s="972">
        <f>AU188+AU180</f>
        <v>2336.0819999999999</v>
      </c>
      <c r="AV193" s="973">
        <f>AV188+AV180</f>
        <v>2302.7339999999995</v>
      </c>
      <c r="AW193" s="975">
        <f>AW188+AW180</f>
        <v>2475.8940000000002</v>
      </c>
      <c r="AX193" s="971">
        <f t="shared" ref="AX193:BG193" si="352">AX188+AX180</f>
        <v>2531.7476415000006</v>
      </c>
      <c r="AY193" s="970">
        <f t="shared" si="352"/>
        <v>9646.457641500001</v>
      </c>
      <c r="AZ193" s="971">
        <f t="shared" si="352"/>
        <v>2628.6389343900009</v>
      </c>
      <c r="BA193" s="971">
        <f t="shared" si="352"/>
        <v>2729.7808701408012</v>
      </c>
      <c r="BB193" s="971">
        <f t="shared" si="352"/>
        <v>2784.3764875436168</v>
      </c>
      <c r="BC193" s="971">
        <f t="shared" si="352"/>
        <v>2840.0640172944895</v>
      </c>
      <c r="BD193" s="970">
        <f t="shared" si="352"/>
        <v>10982.860309368907</v>
      </c>
      <c r="BE193" s="970">
        <f t="shared" si="352"/>
        <v>11741.889041055529</v>
      </c>
      <c r="BF193" s="970">
        <f t="shared" si="352"/>
        <v>12738.596567599181</v>
      </c>
      <c r="BG193" s="970">
        <f t="shared" si="352"/>
        <v>13991.277527901468</v>
      </c>
      <c r="BH193" s="730"/>
    </row>
    <row r="194" spans="1:60" s="19" customFormat="1" x14ac:dyDescent="0.25">
      <c r="A194" s="752"/>
      <c r="B194" s="756"/>
      <c r="C194" s="977"/>
      <c r="D194" s="977"/>
      <c r="E194" s="977"/>
      <c r="F194" s="977"/>
      <c r="G194" s="978"/>
      <c r="H194" s="978"/>
      <c r="I194" s="978"/>
      <c r="J194" s="978"/>
      <c r="K194" s="977"/>
      <c r="L194" s="978"/>
      <c r="M194" s="978"/>
      <c r="N194" s="978"/>
      <c r="O194" s="978"/>
      <c r="P194" s="977"/>
      <c r="Q194" s="978"/>
      <c r="R194" s="978"/>
      <c r="S194" s="978"/>
      <c r="T194" s="978"/>
      <c r="U194" s="977"/>
      <c r="V194" s="978"/>
      <c r="W194" s="978"/>
      <c r="X194" s="978"/>
      <c r="Y194" s="978"/>
      <c r="Z194" s="977"/>
      <c r="AA194" s="978"/>
      <c r="AB194" s="978"/>
      <c r="AC194" s="978"/>
      <c r="AD194" s="978"/>
      <c r="AE194" s="977"/>
      <c r="AF194" s="978"/>
      <c r="AG194" s="978"/>
      <c r="AH194" s="978"/>
      <c r="AI194" s="978"/>
      <c r="AJ194" s="977"/>
      <c r="AK194" s="978"/>
      <c r="AL194" s="978"/>
      <c r="AM194" s="978"/>
      <c r="AN194" s="978"/>
      <c r="AO194" s="977"/>
      <c r="AP194" s="978"/>
      <c r="AQ194" s="978"/>
      <c r="AR194" s="978"/>
      <c r="AS194" s="978"/>
      <c r="AT194" s="977"/>
      <c r="AU194" s="978"/>
      <c r="AV194" s="978"/>
      <c r="AW194" s="979"/>
      <c r="AX194" s="978"/>
      <c r="AY194" s="977"/>
      <c r="AZ194" s="978"/>
      <c r="BA194" s="978"/>
      <c r="BB194" s="978"/>
      <c r="BC194" s="978"/>
      <c r="BD194" s="977"/>
      <c r="BE194" s="977"/>
      <c r="BF194" s="977"/>
      <c r="BG194" s="977"/>
      <c r="BH194" s="730"/>
    </row>
    <row r="195" spans="1:60" s="19" customFormat="1" x14ac:dyDescent="0.25">
      <c r="A195" s="568" t="s">
        <v>717</v>
      </c>
      <c r="B195" s="756"/>
      <c r="C195" s="977"/>
      <c r="D195" s="977"/>
      <c r="E195" s="977"/>
      <c r="F195" s="977"/>
      <c r="G195" s="978"/>
      <c r="H195" s="978"/>
      <c r="I195" s="978"/>
      <c r="J195" s="978"/>
      <c r="K195" s="977"/>
      <c r="L195" s="978"/>
      <c r="M195" s="978"/>
      <c r="N195" s="978"/>
      <c r="O195" s="978"/>
      <c r="P195" s="977"/>
      <c r="Q195" s="978"/>
      <c r="R195" s="978"/>
      <c r="S195" s="978"/>
      <c r="T195" s="978"/>
      <c r="U195" s="977"/>
      <c r="V195" s="978"/>
      <c r="W195" s="978"/>
      <c r="X195" s="978"/>
      <c r="Y195" s="978"/>
      <c r="Z195" s="977"/>
      <c r="AA195" s="978"/>
      <c r="AB195" s="978"/>
      <c r="AC195" s="978"/>
      <c r="AD195" s="978"/>
      <c r="AE195" s="977"/>
      <c r="AF195" s="978"/>
      <c r="AG195" s="978"/>
      <c r="AH195" s="978"/>
      <c r="AI195" s="978"/>
      <c r="AJ195" s="977"/>
      <c r="AK195" s="981">
        <f>AK172+AK164</f>
        <v>19.613999999999997</v>
      </c>
      <c r="AL195" s="982">
        <f>AL172+AL164</f>
        <v>33.858000000000004</v>
      </c>
      <c r="AM195" s="981">
        <f t="shared" ref="AM195:BG195" si="353">AM188+AM180+AM172+AM164</f>
        <v>1401.5759999999998</v>
      </c>
      <c r="AN195" s="981">
        <f t="shared" si="353"/>
        <v>1538.865</v>
      </c>
      <c r="AO195" s="980">
        <f>SUM(AK195,AL195,AM195,AN195)</f>
        <v>2993.9129999999996</v>
      </c>
      <c r="AP195" s="981">
        <f>AP188+AP180+AP172+AP164</f>
        <v>2173.884</v>
      </c>
      <c r="AQ195" s="982">
        <f t="shared" si="353"/>
        <v>2379.0120000000002</v>
      </c>
      <c r="AR195" s="981">
        <f t="shared" si="353"/>
        <v>2695.1189999999997</v>
      </c>
      <c r="AS195" s="981">
        <f t="shared" si="353"/>
        <v>3251.5530000000003</v>
      </c>
      <c r="AT195" s="980">
        <f>SUM(AP195,AQ195,AR195,AS195)</f>
        <v>10499.568000000001</v>
      </c>
      <c r="AU195" s="981">
        <f>AU188+AU180+AU172+AU164</f>
        <v>3646.0470000000005</v>
      </c>
      <c r="AV195" s="982">
        <f>AV188+AV180+AV172+AV164</f>
        <v>3731.195999999999</v>
      </c>
      <c r="AW195" s="983">
        <f>AW188+AW180+AW172+AW164</f>
        <v>4123.3830000000007</v>
      </c>
      <c r="AX195" s="978">
        <f t="shared" si="353"/>
        <v>4451.8113225000006</v>
      </c>
      <c r="AY195" s="977">
        <f t="shared" ref="AY195:AY196" si="354">SUM(AU195,AV195,AW195,AX195)</f>
        <v>15952.437322500002</v>
      </c>
      <c r="AZ195" s="978">
        <f t="shared" si="353"/>
        <v>4845.937952016001</v>
      </c>
      <c r="BA195" s="978">
        <f t="shared" si="353"/>
        <v>5293.0242392873843</v>
      </c>
      <c r="BB195" s="978">
        <f t="shared" si="353"/>
        <v>5750.40178097434</v>
      </c>
      <c r="BC195" s="978">
        <f t="shared" si="353"/>
        <v>6275.2013741536284</v>
      </c>
      <c r="BD195" s="977">
        <f t="shared" ref="BD195:BD196" si="355">SUM(AZ195,BA195,BB195,BC195)</f>
        <v>22164.565346431351</v>
      </c>
      <c r="BE195" s="977">
        <f t="shared" si="353"/>
        <v>27052.293349274903</v>
      </c>
      <c r="BF195" s="977">
        <f t="shared" si="353"/>
        <v>31955.413727486382</v>
      </c>
      <c r="BG195" s="977">
        <f t="shared" si="353"/>
        <v>37618.941559029954</v>
      </c>
      <c r="BH195" s="730"/>
    </row>
    <row r="196" spans="1:60" s="40" customFormat="1" x14ac:dyDescent="0.25">
      <c r="A196" s="652" t="s">
        <v>719</v>
      </c>
      <c r="B196" s="653"/>
      <c r="C196" s="964"/>
      <c r="D196" s="964"/>
      <c r="E196" s="964"/>
      <c r="F196" s="964"/>
      <c r="G196" s="965"/>
      <c r="H196" s="965"/>
      <c r="I196" s="965"/>
      <c r="J196" s="965"/>
      <c r="K196" s="964"/>
      <c r="L196" s="965"/>
      <c r="M196" s="965"/>
      <c r="N196" s="965"/>
      <c r="O196" s="965"/>
      <c r="P196" s="964"/>
      <c r="Q196" s="965"/>
      <c r="R196" s="965"/>
      <c r="S196" s="965"/>
      <c r="T196" s="965"/>
      <c r="U196" s="964"/>
      <c r="V196" s="965"/>
      <c r="W196" s="965"/>
      <c r="X196" s="965"/>
      <c r="Y196" s="965"/>
      <c r="Z196" s="964"/>
      <c r="AA196" s="965"/>
      <c r="AB196" s="965"/>
      <c r="AC196" s="965"/>
      <c r="AD196" s="965"/>
      <c r="AE196" s="964"/>
      <c r="AF196" s="965"/>
      <c r="AG196" s="965"/>
      <c r="AH196" s="965"/>
      <c r="AI196" s="965"/>
      <c r="AJ196" s="964"/>
      <c r="AK196" s="965">
        <f>+AK195-AK197</f>
        <v>-36.386000000000003</v>
      </c>
      <c r="AL196" s="965">
        <f t="shared" ref="AL196:AN196" si="356">+AL195-AL197</f>
        <v>-186.142</v>
      </c>
      <c r="AM196" s="965">
        <f t="shared" si="356"/>
        <v>-127.42400000000021</v>
      </c>
      <c r="AN196" s="965">
        <f t="shared" si="356"/>
        <v>-3.1349999999999909</v>
      </c>
      <c r="AO196" s="964">
        <f>SUM(AK196,AL196,AM196,AN196)</f>
        <v>-353.08700000000022</v>
      </c>
      <c r="AP196" s="965">
        <f>+AP195-AP197</f>
        <v>148.88400000000001</v>
      </c>
      <c r="AQ196" s="965">
        <f t="shared" ref="AQ196:AS196" si="357">+AQ195-AQ197</f>
        <v>-135.98799999999983</v>
      </c>
      <c r="AR196" s="965">
        <f t="shared" si="357"/>
        <v>-16.881000000000313</v>
      </c>
      <c r="AS196" s="965">
        <f t="shared" si="357"/>
        <v>-48.446999999999662</v>
      </c>
      <c r="AT196" s="964">
        <f>SUM(AP196,AQ196,AR196,AS196)</f>
        <v>-52.431999999999789</v>
      </c>
      <c r="AU196" s="965">
        <f>+AU195-AU197</f>
        <v>142.04700000000048</v>
      </c>
      <c r="AV196" s="965">
        <f>+AV195-AV197</f>
        <v>-267.804000000001</v>
      </c>
      <c r="AW196" s="976">
        <f>+AW195-AW197</f>
        <v>-132.61699999999928</v>
      </c>
      <c r="AX196" s="984">
        <v>0</v>
      </c>
      <c r="AY196" s="964">
        <f t="shared" si="354"/>
        <v>-258.3739999999998</v>
      </c>
      <c r="AZ196" s="984">
        <v>0</v>
      </c>
      <c r="BA196" s="984">
        <v>0</v>
      </c>
      <c r="BB196" s="984">
        <v>0</v>
      </c>
      <c r="BC196" s="984">
        <v>0</v>
      </c>
      <c r="BD196" s="964">
        <f t="shared" si="355"/>
        <v>0</v>
      </c>
      <c r="BE196" s="985">
        <v>0</v>
      </c>
      <c r="BF196" s="985">
        <v>0</v>
      </c>
      <c r="BG196" s="985">
        <v>0</v>
      </c>
      <c r="BH196" s="728"/>
    </row>
    <row r="197" spans="1:60" s="19" customFormat="1" x14ac:dyDescent="0.25">
      <c r="A197" s="643" t="s">
        <v>718</v>
      </c>
      <c r="B197" s="751"/>
      <c r="C197" s="970"/>
      <c r="D197" s="970"/>
      <c r="E197" s="970"/>
      <c r="F197" s="970"/>
      <c r="G197" s="971"/>
      <c r="H197" s="971"/>
      <c r="I197" s="971"/>
      <c r="J197" s="971"/>
      <c r="K197" s="970"/>
      <c r="L197" s="971"/>
      <c r="M197" s="971"/>
      <c r="N197" s="971"/>
      <c r="O197" s="971"/>
      <c r="P197" s="970"/>
      <c r="Q197" s="971"/>
      <c r="R197" s="971"/>
      <c r="S197" s="971"/>
      <c r="T197" s="971"/>
      <c r="U197" s="970"/>
      <c r="V197" s="971"/>
      <c r="W197" s="971"/>
      <c r="X197" s="971"/>
      <c r="Y197" s="971"/>
      <c r="Z197" s="970"/>
      <c r="AA197" s="971"/>
      <c r="AB197" s="971"/>
      <c r="AC197" s="971"/>
      <c r="AD197" s="971"/>
      <c r="AE197" s="970"/>
      <c r="AF197" s="971"/>
      <c r="AG197" s="971"/>
      <c r="AH197" s="971"/>
      <c r="AI197" s="971"/>
      <c r="AJ197" s="970"/>
      <c r="AK197" s="972">
        <v>56</v>
      </c>
      <c r="AL197" s="973">
        <v>220</v>
      </c>
      <c r="AM197" s="972">
        <v>1529</v>
      </c>
      <c r="AN197" s="972">
        <f>AO197-SUM(AK197,AL197,AM197)</f>
        <v>1542</v>
      </c>
      <c r="AO197" s="974">
        <v>3347</v>
      </c>
      <c r="AP197" s="972">
        <f t="shared" ref="AP197:AW197" si="358">AP111</f>
        <v>2025</v>
      </c>
      <c r="AQ197" s="973">
        <f t="shared" si="358"/>
        <v>2515</v>
      </c>
      <c r="AR197" s="972">
        <f t="shared" si="358"/>
        <v>2712</v>
      </c>
      <c r="AS197" s="972">
        <f t="shared" si="358"/>
        <v>3300</v>
      </c>
      <c r="AT197" s="974">
        <f t="shared" si="358"/>
        <v>10552</v>
      </c>
      <c r="AU197" s="972">
        <f t="shared" si="358"/>
        <v>3504</v>
      </c>
      <c r="AV197" s="973">
        <f t="shared" si="358"/>
        <v>3999</v>
      </c>
      <c r="AW197" s="975">
        <f t="shared" si="358"/>
        <v>4256</v>
      </c>
      <c r="AX197" s="971">
        <f t="shared" ref="AX197:BG197" si="359">AX195+AX196</f>
        <v>4451.8113225000006</v>
      </c>
      <c r="AY197" s="970">
        <f t="shared" si="359"/>
        <v>15694.063322500002</v>
      </c>
      <c r="AZ197" s="971">
        <f t="shared" si="359"/>
        <v>4845.937952016001</v>
      </c>
      <c r="BA197" s="971">
        <f t="shared" si="359"/>
        <v>5293.0242392873843</v>
      </c>
      <c r="BB197" s="971">
        <f t="shared" si="359"/>
        <v>5750.40178097434</v>
      </c>
      <c r="BC197" s="971">
        <f t="shared" si="359"/>
        <v>6275.2013741536284</v>
      </c>
      <c r="BD197" s="970">
        <f t="shared" si="359"/>
        <v>22164.565346431351</v>
      </c>
      <c r="BE197" s="970">
        <f t="shared" si="359"/>
        <v>27052.293349274903</v>
      </c>
      <c r="BF197" s="970">
        <f t="shared" si="359"/>
        <v>31955.413727486382</v>
      </c>
      <c r="BG197" s="970">
        <f t="shared" si="359"/>
        <v>37618.941559029954</v>
      </c>
      <c r="BH197" s="730"/>
    </row>
    <row r="198" spans="1:60" s="469" customFormat="1" x14ac:dyDescent="0.25">
      <c r="A198" s="748"/>
      <c r="B198" s="246"/>
      <c r="C198" s="478"/>
      <c r="D198" s="478"/>
      <c r="E198" s="478"/>
      <c r="F198" s="478"/>
      <c r="G198" s="480"/>
      <c r="H198" s="480"/>
      <c r="I198" s="480"/>
      <c r="J198" s="480"/>
      <c r="K198" s="478"/>
      <c r="L198" s="480"/>
      <c r="M198" s="480"/>
      <c r="N198" s="480"/>
      <c r="O198" s="480"/>
      <c r="P198" s="478"/>
      <c r="Q198" s="480"/>
      <c r="R198" s="480"/>
      <c r="S198" s="480"/>
      <c r="T198" s="480"/>
      <c r="U198" s="478"/>
      <c r="V198" s="480"/>
      <c r="W198" s="480"/>
      <c r="X198" s="480"/>
      <c r="Y198" s="480"/>
      <c r="Z198" s="478"/>
      <c r="AA198" s="480"/>
      <c r="AB198" s="480"/>
      <c r="AC198" s="480"/>
      <c r="AD198" s="480"/>
      <c r="AE198" s="478"/>
      <c r="AF198" s="480"/>
      <c r="AG198" s="480"/>
      <c r="AH198" s="480"/>
      <c r="AI198" s="480"/>
      <c r="AJ198" s="478"/>
      <c r="AK198" s="480"/>
      <c r="AL198" s="480"/>
      <c r="AM198" s="480"/>
      <c r="AN198" s="480"/>
      <c r="AO198" s="478"/>
      <c r="AP198" s="480"/>
      <c r="AQ198" s="480"/>
      <c r="AR198" s="480"/>
      <c r="AS198" s="480"/>
      <c r="AT198" s="478"/>
      <c r="AU198" s="480"/>
      <c r="AV198" s="480"/>
      <c r="AW198" s="708"/>
      <c r="AX198" s="480"/>
      <c r="AY198" s="478"/>
      <c r="AZ198" s="480"/>
      <c r="BA198" s="480"/>
      <c r="BB198" s="480"/>
      <c r="BC198" s="480"/>
      <c r="BD198" s="478"/>
      <c r="BE198" s="478"/>
      <c r="BF198" s="478"/>
      <c r="BG198" s="478"/>
      <c r="BH198" s="473"/>
    </row>
    <row r="199" spans="1:60" s="469" customFormat="1" x14ac:dyDescent="0.25">
      <c r="A199" s="685" t="s">
        <v>772</v>
      </c>
      <c r="B199" s="512"/>
      <c r="C199" s="513"/>
      <c r="D199" s="513"/>
      <c r="E199" s="513"/>
      <c r="F199" s="513"/>
      <c r="G199" s="513"/>
      <c r="H199" s="513"/>
      <c r="I199" s="513"/>
      <c r="J199" s="513"/>
      <c r="K199" s="513"/>
      <c r="L199" s="513"/>
      <c r="M199" s="513"/>
      <c r="N199" s="513"/>
      <c r="O199" s="513"/>
      <c r="P199" s="513"/>
      <c r="Q199" s="513"/>
      <c r="R199" s="513"/>
      <c r="S199" s="513"/>
      <c r="T199" s="513"/>
      <c r="U199" s="513"/>
      <c r="V199" s="513"/>
      <c r="W199" s="513"/>
      <c r="X199" s="513"/>
      <c r="Y199" s="513"/>
      <c r="Z199" s="513"/>
      <c r="AA199" s="513"/>
      <c r="AB199" s="513"/>
      <c r="AC199" s="513"/>
      <c r="AD199" s="513"/>
      <c r="AE199" s="513"/>
      <c r="AF199" s="513"/>
      <c r="AG199" s="513"/>
      <c r="AH199" s="513"/>
      <c r="AI199" s="513"/>
      <c r="AJ199" s="513"/>
      <c r="AK199" s="513"/>
      <c r="AL199" s="513"/>
      <c r="AM199" s="513"/>
      <c r="AN199" s="513"/>
      <c r="AO199" s="513"/>
      <c r="AP199" s="513"/>
      <c r="AQ199" s="513"/>
      <c r="AR199" s="513"/>
      <c r="AS199" s="513"/>
      <c r="AT199" s="513"/>
      <c r="AU199" s="513"/>
      <c r="AV199" s="513"/>
      <c r="AW199" s="674"/>
      <c r="AX199" s="513"/>
      <c r="AY199" s="513"/>
      <c r="AZ199" s="513"/>
      <c r="BA199" s="513"/>
      <c r="BB199" s="513"/>
      <c r="BC199" s="513"/>
      <c r="BD199" s="513"/>
      <c r="BE199" s="513"/>
      <c r="BF199" s="513"/>
      <c r="BG199" s="513"/>
      <c r="BH199" s="473"/>
    </row>
    <row r="200" spans="1:60" s="470" customFormat="1" x14ac:dyDescent="0.25">
      <c r="A200" s="483" t="s">
        <v>805</v>
      </c>
      <c r="B200" s="514"/>
      <c r="C200" s="492"/>
      <c r="D200" s="492"/>
      <c r="E200" s="492"/>
      <c r="F200" s="492"/>
      <c r="G200" s="491"/>
      <c r="H200" s="491"/>
      <c r="I200" s="491"/>
      <c r="J200" s="491"/>
      <c r="K200" s="492"/>
      <c r="L200" s="491"/>
      <c r="M200" s="491"/>
      <c r="N200" s="491"/>
      <c r="O200" s="491"/>
      <c r="P200" s="492"/>
      <c r="Q200" s="491"/>
      <c r="R200" s="491"/>
      <c r="S200" s="491"/>
      <c r="T200" s="491"/>
      <c r="U200" s="492"/>
      <c r="V200" s="491"/>
      <c r="W200" s="491"/>
      <c r="X200" s="491"/>
      <c r="Y200" s="491"/>
      <c r="Z200" s="492">
        <v>5900</v>
      </c>
      <c r="AA200" s="491"/>
      <c r="AB200" s="491"/>
      <c r="AC200" s="491"/>
      <c r="AD200" s="491"/>
      <c r="AE200" s="492">
        <v>6504</v>
      </c>
      <c r="AF200" s="491">
        <v>1832</v>
      </c>
      <c r="AG200" s="491">
        <v>1690</v>
      </c>
      <c r="AH200" s="491">
        <v>1834</v>
      </c>
      <c r="AI200" s="491">
        <f>AJ200-SUM(AF200,AG200,AH200)</f>
        <v>1827</v>
      </c>
      <c r="AJ200" s="492">
        <v>7183</v>
      </c>
      <c r="AK200" s="491">
        <v>1933</v>
      </c>
      <c r="AL200" s="491">
        <v>1768</v>
      </c>
      <c r="AM200" s="491">
        <v>1956</v>
      </c>
      <c r="AN200" s="491">
        <f>AO200-SUM(AK200,AL200,AM200)</f>
        <v>1883</v>
      </c>
      <c r="AO200" s="492">
        <v>7540</v>
      </c>
      <c r="AP200" s="490">
        <v>2067</v>
      </c>
      <c r="AQ200" s="497">
        <v>1554</v>
      </c>
      <c r="AR200" s="490">
        <v>34</v>
      </c>
      <c r="AS200" s="490">
        <v>383</v>
      </c>
      <c r="AT200" s="489">
        <f>SUM(AP200,AQ200,AR200,AS200)</f>
        <v>4038</v>
      </c>
      <c r="AU200" s="490">
        <v>549</v>
      </c>
      <c r="AV200" s="497">
        <v>597</v>
      </c>
      <c r="AW200" s="687">
        <v>1152</v>
      </c>
      <c r="AX200" s="491">
        <f>AS200*(1+AX22)</f>
        <v>1532</v>
      </c>
      <c r="AY200" s="492">
        <f>SUM(AU200,AV200,AW200,AX200)</f>
        <v>3830</v>
      </c>
      <c r="AZ200" s="491">
        <f t="shared" ref="AZ200:BC204" si="360">AU200*(1+AZ22)</f>
        <v>1537.1999999999998</v>
      </c>
      <c r="BA200" s="491">
        <f t="shared" si="360"/>
        <v>1492.5</v>
      </c>
      <c r="BB200" s="491">
        <f t="shared" si="360"/>
        <v>2304</v>
      </c>
      <c r="BC200" s="491">
        <f t="shared" si="360"/>
        <v>2298</v>
      </c>
      <c r="BD200" s="492">
        <f>SUM(AZ200,BA200,BB200,BC200)</f>
        <v>7631.7</v>
      </c>
      <c r="BE200" s="492">
        <f t="shared" ref="BE200:BG204" si="361">BD200*(1+BE22)</f>
        <v>8394.8700000000008</v>
      </c>
      <c r="BF200" s="492">
        <f t="shared" si="361"/>
        <v>8646.7161000000015</v>
      </c>
      <c r="BG200" s="492">
        <f t="shared" si="361"/>
        <v>9079.0519050000021</v>
      </c>
      <c r="BH200" s="484"/>
    </row>
    <row r="201" spans="1:60" s="470" customFormat="1" x14ac:dyDescent="0.25">
      <c r="A201" s="483" t="s">
        <v>795</v>
      </c>
      <c r="B201" s="514"/>
      <c r="C201" s="492"/>
      <c r="D201" s="492"/>
      <c r="E201" s="492"/>
      <c r="F201" s="492"/>
      <c r="G201" s="491"/>
      <c r="H201" s="491"/>
      <c r="I201" s="491"/>
      <c r="J201" s="491"/>
      <c r="K201" s="492"/>
      <c r="L201" s="491"/>
      <c r="M201" s="491"/>
      <c r="N201" s="491"/>
      <c r="O201" s="491"/>
      <c r="P201" s="492"/>
      <c r="Q201" s="491"/>
      <c r="R201" s="491"/>
      <c r="S201" s="491"/>
      <c r="T201" s="491"/>
      <c r="U201" s="492"/>
      <c r="V201" s="491"/>
      <c r="W201" s="491"/>
      <c r="X201" s="491"/>
      <c r="Y201" s="491"/>
      <c r="Z201" s="492">
        <v>4690</v>
      </c>
      <c r="AA201" s="491"/>
      <c r="AB201" s="491"/>
      <c r="AC201" s="491"/>
      <c r="AD201" s="491"/>
      <c r="AE201" s="492">
        <v>5154</v>
      </c>
      <c r="AF201" s="491">
        <v>2059</v>
      </c>
      <c r="AG201" s="491">
        <v>1352</v>
      </c>
      <c r="AH201" s="491">
        <v>1442</v>
      </c>
      <c r="AI201" s="491">
        <f t="shared" ref="AI201:AI204" si="362">AJ201-SUM(AF201,AG201,AH201)</f>
        <v>821</v>
      </c>
      <c r="AJ201" s="492">
        <v>5674</v>
      </c>
      <c r="AK201" s="491">
        <v>1565</v>
      </c>
      <c r="AL201" s="491">
        <v>1411</v>
      </c>
      <c r="AM201" s="491">
        <v>1515</v>
      </c>
      <c r="AN201" s="491">
        <f t="shared" ref="AN201:AN209" si="363">AO201-SUM(AK201,AL201,AM201)</f>
        <v>1472</v>
      </c>
      <c r="AO201" s="492">
        <v>5963</v>
      </c>
      <c r="AP201" s="490">
        <v>1691</v>
      </c>
      <c r="AQ201" s="497">
        <v>1276</v>
      </c>
      <c r="AR201" s="490">
        <v>63</v>
      </c>
      <c r="AS201" s="490">
        <v>411</v>
      </c>
      <c r="AT201" s="489">
        <f>SUM(AP201,AQ201,AR201,AS201)</f>
        <v>3441</v>
      </c>
      <c r="AU201" s="490">
        <v>553</v>
      </c>
      <c r="AV201" s="497">
        <v>558</v>
      </c>
      <c r="AW201" s="687">
        <v>914</v>
      </c>
      <c r="AX201" s="491">
        <f>AS201*(1+AX23)</f>
        <v>1438.5</v>
      </c>
      <c r="AY201" s="492">
        <f>SUM(AU201,AV201,AW201,AX201)</f>
        <v>3463.5</v>
      </c>
      <c r="AZ201" s="491">
        <f t="shared" si="360"/>
        <v>1437.8</v>
      </c>
      <c r="BA201" s="491">
        <f t="shared" si="360"/>
        <v>1283.3999999999999</v>
      </c>
      <c r="BB201" s="491">
        <f t="shared" si="360"/>
        <v>1371</v>
      </c>
      <c r="BC201" s="491">
        <f t="shared" si="360"/>
        <v>1582.3500000000001</v>
      </c>
      <c r="BD201" s="492">
        <f>SUM(AZ201,BA201,BB201,BC201)</f>
        <v>5674.55</v>
      </c>
      <c r="BE201" s="492">
        <f t="shared" si="361"/>
        <v>6242.005000000001</v>
      </c>
      <c r="BF201" s="492">
        <f t="shared" si="361"/>
        <v>6554.1052500000014</v>
      </c>
      <c r="BG201" s="492">
        <f t="shared" si="361"/>
        <v>6881.810512500002</v>
      </c>
      <c r="BH201" s="484"/>
    </row>
    <row r="202" spans="1:60" s="470" customFormat="1" x14ac:dyDescent="0.25">
      <c r="A202" s="483" t="s">
        <v>796</v>
      </c>
      <c r="B202" s="514"/>
      <c r="C202" s="492"/>
      <c r="D202" s="492"/>
      <c r="E202" s="492"/>
      <c r="F202" s="492"/>
      <c r="G202" s="491"/>
      <c r="H202" s="491"/>
      <c r="I202" s="491"/>
      <c r="J202" s="491"/>
      <c r="K202" s="492"/>
      <c r="L202" s="491"/>
      <c r="M202" s="491"/>
      <c r="N202" s="491"/>
      <c r="O202" s="491"/>
      <c r="P202" s="492"/>
      <c r="Q202" s="491"/>
      <c r="R202" s="491"/>
      <c r="S202" s="491"/>
      <c r="T202" s="491"/>
      <c r="U202" s="492"/>
      <c r="V202" s="491"/>
      <c r="W202" s="491"/>
      <c r="X202" s="491"/>
      <c r="Y202" s="491"/>
      <c r="Z202" s="492">
        <v>5088</v>
      </c>
      <c r="AA202" s="491"/>
      <c r="AB202" s="491"/>
      <c r="AC202" s="491"/>
      <c r="AD202" s="491"/>
      <c r="AE202" s="492">
        <v>5378</v>
      </c>
      <c r="AF202" s="491">
        <v>1463</v>
      </c>
      <c r="AG202" s="491">
        <v>1461</v>
      </c>
      <c r="AH202" s="491">
        <v>1530</v>
      </c>
      <c r="AI202" s="491">
        <f t="shared" si="362"/>
        <v>1484</v>
      </c>
      <c r="AJ202" s="492">
        <v>5938</v>
      </c>
      <c r="AK202" s="491">
        <v>1531</v>
      </c>
      <c r="AL202" s="491">
        <v>1503</v>
      </c>
      <c r="AM202" s="491">
        <v>1610</v>
      </c>
      <c r="AN202" s="491">
        <f t="shared" si="363"/>
        <v>1622</v>
      </c>
      <c r="AO202" s="492">
        <v>6266</v>
      </c>
      <c r="AP202" s="490">
        <v>1631</v>
      </c>
      <c r="AQ202" s="497">
        <v>1377</v>
      </c>
      <c r="AR202" s="490">
        <v>80</v>
      </c>
      <c r="AS202" s="490">
        <v>314</v>
      </c>
      <c r="AT202" s="489">
        <f>SUM(AP202,AQ202,AR202,AS202)</f>
        <v>3402</v>
      </c>
      <c r="AU202" s="490">
        <v>433</v>
      </c>
      <c r="AV202" s="497">
        <v>513</v>
      </c>
      <c r="AW202" s="687">
        <v>776</v>
      </c>
      <c r="AX202" s="491">
        <f>AS202*(1+AX24)</f>
        <v>1256</v>
      </c>
      <c r="AY202" s="492">
        <f>SUM(AU202,AV202,AW202,AX202)</f>
        <v>2978</v>
      </c>
      <c r="AZ202" s="491">
        <f t="shared" si="360"/>
        <v>1082.5</v>
      </c>
      <c r="BA202" s="491">
        <f t="shared" si="360"/>
        <v>974.69999999999993</v>
      </c>
      <c r="BB202" s="491">
        <f t="shared" si="360"/>
        <v>1125.2</v>
      </c>
      <c r="BC202" s="491">
        <f t="shared" si="360"/>
        <v>1507.2</v>
      </c>
      <c r="BD202" s="492">
        <f>SUM(AZ202,BA202,BB202,BC202)</f>
        <v>4689.5999999999995</v>
      </c>
      <c r="BE202" s="492">
        <f t="shared" si="361"/>
        <v>5158.5599999999995</v>
      </c>
      <c r="BF202" s="492">
        <f t="shared" si="361"/>
        <v>5416.4879999999994</v>
      </c>
      <c r="BG202" s="492">
        <f t="shared" si="361"/>
        <v>5687.3123999999998</v>
      </c>
      <c r="BH202" s="484"/>
    </row>
    <row r="203" spans="1:60" s="470" customFormat="1" x14ac:dyDescent="0.25">
      <c r="A203" s="483" t="s">
        <v>797</v>
      </c>
      <c r="B203" s="514"/>
      <c r="C203" s="492"/>
      <c r="D203" s="492"/>
      <c r="E203" s="492"/>
      <c r="F203" s="492"/>
      <c r="G203" s="491"/>
      <c r="H203" s="491"/>
      <c r="I203" s="491"/>
      <c r="J203" s="491"/>
      <c r="K203" s="492"/>
      <c r="L203" s="491"/>
      <c r="M203" s="491"/>
      <c r="N203" s="491"/>
      <c r="O203" s="491"/>
      <c r="P203" s="492"/>
      <c r="Q203" s="491"/>
      <c r="R203" s="491"/>
      <c r="S203" s="491"/>
      <c r="T203" s="491"/>
      <c r="U203" s="492"/>
      <c r="V203" s="491"/>
      <c r="W203" s="491"/>
      <c r="X203" s="491"/>
      <c r="Y203" s="491"/>
      <c r="Z203" s="492">
        <f>5214+740</f>
        <v>5954</v>
      </c>
      <c r="AA203" s="491"/>
      <c r="AB203" s="491"/>
      <c r="AC203" s="491"/>
      <c r="AD203" s="491"/>
      <c r="AE203" s="492">
        <f>4494+492</f>
        <v>4986</v>
      </c>
      <c r="AF203" s="491">
        <f>776+171</f>
        <v>947</v>
      </c>
      <c r="AG203" s="491">
        <f>980+136</f>
        <v>1116</v>
      </c>
      <c r="AH203" s="491">
        <f>918+119</f>
        <v>1037</v>
      </c>
      <c r="AI203" s="491">
        <f t="shared" si="362"/>
        <v>1705</v>
      </c>
      <c r="AJ203" s="492">
        <f>4249+556</f>
        <v>4805</v>
      </c>
      <c r="AK203" s="491">
        <f>1300+154</f>
        <v>1454</v>
      </c>
      <c r="AL203" s="491">
        <f>992+126</f>
        <v>1118</v>
      </c>
      <c r="AM203" s="491">
        <f>993+126</f>
        <v>1119</v>
      </c>
      <c r="AN203" s="491">
        <f t="shared" si="363"/>
        <v>1389</v>
      </c>
      <c r="AO203" s="492">
        <f>4519+561</f>
        <v>5080</v>
      </c>
      <c r="AP203" s="490">
        <v>1669</v>
      </c>
      <c r="AQ203" s="497">
        <v>1017</v>
      </c>
      <c r="AR203" s="490">
        <v>721</v>
      </c>
      <c r="AS203" s="490">
        <v>1314</v>
      </c>
      <c r="AT203" s="489">
        <f>SUM(AP203,AQ203,AR203,AS203)</f>
        <v>4721</v>
      </c>
      <c r="AU203" s="490">
        <v>1698</v>
      </c>
      <c r="AV203" s="497">
        <v>1145</v>
      </c>
      <c r="AW203" s="687">
        <v>1137</v>
      </c>
      <c r="AX203" s="491">
        <f>AS203*(1+AX25)</f>
        <v>1445.4</v>
      </c>
      <c r="AY203" s="492">
        <f>SUM(AU203,AV203,AW203,AX203)</f>
        <v>5425.4</v>
      </c>
      <c r="AZ203" s="491">
        <f t="shared" si="360"/>
        <v>1867.8000000000002</v>
      </c>
      <c r="BA203" s="491">
        <f t="shared" si="360"/>
        <v>1259.5</v>
      </c>
      <c r="BB203" s="491">
        <f t="shared" si="360"/>
        <v>1250.7</v>
      </c>
      <c r="BC203" s="491">
        <f t="shared" si="360"/>
        <v>1589.9400000000003</v>
      </c>
      <c r="BD203" s="492">
        <f>SUM(AZ203,BA203,BB203,BC203)</f>
        <v>5967.9400000000005</v>
      </c>
      <c r="BE203" s="492">
        <f t="shared" si="361"/>
        <v>6266.3370000000004</v>
      </c>
      <c r="BF203" s="492">
        <f t="shared" si="361"/>
        <v>6579.6538500000006</v>
      </c>
      <c r="BG203" s="492">
        <f t="shared" si="361"/>
        <v>6908.6365425000013</v>
      </c>
      <c r="BH203" s="484"/>
    </row>
    <row r="204" spans="1:60" s="470" customFormat="1" x14ac:dyDescent="0.25">
      <c r="A204" s="218" t="s">
        <v>798</v>
      </c>
      <c r="B204" s="573"/>
      <c r="C204" s="322"/>
      <c r="D204" s="322"/>
      <c r="E204" s="322"/>
      <c r="F204" s="322"/>
      <c r="G204" s="321"/>
      <c r="H204" s="321"/>
      <c r="I204" s="321"/>
      <c r="J204" s="321"/>
      <c r="K204" s="322"/>
      <c r="L204" s="321"/>
      <c r="M204" s="321"/>
      <c r="N204" s="321"/>
      <c r="O204" s="321"/>
      <c r="P204" s="322"/>
      <c r="Q204" s="321"/>
      <c r="R204" s="321"/>
      <c r="S204" s="321"/>
      <c r="T204" s="321"/>
      <c r="U204" s="322"/>
      <c r="V204" s="321"/>
      <c r="W204" s="321"/>
      <c r="X204" s="321"/>
      <c r="Y204" s="321"/>
      <c r="Z204" s="322">
        <v>1366</v>
      </c>
      <c r="AA204" s="321"/>
      <c r="AB204" s="321"/>
      <c r="AC204" s="321"/>
      <c r="AD204" s="321"/>
      <c r="AE204" s="322">
        <v>1494</v>
      </c>
      <c r="AF204" s="321">
        <v>395</v>
      </c>
      <c r="AG204" s="321">
        <v>420</v>
      </c>
      <c r="AH204" s="321">
        <v>412</v>
      </c>
      <c r="AI204" s="321">
        <f t="shared" si="362"/>
        <v>430</v>
      </c>
      <c r="AJ204" s="322">
        <v>1657</v>
      </c>
      <c r="AK204" s="321">
        <v>495</v>
      </c>
      <c r="AL204" s="321">
        <v>497</v>
      </c>
      <c r="AM204" s="321">
        <v>501</v>
      </c>
      <c r="AN204" s="321">
        <f t="shared" si="363"/>
        <v>444</v>
      </c>
      <c r="AO204" s="322">
        <v>1937</v>
      </c>
      <c r="AP204" s="319">
        <v>522</v>
      </c>
      <c r="AQ204" s="320">
        <v>436</v>
      </c>
      <c r="AR204" s="319">
        <v>167</v>
      </c>
      <c r="AS204" s="319">
        <v>311</v>
      </c>
      <c r="AT204" s="318">
        <f>SUM(AP204,AQ204,AR204,AS204)</f>
        <v>1436</v>
      </c>
      <c r="AU204" s="319">
        <v>355</v>
      </c>
      <c r="AV204" s="320">
        <v>360</v>
      </c>
      <c r="AW204" s="688">
        <v>362</v>
      </c>
      <c r="AX204" s="321">
        <f>AS204*(1+AX26)</f>
        <v>528.69999999999993</v>
      </c>
      <c r="AY204" s="322">
        <f>SUM(AU204,AV204,AW204,AX204)</f>
        <v>1605.6999999999998</v>
      </c>
      <c r="AZ204" s="321">
        <f t="shared" si="360"/>
        <v>390.50000000000006</v>
      </c>
      <c r="BA204" s="321">
        <f t="shared" si="360"/>
        <v>396.00000000000006</v>
      </c>
      <c r="BB204" s="321">
        <f t="shared" si="360"/>
        <v>398.20000000000005</v>
      </c>
      <c r="BC204" s="321">
        <f t="shared" si="360"/>
        <v>581.56999999999994</v>
      </c>
      <c r="BD204" s="322">
        <f>SUM(AZ204,BA204,BB204,BC204)</f>
        <v>1766.2700000000002</v>
      </c>
      <c r="BE204" s="322">
        <f t="shared" si="361"/>
        <v>1854.5835000000002</v>
      </c>
      <c r="BF204" s="322">
        <f t="shared" si="361"/>
        <v>1947.3126750000004</v>
      </c>
      <c r="BG204" s="322">
        <f t="shared" si="361"/>
        <v>2044.6783087500005</v>
      </c>
      <c r="BH204" s="484"/>
    </row>
    <row r="205" spans="1:60" s="498" customFormat="1" x14ac:dyDescent="0.25">
      <c r="A205" s="501" t="s">
        <v>799</v>
      </c>
      <c r="B205" s="264"/>
      <c r="C205" s="506"/>
      <c r="D205" s="506"/>
      <c r="E205" s="506"/>
      <c r="F205" s="506"/>
      <c r="G205" s="505"/>
      <c r="H205" s="505"/>
      <c r="I205" s="505"/>
      <c r="J205" s="505"/>
      <c r="K205" s="506"/>
      <c r="L205" s="505"/>
      <c r="M205" s="505"/>
      <c r="N205" s="505"/>
      <c r="O205" s="505"/>
      <c r="P205" s="506"/>
      <c r="Q205" s="505"/>
      <c r="R205" s="505"/>
      <c r="S205" s="505"/>
      <c r="T205" s="505"/>
      <c r="U205" s="506"/>
      <c r="V205" s="505"/>
      <c r="W205" s="505"/>
      <c r="X205" s="505"/>
      <c r="Y205" s="505"/>
      <c r="Z205" s="506">
        <f t="shared" ref="Z205" si="364">SUM(Z200:Z204)</f>
        <v>22998</v>
      </c>
      <c r="AA205" s="505"/>
      <c r="AB205" s="505"/>
      <c r="AC205" s="505"/>
      <c r="AD205" s="505"/>
      <c r="AE205" s="506">
        <f t="shared" ref="AE205:AO205" si="365">SUM(AE200:AE204)</f>
        <v>23516</v>
      </c>
      <c r="AF205" s="503">
        <f t="shared" si="365"/>
        <v>6696</v>
      </c>
      <c r="AG205" s="503">
        <f t="shared" si="365"/>
        <v>6039</v>
      </c>
      <c r="AH205" s="503">
        <f t="shared" si="365"/>
        <v>6255</v>
      </c>
      <c r="AI205" s="503">
        <f t="shared" ref="AI205" si="366">SUM(AI200:AI204)</f>
        <v>6267</v>
      </c>
      <c r="AJ205" s="506">
        <f t="shared" si="365"/>
        <v>25257</v>
      </c>
      <c r="AK205" s="503">
        <f t="shared" si="365"/>
        <v>6978</v>
      </c>
      <c r="AL205" s="503">
        <f t="shared" si="365"/>
        <v>6297</v>
      </c>
      <c r="AM205" s="503">
        <f t="shared" si="365"/>
        <v>6701</v>
      </c>
      <c r="AN205" s="503">
        <f t="shared" si="365"/>
        <v>6810</v>
      </c>
      <c r="AO205" s="506">
        <f t="shared" si="365"/>
        <v>26786</v>
      </c>
      <c r="AP205" s="503">
        <f>SUM(AP200:AP204)</f>
        <v>7580</v>
      </c>
      <c r="AQ205" s="504">
        <f t="shared" ref="AQ205:AU205" si="367">SUM(AQ200:AQ204)</f>
        <v>5660</v>
      </c>
      <c r="AR205" s="503">
        <f t="shared" si="367"/>
        <v>1065</v>
      </c>
      <c r="AS205" s="503">
        <f t="shared" si="367"/>
        <v>2733</v>
      </c>
      <c r="AT205" s="502">
        <f t="shared" si="367"/>
        <v>17038</v>
      </c>
      <c r="AU205" s="503">
        <f t="shared" si="367"/>
        <v>3588</v>
      </c>
      <c r="AV205" s="504">
        <f t="shared" ref="AV205:AW205" si="368">SUM(AV200:AV204)</f>
        <v>3173</v>
      </c>
      <c r="AW205" s="689">
        <f t="shared" si="368"/>
        <v>4341</v>
      </c>
      <c r="AX205" s="505">
        <f t="shared" ref="AX205" si="369">SUM(AX200:AX204)</f>
        <v>6200.5999999999995</v>
      </c>
      <c r="AY205" s="506">
        <f t="shared" ref="AY205" si="370">SUM(AY200:AY204)</f>
        <v>17302.599999999999</v>
      </c>
      <c r="AZ205" s="505">
        <f t="shared" ref="AZ205" si="371">SUM(AZ200:AZ204)</f>
        <v>6315.8</v>
      </c>
      <c r="BA205" s="505">
        <f t="shared" ref="BA205" si="372">SUM(BA200:BA204)</f>
        <v>5406.0999999999995</v>
      </c>
      <c r="BB205" s="505">
        <f t="shared" ref="BB205" si="373">SUM(BB200:BB204)</f>
        <v>6449.0999999999995</v>
      </c>
      <c r="BC205" s="505">
        <f t="shared" ref="BC205" si="374">SUM(BC200:BC204)</f>
        <v>7559.06</v>
      </c>
      <c r="BD205" s="506">
        <f t="shared" ref="BD205" si="375">SUM(BD200:BD204)</f>
        <v>25730.06</v>
      </c>
      <c r="BE205" s="506">
        <f t="shared" ref="BE205" si="376">SUM(BE200:BE204)</f>
        <v>27916.355500000001</v>
      </c>
      <c r="BF205" s="506">
        <f t="shared" ref="BF205" si="377">SUM(BF200:BF204)</f>
        <v>29144.275875000007</v>
      </c>
      <c r="BG205" s="506">
        <f t="shared" ref="BG205" si="378">SUM(BG200:BG204)</f>
        <v>30601.489668750004</v>
      </c>
      <c r="BH205" s="499"/>
    </row>
    <row r="206" spans="1:60" s="470" customFormat="1" x14ac:dyDescent="0.25">
      <c r="A206" s="483" t="s">
        <v>800</v>
      </c>
      <c r="B206" s="514"/>
      <c r="C206" s="492"/>
      <c r="D206" s="492"/>
      <c r="E206" s="492"/>
      <c r="F206" s="492"/>
      <c r="G206" s="491"/>
      <c r="H206" s="491"/>
      <c r="I206" s="491"/>
      <c r="J206" s="491"/>
      <c r="K206" s="492"/>
      <c r="L206" s="491"/>
      <c r="M206" s="491"/>
      <c r="N206" s="491"/>
      <c r="O206" s="491"/>
      <c r="P206" s="492"/>
      <c r="Q206" s="491"/>
      <c r="R206" s="491"/>
      <c r="S206" s="491"/>
      <c r="T206" s="491"/>
      <c r="U206" s="492"/>
      <c r="V206" s="491"/>
      <c r="W206" s="491"/>
      <c r="X206" s="491"/>
      <c r="Y206" s="491"/>
      <c r="Z206" s="492">
        <v>12176</v>
      </c>
      <c r="AA206" s="491"/>
      <c r="AB206" s="491"/>
      <c r="AC206" s="491"/>
      <c r="AD206" s="491"/>
      <c r="AE206" s="492">
        <v>12455</v>
      </c>
      <c r="AF206" s="491">
        <v>3329</v>
      </c>
      <c r="AG206" s="491">
        <v>3245</v>
      </c>
      <c r="AH206" s="491">
        <v>3189</v>
      </c>
      <c r="AI206" s="491">
        <f t="shared" ref="AI206:AI209" si="379">AJ206-SUM(AF206,AG206,AH206)</f>
        <v>3563</v>
      </c>
      <c r="AJ206" s="492">
        <v>13326</v>
      </c>
      <c r="AK206" s="491">
        <v>3406</v>
      </c>
      <c r="AL206" s="491">
        <v>3341</v>
      </c>
      <c r="AM206" s="491">
        <v>3482</v>
      </c>
      <c r="AN206" s="491">
        <f t="shared" si="363"/>
        <v>3786</v>
      </c>
      <c r="AO206" s="492">
        <v>14015</v>
      </c>
      <c r="AP206" s="490">
        <v>3703</v>
      </c>
      <c r="AQ206" s="497">
        <v>3555</v>
      </c>
      <c r="AR206" s="490">
        <v>1801</v>
      </c>
      <c r="AS206" s="490">
        <v>2426</v>
      </c>
      <c r="AT206" s="489">
        <f>SUM(AP206,AQ206,AR206,AS206)</f>
        <v>11485</v>
      </c>
      <c r="AU206" s="490">
        <v>2430</v>
      </c>
      <c r="AV206" s="497">
        <v>2308</v>
      </c>
      <c r="AW206" s="687">
        <v>2718</v>
      </c>
      <c r="AX206" s="491">
        <f>AX205*AX212</f>
        <v>3596.3479999999995</v>
      </c>
      <c r="AY206" s="492">
        <f>SUM(AU206,AV206,AW206,AX206)</f>
        <v>11052.348</v>
      </c>
      <c r="AZ206" s="491">
        <f>AZ205*AZ212</f>
        <v>3157.9</v>
      </c>
      <c r="BA206" s="491">
        <f>BA205*BA212</f>
        <v>2811.172</v>
      </c>
      <c r="BB206" s="491">
        <f>BB205*BB212</f>
        <v>3353.5319999999997</v>
      </c>
      <c r="BC206" s="491">
        <f>BC205*BC212</f>
        <v>3930.7112000000002</v>
      </c>
      <c r="BD206" s="492">
        <f>SUM(AZ206,BA206,BB206,BC206)</f>
        <v>13253.315199999999</v>
      </c>
      <c r="BE206" s="492">
        <f>BE205*BE212</f>
        <v>13958.177750000001</v>
      </c>
      <c r="BF206" s="492">
        <f>BF205*BF212</f>
        <v>14572.137937500003</v>
      </c>
      <c r="BG206" s="492">
        <f>BG205*BG212</f>
        <v>15300.744834375002</v>
      </c>
      <c r="BH206" s="484"/>
    </row>
    <row r="207" spans="1:60" s="470" customFormat="1" x14ac:dyDescent="0.25">
      <c r="A207" s="483" t="s">
        <v>801</v>
      </c>
      <c r="B207" s="514"/>
      <c r="C207" s="492"/>
      <c r="D207" s="492"/>
      <c r="E207" s="492"/>
      <c r="F207" s="492"/>
      <c r="G207" s="491"/>
      <c r="H207" s="491"/>
      <c r="I207" s="491"/>
      <c r="J207" s="491"/>
      <c r="K207" s="492"/>
      <c r="L207" s="491"/>
      <c r="M207" s="491"/>
      <c r="N207" s="491"/>
      <c r="O207" s="491"/>
      <c r="P207" s="492"/>
      <c r="Q207" s="491"/>
      <c r="R207" s="491"/>
      <c r="S207" s="491"/>
      <c r="T207" s="491"/>
      <c r="U207" s="492"/>
      <c r="V207" s="491"/>
      <c r="W207" s="491"/>
      <c r="X207" s="491"/>
      <c r="Y207" s="491"/>
      <c r="Z207" s="492">
        <v>2992</v>
      </c>
      <c r="AA207" s="491"/>
      <c r="AB207" s="491"/>
      <c r="AC207" s="491"/>
      <c r="AD207" s="491"/>
      <c r="AE207" s="492">
        <v>2896</v>
      </c>
      <c r="AF207" s="491">
        <v>665</v>
      </c>
      <c r="AG207" s="491">
        <v>765</v>
      </c>
      <c r="AH207" s="491">
        <v>718</v>
      </c>
      <c r="AI207" s="491">
        <f t="shared" si="379"/>
        <v>782</v>
      </c>
      <c r="AJ207" s="492">
        <v>2930</v>
      </c>
      <c r="AK207" s="491">
        <v>689</v>
      </c>
      <c r="AL207" s="491">
        <v>748</v>
      </c>
      <c r="AM207" s="491">
        <v>800</v>
      </c>
      <c r="AN207" s="491">
        <f t="shared" si="363"/>
        <v>896</v>
      </c>
      <c r="AO207" s="492">
        <v>3133</v>
      </c>
      <c r="AP207" s="490">
        <v>758</v>
      </c>
      <c r="AQ207" s="497">
        <v>733</v>
      </c>
      <c r="AR207" s="490">
        <v>507</v>
      </c>
      <c r="AS207" s="490">
        <v>644</v>
      </c>
      <c r="AT207" s="489">
        <f>SUM(AP207,AQ207,AR207,AS207)</f>
        <v>2642</v>
      </c>
      <c r="AU207" s="490">
        <v>678</v>
      </c>
      <c r="AV207" s="497">
        <v>660</v>
      </c>
      <c r="AW207" s="687">
        <v>674</v>
      </c>
      <c r="AX207" s="491">
        <f>AX205*AX213</f>
        <v>620.05999999999995</v>
      </c>
      <c r="AY207" s="492">
        <f>SUM(AU207,AV207,AW207,AX207)</f>
        <v>2632.06</v>
      </c>
      <c r="AZ207" s="491">
        <f>AZ205*AZ213</f>
        <v>631.58000000000004</v>
      </c>
      <c r="BA207" s="491">
        <f>BA205*BA213</f>
        <v>540.61</v>
      </c>
      <c r="BB207" s="491">
        <f>BB205*BB213</f>
        <v>644.91</v>
      </c>
      <c r="BC207" s="491">
        <f>BC205*BC213</f>
        <v>755.90600000000006</v>
      </c>
      <c r="BD207" s="492">
        <f>SUM(AZ207,BA207,BB207,BC207)</f>
        <v>2573.0059999999999</v>
      </c>
      <c r="BE207" s="492">
        <f>BE205*BE213</f>
        <v>2791.6355500000004</v>
      </c>
      <c r="BF207" s="492">
        <f>BF205*BF213</f>
        <v>2914.4275875000008</v>
      </c>
      <c r="BG207" s="492">
        <f>BG205*BG213</f>
        <v>3060.1489668750005</v>
      </c>
      <c r="BH207" s="484"/>
    </row>
    <row r="208" spans="1:60" s="470" customFormat="1" x14ac:dyDescent="0.25">
      <c r="A208" s="483" t="s">
        <v>802</v>
      </c>
      <c r="B208" s="514"/>
      <c r="C208" s="492"/>
      <c r="D208" s="492"/>
      <c r="E208" s="492"/>
      <c r="F208" s="492"/>
      <c r="G208" s="491"/>
      <c r="H208" s="491"/>
      <c r="I208" s="491"/>
      <c r="J208" s="491"/>
      <c r="K208" s="492"/>
      <c r="L208" s="491"/>
      <c r="M208" s="491"/>
      <c r="N208" s="491"/>
      <c r="O208" s="491"/>
      <c r="P208" s="492"/>
      <c r="Q208" s="491"/>
      <c r="R208" s="491"/>
      <c r="S208" s="491"/>
      <c r="T208" s="491"/>
      <c r="U208" s="492"/>
      <c r="V208" s="491"/>
      <c r="W208" s="491"/>
      <c r="X208" s="491"/>
      <c r="Y208" s="491"/>
      <c r="Z208" s="492">
        <v>1889</v>
      </c>
      <c r="AA208" s="491"/>
      <c r="AB208" s="491"/>
      <c r="AC208" s="491"/>
      <c r="AD208" s="491"/>
      <c r="AE208" s="492">
        <v>2161</v>
      </c>
      <c r="AF208" s="491">
        <v>572</v>
      </c>
      <c r="AG208" s="491">
        <v>577</v>
      </c>
      <c r="AH208" s="491">
        <v>568</v>
      </c>
      <c r="AI208" s="491">
        <f t="shared" si="379"/>
        <v>610</v>
      </c>
      <c r="AJ208" s="492">
        <v>2327</v>
      </c>
      <c r="AK208" s="491">
        <v>565</v>
      </c>
      <c r="AL208" s="491">
        <v>576</v>
      </c>
      <c r="AM208" s="491">
        <v>574</v>
      </c>
      <c r="AN208" s="491">
        <f t="shared" si="363"/>
        <v>591</v>
      </c>
      <c r="AO208" s="492">
        <v>2306</v>
      </c>
      <c r="AP208" s="490">
        <v>594</v>
      </c>
      <c r="AQ208" s="497">
        <v>610</v>
      </c>
      <c r="AR208" s="490">
        <v>629</v>
      </c>
      <c r="AS208" s="490">
        <v>604</v>
      </c>
      <c r="AT208" s="489">
        <f>SUM(AP208,AQ208,AR208,AS208)</f>
        <v>2437</v>
      </c>
      <c r="AU208" s="490">
        <v>591</v>
      </c>
      <c r="AV208" s="497">
        <v>602</v>
      </c>
      <c r="AW208" s="687">
        <v>588</v>
      </c>
      <c r="AX208" s="496">
        <v>600</v>
      </c>
      <c r="AY208" s="492">
        <f>SUM(AU208,AV208,AW208,AX208)</f>
        <v>2381</v>
      </c>
      <c r="AZ208" s="496">
        <v>600</v>
      </c>
      <c r="BA208" s="496">
        <v>600</v>
      </c>
      <c r="BB208" s="496">
        <v>600</v>
      </c>
      <c r="BC208" s="496">
        <v>600</v>
      </c>
      <c r="BD208" s="492">
        <f>SUM(AZ208,BA208,BB208,BC208)</f>
        <v>2400</v>
      </c>
      <c r="BE208" s="361">
        <v>2300</v>
      </c>
      <c r="BF208" s="361">
        <v>2300</v>
      </c>
      <c r="BG208" s="361">
        <v>2300</v>
      </c>
      <c r="BH208" s="484"/>
    </row>
    <row r="209" spans="1:60" s="470" customFormat="1" x14ac:dyDescent="0.25">
      <c r="A209" s="218" t="s">
        <v>803</v>
      </c>
      <c r="B209" s="573"/>
      <c r="C209" s="322"/>
      <c r="D209" s="322"/>
      <c r="E209" s="322"/>
      <c r="F209" s="322"/>
      <c r="G209" s="321"/>
      <c r="H209" s="321"/>
      <c r="I209" s="321"/>
      <c r="J209" s="321"/>
      <c r="K209" s="322"/>
      <c r="L209" s="321"/>
      <c r="M209" s="321"/>
      <c r="N209" s="321"/>
      <c r="O209" s="321"/>
      <c r="P209" s="322"/>
      <c r="Q209" s="321"/>
      <c r="R209" s="321"/>
      <c r="S209" s="321"/>
      <c r="T209" s="321"/>
      <c r="U209" s="322"/>
      <c r="V209" s="321"/>
      <c r="W209" s="321"/>
      <c r="X209" s="321"/>
      <c r="Y209" s="321"/>
      <c r="Z209" s="322">
        <v>3</v>
      </c>
      <c r="AA209" s="321"/>
      <c r="AB209" s="321"/>
      <c r="AC209" s="321"/>
      <c r="AD209" s="321"/>
      <c r="AE209" s="322">
        <v>25</v>
      </c>
      <c r="AF209" s="321">
        <v>7</v>
      </c>
      <c r="AG209" s="321">
        <v>7</v>
      </c>
      <c r="AH209" s="321">
        <v>-5</v>
      </c>
      <c r="AI209" s="321">
        <f t="shared" si="379"/>
        <v>14</v>
      </c>
      <c r="AJ209" s="322">
        <v>23</v>
      </c>
      <c r="AK209" s="321">
        <v>12</v>
      </c>
      <c r="AL209" s="321">
        <v>0</v>
      </c>
      <c r="AM209" s="321">
        <v>0</v>
      </c>
      <c r="AN209" s="321">
        <f t="shared" si="363"/>
        <v>1</v>
      </c>
      <c r="AO209" s="322">
        <v>13</v>
      </c>
      <c r="AP209" s="319">
        <v>3</v>
      </c>
      <c r="AQ209" s="320">
        <v>6</v>
      </c>
      <c r="AR209" s="319">
        <v>6</v>
      </c>
      <c r="AS209" s="319">
        <v>4</v>
      </c>
      <c r="AT209" s="318">
        <f>SUM(AP209,AQ209,AR209,AS209)</f>
        <v>19</v>
      </c>
      <c r="AU209" s="319">
        <v>8</v>
      </c>
      <c r="AV209" s="320">
        <v>9</v>
      </c>
      <c r="AW209" s="688">
        <v>5</v>
      </c>
      <c r="AX209" s="360">
        <v>6</v>
      </c>
      <c r="AY209" s="322">
        <f>SUM(AU209,AV209,AW209,AX209)</f>
        <v>28</v>
      </c>
      <c r="AZ209" s="360">
        <v>6</v>
      </c>
      <c r="BA209" s="360">
        <v>6</v>
      </c>
      <c r="BB209" s="360">
        <v>6</v>
      </c>
      <c r="BC209" s="360">
        <v>6</v>
      </c>
      <c r="BD209" s="322">
        <f>SUM(AZ209,BA209,BB209,BC209)</f>
        <v>24</v>
      </c>
      <c r="BE209" s="362">
        <v>24</v>
      </c>
      <c r="BF209" s="362">
        <v>24</v>
      </c>
      <c r="BG209" s="362">
        <v>24</v>
      </c>
      <c r="BH209" s="484"/>
    </row>
    <row r="210" spans="1:60" s="498" customFormat="1" x14ac:dyDescent="0.25">
      <c r="A210" s="501" t="s">
        <v>804</v>
      </c>
      <c r="B210" s="264"/>
      <c r="C210" s="506"/>
      <c r="D210" s="506"/>
      <c r="E210" s="506"/>
      <c r="F210" s="506"/>
      <c r="G210" s="505"/>
      <c r="H210" s="505"/>
      <c r="I210" s="505"/>
      <c r="J210" s="505"/>
      <c r="K210" s="506"/>
      <c r="L210" s="505"/>
      <c r="M210" s="505"/>
      <c r="N210" s="505"/>
      <c r="O210" s="505"/>
      <c r="P210" s="506"/>
      <c r="Q210" s="505"/>
      <c r="R210" s="505"/>
      <c r="S210" s="505"/>
      <c r="T210" s="505"/>
      <c r="U210" s="506"/>
      <c r="V210" s="505"/>
      <c r="W210" s="505"/>
      <c r="X210" s="505"/>
      <c r="Y210" s="505"/>
      <c r="Z210" s="506">
        <f t="shared" ref="Z210" si="380">Z205-SUM(Z206:Z209)</f>
        <v>5938</v>
      </c>
      <c r="AA210" s="505"/>
      <c r="AB210" s="505"/>
      <c r="AC210" s="505"/>
      <c r="AD210" s="505"/>
      <c r="AE210" s="506">
        <f t="shared" ref="AE210:AO210" si="381">AE205-SUM(AE206:AE209)</f>
        <v>5979</v>
      </c>
      <c r="AF210" s="505">
        <f t="shared" si="381"/>
        <v>2123</v>
      </c>
      <c r="AG210" s="505">
        <f t="shared" si="381"/>
        <v>1445</v>
      </c>
      <c r="AH210" s="505">
        <f t="shared" si="381"/>
        <v>1785</v>
      </c>
      <c r="AI210" s="505">
        <f t="shared" ref="AI210" si="382">AI205-SUM(AI206:AI209)</f>
        <v>1298</v>
      </c>
      <c r="AJ210" s="506">
        <f t="shared" si="381"/>
        <v>6651</v>
      </c>
      <c r="AK210" s="503">
        <f t="shared" si="381"/>
        <v>2306</v>
      </c>
      <c r="AL210" s="503">
        <f t="shared" si="381"/>
        <v>1632</v>
      </c>
      <c r="AM210" s="503">
        <f t="shared" si="381"/>
        <v>1845</v>
      </c>
      <c r="AN210" s="505">
        <f t="shared" si="381"/>
        <v>1536</v>
      </c>
      <c r="AO210" s="506">
        <f t="shared" si="381"/>
        <v>7319</v>
      </c>
      <c r="AP210" s="503">
        <f>AP205-SUM(AP206:AP209)</f>
        <v>2522</v>
      </c>
      <c r="AQ210" s="504">
        <f t="shared" ref="AQ210:AU210" si="383">AQ205-SUM(AQ206:AQ209)</f>
        <v>756</v>
      </c>
      <c r="AR210" s="503">
        <f t="shared" si="383"/>
        <v>-1878</v>
      </c>
      <c r="AS210" s="503">
        <f t="shared" si="383"/>
        <v>-945</v>
      </c>
      <c r="AT210" s="502">
        <f t="shared" si="383"/>
        <v>455</v>
      </c>
      <c r="AU210" s="503">
        <f t="shared" si="383"/>
        <v>-119</v>
      </c>
      <c r="AV210" s="504">
        <f t="shared" ref="AV210:AW210" si="384">AV205-SUM(AV206:AV209)</f>
        <v>-406</v>
      </c>
      <c r="AW210" s="689">
        <f t="shared" si="384"/>
        <v>356</v>
      </c>
      <c r="AX210" s="505">
        <f t="shared" ref="AX210" si="385">AX205-SUM(AX206:AX209)</f>
        <v>1378.192</v>
      </c>
      <c r="AY210" s="506">
        <f t="shared" ref="AY210" si="386">AY205-SUM(AY206:AY209)</f>
        <v>1209.1919999999991</v>
      </c>
      <c r="AZ210" s="505">
        <f t="shared" ref="AZ210" si="387">AZ205-SUM(AZ206:AZ209)</f>
        <v>1920.3200000000006</v>
      </c>
      <c r="BA210" s="505">
        <f t="shared" ref="BA210" si="388">BA205-SUM(BA206:BA209)</f>
        <v>1448.3179999999993</v>
      </c>
      <c r="BB210" s="505">
        <f t="shared" ref="BB210" si="389">BB205-SUM(BB206:BB209)</f>
        <v>1844.6580000000004</v>
      </c>
      <c r="BC210" s="505">
        <f t="shared" ref="BC210" si="390">BC205-SUM(BC206:BC209)</f>
        <v>2266.4427999999998</v>
      </c>
      <c r="BD210" s="506">
        <f t="shared" ref="BD210" si="391">BD205-SUM(BD206:BD209)</f>
        <v>7479.7388000000028</v>
      </c>
      <c r="BE210" s="506">
        <f t="shared" ref="BE210" si="392">BE205-SUM(BE206:BE209)</f>
        <v>8842.5421999999999</v>
      </c>
      <c r="BF210" s="506">
        <f t="shared" ref="BF210" si="393">BF205-SUM(BF206:BF209)</f>
        <v>9333.7103500000012</v>
      </c>
      <c r="BG210" s="506">
        <f t="shared" ref="BG210" si="394">BG205-SUM(BG206:BG209)</f>
        <v>9916.5958675000002</v>
      </c>
      <c r="BH210" s="499"/>
    </row>
    <row r="211" spans="1:60" s="469" customFormat="1" x14ac:dyDescent="0.25">
      <c r="A211" s="748"/>
      <c r="B211" s="246"/>
      <c r="C211" s="478"/>
      <c r="D211" s="478"/>
      <c r="E211" s="478"/>
      <c r="F211" s="478"/>
      <c r="G211" s="480"/>
      <c r="H211" s="480"/>
      <c r="I211" s="480"/>
      <c r="J211" s="480"/>
      <c r="K211" s="478"/>
      <c r="L211" s="480"/>
      <c r="M211" s="480"/>
      <c r="N211" s="480"/>
      <c r="O211" s="480"/>
      <c r="P211" s="478"/>
      <c r="Q211" s="480"/>
      <c r="R211" s="480"/>
      <c r="S211" s="480"/>
      <c r="T211" s="480"/>
      <c r="U211" s="478"/>
      <c r="V211" s="480"/>
      <c r="W211" s="480"/>
      <c r="X211" s="480"/>
      <c r="Y211" s="480"/>
      <c r="Z211" s="478"/>
      <c r="AA211" s="480"/>
      <c r="AB211" s="480"/>
      <c r="AC211" s="480"/>
      <c r="AD211" s="480"/>
      <c r="AE211" s="478"/>
      <c r="AF211" s="480"/>
      <c r="AG211" s="480"/>
      <c r="AH211" s="480"/>
      <c r="AI211" s="480"/>
      <c r="AJ211" s="478"/>
      <c r="AK211" s="480"/>
      <c r="AL211" s="480"/>
      <c r="AM211" s="480"/>
      <c r="AN211" s="480"/>
      <c r="AO211" s="478"/>
      <c r="AP211" s="480"/>
      <c r="AQ211" s="480"/>
      <c r="AR211" s="480"/>
      <c r="AS211" s="480"/>
      <c r="AT211" s="478"/>
      <c r="AU211" s="480"/>
      <c r="AV211" s="480"/>
      <c r="AW211" s="708"/>
      <c r="AX211" s="480"/>
      <c r="AY211" s="478"/>
      <c r="AZ211" s="480"/>
      <c r="BA211" s="480"/>
      <c r="BB211" s="480"/>
      <c r="BC211" s="480"/>
      <c r="BD211" s="478"/>
      <c r="BE211" s="478"/>
      <c r="BF211" s="478"/>
      <c r="BG211" s="478"/>
      <c r="BH211" s="473"/>
    </row>
    <row r="212" spans="1:60" s="343" customFormat="1" x14ac:dyDescent="0.25">
      <c r="A212" s="168" t="s">
        <v>775</v>
      </c>
      <c r="B212" s="655"/>
      <c r="C212" s="183"/>
      <c r="D212" s="183"/>
      <c r="E212" s="183"/>
      <c r="F212" s="183"/>
      <c r="G212" s="634"/>
      <c r="H212" s="634"/>
      <c r="I212" s="634"/>
      <c r="J212" s="634"/>
      <c r="K212" s="183"/>
      <c r="L212" s="634"/>
      <c r="M212" s="634"/>
      <c r="N212" s="634"/>
      <c r="O212" s="634"/>
      <c r="P212" s="183"/>
      <c r="Q212" s="634"/>
      <c r="R212" s="634"/>
      <c r="S212" s="634"/>
      <c r="T212" s="634"/>
      <c r="U212" s="183"/>
      <c r="V212" s="634"/>
      <c r="W212" s="634"/>
      <c r="X212" s="634"/>
      <c r="Y212" s="634"/>
      <c r="Z212" s="183">
        <f t="shared" ref="Z212" si="395">Z206/Z205</f>
        <v>0.5294373423775981</v>
      </c>
      <c r="AA212" s="634"/>
      <c r="AB212" s="634"/>
      <c r="AC212" s="634"/>
      <c r="AD212" s="634"/>
      <c r="AE212" s="183">
        <f t="shared" ref="AE212" si="396">AE206/AE205</f>
        <v>0.52963939445483921</v>
      </c>
      <c r="AF212" s="341">
        <f t="shared" ref="AF212" si="397">AF206/AF205</f>
        <v>0.49716248506571087</v>
      </c>
      <c r="AG212" s="341">
        <f t="shared" ref="AG212" si="398">AG206/AG205</f>
        <v>0.53734061930783239</v>
      </c>
      <c r="AH212" s="340">
        <f t="shared" ref="AH212:AI212" si="399">AH206/AH205</f>
        <v>0.50983213429256591</v>
      </c>
      <c r="AI212" s="634">
        <f t="shared" si="399"/>
        <v>0.56853358863890213</v>
      </c>
      <c r="AJ212" s="183">
        <f t="shared" ref="AJ212" si="400">AJ206/AJ205</f>
        <v>0.52761610642594137</v>
      </c>
      <c r="AK212" s="341">
        <f t="shared" ref="AK212:AL212" si="401">AK206/AK205</f>
        <v>0.48810547434795071</v>
      </c>
      <c r="AL212" s="341">
        <f t="shared" si="401"/>
        <v>0.53057011275210419</v>
      </c>
      <c r="AM212" s="340">
        <f t="shared" ref="AM212:AO212" si="402">AM206/AM205</f>
        <v>0.51962393672586182</v>
      </c>
      <c r="AN212" s="634">
        <f t="shared" si="402"/>
        <v>0.55594713656387662</v>
      </c>
      <c r="AO212" s="183">
        <f t="shared" si="402"/>
        <v>0.52322108564175318</v>
      </c>
      <c r="AP212" s="340">
        <f t="shared" ref="AP212:AW212" si="403">AP206/AP205</f>
        <v>0.48852242744063323</v>
      </c>
      <c r="AQ212" s="341">
        <f t="shared" si="403"/>
        <v>0.62809187279151946</v>
      </c>
      <c r="AR212" s="340">
        <f t="shared" si="403"/>
        <v>1.6910798122065727</v>
      </c>
      <c r="AS212" s="340">
        <f t="shared" si="403"/>
        <v>0.88766922795462866</v>
      </c>
      <c r="AT212" s="339">
        <f t="shared" si="403"/>
        <v>0.67408146496067611</v>
      </c>
      <c r="AU212" s="340">
        <f t="shared" si="403"/>
        <v>0.67725752508361203</v>
      </c>
      <c r="AV212" s="341">
        <f t="shared" si="403"/>
        <v>0.72738733060195404</v>
      </c>
      <c r="AW212" s="690">
        <f t="shared" si="403"/>
        <v>0.62612301313061502</v>
      </c>
      <c r="AX212" s="356">
        <v>0.57999999999999996</v>
      </c>
      <c r="AY212" s="183">
        <f>AY206/AY205</f>
        <v>0.63876804642076923</v>
      </c>
      <c r="AZ212" s="356">
        <v>0.5</v>
      </c>
      <c r="BA212" s="356">
        <v>0.52</v>
      </c>
      <c r="BB212" s="356">
        <v>0.52</v>
      </c>
      <c r="BC212" s="356">
        <v>0.52</v>
      </c>
      <c r="BD212" s="183">
        <f>BD206/BD205</f>
        <v>0.51509072268000922</v>
      </c>
      <c r="BE212" s="358">
        <v>0.5</v>
      </c>
      <c r="BF212" s="358">
        <v>0.5</v>
      </c>
      <c r="BG212" s="358">
        <v>0.5</v>
      </c>
      <c r="BH212" s="342"/>
    </row>
    <row r="213" spans="1:60" s="343" customFormat="1" x14ac:dyDescent="0.25">
      <c r="A213" s="344" t="s">
        <v>773</v>
      </c>
      <c r="B213" s="749"/>
      <c r="C213" s="348"/>
      <c r="D213" s="348"/>
      <c r="E213" s="348"/>
      <c r="F213" s="348"/>
      <c r="G213" s="738"/>
      <c r="H213" s="738"/>
      <c r="I213" s="738"/>
      <c r="J213" s="738"/>
      <c r="K213" s="348"/>
      <c r="L213" s="738"/>
      <c r="M213" s="738"/>
      <c r="N213" s="738"/>
      <c r="O213" s="738"/>
      <c r="P213" s="348"/>
      <c r="Q213" s="738"/>
      <c r="R213" s="738"/>
      <c r="S213" s="738"/>
      <c r="T213" s="738"/>
      <c r="U213" s="348"/>
      <c r="V213" s="738"/>
      <c r="W213" s="738"/>
      <c r="X213" s="738"/>
      <c r="Y213" s="738"/>
      <c r="Z213" s="348">
        <f t="shared" ref="Z213" si="404">Z207/Z205</f>
        <v>0.13009826941473171</v>
      </c>
      <c r="AA213" s="738"/>
      <c r="AB213" s="738"/>
      <c r="AC213" s="738"/>
      <c r="AD213" s="738"/>
      <c r="AE213" s="348">
        <f t="shared" ref="AE213" si="405">AE207/AE205</f>
        <v>0.12315019561149855</v>
      </c>
      <c r="AF213" s="347">
        <f t="shared" ref="AF213" si="406">AF207/AF205</f>
        <v>9.9313022700119477E-2</v>
      </c>
      <c r="AG213" s="347">
        <f t="shared" ref="AG213" si="407">AG207/AG205</f>
        <v>0.12667660208643816</v>
      </c>
      <c r="AH213" s="346">
        <f t="shared" ref="AH213:AI213" si="408">AH207/AH205</f>
        <v>0.11478816946442846</v>
      </c>
      <c r="AI213" s="738">
        <f t="shared" si="408"/>
        <v>0.1247805967767672</v>
      </c>
      <c r="AJ213" s="348">
        <f t="shared" ref="AJ213" si="409">AJ207/AJ205</f>
        <v>0.11600744348101516</v>
      </c>
      <c r="AK213" s="347">
        <f t="shared" ref="AK213:AL213" si="410">AK207/AK205</f>
        <v>9.8738893665806821E-2</v>
      </c>
      <c r="AL213" s="347">
        <f t="shared" si="410"/>
        <v>0.11878672383674765</v>
      </c>
      <c r="AM213" s="346">
        <f t="shared" ref="AM213:AO213" si="411">AM207/AM205</f>
        <v>0.11938516639307566</v>
      </c>
      <c r="AN213" s="738">
        <f t="shared" si="411"/>
        <v>0.1315712187958884</v>
      </c>
      <c r="AO213" s="348">
        <f t="shared" si="411"/>
        <v>0.11696408571641903</v>
      </c>
      <c r="AP213" s="346">
        <f t="shared" ref="AP213:AW213" si="412">AP207/AP205</f>
        <v>0.1</v>
      </c>
      <c r="AQ213" s="347">
        <f t="shared" si="412"/>
        <v>0.12950530035335689</v>
      </c>
      <c r="AR213" s="346">
        <f t="shared" si="412"/>
        <v>0.47605633802816899</v>
      </c>
      <c r="AS213" s="346">
        <f t="shared" si="412"/>
        <v>0.23563849249908525</v>
      </c>
      <c r="AT213" s="345">
        <f t="shared" si="412"/>
        <v>0.15506514849160699</v>
      </c>
      <c r="AU213" s="346">
        <f t="shared" si="412"/>
        <v>0.18896321070234115</v>
      </c>
      <c r="AV213" s="347">
        <f t="shared" si="412"/>
        <v>0.20800504254648597</v>
      </c>
      <c r="AW213" s="870">
        <f t="shared" si="412"/>
        <v>0.15526376410965215</v>
      </c>
      <c r="AX213" s="357">
        <v>0.1</v>
      </c>
      <c r="AY213" s="348">
        <f>AY207/AY205</f>
        <v>0.15211933466646632</v>
      </c>
      <c r="AZ213" s="357">
        <v>0.1</v>
      </c>
      <c r="BA213" s="357">
        <v>0.1</v>
      </c>
      <c r="BB213" s="357">
        <v>0.1</v>
      </c>
      <c r="BC213" s="357">
        <v>0.1</v>
      </c>
      <c r="BD213" s="348">
        <f>BD207/BD205</f>
        <v>9.9999999999999992E-2</v>
      </c>
      <c r="BE213" s="359">
        <v>0.1</v>
      </c>
      <c r="BF213" s="359">
        <v>0.1</v>
      </c>
      <c r="BG213" s="359">
        <v>0.1</v>
      </c>
      <c r="BH213" s="342"/>
    </row>
    <row r="214" spans="1:60" s="343" customFormat="1" x14ac:dyDescent="0.25">
      <c r="A214" s="684" t="s">
        <v>774</v>
      </c>
      <c r="B214" s="655"/>
      <c r="C214" s="183"/>
      <c r="D214" s="183"/>
      <c r="E214" s="183"/>
      <c r="F214" s="183"/>
      <c r="G214" s="634"/>
      <c r="H214" s="634"/>
      <c r="I214" s="634"/>
      <c r="J214" s="634"/>
      <c r="K214" s="183"/>
      <c r="L214" s="634"/>
      <c r="M214" s="634"/>
      <c r="N214" s="634"/>
      <c r="O214" s="634"/>
      <c r="P214" s="183"/>
      <c r="Q214" s="634"/>
      <c r="R214" s="634"/>
      <c r="S214" s="634"/>
      <c r="T214" s="634"/>
      <c r="U214" s="183"/>
      <c r="V214" s="634"/>
      <c r="W214" s="634"/>
      <c r="X214" s="634"/>
      <c r="Y214" s="634"/>
      <c r="Z214" s="183">
        <f t="shared" ref="Z214" si="413">Z210/Z205</f>
        <v>0.25819636490129577</v>
      </c>
      <c r="AA214" s="634"/>
      <c r="AB214" s="634"/>
      <c r="AC214" s="634"/>
      <c r="AD214" s="634"/>
      <c r="AE214" s="183">
        <f t="shared" ref="AE214" si="414">AE210/AE205</f>
        <v>0.25425242388161251</v>
      </c>
      <c r="AF214" s="341">
        <f t="shared" ref="AF214" si="415">AF210/AF205</f>
        <v>0.31705495818399043</v>
      </c>
      <c r="AG214" s="341">
        <f t="shared" ref="AG214" si="416">AG210/AG205</f>
        <v>0.23927802616327207</v>
      </c>
      <c r="AH214" s="340">
        <f t="shared" ref="AH214:AI214" si="417">AH210/AH205</f>
        <v>0.28537170263788969</v>
      </c>
      <c r="AI214" s="634">
        <f t="shared" si="417"/>
        <v>0.20711664273176958</v>
      </c>
      <c r="AJ214" s="183">
        <f t="shared" ref="AJ214" si="418">AJ210/AJ205</f>
        <v>0.26333293740349212</v>
      </c>
      <c r="AK214" s="341">
        <f t="shared" ref="AK214:AL214" si="419">AK210/AK205</f>
        <v>0.33046718257380336</v>
      </c>
      <c r="AL214" s="341">
        <f t="shared" si="419"/>
        <v>0.25917103382563128</v>
      </c>
      <c r="AM214" s="340">
        <f t="shared" ref="AM214:AO214" si="420">AM210/AM205</f>
        <v>0.27533203999403072</v>
      </c>
      <c r="AN214" s="634">
        <f t="shared" si="420"/>
        <v>0.22555066079295155</v>
      </c>
      <c r="AO214" s="183">
        <f t="shared" si="420"/>
        <v>0.27323975210931084</v>
      </c>
      <c r="AP214" s="340">
        <f t="shared" ref="AP214:BG214" si="421">AP210/AP205</f>
        <v>0.33271767810026387</v>
      </c>
      <c r="AQ214" s="341">
        <f t="shared" si="421"/>
        <v>0.13356890459363957</v>
      </c>
      <c r="AR214" s="340">
        <f t="shared" si="421"/>
        <v>-1.7633802816901409</v>
      </c>
      <c r="AS214" s="340">
        <f t="shared" si="421"/>
        <v>-0.34577387486278816</v>
      </c>
      <c r="AT214" s="339">
        <f t="shared" si="421"/>
        <v>2.6705012325390305E-2</v>
      </c>
      <c r="AU214" s="340">
        <f t="shared" si="421"/>
        <v>-3.3166109253065776E-2</v>
      </c>
      <c r="AV214" s="341">
        <f t="shared" si="421"/>
        <v>-0.12795461708162623</v>
      </c>
      <c r="AW214" s="690">
        <f t="shared" si="421"/>
        <v>8.20087537433771E-2</v>
      </c>
      <c r="AX214" s="634">
        <f t="shared" si="421"/>
        <v>0.22226752249782281</v>
      </c>
      <c r="AY214" s="183">
        <f t="shared" si="421"/>
        <v>6.988498838324872E-2</v>
      </c>
      <c r="AZ214" s="634">
        <f t="shared" si="421"/>
        <v>0.30405015991640022</v>
      </c>
      <c r="BA214" s="634">
        <f t="shared" si="421"/>
        <v>0.26790440428404938</v>
      </c>
      <c r="BB214" s="634">
        <f t="shared" si="421"/>
        <v>0.28603340000930372</v>
      </c>
      <c r="BC214" s="634">
        <f t="shared" si="421"/>
        <v>0.29983130177561756</v>
      </c>
      <c r="BD214" s="183">
        <f t="shared" si="421"/>
        <v>0.29070040256416046</v>
      </c>
      <c r="BE214" s="183">
        <f t="shared" si="421"/>
        <v>0.31675131089371605</v>
      </c>
      <c r="BF214" s="183">
        <f t="shared" si="421"/>
        <v>0.32025878392149276</v>
      </c>
      <c r="BG214" s="183">
        <f t="shared" si="421"/>
        <v>0.32405598468713592</v>
      </c>
      <c r="BH214" s="342"/>
    </row>
    <row r="215" spans="1:60" s="343" customFormat="1" x14ac:dyDescent="0.25">
      <c r="A215" s="210"/>
      <c r="B215" s="655"/>
      <c r="C215" s="183"/>
      <c r="D215" s="183"/>
      <c r="E215" s="183"/>
      <c r="F215" s="183"/>
      <c r="G215" s="634"/>
      <c r="H215" s="634"/>
      <c r="I215" s="634"/>
      <c r="J215" s="634"/>
      <c r="K215" s="183"/>
      <c r="L215" s="634"/>
      <c r="M215" s="634"/>
      <c r="N215" s="634"/>
      <c r="O215" s="634"/>
      <c r="P215" s="183"/>
      <c r="Q215" s="634"/>
      <c r="R215" s="634"/>
      <c r="S215" s="634"/>
      <c r="T215" s="634"/>
      <c r="U215" s="183"/>
      <c r="V215" s="634"/>
      <c r="W215" s="634"/>
      <c r="X215" s="634"/>
      <c r="Y215" s="634"/>
      <c r="Z215" s="183"/>
      <c r="AA215" s="634"/>
      <c r="AB215" s="634"/>
      <c r="AC215" s="634"/>
      <c r="AD215" s="634"/>
      <c r="AE215" s="183"/>
      <c r="AF215" s="634"/>
      <c r="AG215" s="634"/>
      <c r="AH215" s="634"/>
      <c r="AI215" s="634"/>
      <c r="AJ215" s="183"/>
      <c r="AK215" s="634"/>
      <c r="AL215" s="634"/>
      <c r="AM215" s="634"/>
      <c r="AN215" s="634"/>
      <c r="AO215" s="183"/>
      <c r="AP215" s="634"/>
      <c r="AQ215" s="634"/>
      <c r="AR215" s="634"/>
      <c r="AS215" s="634"/>
      <c r="AT215" s="183"/>
      <c r="AU215" s="634"/>
      <c r="AV215" s="634"/>
      <c r="AW215" s="691"/>
      <c r="AX215" s="634"/>
      <c r="AY215" s="183"/>
      <c r="AZ215" s="634"/>
      <c r="BA215" s="634"/>
      <c r="BB215" s="634"/>
      <c r="BC215" s="634"/>
      <c r="BD215" s="183"/>
      <c r="BE215" s="183"/>
      <c r="BF215" s="183"/>
      <c r="BG215" s="183"/>
      <c r="BH215" s="342"/>
    </row>
    <row r="216" spans="1:60" s="470" customFormat="1" x14ac:dyDescent="0.25">
      <c r="A216" s="483" t="s">
        <v>823</v>
      </c>
      <c r="B216" s="514"/>
      <c r="C216" s="492"/>
      <c r="D216" s="492"/>
      <c r="E216" s="492"/>
      <c r="F216" s="492"/>
      <c r="G216" s="491"/>
      <c r="H216" s="491"/>
      <c r="I216" s="491"/>
      <c r="J216" s="491"/>
      <c r="K216" s="492"/>
      <c r="L216" s="491"/>
      <c r="M216" s="491"/>
      <c r="N216" s="491"/>
      <c r="O216" s="491"/>
      <c r="P216" s="492"/>
      <c r="Q216" s="491"/>
      <c r="R216" s="491"/>
      <c r="S216" s="491"/>
      <c r="T216" s="491"/>
      <c r="U216" s="492"/>
      <c r="V216" s="491"/>
      <c r="W216" s="491"/>
      <c r="X216" s="491"/>
      <c r="Y216" s="491"/>
      <c r="Z216" s="492">
        <v>1782</v>
      </c>
      <c r="AA216" s="491"/>
      <c r="AB216" s="491"/>
      <c r="AC216" s="491"/>
      <c r="AD216" s="491"/>
      <c r="AE216" s="492">
        <v>2050</v>
      </c>
      <c r="AF216" s="497">
        <f>AJ216-SUM(AG216,AH216,AI216)</f>
        <v>545</v>
      </c>
      <c r="AG216" s="497">
        <f t="shared" ref="AG216" si="422">AG324</f>
        <v>549</v>
      </c>
      <c r="AH216" s="490">
        <f t="shared" ref="AH216" si="423">AH324</f>
        <v>542</v>
      </c>
      <c r="AI216" s="490">
        <f t="shared" ref="AI216" si="424">AI324</f>
        <v>581</v>
      </c>
      <c r="AJ216" s="492">
        <f t="shared" ref="AJ216" si="425">AJ324</f>
        <v>2217</v>
      </c>
      <c r="AK216" s="497">
        <f t="shared" ref="AK216:AL216" si="426">AK324</f>
        <v>538</v>
      </c>
      <c r="AL216" s="497">
        <f t="shared" si="426"/>
        <v>549</v>
      </c>
      <c r="AM216" s="490">
        <f t="shared" ref="AM216:AO216" si="427">AM324</f>
        <v>547</v>
      </c>
      <c r="AN216" s="491">
        <f t="shared" si="427"/>
        <v>564</v>
      </c>
      <c r="AO216" s="492">
        <f t="shared" si="427"/>
        <v>2198</v>
      </c>
      <c r="AP216" s="490">
        <f>AP324</f>
        <v>567</v>
      </c>
      <c r="AQ216" s="497">
        <f t="shared" ref="AQ216:AT216" si="428">AQ324</f>
        <v>583</v>
      </c>
      <c r="AR216" s="490">
        <f t="shared" si="428"/>
        <v>602</v>
      </c>
      <c r="AS216" s="490">
        <f t="shared" si="428"/>
        <v>576</v>
      </c>
      <c r="AT216" s="489">
        <f t="shared" si="428"/>
        <v>2328</v>
      </c>
      <c r="AU216" s="490">
        <v>564</v>
      </c>
      <c r="AV216" s="497">
        <v>575</v>
      </c>
      <c r="AW216" s="687">
        <v>561</v>
      </c>
      <c r="AX216" s="491">
        <f>AX219-AX218-AX217</f>
        <v>572</v>
      </c>
      <c r="AY216" s="492">
        <f t="shared" ref="AY216" si="429">AY219-AY218-AY217</f>
        <v>2272</v>
      </c>
      <c r="AZ216" s="491">
        <f t="shared" ref="AZ216" si="430">AZ219-AZ218-AZ217</f>
        <v>572</v>
      </c>
      <c r="BA216" s="491">
        <f t="shared" ref="BA216" si="431">BA219-BA218-BA217</f>
        <v>572</v>
      </c>
      <c r="BB216" s="491">
        <f t="shared" ref="BB216" si="432">BB219-BB218-BB217</f>
        <v>572</v>
      </c>
      <c r="BC216" s="491">
        <f t="shared" ref="BC216" si="433">BC219-BC218-BC217</f>
        <v>572</v>
      </c>
      <c r="BD216" s="492">
        <f t="shared" ref="BD216" si="434">BD219-BD218-BD217</f>
        <v>2288</v>
      </c>
      <c r="BE216" s="492">
        <f t="shared" ref="BE216" si="435">BE219-BE218-BE217</f>
        <v>2190</v>
      </c>
      <c r="BF216" s="492">
        <f t="shared" ref="BF216" si="436">BF219-BF218-BF217</f>
        <v>2190</v>
      </c>
      <c r="BG216" s="492">
        <f t="shared" ref="BG216" si="437">BG219-BG218-BG217</f>
        <v>2190</v>
      </c>
      <c r="BH216" s="484"/>
    </row>
    <row r="217" spans="1:60" s="470" customFormat="1" x14ac:dyDescent="0.25">
      <c r="A217" s="483" t="s">
        <v>819</v>
      </c>
      <c r="B217" s="514"/>
      <c r="C217" s="492"/>
      <c r="D217" s="492"/>
      <c r="E217" s="492"/>
      <c r="F217" s="492"/>
      <c r="G217" s="491"/>
      <c r="H217" s="491"/>
      <c r="I217" s="491"/>
      <c r="J217" s="491"/>
      <c r="K217" s="492"/>
      <c r="L217" s="491"/>
      <c r="M217" s="491"/>
      <c r="N217" s="491"/>
      <c r="O217" s="491"/>
      <c r="P217" s="492"/>
      <c r="Q217" s="491"/>
      <c r="R217" s="491"/>
      <c r="S217" s="491"/>
      <c r="T217" s="491"/>
      <c r="U217" s="492"/>
      <c r="V217" s="491"/>
      <c r="W217" s="491"/>
      <c r="X217" s="491"/>
      <c r="Y217" s="491"/>
      <c r="Z217" s="492">
        <v>107</v>
      </c>
      <c r="AA217" s="491"/>
      <c r="AB217" s="491"/>
      <c r="AC217" s="491"/>
      <c r="AD217" s="491"/>
      <c r="AE217" s="492">
        <v>111</v>
      </c>
      <c r="AF217" s="497">
        <f t="shared" ref="AF217:AF218" si="438">AJ217-SUM(AG217,AH217,AI217)</f>
        <v>27</v>
      </c>
      <c r="AG217" s="497">
        <f t="shared" ref="AG217" si="439">AG325</f>
        <v>28</v>
      </c>
      <c r="AH217" s="490">
        <f t="shared" ref="AH217" si="440">AH325</f>
        <v>27</v>
      </c>
      <c r="AI217" s="490">
        <f t="shared" ref="AI217" si="441">AI325</f>
        <v>28</v>
      </c>
      <c r="AJ217" s="492">
        <f t="shared" ref="AJ217" si="442">AJ325</f>
        <v>110</v>
      </c>
      <c r="AK217" s="497">
        <f t="shared" ref="AK217:AL217" si="443">AK325</f>
        <v>27</v>
      </c>
      <c r="AL217" s="497">
        <f t="shared" si="443"/>
        <v>27</v>
      </c>
      <c r="AM217" s="490">
        <f t="shared" ref="AM217:AO217" si="444">AM325</f>
        <v>27</v>
      </c>
      <c r="AN217" s="491">
        <f t="shared" si="444"/>
        <v>27</v>
      </c>
      <c r="AO217" s="492">
        <f t="shared" si="444"/>
        <v>108</v>
      </c>
      <c r="AP217" s="490">
        <f>AP325</f>
        <v>27</v>
      </c>
      <c r="AQ217" s="497">
        <f t="shared" ref="AQ217:AT217" si="445">AQ325</f>
        <v>27</v>
      </c>
      <c r="AR217" s="490">
        <f t="shared" si="445"/>
        <v>27</v>
      </c>
      <c r="AS217" s="490">
        <f t="shared" si="445"/>
        <v>28</v>
      </c>
      <c r="AT217" s="489">
        <f t="shared" si="445"/>
        <v>109</v>
      </c>
      <c r="AU217" s="490">
        <v>27</v>
      </c>
      <c r="AV217" s="497">
        <v>27</v>
      </c>
      <c r="AW217" s="687">
        <v>27</v>
      </c>
      <c r="AX217" s="496">
        <v>28</v>
      </c>
      <c r="AY217" s="492">
        <f>SUM(AU217,AV217,AW217,AX217)</f>
        <v>109</v>
      </c>
      <c r="AZ217" s="496">
        <v>28</v>
      </c>
      <c r="BA217" s="496">
        <v>28</v>
      </c>
      <c r="BB217" s="496">
        <v>28</v>
      </c>
      <c r="BC217" s="496">
        <v>28</v>
      </c>
      <c r="BD217" s="492">
        <f>SUM(AZ217,BA217,BB217,BC217)</f>
        <v>112</v>
      </c>
      <c r="BE217" s="361">
        <v>110</v>
      </c>
      <c r="BF217" s="361">
        <v>110</v>
      </c>
      <c r="BG217" s="361">
        <v>110</v>
      </c>
      <c r="BH217" s="484"/>
    </row>
    <row r="218" spans="1:60" s="470" customFormat="1" x14ac:dyDescent="0.25">
      <c r="A218" s="218" t="s">
        <v>820</v>
      </c>
      <c r="B218" s="573"/>
      <c r="C218" s="322"/>
      <c r="D218" s="322"/>
      <c r="E218" s="322"/>
      <c r="F218" s="322"/>
      <c r="G218" s="321"/>
      <c r="H218" s="321"/>
      <c r="I218" s="321"/>
      <c r="J218" s="321"/>
      <c r="K218" s="322"/>
      <c r="L218" s="321"/>
      <c r="M218" s="321"/>
      <c r="N218" s="321"/>
      <c r="O218" s="321"/>
      <c r="P218" s="322"/>
      <c r="Q218" s="321"/>
      <c r="R218" s="321"/>
      <c r="S218" s="321"/>
      <c r="T218" s="321"/>
      <c r="U218" s="322"/>
      <c r="V218" s="321"/>
      <c r="W218" s="321"/>
      <c r="X218" s="321"/>
      <c r="Y218" s="321"/>
      <c r="Z218" s="322">
        <f t="shared" ref="Z218" si="446">Z219-Z217-Z216</f>
        <v>0</v>
      </c>
      <c r="AA218" s="321"/>
      <c r="AB218" s="321"/>
      <c r="AC218" s="321"/>
      <c r="AD218" s="321"/>
      <c r="AE218" s="322">
        <f t="shared" ref="AE218" si="447">AE219-AE217-AE216</f>
        <v>0</v>
      </c>
      <c r="AF218" s="320">
        <f t="shared" si="438"/>
        <v>0</v>
      </c>
      <c r="AG218" s="320">
        <f t="shared" ref="AG218" si="448">AG219-AG217-AG216</f>
        <v>0</v>
      </c>
      <c r="AH218" s="319">
        <f t="shared" ref="AH218" si="449">AH219-AH217-AH216</f>
        <v>-1</v>
      </c>
      <c r="AI218" s="319">
        <f t="shared" ref="AI218" si="450">AI219-AI217-AI216</f>
        <v>1</v>
      </c>
      <c r="AJ218" s="322">
        <f t="shared" ref="AJ218" si="451">AJ219-AJ217-AJ216</f>
        <v>0</v>
      </c>
      <c r="AK218" s="320">
        <f t="shared" ref="AK218:AL218" si="452">AK219-AK217-AK216</f>
        <v>0</v>
      </c>
      <c r="AL218" s="320">
        <f t="shared" si="452"/>
        <v>0</v>
      </c>
      <c r="AM218" s="319">
        <f t="shared" ref="AM218:AO218" si="453">AM219-AM217-AM216</f>
        <v>0</v>
      </c>
      <c r="AN218" s="321">
        <f t="shared" si="453"/>
        <v>0</v>
      </c>
      <c r="AO218" s="322">
        <f t="shared" si="453"/>
        <v>0</v>
      </c>
      <c r="AP218" s="319">
        <f>AP219-AP217-AP216</f>
        <v>0</v>
      </c>
      <c r="AQ218" s="320">
        <f t="shared" ref="AQ218:AT218" si="454">AQ219-AQ217-AQ216</f>
        <v>0</v>
      </c>
      <c r="AR218" s="319">
        <f t="shared" si="454"/>
        <v>0</v>
      </c>
      <c r="AS218" s="319">
        <f t="shared" si="454"/>
        <v>0</v>
      </c>
      <c r="AT218" s="318">
        <f t="shared" si="454"/>
        <v>0</v>
      </c>
      <c r="AU218" s="321"/>
      <c r="AV218" s="321"/>
      <c r="AW218" s="693"/>
      <c r="AX218" s="321"/>
      <c r="AY218" s="322"/>
      <c r="AZ218" s="321"/>
      <c r="BA218" s="321"/>
      <c r="BB218" s="321"/>
      <c r="BC218" s="321"/>
      <c r="BD218" s="322"/>
      <c r="BE218" s="322"/>
      <c r="BF218" s="322"/>
      <c r="BG218" s="322"/>
      <c r="BH218" s="484"/>
    </row>
    <row r="219" spans="1:60" s="498" customFormat="1" x14ac:dyDescent="0.25">
      <c r="A219" s="501" t="s">
        <v>821</v>
      </c>
      <c r="B219" s="264"/>
      <c r="C219" s="506"/>
      <c r="D219" s="506"/>
      <c r="E219" s="506"/>
      <c r="F219" s="506"/>
      <c r="G219" s="505"/>
      <c r="H219" s="505"/>
      <c r="I219" s="505"/>
      <c r="J219" s="505"/>
      <c r="K219" s="506"/>
      <c r="L219" s="505"/>
      <c r="M219" s="505"/>
      <c r="N219" s="505"/>
      <c r="O219" s="505"/>
      <c r="P219" s="506"/>
      <c r="Q219" s="505"/>
      <c r="R219" s="505"/>
      <c r="S219" s="505"/>
      <c r="T219" s="505"/>
      <c r="U219" s="506"/>
      <c r="V219" s="505"/>
      <c r="W219" s="505"/>
      <c r="X219" s="505"/>
      <c r="Y219" s="505"/>
      <c r="Z219" s="506">
        <f t="shared" ref="Z219" si="455">Z208</f>
        <v>1889</v>
      </c>
      <c r="AA219" s="505"/>
      <c r="AB219" s="505"/>
      <c r="AC219" s="505"/>
      <c r="AD219" s="505"/>
      <c r="AE219" s="506">
        <f t="shared" ref="AE219" si="456">AE208</f>
        <v>2161</v>
      </c>
      <c r="AF219" s="504">
        <f t="shared" ref="AF219:AI219" si="457">AF208</f>
        <v>572</v>
      </c>
      <c r="AG219" s="504">
        <f t="shared" si="457"/>
        <v>577</v>
      </c>
      <c r="AH219" s="503">
        <f t="shared" ref="AH219" si="458">AH208</f>
        <v>568</v>
      </c>
      <c r="AI219" s="504">
        <f t="shared" si="457"/>
        <v>610</v>
      </c>
      <c r="AJ219" s="506">
        <f t="shared" ref="AJ219" si="459">AJ208</f>
        <v>2327</v>
      </c>
      <c r="AK219" s="504">
        <f t="shared" ref="AK219:AL219" si="460">AK208</f>
        <v>565</v>
      </c>
      <c r="AL219" s="504">
        <f t="shared" si="460"/>
        <v>576</v>
      </c>
      <c r="AM219" s="503">
        <f t="shared" ref="AM219:AO219" si="461">AM208</f>
        <v>574</v>
      </c>
      <c r="AN219" s="505">
        <f t="shared" si="461"/>
        <v>591</v>
      </c>
      <c r="AO219" s="506">
        <f t="shared" si="461"/>
        <v>2306</v>
      </c>
      <c r="AP219" s="503">
        <f t="shared" ref="AP219:BG219" si="462">AP208</f>
        <v>594</v>
      </c>
      <c r="AQ219" s="504">
        <f t="shared" si="462"/>
        <v>610</v>
      </c>
      <c r="AR219" s="503">
        <f t="shared" si="462"/>
        <v>629</v>
      </c>
      <c r="AS219" s="503">
        <f t="shared" si="462"/>
        <v>604</v>
      </c>
      <c r="AT219" s="502">
        <f t="shared" si="462"/>
        <v>2437</v>
      </c>
      <c r="AU219" s="503">
        <f t="shared" si="462"/>
        <v>591</v>
      </c>
      <c r="AV219" s="504">
        <f t="shared" si="462"/>
        <v>602</v>
      </c>
      <c r="AW219" s="689">
        <f t="shared" si="462"/>
        <v>588</v>
      </c>
      <c r="AX219" s="505">
        <f t="shared" si="462"/>
        <v>600</v>
      </c>
      <c r="AY219" s="506">
        <f t="shared" si="462"/>
        <v>2381</v>
      </c>
      <c r="AZ219" s="505">
        <f t="shared" si="462"/>
        <v>600</v>
      </c>
      <c r="BA219" s="505">
        <f t="shared" si="462"/>
        <v>600</v>
      </c>
      <c r="BB219" s="505">
        <f t="shared" si="462"/>
        <v>600</v>
      </c>
      <c r="BC219" s="505">
        <f t="shared" si="462"/>
        <v>600</v>
      </c>
      <c r="BD219" s="506">
        <f t="shared" si="462"/>
        <v>2400</v>
      </c>
      <c r="BE219" s="506">
        <f t="shared" si="462"/>
        <v>2300</v>
      </c>
      <c r="BF219" s="506">
        <f t="shared" si="462"/>
        <v>2300</v>
      </c>
      <c r="BG219" s="506">
        <f t="shared" si="462"/>
        <v>2300</v>
      </c>
      <c r="BH219" s="499"/>
    </row>
    <row r="220" spans="1:60" s="470" customFormat="1" x14ac:dyDescent="0.25">
      <c r="A220" s="314"/>
      <c r="B220" s="514"/>
      <c r="C220" s="492"/>
      <c r="D220" s="492"/>
      <c r="E220" s="492"/>
      <c r="F220" s="492"/>
      <c r="G220" s="491"/>
      <c r="H220" s="491"/>
      <c r="I220" s="491"/>
      <c r="J220" s="491"/>
      <c r="K220" s="492"/>
      <c r="L220" s="491"/>
      <c r="M220" s="491"/>
      <c r="N220" s="491"/>
      <c r="O220" s="491"/>
      <c r="P220" s="492"/>
      <c r="Q220" s="491"/>
      <c r="R220" s="491"/>
      <c r="S220" s="491"/>
      <c r="T220" s="491"/>
      <c r="U220" s="492"/>
      <c r="V220" s="491"/>
      <c r="W220" s="491"/>
      <c r="X220" s="491"/>
      <c r="Y220" s="491"/>
      <c r="Z220" s="492"/>
      <c r="AA220" s="491"/>
      <c r="AB220" s="491"/>
      <c r="AC220" s="491"/>
      <c r="AD220" s="491"/>
      <c r="AE220" s="492"/>
      <c r="AF220" s="491"/>
      <c r="AG220" s="491"/>
      <c r="AH220" s="491"/>
      <c r="AI220" s="491"/>
      <c r="AJ220" s="492"/>
      <c r="AK220" s="491"/>
      <c r="AL220" s="491"/>
      <c r="AM220" s="491"/>
      <c r="AN220" s="491"/>
      <c r="AO220" s="492"/>
      <c r="AP220" s="491"/>
      <c r="AQ220" s="491"/>
      <c r="AR220" s="491"/>
      <c r="AS220" s="491"/>
      <c r="AT220" s="492"/>
      <c r="AU220" s="491"/>
      <c r="AV220" s="491"/>
      <c r="AW220" s="692"/>
      <c r="AX220" s="491"/>
      <c r="AY220" s="492"/>
      <c r="AZ220" s="491"/>
      <c r="BA220" s="491"/>
      <c r="BB220" s="491"/>
      <c r="BC220" s="491"/>
      <c r="BD220" s="492"/>
      <c r="BE220" s="492"/>
      <c r="BF220" s="492"/>
      <c r="BG220" s="492"/>
      <c r="BH220" s="484"/>
    </row>
    <row r="221" spans="1:60" s="498" customFormat="1" x14ac:dyDescent="0.25">
      <c r="A221" s="501" t="s">
        <v>822</v>
      </c>
      <c r="B221" s="264"/>
      <c r="C221" s="506"/>
      <c r="D221" s="506"/>
      <c r="E221" s="506"/>
      <c r="F221" s="506"/>
      <c r="G221" s="505"/>
      <c r="H221" s="505"/>
      <c r="I221" s="505"/>
      <c r="J221" s="505"/>
      <c r="K221" s="506"/>
      <c r="L221" s="505"/>
      <c r="M221" s="505"/>
      <c r="N221" s="505"/>
      <c r="O221" s="505"/>
      <c r="P221" s="506"/>
      <c r="Q221" s="505"/>
      <c r="R221" s="505"/>
      <c r="S221" s="505"/>
      <c r="T221" s="505"/>
      <c r="U221" s="506"/>
      <c r="V221" s="505"/>
      <c r="W221" s="505"/>
      <c r="X221" s="505"/>
      <c r="Y221" s="505"/>
      <c r="Z221" s="506">
        <f>2215+2053</f>
        <v>4268</v>
      </c>
      <c r="AA221" s="505"/>
      <c r="AB221" s="505"/>
      <c r="AC221" s="505"/>
      <c r="AD221" s="505"/>
      <c r="AE221" s="506">
        <f>2392+827</f>
        <v>3219</v>
      </c>
      <c r="AF221" s="504">
        <f t="shared" ref="AF221:AG221" si="463">AF331</f>
        <v>795</v>
      </c>
      <c r="AG221" s="504">
        <f t="shared" si="463"/>
        <v>934</v>
      </c>
      <c r="AH221" s="503">
        <f t="shared" ref="AH221:AI221" si="464">AH331</f>
        <v>1118</v>
      </c>
      <c r="AI221" s="503">
        <f t="shared" si="464"/>
        <v>1053</v>
      </c>
      <c r="AJ221" s="506">
        <f t="shared" ref="AJ221" si="465">AJ331</f>
        <v>3900</v>
      </c>
      <c r="AK221" s="504">
        <f t="shared" ref="AK221:AL221" si="466">AK331</f>
        <v>1044</v>
      </c>
      <c r="AL221" s="504">
        <f t="shared" si="466"/>
        <v>1049</v>
      </c>
      <c r="AM221" s="503">
        <f t="shared" ref="AM221:AO221" si="467">AM331</f>
        <v>1009</v>
      </c>
      <c r="AN221" s="505">
        <f t="shared" si="467"/>
        <v>1044</v>
      </c>
      <c r="AO221" s="506">
        <f t="shared" si="467"/>
        <v>4146</v>
      </c>
      <c r="AP221" s="503">
        <f>AP331</f>
        <v>1049</v>
      </c>
      <c r="AQ221" s="504">
        <f t="shared" ref="AQ221:AT221" si="468">AQ331</f>
        <v>941</v>
      </c>
      <c r="AR221" s="503">
        <f t="shared" si="468"/>
        <v>492</v>
      </c>
      <c r="AS221" s="503">
        <f t="shared" si="468"/>
        <v>422</v>
      </c>
      <c r="AT221" s="502">
        <f t="shared" si="468"/>
        <v>2904</v>
      </c>
      <c r="AU221" s="503">
        <v>519</v>
      </c>
      <c r="AV221" s="504">
        <f>1011-AU221</f>
        <v>492</v>
      </c>
      <c r="AW221" s="689">
        <f>1623-AV221-AU221</f>
        <v>612</v>
      </c>
      <c r="AX221" s="459">
        <v>500</v>
      </c>
      <c r="AY221" s="506">
        <f>SUM(AU221,AV221,AW221,AX221)</f>
        <v>2123</v>
      </c>
      <c r="AZ221" s="459">
        <v>900</v>
      </c>
      <c r="BA221" s="459">
        <v>900</v>
      </c>
      <c r="BB221" s="459">
        <v>900</v>
      </c>
      <c r="BC221" s="459">
        <v>900</v>
      </c>
      <c r="BD221" s="506">
        <f>SUM(AZ221,BA221,BB221,BC221)</f>
        <v>3600</v>
      </c>
      <c r="BE221" s="460">
        <v>3600</v>
      </c>
      <c r="BF221" s="460">
        <v>3600</v>
      </c>
      <c r="BG221" s="460">
        <v>3600</v>
      </c>
      <c r="BH221" s="499"/>
    </row>
    <row r="222" spans="1:60" s="469" customFormat="1" hidden="1" outlineLevel="1" x14ac:dyDescent="0.25">
      <c r="A222" s="748"/>
      <c r="B222" s="246"/>
      <c r="C222" s="478"/>
      <c r="D222" s="478"/>
      <c r="E222" s="478"/>
      <c r="F222" s="478"/>
      <c r="G222" s="480"/>
      <c r="H222" s="480"/>
      <c r="I222" s="480"/>
      <c r="J222" s="480"/>
      <c r="K222" s="478"/>
      <c r="L222" s="480"/>
      <c r="M222" s="480"/>
      <c r="N222" s="480"/>
      <c r="O222" s="480"/>
      <c r="P222" s="478"/>
      <c r="Q222" s="480"/>
      <c r="R222" s="480"/>
      <c r="S222" s="480"/>
      <c r="T222" s="480"/>
      <c r="U222" s="478"/>
      <c r="V222" s="480"/>
      <c r="W222" s="480"/>
      <c r="X222" s="480"/>
      <c r="Y222" s="480"/>
      <c r="Z222" s="478"/>
      <c r="AA222" s="480"/>
      <c r="AB222" s="480"/>
      <c r="AC222" s="480"/>
      <c r="AD222" s="480"/>
      <c r="AE222" s="478"/>
      <c r="AF222" s="480"/>
      <c r="AG222" s="480"/>
      <c r="AH222" s="480"/>
      <c r="AI222" s="480"/>
      <c r="AJ222" s="478"/>
      <c r="AK222" s="480"/>
      <c r="AL222" s="480"/>
      <c r="AM222" s="480"/>
      <c r="AN222" s="480"/>
      <c r="AO222" s="478"/>
      <c r="AP222" s="480"/>
      <c r="AQ222" s="480"/>
      <c r="AR222" s="480"/>
      <c r="AS222" s="480"/>
      <c r="AT222" s="478"/>
      <c r="AU222" s="480"/>
      <c r="AV222" s="480"/>
      <c r="AW222" s="708"/>
      <c r="AX222" s="480"/>
      <c r="AY222" s="478"/>
      <c r="AZ222" s="480"/>
      <c r="BA222" s="480"/>
      <c r="BB222" s="480"/>
      <c r="BC222" s="480"/>
      <c r="BD222" s="478"/>
      <c r="BE222" s="478"/>
      <c r="BF222" s="478"/>
      <c r="BG222" s="478"/>
      <c r="BH222" s="473"/>
    </row>
    <row r="223" spans="1:60" s="903" customFormat="1" hidden="1" outlineLevel="1" x14ac:dyDescent="0.25">
      <c r="A223" s="898" t="s">
        <v>886</v>
      </c>
      <c r="B223" s="899"/>
      <c r="C223" s="492"/>
      <c r="D223" s="492"/>
      <c r="E223" s="492"/>
      <c r="F223" s="492"/>
      <c r="G223" s="491"/>
      <c r="H223" s="491"/>
      <c r="I223" s="491"/>
      <c r="J223" s="491"/>
      <c r="K223" s="492"/>
      <c r="L223" s="491"/>
      <c r="M223" s="491"/>
      <c r="N223" s="491"/>
      <c r="O223" s="491"/>
      <c r="P223" s="492"/>
      <c r="Q223" s="491"/>
      <c r="R223" s="491"/>
      <c r="S223" s="491"/>
      <c r="T223" s="491"/>
      <c r="U223" s="492"/>
      <c r="V223" s="491"/>
      <c r="W223" s="491"/>
      <c r="X223" s="491"/>
      <c r="Y223" s="491"/>
      <c r="Z223" s="492">
        <v>14235</v>
      </c>
      <c r="AA223" s="491"/>
      <c r="AB223" s="491"/>
      <c r="AC223" s="491"/>
      <c r="AD223" s="491"/>
      <c r="AE223" s="492">
        <v>14812</v>
      </c>
      <c r="AF223" s="491">
        <v>4171</v>
      </c>
      <c r="AG223" s="491">
        <v>3965</v>
      </c>
      <c r="AH223" s="491">
        <v>4089</v>
      </c>
      <c r="AI223" s="491">
        <f t="shared" ref="AI223:AI225" si="469">AJ223-SUM(AF223,AG223,AH223)</f>
        <v>3936</v>
      </c>
      <c r="AJ223" s="492">
        <v>16161</v>
      </c>
      <c r="AK223" s="491">
        <v>4473</v>
      </c>
      <c r="AL223" s="491">
        <v>4207</v>
      </c>
      <c r="AM223" s="491">
        <v>4420</v>
      </c>
      <c r="AN223" s="491">
        <f t="shared" ref="AN223:AN225" si="470">AO223-SUM(AK223,AL223,AM223)</f>
        <v>4269</v>
      </c>
      <c r="AO223" s="492">
        <v>17369</v>
      </c>
      <c r="AP223" s="915">
        <v>4939</v>
      </c>
      <c r="AQ223" s="497">
        <v>4139</v>
      </c>
      <c r="AR223" s="915">
        <v>213</v>
      </c>
      <c r="AS223" s="491">
        <f t="shared" ref="AS223:AS225" si="471">AT223-SUM(AP223,AQ223,AR223)</f>
        <v>935</v>
      </c>
      <c r="AT223" s="492">
        <v>10226</v>
      </c>
      <c r="AU223" s="915">
        <v>1489</v>
      </c>
      <c r="AV223" s="497">
        <v>1735</v>
      </c>
      <c r="AW223" s="945">
        <v>2656</v>
      </c>
      <c r="AX223" s="901"/>
      <c r="AY223" s="900"/>
      <c r="AZ223" s="901"/>
      <c r="BA223" s="901"/>
      <c r="BB223" s="901"/>
      <c r="BC223" s="901"/>
      <c r="BD223" s="900"/>
      <c r="BE223" s="900"/>
      <c r="BF223" s="900"/>
      <c r="BG223" s="900"/>
      <c r="BH223" s="902"/>
    </row>
    <row r="224" spans="1:60" s="903" customFormat="1" hidden="1" outlineLevel="1" x14ac:dyDescent="0.25">
      <c r="A224" s="898" t="s">
        <v>887</v>
      </c>
      <c r="B224" s="899"/>
      <c r="C224" s="492"/>
      <c r="D224" s="492"/>
      <c r="E224" s="492"/>
      <c r="F224" s="492"/>
      <c r="G224" s="491"/>
      <c r="H224" s="491"/>
      <c r="I224" s="491"/>
      <c r="J224" s="491"/>
      <c r="K224" s="492"/>
      <c r="L224" s="491"/>
      <c r="M224" s="491"/>
      <c r="N224" s="491"/>
      <c r="O224" s="491"/>
      <c r="P224" s="492"/>
      <c r="Q224" s="491"/>
      <c r="R224" s="491"/>
      <c r="S224" s="491"/>
      <c r="T224" s="491"/>
      <c r="U224" s="492"/>
      <c r="V224" s="491"/>
      <c r="W224" s="491"/>
      <c r="X224" s="491"/>
      <c r="Y224" s="491"/>
      <c r="Z224" s="492">
        <v>2732</v>
      </c>
      <c r="AA224" s="491"/>
      <c r="AB224" s="491"/>
      <c r="AC224" s="491"/>
      <c r="AD224" s="491"/>
      <c r="AE224" s="492">
        <v>3603</v>
      </c>
      <c r="AF224" s="491">
        <v>985</v>
      </c>
      <c r="AG224" s="491">
        <v>914</v>
      </c>
      <c r="AH224" s="491">
        <v>1104</v>
      </c>
      <c r="AI224" s="491">
        <f t="shared" si="469"/>
        <v>1132</v>
      </c>
      <c r="AJ224" s="492">
        <v>4135</v>
      </c>
      <c r="AK224" s="491">
        <v>1012</v>
      </c>
      <c r="AL224" s="491">
        <v>930</v>
      </c>
      <c r="AM224" s="491">
        <v>1126</v>
      </c>
      <c r="AN224" s="491">
        <f t="shared" si="470"/>
        <v>1155</v>
      </c>
      <c r="AO224" s="492">
        <v>4223</v>
      </c>
      <c r="AP224" s="915">
        <v>950</v>
      </c>
      <c r="AQ224" s="497">
        <v>480</v>
      </c>
      <c r="AR224" s="915">
        <v>116</v>
      </c>
      <c r="AS224" s="491">
        <f t="shared" si="471"/>
        <v>474</v>
      </c>
      <c r="AT224" s="492">
        <v>2020</v>
      </c>
      <c r="AU224" s="915">
        <v>378</v>
      </c>
      <c r="AV224" s="497">
        <v>262</v>
      </c>
      <c r="AW224" s="945">
        <v>526</v>
      </c>
      <c r="AX224" s="901"/>
      <c r="AY224" s="900"/>
      <c r="AZ224" s="901"/>
      <c r="BA224" s="901"/>
      <c r="BB224" s="901"/>
      <c r="BC224" s="901"/>
      <c r="BD224" s="900"/>
      <c r="BE224" s="900"/>
      <c r="BF224" s="900"/>
      <c r="BG224" s="900"/>
      <c r="BH224" s="902"/>
    </row>
    <row r="225" spans="1:60" s="903" customFormat="1" hidden="1" outlineLevel="1" x14ac:dyDescent="0.25">
      <c r="A225" s="904" t="s">
        <v>888</v>
      </c>
      <c r="B225" s="573"/>
      <c r="C225" s="322"/>
      <c r="D225" s="322"/>
      <c r="E225" s="322"/>
      <c r="F225" s="322"/>
      <c r="G225" s="321"/>
      <c r="H225" s="321"/>
      <c r="I225" s="321"/>
      <c r="J225" s="321"/>
      <c r="K225" s="322"/>
      <c r="L225" s="321"/>
      <c r="M225" s="321"/>
      <c r="N225" s="321"/>
      <c r="O225" s="321"/>
      <c r="P225" s="322"/>
      <c r="Q225" s="321"/>
      <c r="R225" s="321"/>
      <c r="S225" s="321"/>
      <c r="T225" s="321"/>
      <c r="U225" s="322"/>
      <c r="V225" s="321"/>
      <c r="W225" s="321"/>
      <c r="X225" s="321"/>
      <c r="Y225" s="321"/>
      <c r="Z225" s="322">
        <f>5291+740</f>
        <v>6031</v>
      </c>
      <c r="AA225" s="321"/>
      <c r="AB225" s="321"/>
      <c r="AC225" s="321"/>
      <c r="AD225" s="321"/>
      <c r="AE225" s="322">
        <f>4609+492</f>
        <v>5101</v>
      </c>
      <c r="AF225" s="321">
        <f>1371+171</f>
        <v>1542</v>
      </c>
      <c r="AG225" s="321">
        <f>1024+136</f>
        <v>1160</v>
      </c>
      <c r="AH225" s="321">
        <f>943+119</f>
        <v>1062</v>
      </c>
      <c r="AI225" s="321">
        <f t="shared" si="469"/>
        <v>1197</v>
      </c>
      <c r="AJ225" s="322">
        <f>4405+556</f>
        <v>4961</v>
      </c>
      <c r="AK225" s="321">
        <f>1339+154</f>
        <v>1493</v>
      </c>
      <c r="AL225" s="321">
        <f>1034+126</f>
        <v>1160</v>
      </c>
      <c r="AM225" s="321">
        <f>1029+126</f>
        <v>1155</v>
      </c>
      <c r="AN225" s="321">
        <f t="shared" si="470"/>
        <v>1386</v>
      </c>
      <c r="AO225" s="322">
        <f>4633+561</f>
        <v>5194</v>
      </c>
      <c r="AP225" s="916">
        <v>1691</v>
      </c>
      <c r="AQ225" s="320">
        <v>1041</v>
      </c>
      <c r="AR225" s="916">
        <v>736</v>
      </c>
      <c r="AS225" s="321">
        <f t="shared" si="471"/>
        <v>1324</v>
      </c>
      <c r="AT225" s="322">
        <f>4256+536</f>
        <v>4792</v>
      </c>
      <c r="AU225" s="916">
        <v>1721</v>
      </c>
      <c r="AV225" s="320">
        <v>1176</v>
      </c>
      <c r="AW225" s="946">
        <v>1159</v>
      </c>
      <c r="AX225" s="321"/>
      <c r="AY225" s="322"/>
      <c r="AZ225" s="321"/>
      <c r="BA225" s="321"/>
      <c r="BB225" s="321"/>
      <c r="BC225" s="321"/>
      <c r="BD225" s="322"/>
      <c r="BE225" s="322"/>
      <c r="BF225" s="322"/>
      <c r="BG225" s="322"/>
      <c r="BH225" s="902"/>
    </row>
    <row r="226" spans="1:60" s="910" customFormat="1" hidden="1" outlineLevel="1" x14ac:dyDescent="0.25">
      <c r="A226" s="905" t="s">
        <v>799</v>
      </c>
      <c r="B226" s="906"/>
      <c r="C226" s="506"/>
      <c r="D226" s="506"/>
      <c r="E226" s="506"/>
      <c r="F226" s="506"/>
      <c r="G226" s="505"/>
      <c r="H226" s="505"/>
      <c r="I226" s="505"/>
      <c r="J226" s="505"/>
      <c r="K226" s="506"/>
      <c r="L226" s="505"/>
      <c r="M226" s="505"/>
      <c r="N226" s="505"/>
      <c r="O226" s="505"/>
      <c r="P226" s="506"/>
      <c r="Q226" s="505"/>
      <c r="R226" s="505"/>
      <c r="S226" s="505"/>
      <c r="T226" s="505"/>
      <c r="U226" s="506"/>
      <c r="V226" s="505"/>
      <c r="W226" s="505"/>
      <c r="X226" s="505"/>
      <c r="Y226" s="505"/>
      <c r="Z226" s="506">
        <f>SUM(Z223,Z224,Z225)</f>
        <v>22998</v>
      </c>
      <c r="AA226" s="505"/>
      <c r="AB226" s="505"/>
      <c r="AC226" s="505"/>
      <c r="AD226" s="505"/>
      <c r="AE226" s="506">
        <f t="shared" ref="AE226:AW226" si="472">SUM(AE223,AE224,AE225)</f>
        <v>23516</v>
      </c>
      <c r="AF226" s="505">
        <f t="shared" si="472"/>
        <v>6698</v>
      </c>
      <c r="AG226" s="505">
        <f t="shared" si="472"/>
        <v>6039</v>
      </c>
      <c r="AH226" s="503">
        <f t="shared" si="472"/>
        <v>6255</v>
      </c>
      <c r="AI226" s="503">
        <f t="shared" si="472"/>
        <v>6265</v>
      </c>
      <c r="AJ226" s="506">
        <f t="shared" si="472"/>
        <v>25257</v>
      </c>
      <c r="AK226" s="503">
        <f t="shared" si="472"/>
        <v>6978</v>
      </c>
      <c r="AL226" s="503">
        <f t="shared" si="472"/>
        <v>6297</v>
      </c>
      <c r="AM226" s="503">
        <f t="shared" si="472"/>
        <v>6701</v>
      </c>
      <c r="AN226" s="503">
        <f t="shared" si="472"/>
        <v>6810</v>
      </c>
      <c r="AO226" s="506">
        <f t="shared" si="472"/>
        <v>26786</v>
      </c>
      <c r="AP226" s="503">
        <f t="shared" si="472"/>
        <v>7580</v>
      </c>
      <c r="AQ226" s="504">
        <f t="shared" si="472"/>
        <v>5660</v>
      </c>
      <c r="AR226" s="503">
        <f t="shared" si="472"/>
        <v>1065</v>
      </c>
      <c r="AS226" s="503">
        <f t="shared" si="472"/>
        <v>2733</v>
      </c>
      <c r="AT226" s="502">
        <f t="shared" si="472"/>
        <v>17038</v>
      </c>
      <c r="AU226" s="503">
        <f t="shared" si="472"/>
        <v>3588</v>
      </c>
      <c r="AV226" s="504">
        <f t="shared" si="472"/>
        <v>3173</v>
      </c>
      <c r="AW226" s="689">
        <f t="shared" si="472"/>
        <v>4341</v>
      </c>
      <c r="AX226" s="908"/>
      <c r="AY226" s="907"/>
      <c r="AZ226" s="908"/>
      <c r="BA226" s="908"/>
      <c r="BB226" s="908"/>
      <c r="BC226" s="908"/>
      <c r="BD226" s="907"/>
      <c r="BE226" s="907"/>
      <c r="BF226" s="907"/>
      <c r="BG226" s="907"/>
      <c r="BH226" s="909"/>
    </row>
    <row r="227" spans="1:60" s="910" customFormat="1" hidden="1" outlineLevel="1" x14ac:dyDescent="0.25">
      <c r="A227" s="912"/>
      <c r="B227" s="906"/>
      <c r="C227" s="506"/>
      <c r="D227" s="506"/>
      <c r="E227" s="506"/>
      <c r="F227" s="506"/>
      <c r="G227" s="505"/>
      <c r="H227" s="505"/>
      <c r="I227" s="505"/>
      <c r="J227" s="505"/>
      <c r="K227" s="506"/>
      <c r="L227" s="505"/>
      <c r="M227" s="505"/>
      <c r="N227" s="505"/>
      <c r="O227" s="505"/>
      <c r="P227" s="506"/>
      <c r="Q227" s="505"/>
      <c r="R227" s="505"/>
      <c r="S227" s="505"/>
      <c r="T227" s="505"/>
      <c r="U227" s="506"/>
      <c r="V227" s="505"/>
      <c r="W227" s="505"/>
      <c r="X227" s="505"/>
      <c r="Y227" s="505"/>
      <c r="Z227" s="506"/>
      <c r="AA227" s="505"/>
      <c r="AB227" s="505"/>
      <c r="AC227" s="505"/>
      <c r="AD227" s="505"/>
      <c r="AE227" s="506"/>
      <c r="AF227" s="505"/>
      <c r="AG227" s="505"/>
      <c r="AH227" s="505"/>
      <c r="AI227" s="505"/>
      <c r="AJ227" s="506"/>
      <c r="AK227" s="505"/>
      <c r="AL227" s="505"/>
      <c r="AM227" s="505"/>
      <c r="AN227" s="505"/>
      <c r="AO227" s="506"/>
      <c r="AP227" s="505"/>
      <c r="AQ227" s="505"/>
      <c r="AR227" s="505"/>
      <c r="AS227" s="505"/>
      <c r="AT227" s="506"/>
      <c r="AU227" s="505"/>
      <c r="AV227" s="505"/>
      <c r="AW227" s="694"/>
      <c r="AX227" s="908"/>
      <c r="AY227" s="907"/>
      <c r="AZ227" s="908"/>
      <c r="BA227" s="908"/>
      <c r="BB227" s="908"/>
      <c r="BC227" s="908"/>
      <c r="BD227" s="907"/>
      <c r="BE227" s="907"/>
      <c r="BF227" s="907"/>
      <c r="BG227" s="907"/>
      <c r="BH227" s="909"/>
    </row>
    <row r="228" spans="1:60" s="903" customFormat="1" hidden="1" outlineLevel="1" x14ac:dyDescent="0.25">
      <c r="A228" s="898" t="s">
        <v>889</v>
      </c>
      <c r="B228" s="899"/>
      <c r="C228" s="492"/>
      <c r="D228" s="492"/>
      <c r="E228" s="492"/>
      <c r="F228" s="492"/>
      <c r="G228" s="491"/>
      <c r="H228" s="491"/>
      <c r="I228" s="491"/>
      <c r="J228" s="491"/>
      <c r="K228" s="492"/>
      <c r="L228" s="491"/>
      <c r="M228" s="491"/>
      <c r="N228" s="491"/>
      <c r="O228" s="491"/>
      <c r="P228" s="492"/>
      <c r="Q228" s="491"/>
      <c r="R228" s="491"/>
      <c r="S228" s="491"/>
      <c r="T228" s="491"/>
      <c r="U228" s="492"/>
      <c r="V228" s="491"/>
      <c r="W228" s="491"/>
      <c r="X228" s="491"/>
      <c r="Y228" s="491"/>
      <c r="Z228" s="492">
        <v>3362</v>
      </c>
      <c r="AA228" s="491"/>
      <c r="AB228" s="491"/>
      <c r="AC228" s="491"/>
      <c r="AD228" s="491"/>
      <c r="AE228" s="492">
        <v>3464</v>
      </c>
      <c r="AF228" s="491">
        <v>1240</v>
      </c>
      <c r="AG228" s="491">
        <v>931</v>
      </c>
      <c r="AH228" s="491">
        <v>1195</v>
      </c>
      <c r="AI228" s="491">
        <f t="shared" ref="AI228:AI230" si="473">AJ228-SUM(AF228,AG228,AH228)</f>
        <v>647</v>
      </c>
      <c r="AJ228" s="492">
        <v>4013</v>
      </c>
      <c r="AK228" s="491">
        <v>1481</v>
      </c>
      <c r="AL228" s="491">
        <v>1047</v>
      </c>
      <c r="AM228" s="491">
        <v>1157</v>
      </c>
      <c r="AN228" s="491">
        <f t="shared" ref="AN228:AN230" si="474">AO228-SUM(AK228,AL228,AM228)</f>
        <v>727</v>
      </c>
      <c r="AO228" s="492">
        <v>4412</v>
      </c>
      <c r="AP228" s="915">
        <v>1572</v>
      </c>
      <c r="AQ228" s="497">
        <v>661</v>
      </c>
      <c r="AR228" s="915">
        <v>-1584</v>
      </c>
      <c r="AS228" s="491">
        <f t="shared" ref="AS228:AS230" si="475">AT228-SUM(AP228,AQ228,AR228)</f>
        <v>-1272</v>
      </c>
      <c r="AT228" s="492">
        <v>-623</v>
      </c>
      <c r="AU228" s="915">
        <v>-798</v>
      </c>
      <c r="AV228" s="497">
        <v>-587</v>
      </c>
      <c r="AW228" s="945">
        <v>2</v>
      </c>
      <c r="AX228" s="901"/>
      <c r="AY228" s="900"/>
      <c r="AZ228" s="901"/>
      <c r="BA228" s="901"/>
      <c r="BB228" s="901"/>
      <c r="BC228" s="901"/>
      <c r="BD228" s="900"/>
      <c r="BE228" s="900"/>
      <c r="BF228" s="900"/>
      <c r="BG228" s="900"/>
      <c r="BH228" s="902"/>
    </row>
    <row r="229" spans="1:60" s="903" customFormat="1" hidden="1" outlineLevel="1" x14ac:dyDescent="0.25">
      <c r="A229" s="898" t="s">
        <v>890</v>
      </c>
      <c r="B229" s="899"/>
      <c r="C229" s="492"/>
      <c r="D229" s="492"/>
      <c r="E229" s="492"/>
      <c r="F229" s="492"/>
      <c r="G229" s="491"/>
      <c r="H229" s="491"/>
      <c r="I229" s="491"/>
      <c r="J229" s="491"/>
      <c r="K229" s="492"/>
      <c r="L229" s="491"/>
      <c r="M229" s="491"/>
      <c r="N229" s="491"/>
      <c r="O229" s="491"/>
      <c r="P229" s="492"/>
      <c r="Q229" s="491"/>
      <c r="R229" s="491"/>
      <c r="S229" s="491"/>
      <c r="T229" s="491"/>
      <c r="U229" s="492"/>
      <c r="V229" s="491"/>
      <c r="W229" s="491"/>
      <c r="X229" s="491"/>
      <c r="Y229" s="491"/>
      <c r="Z229" s="492">
        <v>-61</v>
      </c>
      <c r="AA229" s="491"/>
      <c r="AB229" s="491"/>
      <c r="AC229" s="491"/>
      <c r="AD229" s="491"/>
      <c r="AE229" s="492">
        <v>310</v>
      </c>
      <c r="AF229" s="491">
        <v>109</v>
      </c>
      <c r="AG229" s="491">
        <v>23</v>
      </c>
      <c r="AH229" s="491">
        <v>144</v>
      </c>
      <c r="AI229" s="491">
        <f t="shared" si="473"/>
        <v>180</v>
      </c>
      <c r="AJ229" s="492">
        <v>456</v>
      </c>
      <c r="AK229" s="491">
        <v>99</v>
      </c>
      <c r="AL229" s="491">
        <v>43</v>
      </c>
      <c r="AM229" s="491">
        <v>189</v>
      </c>
      <c r="AN229" s="491">
        <f t="shared" si="474"/>
        <v>176</v>
      </c>
      <c r="AO229" s="492">
        <v>507</v>
      </c>
      <c r="AP229" s="915">
        <v>51</v>
      </c>
      <c r="AQ229" s="497">
        <v>-343</v>
      </c>
      <c r="AR229" s="915">
        <v>-438</v>
      </c>
      <c r="AS229" s="491">
        <f t="shared" si="475"/>
        <v>-343</v>
      </c>
      <c r="AT229" s="492">
        <v>-1073</v>
      </c>
      <c r="AU229" s="915">
        <v>-262</v>
      </c>
      <c r="AV229" s="497">
        <v>-380</v>
      </c>
      <c r="AW229" s="945">
        <v>-210</v>
      </c>
      <c r="AX229" s="901"/>
      <c r="AY229" s="900"/>
      <c r="AZ229" s="901"/>
      <c r="BA229" s="901"/>
      <c r="BB229" s="901"/>
      <c r="BC229" s="901"/>
      <c r="BD229" s="900"/>
      <c r="BE229" s="900"/>
      <c r="BF229" s="900"/>
      <c r="BG229" s="900"/>
      <c r="BH229" s="902"/>
    </row>
    <row r="230" spans="1:60" s="903" customFormat="1" hidden="1" outlineLevel="1" x14ac:dyDescent="0.25">
      <c r="A230" s="904" t="s">
        <v>67</v>
      </c>
      <c r="B230" s="573"/>
      <c r="C230" s="322"/>
      <c r="D230" s="322"/>
      <c r="E230" s="322"/>
      <c r="F230" s="322"/>
      <c r="G230" s="321"/>
      <c r="H230" s="321"/>
      <c r="I230" s="321"/>
      <c r="J230" s="321"/>
      <c r="K230" s="322"/>
      <c r="L230" s="321"/>
      <c r="M230" s="321"/>
      <c r="N230" s="321"/>
      <c r="O230" s="321"/>
      <c r="P230" s="322"/>
      <c r="Q230" s="321"/>
      <c r="R230" s="321"/>
      <c r="S230" s="321"/>
      <c r="T230" s="321"/>
      <c r="U230" s="322"/>
      <c r="V230" s="321"/>
      <c r="W230" s="321"/>
      <c r="X230" s="321"/>
      <c r="Y230" s="321"/>
      <c r="Z230" s="322">
        <f>1897+740</f>
        <v>2637</v>
      </c>
      <c r="AA230" s="321"/>
      <c r="AB230" s="321"/>
      <c r="AC230" s="321"/>
      <c r="AD230" s="321"/>
      <c r="AE230" s="322">
        <f>1713+492</f>
        <v>2205</v>
      </c>
      <c r="AF230" s="321">
        <f>605+171</f>
        <v>776</v>
      </c>
      <c r="AG230" s="321">
        <f>355+136</f>
        <v>491</v>
      </c>
      <c r="AH230" s="321">
        <f>316+119</f>
        <v>435</v>
      </c>
      <c r="AI230" s="321">
        <f t="shared" si="473"/>
        <v>480</v>
      </c>
      <c r="AJ230" s="322">
        <f>1626+556</f>
        <v>2182</v>
      </c>
      <c r="AK230" s="321">
        <f>572+154</f>
        <v>726</v>
      </c>
      <c r="AL230" s="321">
        <f>416+126</f>
        <v>542</v>
      </c>
      <c r="AM230" s="321">
        <f>373+126</f>
        <v>499</v>
      </c>
      <c r="AN230" s="321">
        <f t="shared" si="474"/>
        <v>633</v>
      </c>
      <c r="AO230" s="322">
        <f>1839+561</f>
        <v>2400</v>
      </c>
      <c r="AP230" s="916">
        <v>899</v>
      </c>
      <c r="AQ230" s="320">
        <v>438</v>
      </c>
      <c r="AR230" s="916">
        <v>144</v>
      </c>
      <c r="AS230" s="321">
        <f t="shared" si="475"/>
        <v>670</v>
      </c>
      <c r="AT230" s="322">
        <f>1615+536</f>
        <v>2151</v>
      </c>
      <c r="AU230" s="916">
        <v>941</v>
      </c>
      <c r="AV230" s="320">
        <v>561</v>
      </c>
      <c r="AW230" s="946">
        <v>564</v>
      </c>
      <c r="AX230" s="321"/>
      <c r="AY230" s="322"/>
      <c r="AZ230" s="321"/>
      <c r="BA230" s="321"/>
      <c r="BB230" s="321"/>
      <c r="BC230" s="321"/>
      <c r="BD230" s="322"/>
      <c r="BE230" s="322"/>
      <c r="BF230" s="322"/>
      <c r="BG230" s="322"/>
      <c r="BH230" s="902"/>
    </row>
    <row r="231" spans="1:60" s="910" customFormat="1" hidden="1" outlineLevel="1" x14ac:dyDescent="0.25">
      <c r="A231" s="905" t="s">
        <v>804</v>
      </c>
      <c r="B231" s="906"/>
      <c r="C231" s="506"/>
      <c r="D231" s="506"/>
      <c r="E231" s="506"/>
      <c r="F231" s="506"/>
      <c r="G231" s="505"/>
      <c r="H231" s="505"/>
      <c r="I231" s="505"/>
      <c r="J231" s="505"/>
      <c r="K231" s="506"/>
      <c r="L231" s="505"/>
      <c r="M231" s="505"/>
      <c r="N231" s="505"/>
      <c r="O231" s="505"/>
      <c r="P231" s="506"/>
      <c r="Q231" s="505"/>
      <c r="R231" s="505"/>
      <c r="S231" s="505"/>
      <c r="T231" s="505"/>
      <c r="U231" s="506"/>
      <c r="V231" s="505"/>
      <c r="W231" s="505"/>
      <c r="X231" s="505"/>
      <c r="Y231" s="505"/>
      <c r="Z231" s="502">
        <f>SUM(Z228,Z229,Z230)</f>
        <v>5938</v>
      </c>
      <c r="AA231" s="505"/>
      <c r="AB231" s="505"/>
      <c r="AC231" s="505"/>
      <c r="AD231" s="505"/>
      <c r="AE231" s="502">
        <f t="shared" ref="AE231:AW231" si="476">SUM(AE228,AE229,AE230)</f>
        <v>5979</v>
      </c>
      <c r="AF231" s="503">
        <f t="shared" si="476"/>
        <v>2125</v>
      </c>
      <c r="AG231" s="503">
        <f t="shared" si="476"/>
        <v>1445</v>
      </c>
      <c r="AH231" s="503">
        <f t="shared" si="476"/>
        <v>1774</v>
      </c>
      <c r="AI231" s="503">
        <f t="shared" si="476"/>
        <v>1307</v>
      </c>
      <c r="AJ231" s="502">
        <f t="shared" si="476"/>
        <v>6651</v>
      </c>
      <c r="AK231" s="503">
        <f t="shared" si="476"/>
        <v>2306</v>
      </c>
      <c r="AL231" s="503">
        <f t="shared" si="476"/>
        <v>1632</v>
      </c>
      <c r="AM231" s="503">
        <f t="shared" si="476"/>
        <v>1845</v>
      </c>
      <c r="AN231" s="503">
        <f t="shared" si="476"/>
        <v>1536</v>
      </c>
      <c r="AO231" s="502">
        <f t="shared" si="476"/>
        <v>7319</v>
      </c>
      <c r="AP231" s="503">
        <f t="shared" si="476"/>
        <v>2522</v>
      </c>
      <c r="AQ231" s="504">
        <f t="shared" si="476"/>
        <v>756</v>
      </c>
      <c r="AR231" s="503">
        <f t="shared" si="476"/>
        <v>-1878</v>
      </c>
      <c r="AS231" s="503">
        <f t="shared" si="476"/>
        <v>-945</v>
      </c>
      <c r="AT231" s="502">
        <f t="shared" si="476"/>
        <v>455</v>
      </c>
      <c r="AU231" s="503">
        <f t="shared" si="476"/>
        <v>-119</v>
      </c>
      <c r="AV231" s="504">
        <f t="shared" si="476"/>
        <v>-406</v>
      </c>
      <c r="AW231" s="689">
        <f t="shared" si="476"/>
        <v>356</v>
      </c>
      <c r="AX231" s="908"/>
      <c r="AY231" s="907"/>
      <c r="AZ231" s="908"/>
      <c r="BA231" s="908"/>
      <c r="BB231" s="908"/>
      <c r="BC231" s="908"/>
      <c r="BD231" s="907"/>
      <c r="BE231" s="907"/>
      <c r="BF231" s="907"/>
      <c r="BG231" s="907"/>
      <c r="BH231" s="909"/>
    </row>
    <row r="232" spans="1:60" s="469" customFormat="1" hidden="1" outlineLevel="1" x14ac:dyDescent="0.25">
      <c r="A232" s="748"/>
      <c r="B232" s="246"/>
      <c r="C232" s="478"/>
      <c r="D232" s="478"/>
      <c r="E232" s="478"/>
      <c r="F232" s="478"/>
      <c r="G232" s="480"/>
      <c r="H232" s="480"/>
      <c r="I232" s="480"/>
      <c r="J232" s="480"/>
      <c r="K232" s="478"/>
      <c r="L232" s="480"/>
      <c r="M232" s="480"/>
      <c r="N232" s="480"/>
      <c r="O232" s="480"/>
      <c r="P232" s="478"/>
      <c r="Q232" s="480"/>
      <c r="R232" s="480"/>
      <c r="S232" s="480"/>
      <c r="T232" s="480"/>
      <c r="U232" s="478"/>
      <c r="V232" s="480"/>
      <c r="W232" s="480"/>
      <c r="X232" s="480"/>
      <c r="Y232" s="480"/>
      <c r="Z232" s="478"/>
      <c r="AA232" s="480"/>
      <c r="AB232" s="480"/>
      <c r="AC232" s="480"/>
      <c r="AD232" s="480"/>
      <c r="AE232" s="478"/>
      <c r="AF232" s="480"/>
      <c r="AG232" s="480"/>
      <c r="AH232" s="480"/>
      <c r="AI232" s="480"/>
      <c r="AJ232" s="478"/>
      <c r="AK232" s="480"/>
      <c r="AL232" s="480"/>
      <c r="AM232" s="480"/>
      <c r="AN232" s="480"/>
      <c r="AO232" s="478"/>
      <c r="AP232" s="480"/>
      <c r="AQ232" s="480"/>
      <c r="AR232" s="480"/>
      <c r="AS232" s="480"/>
      <c r="AT232" s="478"/>
      <c r="AU232" s="480"/>
      <c r="AV232" s="480"/>
      <c r="AW232" s="708"/>
      <c r="AX232" s="480"/>
      <c r="AY232" s="478"/>
      <c r="AZ232" s="480"/>
      <c r="BA232" s="480"/>
      <c r="BB232" s="480"/>
      <c r="BC232" s="480"/>
      <c r="BD232" s="478"/>
      <c r="BE232" s="478"/>
      <c r="BF232" s="478"/>
      <c r="BG232" s="478"/>
      <c r="BH232" s="473"/>
    </row>
    <row r="233" spans="1:60" s="343" customFormat="1" hidden="1" outlineLevel="1" x14ac:dyDescent="0.25">
      <c r="A233" s="684" t="s">
        <v>897</v>
      </c>
      <c r="B233" s="655"/>
      <c r="C233" s="183"/>
      <c r="D233" s="183"/>
      <c r="E233" s="183"/>
      <c r="F233" s="183"/>
      <c r="G233" s="634"/>
      <c r="H233" s="634"/>
      <c r="I233" s="634"/>
      <c r="J233" s="634"/>
      <c r="K233" s="183"/>
      <c r="L233" s="634"/>
      <c r="M233" s="634"/>
      <c r="N233" s="634"/>
      <c r="O233" s="634"/>
      <c r="P233" s="183"/>
      <c r="Q233" s="634"/>
      <c r="R233" s="634"/>
      <c r="S233" s="634"/>
      <c r="T233" s="634"/>
      <c r="U233" s="183"/>
      <c r="V233" s="634"/>
      <c r="W233" s="634"/>
      <c r="X233" s="634"/>
      <c r="Y233" s="634"/>
      <c r="Z233" s="339">
        <f t="shared" ref="Z233:Z235" si="477">IFERROR(Z228/Z223,"N/A")</f>
        <v>0.23617843343870742</v>
      </c>
      <c r="AA233" s="634"/>
      <c r="AB233" s="634"/>
      <c r="AC233" s="634"/>
      <c r="AD233" s="634"/>
      <c r="AE233" s="339">
        <f t="shared" ref="AE233:AE235" si="478">IFERROR(AE228/AE223,"N/A")</f>
        <v>0.23386443424250608</v>
      </c>
      <c r="AF233" s="341">
        <f t="shared" ref="AF233" si="479">IFERROR(AF228/AF223,"N/A")</f>
        <v>0.29729081754974829</v>
      </c>
      <c r="AG233" s="340">
        <f t="shared" ref="AG233" si="480">IFERROR(AG228/AG223,"N/A")</f>
        <v>0.23480453972257251</v>
      </c>
      <c r="AH233" s="340">
        <f t="shared" ref="AH233:AI233" si="481">IFERROR(AH228/AH223,"N/A")</f>
        <v>0.29224749327463928</v>
      </c>
      <c r="AI233" s="340">
        <f t="shared" si="481"/>
        <v>0.164380081300813</v>
      </c>
      <c r="AJ233" s="339">
        <f t="shared" ref="AJ233" si="482">IFERROR(AJ228/AJ223,"N/A")</f>
        <v>0.24831384196522494</v>
      </c>
      <c r="AK233" s="341">
        <f t="shared" ref="AK233:AL233" si="483">IFERROR(AK228/AK223,"N/A")</f>
        <v>0.33109769729488037</v>
      </c>
      <c r="AL233" s="341">
        <f t="shared" si="483"/>
        <v>0.24887092940337532</v>
      </c>
      <c r="AM233" s="340">
        <f t="shared" ref="AM233:AO233" si="484">IFERROR(AM228/AM223,"N/A")</f>
        <v>0.26176470588235295</v>
      </c>
      <c r="AN233" s="340">
        <f t="shared" si="484"/>
        <v>0.17029749355821036</v>
      </c>
      <c r="AO233" s="339">
        <f t="shared" si="484"/>
        <v>0.25401577523173469</v>
      </c>
      <c r="AP233" s="340">
        <f t="shared" ref="AP233:AW235" si="485">IFERROR(AP228/AP223,"N/A")</f>
        <v>0.31828305324964568</v>
      </c>
      <c r="AQ233" s="341">
        <f t="shared" si="485"/>
        <v>0.15970041072722879</v>
      </c>
      <c r="AR233" s="340">
        <f t="shared" si="485"/>
        <v>-7.436619718309859</v>
      </c>
      <c r="AS233" s="340">
        <f t="shared" si="485"/>
        <v>-1.3604278074866309</v>
      </c>
      <c r="AT233" s="339">
        <f t="shared" si="485"/>
        <v>-6.0923137101505966E-2</v>
      </c>
      <c r="AU233" s="340">
        <f t="shared" si="485"/>
        <v>-0.53593015446608461</v>
      </c>
      <c r="AV233" s="341">
        <f t="shared" si="485"/>
        <v>-0.33832853025936599</v>
      </c>
      <c r="AW233" s="690">
        <f t="shared" si="485"/>
        <v>7.5301204819277112E-4</v>
      </c>
      <c r="AX233" s="634"/>
      <c r="AY233" s="183"/>
      <c r="AZ233" s="634"/>
      <c r="BA233" s="634"/>
      <c r="BB233" s="634"/>
      <c r="BC233" s="634"/>
      <c r="BD233" s="183"/>
      <c r="BE233" s="183"/>
      <c r="BF233" s="183"/>
      <c r="BG233" s="183"/>
      <c r="BH233" s="342"/>
    </row>
    <row r="234" spans="1:60" s="343" customFormat="1" hidden="1" outlineLevel="1" x14ac:dyDescent="0.25">
      <c r="A234" s="684" t="s">
        <v>898</v>
      </c>
      <c r="B234" s="655"/>
      <c r="C234" s="183"/>
      <c r="D234" s="183"/>
      <c r="E234" s="183"/>
      <c r="F234" s="183"/>
      <c r="G234" s="634"/>
      <c r="H234" s="634"/>
      <c r="I234" s="634"/>
      <c r="J234" s="634"/>
      <c r="K234" s="183"/>
      <c r="L234" s="634"/>
      <c r="M234" s="634"/>
      <c r="N234" s="634"/>
      <c r="O234" s="634"/>
      <c r="P234" s="183"/>
      <c r="Q234" s="634"/>
      <c r="R234" s="634"/>
      <c r="S234" s="634"/>
      <c r="T234" s="634"/>
      <c r="U234" s="183"/>
      <c r="V234" s="634"/>
      <c r="W234" s="634"/>
      <c r="X234" s="634"/>
      <c r="Y234" s="634"/>
      <c r="Z234" s="183">
        <f t="shared" si="477"/>
        <v>-2.2327964860907761E-2</v>
      </c>
      <c r="AA234" s="634"/>
      <c r="AB234" s="634"/>
      <c r="AC234" s="634"/>
      <c r="AD234" s="634"/>
      <c r="AE234" s="183">
        <f t="shared" si="478"/>
        <v>8.6039411601443239E-2</v>
      </c>
      <c r="AF234" s="634">
        <f t="shared" ref="AF234" si="486">IFERROR(AF229/AF224,"N/A")</f>
        <v>0.11065989847715736</v>
      </c>
      <c r="AG234" s="634">
        <f t="shared" ref="AG234" si="487">IFERROR(AG229/AG224,"N/A")</f>
        <v>2.5164113785557989E-2</v>
      </c>
      <c r="AH234" s="634">
        <f t="shared" ref="AH234:AI234" si="488">IFERROR(AH229/AH224,"N/A")</f>
        <v>0.13043478260869565</v>
      </c>
      <c r="AI234" s="634">
        <f t="shared" si="488"/>
        <v>0.15901060070671377</v>
      </c>
      <c r="AJ234" s="183">
        <f t="shared" ref="AJ234" si="489">IFERROR(AJ229/AJ224,"N/A")</f>
        <v>0.11027811366384523</v>
      </c>
      <c r="AK234" s="634">
        <f t="shared" ref="AK234:AL234" si="490">IFERROR(AK229/AK224,"N/A")</f>
        <v>9.7826086956521743E-2</v>
      </c>
      <c r="AL234" s="634">
        <f t="shared" si="490"/>
        <v>4.6236559139784944E-2</v>
      </c>
      <c r="AM234" s="634">
        <f t="shared" ref="AM234:AO234" si="491">IFERROR(AM229/AM224,"N/A")</f>
        <v>0.16785079928952043</v>
      </c>
      <c r="AN234" s="634">
        <f t="shared" si="491"/>
        <v>0.15238095238095239</v>
      </c>
      <c r="AO234" s="183">
        <f t="shared" si="491"/>
        <v>0.12005683163627753</v>
      </c>
      <c r="AP234" s="634">
        <f t="shared" si="485"/>
        <v>5.3684210526315793E-2</v>
      </c>
      <c r="AQ234" s="634">
        <f t="shared" si="485"/>
        <v>-0.71458333333333335</v>
      </c>
      <c r="AR234" s="634">
        <f t="shared" si="485"/>
        <v>-3.7758620689655173</v>
      </c>
      <c r="AS234" s="634">
        <f t="shared" si="485"/>
        <v>-0.72362869198312241</v>
      </c>
      <c r="AT234" s="183">
        <f t="shared" si="485"/>
        <v>-0.53118811881188122</v>
      </c>
      <c r="AU234" s="634">
        <f t="shared" si="485"/>
        <v>-0.69312169312169314</v>
      </c>
      <c r="AV234" s="634">
        <f t="shared" si="485"/>
        <v>-1.4503816793893129</v>
      </c>
      <c r="AW234" s="691">
        <f t="shared" si="485"/>
        <v>-0.39923954372623577</v>
      </c>
      <c r="AX234" s="634"/>
      <c r="AY234" s="183"/>
      <c r="AZ234" s="634"/>
      <c r="BA234" s="634"/>
      <c r="BB234" s="634"/>
      <c r="BC234" s="634"/>
      <c r="BD234" s="183"/>
      <c r="BE234" s="183"/>
      <c r="BF234" s="183"/>
      <c r="BG234" s="183"/>
      <c r="BH234" s="342"/>
    </row>
    <row r="235" spans="1:60" s="343" customFormat="1" hidden="1" outlineLevel="1" x14ac:dyDescent="0.25">
      <c r="A235" s="684" t="s">
        <v>899</v>
      </c>
      <c r="B235" s="655"/>
      <c r="C235" s="183"/>
      <c r="D235" s="183"/>
      <c r="E235" s="183"/>
      <c r="F235" s="183"/>
      <c r="G235" s="634"/>
      <c r="H235" s="634"/>
      <c r="I235" s="634"/>
      <c r="J235" s="634"/>
      <c r="K235" s="183"/>
      <c r="L235" s="634"/>
      <c r="M235" s="634"/>
      <c r="N235" s="634"/>
      <c r="O235" s="634"/>
      <c r="P235" s="183"/>
      <c r="Q235" s="634"/>
      <c r="R235" s="634"/>
      <c r="S235" s="634"/>
      <c r="T235" s="634"/>
      <c r="U235" s="183"/>
      <c r="V235" s="634"/>
      <c r="W235" s="634"/>
      <c r="X235" s="634"/>
      <c r="Y235" s="634"/>
      <c r="Z235" s="183">
        <f t="shared" si="477"/>
        <v>0.43724092190349861</v>
      </c>
      <c r="AA235" s="634"/>
      <c r="AB235" s="634"/>
      <c r="AC235" s="634"/>
      <c r="AD235" s="634"/>
      <c r="AE235" s="183">
        <f t="shared" si="478"/>
        <v>0.4322681827092727</v>
      </c>
      <c r="AF235" s="634">
        <f t="shared" ref="AF235" si="492">IFERROR(AF230/AF225,"N/A")</f>
        <v>0.50324254215304798</v>
      </c>
      <c r="AG235" s="634">
        <f t="shared" ref="AG235" si="493">IFERROR(AG230/AG225,"N/A")</f>
        <v>0.4232758620689655</v>
      </c>
      <c r="AH235" s="634">
        <f t="shared" ref="AH235:AI235" si="494">IFERROR(AH230/AH225,"N/A")</f>
        <v>0.4096045197740113</v>
      </c>
      <c r="AI235" s="634">
        <f t="shared" si="494"/>
        <v>0.40100250626566414</v>
      </c>
      <c r="AJ235" s="183">
        <f t="shared" ref="AJ235" si="495">IFERROR(AJ230/AJ225,"N/A")</f>
        <v>0.43983067929852854</v>
      </c>
      <c r="AK235" s="634">
        <f t="shared" ref="AK235:AL235" si="496">IFERROR(AK230/AK225,"N/A")</f>
        <v>0.48626925653047554</v>
      </c>
      <c r="AL235" s="634">
        <f t="shared" si="496"/>
        <v>0.46724137931034482</v>
      </c>
      <c r="AM235" s="634">
        <f t="shared" ref="AM235:AO235" si="497">IFERROR(AM230/AM225,"N/A")</f>
        <v>0.43203463203463205</v>
      </c>
      <c r="AN235" s="634">
        <f t="shared" si="497"/>
        <v>0.45670995670995673</v>
      </c>
      <c r="AO235" s="183">
        <f t="shared" si="497"/>
        <v>0.4620716211012707</v>
      </c>
      <c r="AP235" s="634">
        <f t="shared" si="485"/>
        <v>0.53163808397397994</v>
      </c>
      <c r="AQ235" s="634">
        <f t="shared" si="485"/>
        <v>0.4207492795389049</v>
      </c>
      <c r="AR235" s="634">
        <f t="shared" si="485"/>
        <v>0.19565217391304349</v>
      </c>
      <c r="AS235" s="634">
        <f t="shared" si="485"/>
        <v>0.5060422960725075</v>
      </c>
      <c r="AT235" s="183">
        <f t="shared" si="485"/>
        <v>0.44887312186978295</v>
      </c>
      <c r="AU235" s="634">
        <f t="shared" si="485"/>
        <v>0.54677513073794304</v>
      </c>
      <c r="AV235" s="634">
        <f t="shared" si="485"/>
        <v>0.47704081632653061</v>
      </c>
      <c r="AW235" s="691">
        <f t="shared" si="485"/>
        <v>0.48662640207075064</v>
      </c>
      <c r="AX235" s="634"/>
      <c r="AY235" s="183"/>
      <c r="AZ235" s="634"/>
      <c r="BA235" s="634"/>
      <c r="BB235" s="634"/>
      <c r="BC235" s="634"/>
      <c r="BD235" s="183"/>
      <c r="BE235" s="183"/>
      <c r="BF235" s="183"/>
      <c r="BG235" s="183"/>
      <c r="BH235" s="342"/>
    </row>
    <row r="236" spans="1:60" s="343" customFormat="1" hidden="1" outlineLevel="1" x14ac:dyDescent="0.25">
      <c r="A236" s="911"/>
      <c r="B236" s="655"/>
      <c r="C236" s="183"/>
      <c r="D236" s="183"/>
      <c r="E236" s="183"/>
      <c r="F236" s="183"/>
      <c r="G236" s="634"/>
      <c r="H236" s="634"/>
      <c r="I236" s="634"/>
      <c r="J236" s="634"/>
      <c r="K236" s="183"/>
      <c r="L236" s="634"/>
      <c r="M236" s="634"/>
      <c r="N236" s="634"/>
      <c r="O236" s="634"/>
      <c r="P236" s="183"/>
      <c r="Q236" s="634"/>
      <c r="R236" s="634"/>
      <c r="S236" s="634"/>
      <c r="T236" s="634"/>
      <c r="U236" s="183"/>
      <c r="V236" s="634"/>
      <c r="W236" s="634"/>
      <c r="X236" s="634"/>
      <c r="Y236" s="634"/>
      <c r="Z236" s="183"/>
      <c r="AA236" s="634"/>
      <c r="AB236" s="634"/>
      <c r="AC236" s="634"/>
      <c r="AD236" s="634"/>
      <c r="AE236" s="183"/>
      <c r="AF236" s="634"/>
      <c r="AG236" s="634"/>
      <c r="AH236" s="634"/>
      <c r="AI236" s="634"/>
      <c r="AJ236" s="183"/>
      <c r="AK236" s="634"/>
      <c r="AL236" s="634"/>
      <c r="AM236" s="634"/>
      <c r="AN236" s="634"/>
      <c r="AO236" s="183"/>
      <c r="AP236" s="634"/>
      <c r="AQ236" s="634"/>
      <c r="AR236" s="634"/>
      <c r="AS236" s="634"/>
      <c r="AT236" s="183"/>
      <c r="AU236" s="634"/>
      <c r="AV236" s="634"/>
      <c r="AW236" s="691"/>
      <c r="AX236" s="634"/>
      <c r="AY236" s="183"/>
      <c r="AZ236" s="634"/>
      <c r="BA236" s="634"/>
      <c r="BB236" s="634"/>
      <c r="BC236" s="634"/>
      <c r="BD236" s="183"/>
      <c r="BE236" s="183"/>
      <c r="BF236" s="183"/>
      <c r="BG236" s="183"/>
      <c r="BH236" s="342"/>
    </row>
    <row r="237" spans="1:60" s="470" customFormat="1" hidden="1" outlineLevel="1" x14ac:dyDescent="0.25">
      <c r="A237" s="898" t="s">
        <v>901</v>
      </c>
      <c r="B237" s="514"/>
      <c r="C237" s="492"/>
      <c r="D237" s="492"/>
      <c r="E237" s="492"/>
      <c r="F237" s="492"/>
      <c r="G237" s="491"/>
      <c r="H237" s="491"/>
      <c r="I237" s="491"/>
      <c r="J237" s="491"/>
      <c r="K237" s="492"/>
      <c r="L237" s="491"/>
      <c r="M237" s="491"/>
      <c r="N237" s="491"/>
      <c r="O237" s="491"/>
      <c r="P237" s="492"/>
      <c r="Q237" s="491"/>
      <c r="R237" s="491"/>
      <c r="S237" s="491"/>
      <c r="T237" s="491"/>
      <c r="U237" s="492"/>
      <c r="V237" s="491"/>
      <c r="W237" s="491"/>
      <c r="X237" s="491"/>
      <c r="Y237" s="491"/>
      <c r="Z237" s="492">
        <v>5172</v>
      </c>
      <c r="AA237" s="491"/>
      <c r="AB237" s="491"/>
      <c r="AC237" s="491"/>
      <c r="AD237" s="491"/>
      <c r="AE237" s="492">
        <v>5412</v>
      </c>
      <c r="AF237" s="491">
        <v>1441</v>
      </c>
      <c r="AG237" s="491">
        <v>1474</v>
      </c>
      <c r="AH237" s="491">
        <v>1469</v>
      </c>
      <c r="AI237" s="491">
        <f>AJ237-SUM(AF237,AG237,AH237)</f>
        <v>1553</v>
      </c>
      <c r="AJ237" s="492">
        <v>5937</v>
      </c>
      <c r="AK237" s="491">
        <v>1493</v>
      </c>
      <c r="AL237" s="491">
        <v>1515</v>
      </c>
      <c r="AM237" s="491">
        <v>1587</v>
      </c>
      <c r="AN237" s="491">
        <f>AO237-SUM(AK237,AL237,AM237)</f>
        <v>1579</v>
      </c>
      <c r="AO237" s="492">
        <v>6174</v>
      </c>
      <c r="AP237" s="491">
        <v>1592</v>
      </c>
      <c r="AQ237" s="491">
        <v>1661</v>
      </c>
      <c r="AR237" s="491">
        <v>644</v>
      </c>
      <c r="AS237" s="491">
        <f>AT237-SUM(AP237,AQ237,AR237)</f>
        <v>973</v>
      </c>
      <c r="AT237" s="492">
        <v>4870</v>
      </c>
      <c r="AU237" s="491">
        <v>1030</v>
      </c>
      <c r="AV237" s="491">
        <v>1012</v>
      </c>
      <c r="AW237" s="692">
        <v>1220</v>
      </c>
      <c r="AX237" s="491"/>
      <c r="AY237" s="492"/>
      <c r="AZ237" s="491"/>
      <c r="BA237" s="491"/>
      <c r="BB237" s="491"/>
      <c r="BC237" s="491"/>
      <c r="BD237" s="492"/>
      <c r="BE237" s="492"/>
      <c r="BF237" s="492"/>
      <c r="BG237" s="492"/>
      <c r="BH237" s="484"/>
    </row>
    <row r="238" spans="1:60" s="470" customFormat="1" hidden="1" outlineLevel="1" x14ac:dyDescent="0.25">
      <c r="A238" s="898" t="s">
        <v>902</v>
      </c>
      <c r="B238" s="514"/>
      <c r="C238" s="492"/>
      <c r="D238" s="492"/>
      <c r="E238" s="492"/>
      <c r="F238" s="492"/>
      <c r="G238" s="491"/>
      <c r="H238" s="491"/>
      <c r="I238" s="491"/>
      <c r="J238" s="491"/>
      <c r="K238" s="492"/>
      <c r="L238" s="491"/>
      <c r="M238" s="491"/>
      <c r="N238" s="491"/>
      <c r="O238" s="491"/>
      <c r="P238" s="492"/>
      <c r="Q238" s="491"/>
      <c r="R238" s="491"/>
      <c r="S238" s="491"/>
      <c r="T238" s="491"/>
      <c r="U238" s="492"/>
      <c r="V238" s="491"/>
      <c r="W238" s="491"/>
      <c r="X238" s="491"/>
      <c r="Y238" s="491"/>
      <c r="Z238" s="492">
        <v>2135</v>
      </c>
      <c r="AA238" s="491"/>
      <c r="AB238" s="491"/>
      <c r="AC238" s="491"/>
      <c r="AD238" s="491"/>
      <c r="AE238" s="492">
        <v>2259</v>
      </c>
      <c r="AF238" s="491">
        <v>564</v>
      </c>
      <c r="AG238" s="491">
        <v>600</v>
      </c>
      <c r="AH238" s="491">
        <v>558</v>
      </c>
      <c r="AI238" s="491">
        <f t="shared" ref="AI238:AI240" si="498">AJ238-SUM(AF238,AG238,AH238)</f>
        <v>648</v>
      </c>
      <c r="AJ238" s="492">
        <v>2370</v>
      </c>
      <c r="AK238" s="491">
        <v>550</v>
      </c>
      <c r="AL238" s="491">
        <v>597</v>
      </c>
      <c r="AM238" s="491">
        <v>607</v>
      </c>
      <c r="AN238" s="491">
        <f t="shared" ref="AN238:AN240" si="499">AO238-SUM(AK238,AL238,AM238)</f>
        <v>715</v>
      </c>
      <c r="AO238" s="492">
        <v>2469</v>
      </c>
      <c r="AP238" s="491">
        <v>605</v>
      </c>
      <c r="AQ238" s="491">
        <v>654</v>
      </c>
      <c r="AR238" s="491">
        <v>562</v>
      </c>
      <c r="AS238" s="491">
        <f t="shared" ref="AS238:AS240" si="500">AT238-SUM(AP238,AQ238,AR238)</f>
        <v>601</v>
      </c>
      <c r="AT238" s="492">
        <v>2422</v>
      </c>
      <c r="AU238" s="491">
        <v>522</v>
      </c>
      <c r="AV238" s="491">
        <v>543</v>
      </c>
      <c r="AW238" s="692">
        <v>584</v>
      </c>
      <c r="AX238" s="491"/>
      <c r="AY238" s="492"/>
      <c r="AZ238" s="491"/>
      <c r="BA238" s="491"/>
      <c r="BB238" s="491"/>
      <c r="BC238" s="491"/>
      <c r="BD238" s="492"/>
      <c r="BE238" s="492"/>
      <c r="BF238" s="492"/>
      <c r="BG238" s="492"/>
      <c r="BH238" s="484"/>
    </row>
    <row r="239" spans="1:60" s="470" customFormat="1" hidden="1" outlineLevel="1" x14ac:dyDescent="0.25">
      <c r="A239" s="898" t="s">
        <v>903</v>
      </c>
      <c r="B239" s="514"/>
      <c r="C239" s="492"/>
      <c r="D239" s="492"/>
      <c r="E239" s="492"/>
      <c r="F239" s="492"/>
      <c r="G239" s="491"/>
      <c r="H239" s="491"/>
      <c r="I239" s="491"/>
      <c r="J239" s="491"/>
      <c r="K239" s="492"/>
      <c r="L239" s="491"/>
      <c r="M239" s="491"/>
      <c r="N239" s="491"/>
      <c r="O239" s="491"/>
      <c r="P239" s="492"/>
      <c r="Q239" s="491"/>
      <c r="R239" s="491"/>
      <c r="S239" s="491"/>
      <c r="T239" s="491"/>
      <c r="U239" s="492"/>
      <c r="V239" s="491"/>
      <c r="W239" s="491"/>
      <c r="X239" s="491"/>
      <c r="Y239" s="491"/>
      <c r="Z239" s="492">
        <v>2823</v>
      </c>
      <c r="AA239" s="491"/>
      <c r="AB239" s="491"/>
      <c r="AC239" s="491"/>
      <c r="AD239" s="491"/>
      <c r="AE239" s="492">
        <v>2670</v>
      </c>
      <c r="AF239" s="491">
        <v>728</v>
      </c>
      <c r="AG239" s="491">
        <v>585</v>
      </c>
      <c r="AH239" s="491">
        <v>669</v>
      </c>
      <c r="AI239" s="491">
        <f t="shared" si="498"/>
        <v>782</v>
      </c>
      <c r="AJ239" s="492">
        <v>2764</v>
      </c>
      <c r="AK239" s="491">
        <v>817</v>
      </c>
      <c r="AL239" s="491">
        <v>636</v>
      </c>
      <c r="AM239" s="491">
        <v>698</v>
      </c>
      <c r="AN239" s="491">
        <f t="shared" si="499"/>
        <v>767</v>
      </c>
      <c r="AO239" s="492">
        <v>2918</v>
      </c>
      <c r="AP239" s="491">
        <v>903</v>
      </c>
      <c r="AQ239" s="491">
        <v>626</v>
      </c>
      <c r="AR239" s="491">
        <v>238</v>
      </c>
      <c r="AS239" s="491">
        <f t="shared" si="500"/>
        <v>435</v>
      </c>
      <c r="AT239" s="492">
        <v>2202</v>
      </c>
      <c r="AU239" s="491">
        <v>587</v>
      </c>
      <c r="AV239" s="491">
        <v>421</v>
      </c>
      <c r="AW239" s="692">
        <v>486</v>
      </c>
      <c r="AX239" s="491"/>
      <c r="AY239" s="492"/>
      <c r="AZ239" s="491"/>
      <c r="BA239" s="491"/>
      <c r="BB239" s="491"/>
      <c r="BC239" s="491"/>
      <c r="BD239" s="492"/>
      <c r="BE239" s="492"/>
      <c r="BF239" s="492"/>
      <c r="BG239" s="492"/>
      <c r="BH239" s="484"/>
    </row>
    <row r="240" spans="1:60" s="903" customFormat="1" hidden="1" outlineLevel="1" x14ac:dyDescent="0.25">
      <c r="A240" s="904" t="s">
        <v>904</v>
      </c>
      <c r="B240" s="573"/>
      <c r="C240" s="322"/>
      <c r="D240" s="322"/>
      <c r="E240" s="322"/>
      <c r="F240" s="322"/>
      <c r="G240" s="321"/>
      <c r="H240" s="321"/>
      <c r="I240" s="321"/>
      <c r="J240" s="321"/>
      <c r="K240" s="322"/>
      <c r="L240" s="321"/>
      <c r="M240" s="321"/>
      <c r="N240" s="321"/>
      <c r="O240" s="321"/>
      <c r="P240" s="322"/>
      <c r="Q240" s="321"/>
      <c r="R240" s="321"/>
      <c r="S240" s="321"/>
      <c r="T240" s="321"/>
      <c r="U240" s="322"/>
      <c r="V240" s="321"/>
      <c r="W240" s="321"/>
      <c r="X240" s="321"/>
      <c r="Y240" s="321"/>
      <c r="Z240" s="322">
        <v>2046</v>
      </c>
      <c r="AA240" s="321"/>
      <c r="AB240" s="321"/>
      <c r="AC240" s="321"/>
      <c r="AD240" s="321"/>
      <c r="AE240" s="322">
        <v>2114</v>
      </c>
      <c r="AF240" s="321">
        <v>632</v>
      </c>
      <c r="AG240" s="321">
        <v>586</v>
      </c>
      <c r="AH240" s="321">
        <v>493</v>
      </c>
      <c r="AI240" s="321">
        <f t="shared" si="498"/>
        <v>544</v>
      </c>
      <c r="AJ240" s="322">
        <v>2255</v>
      </c>
      <c r="AK240" s="321">
        <v>546</v>
      </c>
      <c r="AL240" s="321">
        <v>593</v>
      </c>
      <c r="AM240" s="321">
        <v>590</v>
      </c>
      <c r="AN240" s="321">
        <f t="shared" si="499"/>
        <v>725</v>
      </c>
      <c r="AO240" s="322">
        <v>2454</v>
      </c>
      <c r="AP240" s="916">
        <v>603</v>
      </c>
      <c r="AQ240" s="320">
        <v>614</v>
      </c>
      <c r="AR240" s="916">
        <v>357</v>
      </c>
      <c r="AS240" s="321">
        <f t="shared" si="500"/>
        <v>417</v>
      </c>
      <c r="AT240" s="322">
        <v>1991</v>
      </c>
      <c r="AU240" s="916">
        <v>291</v>
      </c>
      <c r="AV240" s="320">
        <v>332</v>
      </c>
      <c r="AW240" s="946">
        <v>428</v>
      </c>
      <c r="AX240" s="321"/>
      <c r="AY240" s="322"/>
      <c r="AZ240" s="321"/>
      <c r="BA240" s="321"/>
      <c r="BB240" s="321"/>
      <c r="BC240" s="321"/>
      <c r="BD240" s="322"/>
      <c r="BE240" s="322"/>
      <c r="BF240" s="322"/>
      <c r="BG240" s="322"/>
      <c r="BH240" s="902"/>
    </row>
    <row r="241" spans="1:60" s="910" customFormat="1" hidden="1" outlineLevel="1" x14ac:dyDescent="0.25">
      <c r="A241" s="905" t="s">
        <v>905</v>
      </c>
      <c r="B241" s="906"/>
      <c r="C241" s="506"/>
      <c r="D241" s="506"/>
      <c r="E241" s="506"/>
      <c r="F241" s="506"/>
      <c r="G241" s="505"/>
      <c r="H241" s="505"/>
      <c r="I241" s="505"/>
      <c r="J241" s="505"/>
      <c r="K241" s="506"/>
      <c r="L241" s="505"/>
      <c r="M241" s="505"/>
      <c r="N241" s="505"/>
      <c r="O241" s="505"/>
      <c r="P241" s="506"/>
      <c r="Q241" s="505"/>
      <c r="R241" s="505"/>
      <c r="S241" s="505"/>
      <c r="T241" s="505"/>
      <c r="U241" s="506"/>
      <c r="V241" s="505"/>
      <c r="W241" s="505"/>
      <c r="X241" s="505"/>
      <c r="Y241" s="505"/>
      <c r="Z241" s="502">
        <f>Z206</f>
        <v>12176</v>
      </c>
      <c r="AA241" s="505"/>
      <c r="AB241" s="505"/>
      <c r="AC241" s="505"/>
      <c r="AD241" s="505"/>
      <c r="AE241" s="502">
        <f>AE206</f>
        <v>12455</v>
      </c>
      <c r="AF241" s="503">
        <f>SUM(AF238,AF239,AF240,AF237)</f>
        <v>3365</v>
      </c>
      <c r="AG241" s="503">
        <f>SUM(AG238,AG239,AG240,AG237)</f>
        <v>3245</v>
      </c>
      <c r="AH241" s="503">
        <f>SUM(AH238,AH239,AH240,AH237)</f>
        <v>3189</v>
      </c>
      <c r="AI241" s="503">
        <f>AI206</f>
        <v>3563</v>
      </c>
      <c r="AJ241" s="502">
        <f>AJ206</f>
        <v>13326</v>
      </c>
      <c r="AK241" s="503">
        <f>SUM(AK238,AK239,AK240,AK237)</f>
        <v>3406</v>
      </c>
      <c r="AL241" s="503">
        <f>SUM(AL238,AL239,AL240,AL237)</f>
        <v>3341</v>
      </c>
      <c r="AM241" s="503">
        <f>SUM(AM238,AM239,AM240,AM237)</f>
        <v>3482</v>
      </c>
      <c r="AN241" s="503">
        <f>AN206</f>
        <v>3786</v>
      </c>
      <c r="AO241" s="502">
        <f>AO206</f>
        <v>14015</v>
      </c>
      <c r="AP241" s="503">
        <f>SUM(AP238,AP239,AP240,AP237)</f>
        <v>3703</v>
      </c>
      <c r="AQ241" s="503">
        <f>SUM(AQ238,AQ239,AQ240,AQ237)</f>
        <v>3555</v>
      </c>
      <c r="AR241" s="503">
        <f>SUM(AR238,AR239,AR240,AR237)</f>
        <v>1801</v>
      </c>
      <c r="AS241" s="503">
        <f>AS206</f>
        <v>2426</v>
      </c>
      <c r="AT241" s="502">
        <f>AT206</f>
        <v>11485</v>
      </c>
      <c r="AU241" s="504">
        <f>SUM(AU238,AU239,AU240,AU237)</f>
        <v>2430</v>
      </c>
      <c r="AV241" s="504">
        <f>SUM(AV238,AV239,AV240,AV237)</f>
        <v>2308</v>
      </c>
      <c r="AW241" s="689">
        <f>SUM(AW238,AW239,AW240,AW237)</f>
        <v>2718</v>
      </c>
      <c r="AX241" s="908"/>
      <c r="AY241" s="907"/>
      <c r="AZ241" s="908"/>
      <c r="BA241" s="908"/>
      <c r="BB241" s="908"/>
      <c r="BC241" s="908"/>
      <c r="BD241" s="907"/>
      <c r="BE241" s="907"/>
      <c r="BF241" s="907"/>
      <c r="BG241" s="907"/>
      <c r="BH241" s="909"/>
    </row>
    <row r="242" spans="1:60" s="343" customFormat="1" collapsed="1" x14ac:dyDescent="0.25">
      <c r="A242" s="314"/>
      <c r="B242" s="655"/>
      <c r="C242" s="183"/>
      <c r="D242" s="183"/>
      <c r="E242" s="183"/>
      <c r="F242" s="183"/>
      <c r="G242" s="634"/>
      <c r="H242" s="634"/>
      <c r="I242" s="634"/>
      <c r="J242" s="634"/>
      <c r="K242" s="183"/>
      <c r="L242" s="634"/>
      <c r="M242" s="634"/>
      <c r="N242" s="634"/>
      <c r="O242" s="634"/>
      <c r="P242" s="183"/>
      <c r="Q242" s="634"/>
      <c r="R242" s="634"/>
      <c r="S242" s="634"/>
      <c r="T242" s="634"/>
      <c r="U242" s="183"/>
      <c r="V242" s="634"/>
      <c r="W242" s="634"/>
      <c r="X242" s="634"/>
      <c r="Y242" s="634"/>
      <c r="Z242" s="183"/>
      <c r="AA242" s="634"/>
      <c r="AB242" s="634"/>
      <c r="AC242" s="634"/>
      <c r="AD242" s="634"/>
      <c r="AE242" s="183"/>
      <c r="AF242" s="634"/>
      <c r="AG242" s="634"/>
      <c r="AH242" s="634"/>
      <c r="AI242" s="634"/>
      <c r="AJ242" s="183"/>
      <c r="AK242" s="634"/>
      <c r="AL242" s="634"/>
      <c r="AM242" s="634"/>
      <c r="AN242" s="634"/>
      <c r="AO242" s="183"/>
      <c r="AP242" s="634"/>
      <c r="AQ242" s="634"/>
      <c r="AR242" s="634"/>
      <c r="AS242" s="634"/>
      <c r="AT242" s="183"/>
      <c r="AU242" s="634"/>
      <c r="AV242" s="634"/>
      <c r="AW242" s="691"/>
      <c r="AX242" s="634"/>
      <c r="AY242" s="183"/>
      <c r="AZ242" s="634"/>
      <c r="BA242" s="634"/>
      <c r="BB242" s="634"/>
      <c r="BC242" s="634"/>
      <c r="BD242" s="183"/>
      <c r="BE242" s="183"/>
      <c r="BF242" s="183"/>
      <c r="BG242" s="183"/>
      <c r="BH242" s="342"/>
    </row>
    <row r="243" spans="1:60" s="670" customFormat="1" x14ac:dyDescent="0.25">
      <c r="A243" s="300" t="s">
        <v>825</v>
      </c>
      <c r="B243" s="675"/>
      <c r="C243" s="676"/>
      <c r="D243" s="676"/>
      <c r="E243" s="676"/>
      <c r="F243" s="676"/>
      <c r="G243" s="676"/>
      <c r="H243" s="676"/>
      <c r="I243" s="676"/>
      <c r="J243" s="676"/>
      <c r="K243" s="676"/>
      <c r="L243" s="676"/>
      <c r="M243" s="676"/>
      <c r="N243" s="676"/>
      <c r="O243" s="676"/>
      <c r="P243" s="676"/>
      <c r="Q243" s="676"/>
      <c r="R243" s="676"/>
      <c r="S243" s="676"/>
      <c r="T243" s="676"/>
      <c r="U243" s="676"/>
      <c r="V243" s="676"/>
      <c r="W243" s="676"/>
      <c r="X243" s="676"/>
      <c r="Y243" s="676"/>
      <c r="Z243" s="676"/>
      <c r="AA243" s="676"/>
      <c r="AB243" s="676"/>
      <c r="AC243" s="676"/>
      <c r="AD243" s="676"/>
      <c r="AE243" s="676"/>
      <c r="AF243" s="676"/>
      <c r="AG243" s="676"/>
      <c r="AH243" s="676"/>
      <c r="AI243" s="676"/>
      <c r="AJ243" s="676"/>
      <c r="AK243" s="676"/>
      <c r="AL243" s="676"/>
      <c r="AM243" s="676"/>
      <c r="AN243" s="676"/>
      <c r="AO243" s="676"/>
      <c r="AP243" s="676"/>
      <c r="AQ243" s="676"/>
      <c r="AR243" s="676"/>
      <c r="AS243" s="676"/>
      <c r="AT243" s="676"/>
      <c r="AU243" s="676"/>
      <c r="AV243" s="676"/>
      <c r="AW243" s="677"/>
      <c r="AX243" s="676"/>
      <c r="AY243" s="676"/>
      <c r="AZ243" s="676"/>
      <c r="BA243" s="676"/>
      <c r="BB243" s="676"/>
      <c r="BC243" s="676"/>
      <c r="BD243" s="676"/>
      <c r="BE243" s="676"/>
      <c r="BF243" s="676"/>
      <c r="BG243" s="676"/>
      <c r="BH243" s="669"/>
    </row>
    <row r="244" spans="1:60" s="19" customFormat="1" hidden="1" outlineLevel="1" x14ac:dyDescent="0.25">
      <c r="A244" s="956" t="s">
        <v>824</v>
      </c>
      <c r="B244" s="956"/>
      <c r="C244" s="986"/>
      <c r="D244" s="986"/>
      <c r="E244" s="986"/>
      <c r="F244" s="986"/>
      <c r="G244" s="986"/>
      <c r="H244" s="986"/>
      <c r="I244" s="986"/>
      <c r="J244" s="986"/>
      <c r="K244" s="986"/>
      <c r="L244" s="986"/>
      <c r="M244" s="986"/>
      <c r="N244" s="986"/>
      <c r="O244" s="986"/>
      <c r="P244" s="986"/>
      <c r="Q244" s="986"/>
      <c r="R244" s="986"/>
      <c r="S244" s="986"/>
      <c r="T244" s="986"/>
      <c r="U244" s="986"/>
      <c r="V244" s="986"/>
      <c r="W244" s="986"/>
      <c r="X244" s="986"/>
      <c r="Y244" s="986"/>
      <c r="Z244" s="986"/>
      <c r="AA244" s="986"/>
      <c r="AB244" s="986"/>
      <c r="AC244" s="986"/>
      <c r="AD244" s="986"/>
      <c r="AE244" s="986"/>
      <c r="AF244" s="986"/>
      <c r="AG244" s="986"/>
      <c r="AH244" s="986"/>
      <c r="AI244" s="986"/>
      <c r="AJ244" s="986"/>
      <c r="AK244" s="986"/>
      <c r="AL244" s="986"/>
      <c r="AM244" s="986"/>
      <c r="AN244" s="986"/>
      <c r="AO244" s="986"/>
      <c r="AP244" s="986"/>
      <c r="AQ244" s="986"/>
      <c r="AR244" s="986"/>
      <c r="AS244" s="986"/>
      <c r="AT244" s="986"/>
      <c r="AU244" s="986"/>
      <c r="AV244" s="986"/>
      <c r="AW244" s="987"/>
      <c r="AX244" s="986"/>
      <c r="AY244" s="986"/>
      <c r="AZ244" s="986"/>
      <c r="BA244" s="986"/>
      <c r="BB244" s="986"/>
      <c r="BC244" s="986"/>
      <c r="BD244" s="986"/>
      <c r="BE244" s="986"/>
      <c r="BF244" s="986"/>
      <c r="BG244" s="986"/>
      <c r="BH244" s="730"/>
    </row>
    <row r="245" spans="1:60" s="83" customFormat="1" hidden="1" outlineLevel="2" x14ac:dyDescent="0.25">
      <c r="A245" s="485" t="s">
        <v>14</v>
      </c>
      <c r="B245" s="245"/>
      <c r="C245" s="103"/>
      <c r="D245" s="103"/>
      <c r="E245" s="103"/>
      <c r="F245" s="103"/>
      <c r="G245" s="101"/>
      <c r="H245" s="101"/>
      <c r="I245" s="101"/>
      <c r="J245" s="101"/>
      <c r="K245" s="103"/>
      <c r="L245" s="101"/>
      <c r="M245" s="101"/>
      <c r="N245" s="101"/>
      <c r="O245" s="101"/>
      <c r="P245" s="103"/>
      <c r="Q245" s="101"/>
      <c r="R245" s="101"/>
      <c r="S245" s="101"/>
      <c r="T245" s="101"/>
      <c r="U245" s="103"/>
      <c r="V245" s="101"/>
      <c r="W245" s="101"/>
      <c r="X245" s="101"/>
      <c r="Y245" s="101"/>
      <c r="Z245" s="103"/>
      <c r="AA245" s="101"/>
      <c r="AB245" s="101"/>
      <c r="AC245" s="101"/>
      <c r="AD245" s="101"/>
      <c r="AE245" s="468">
        <f>AE249/Z249-1</f>
        <v>4.8580748143511876E-4</v>
      </c>
      <c r="AF245" s="101"/>
      <c r="AG245" s="101"/>
      <c r="AH245" s="101"/>
      <c r="AI245" s="101"/>
      <c r="AJ245" s="468">
        <f t="shared" ref="AJ245:AR247" si="501">AJ249/AE249-1</f>
        <v>1.3457269700333008E-2</v>
      </c>
      <c r="AK245" s="471">
        <f t="shared" si="501"/>
        <v>3.9916514479519938E-2</v>
      </c>
      <c r="AL245" s="481">
        <f t="shared" si="501"/>
        <v>1.5056118258965245E-2</v>
      </c>
      <c r="AM245" s="471">
        <f t="shared" si="501"/>
        <v>0.24103419516263558</v>
      </c>
      <c r="AN245" s="471">
        <f t="shared" si="501"/>
        <v>0.20300538701445991</v>
      </c>
      <c r="AO245" s="468">
        <f t="shared" si="501"/>
        <v>0.12840520191649563</v>
      </c>
      <c r="AP245" s="471">
        <f t="shared" si="501"/>
        <v>0.19568489713999004</v>
      </c>
      <c r="AQ245" s="481">
        <f t="shared" si="501"/>
        <v>0.19875943905070126</v>
      </c>
      <c r="AR245" s="471">
        <f t="shared" si="501"/>
        <v>-9.6326164874551923E-2</v>
      </c>
      <c r="AS245" s="471">
        <f t="shared" ref="AS245:AT247" si="502">AS249/AN249-1</f>
        <v>0.11265613952392184</v>
      </c>
      <c r="AT245" s="468">
        <f t="shared" si="502"/>
        <v>8.9773140846779009E-2</v>
      </c>
      <c r="AU245" s="101"/>
      <c r="AV245" s="101"/>
      <c r="AW245" s="686"/>
      <c r="AX245" s="101"/>
      <c r="AY245" s="103"/>
      <c r="AZ245" s="101"/>
      <c r="BA245" s="101"/>
      <c r="BB245" s="101"/>
      <c r="BC245" s="101"/>
      <c r="BD245" s="103"/>
      <c r="BE245" s="103"/>
      <c r="BF245" s="103"/>
      <c r="BG245" s="103"/>
      <c r="BH245" s="477"/>
    </row>
    <row r="246" spans="1:60" s="83" customFormat="1" hidden="1" outlineLevel="2" x14ac:dyDescent="0.25">
      <c r="A246" s="485" t="s">
        <v>15</v>
      </c>
      <c r="B246" s="245"/>
      <c r="C246" s="103"/>
      <c r="D246" s="103"/>
      <c r="E246" s="103"/>
      <c r="F246" s="103"/>
      <c r="G246" s="101"/>
      <c r="H246" s="101"/>
      <c r="I246" s="101"/>
      <c r="J246" s="101"/>
      <c r="K246" s="103"/>
      <c r="L246" s="101"/>
      <c r="M246" s="101"/>
      <c r="N246" s="101"/>
      <c r="O246" s="101"/>
      <c r="P246" s="103"/>
      <c r="Q246" s="101"/>
      <c r="R246" s="101"/>
      <c r="S246" s="101"/>
      <c r="T246" s="101"/>
      <c r="U246" s="103"/>
      <c r="V246" s="101"/>
      <c r="W246" s="101"/>
      <c r="X246" s="101"/>
      <c r="Y246" s="101"/>
      <c r="Z246" s="103"/>
      <c r="AA246" s="101"/>
      <c r="AB246" s="101"/>
      <c r="AC246" s="101"/>
      <c r="AD246" s="101"/>
      <c r="AE246" s="468">
        <f>AE250/Z250-1</f>
        <v>-4.9154257626138342E-3</v>
      </c>
      <c r="AF246" s="101"/>
      <c r="AG246" s="101"/>
      <c r="AH246" s="101"/>
      <c r="AI246" s="101"/>
      <c r="AJ246" s="468">
        <f t="shared" si="501"/>
        <v>6.232747348539891E-2</v>
      </c>
      <c r="AK246" s="471">
        <f t="shared" si="501"/>
        <v>0.12369337979094075</v>
      </c>
      <c r="AL246" s="481">
        <f t="shared" si="501"/>
        <v>-2.0485175202156314E-2</v>
      </c>
      <c r="AM246" s="471">
        <f t="shared" si="501"/>
        <v>0.16107382550335569</v>
      </c>
      <c r="AN246" s="471">
        <f t="shared" si="501"/>
        <v>0.2608453837597331</v>
      </c>
      <c r="AO246" s="468">
        <f t="shared" si="501"/>
        <v>0.14072757111597367</v>
      </c>
      <c r="AP246" s="471">
        <f t="shared" si="501"/>
        <v>0.3410852713178294</v>
      </c>
      <c r="AQ246" s="481">
        <f t="shared" si="501"/>
        <v>0.54760594386351125</v>
      </c>
      <c r="AR246" s="471">
        <f t="shared" si="501"/>
        <v>0.12405513561582926</v>
      </c>
      <c r="AS246" s="471">
        <f t="shared" si="502"/>
        <v>9.9250110277900205E-2</v>
      </c>
      <c r="AT246" s="468">
        <f t="shared" si="502"/>
        <v>0.25008991727610597</v>
      </c>
      <c r="AU246" s="101"/>
      <c r="AV246" s="101"/>
      <c r="AW246" s="686"/>
      <c r="AX246" s="101"/>
      <c r="AY246" s="103"/>
      <c r="AZ246" s="101"/>
      <c r="BA246" s="101"/>
      <c r="BB246" s="101"/>
      <c r="BC246" s="101"/>
      <c r="BD246" s="103"/>
      <c r="BE246" s="103"/>
      <c r="BF246" s="103"/>
      <c r="BG246" s="103"/>
      <c r="BH246" s="477"/>
    </row>
    <row r="247" spans="1:60" s="469" customFormat="1" hidden="1" outlineLevel="2" x14ac:dyDescent="0.25">
      <c r="A247" s="85" t="s">
        <v>16</v>
      </c>
      <c r="B247" s="179"/>
      <c r="C247" s="102"/>
      <c r="D247" s="102"/>
      <c r="E247" s="102"/>
      <c r="F247" s="102"/>
      <c r="G247" s="100"/>
      <c r="H247" s="100"/>
      <c r="I247" s="100"/>
      <c r="J247" s="100"/>
      <c r="K247" s="102"/>
      <c r="L247" s="100"/>
      <c r="M247" s="100"/>
      <c r="N247" s="100"/>
      <c r="O247" s="100"/>
      <c r="P247" s="102"/>
      <c r="Q247" s="100"/>
      <c r="R247" s="100"/>
      <c r="S247" s="100"/>
      <c r="T247" s="100"/>
      <c r="U247" s="102"/>
      <c r="V247" s="100"/>
      <c r="W247" s="100"/>
      <c r="X247" s="100"/>
      <c r="Y247" s="100"/>
      <c r="Z247" s="102"/>
      <c r="AA247" s="100"/>
      <c r="AB247" s="100"/>
      <c r="AC247" s="100"/>
      <c r="AD247" s="100"/>
      <c r="AE247" s="50">
        <f>AE251/Z251-1</f>
        <v>-1.2660602081965289E-3</v>
      </c>
      <c r="AF247" s="100"/>
      <c r="AG247" s="100"/>
      <c r="AH247" s="100"/>
      <c r="AI247" s="100"/>
      <c r="AJ247" s="50">
        <f t="shared" si="501"/>
        <v>2.9250199539884392E-2</v>
      </c>
      <c r="AK247" s="60">
        <f t="shared" si="501"/>
        <v>6.5886588658865985E-2</v>
      </c>
      <c r="AL247" s="190">
        <f t="shared" si="501"/>
        <v>3.0864197530864335E-3</v>
      </c>
      <c r="AM247" s="60">
        <f t="shared" si="501"/>
        <v>0.21304662088904958</v>
      </c>
      <c r="AN247" s="60">
        <f t="shared" si="501"/>
        <v>0.22253521126760556</v>
      </c>
      <c r="AO247" s="50">
        <f t="shared" si="501"/>
        <v>0.1325152814524222</v>
      </c>
      <c r="AP247" s="60">
        <f t="shared" si="501"/>
        <v>0.24320216179699372</v>
      </c>
      <c r="AQ247" s="190">
        <f t="shared" si="501"/>
        <v>0.31348416289592751</v>
      </c>
      <c r="AR247" s="60">
        <f t="shared" si="501"/>
        <v>-2.2493669000446914E-2</v>
      </c>
      <c r="AS247" s="60">
        <f t="shared" si="502"/>
        <v>0.10798771121351769</v>
      </c>
      <c r="AT247" s="50">
        <f t="shared" si="502"/>
        <v>0.14363394691263554</v>
      </c>
      <c r="AU247" s="100"/>
      <c r="AV247" s="100"/>
      <c r="AW247" s="704"/>
      <c r="AX247" s="100"/>
      <c r="AY247" s="102"/>
      <c r="AZ247" s="100"/>
      <c r="BA247" s="100"/>
      <c r="BB247" s="100"/>
      <c r="BC247" s="100"/>
      <c r="BD247" s="102"/>
      <c r="BE247" s="102"/>
      <c r="BF247" s="102"/>
      <c r="BG247" s="102"/>
      <c r="BH247" s="473"/>
    </row>
    <row r="248" spans="1:60" s="283" customFormat="1" hidden="1" outlineLevel="2" x14ac:dyDescent="0.25">
      <c r="A248" s="226"/>
      <c r="B248" s="514"/>
      <c r="C248" s="492"/>
      <c r="D248" s="492"/>
      <c r="E248" s="492"/>
      <c r="F248" s="492"/>
      <c r="G248" s="491"/>
      <c r="H248" s="491"/>
      <c r="I248" s="491"/>
      <c r="J248" s="491"/>
      <c r="K248" s="492"/>
      <c r="L248" s="491"/>
      <c r="M248" s="491"/>
      <c r="N248" s="491"/>
      <c r="O248" s="491"/>
      <c r="P248" s="492"/>
      <c r="Q248" s="491"/>
      <c r="R248" s="491"/>
      <c r="S248" s="491"/>
      <c r="T248" s="491"/>
      <c r="U248" s="492"/>
      <c r="V248" s="491"/>
      <c r="W248" s="491"/>
      <c r="X248" s="491"/>
      <c r="Y248" s="491"/>
      <c r="Z248" s="492"/>
      <c r="AA248" s="491"/>
      <c r="AB248" s="491"/>
      <c r="AC248" s="491"/>
      <c r="AD248" s="491"/>
      <c r="AE248" s="492"/>
      <c r="AF248" s="491"/>
      <c r="AG248" s="491"/>
      <c r="AH248" s="491"/>
      <c r="AI248" s="491"/>
      <c r="AJ248" s="492"/>
      <c r="AK248" s="491"/>
      <c r="AL248" s="491"/>
      <c r="AM248" s="491"/>
      <c r="AN248" s="491"/>
      <c r="AO248" s="492"/>
      <c r="AP248" s="491"/>
      <c r="AQ248" s="491"/>
      <c r="AR248" s="491"/>
      <c r="AS248" s="491"/>
      <c r="AT248" s="492"/>
      <c r="AU248" s="491"/>
      <c r="AV248" s="491"/>
      <c r="AW248" s="692"/>
      <c r="AX248" s="491"/>
      <c r="AY248" s="492"/>
      <c r="AZ248" s="491"/>
      <c r="BA248" s="491"/>
      <c r="BB248" s="491"/>
      <c r="BC248" s="491"/>
      <c r="BD248" s="492"/>
      <c r="BE248" s="492"/>
      <c r="BF248" s="492"/>
      <c r="BG248" s="492"/>
      <c r="BH248" s="484"/>
    </row>
    <row r="249" spans="1:60" s="49" customFormat="1" hidden="1" outlineLevel="2" x14ac:dyDescent="0.25">
      <c r="A249" s="483" t="s">
        <v>31</v>
      </c>
      <c r="B249" s="514"/>
      <c r="C249" s="492"/>
      <c r="D249" s="492"/>
      <c r="E249" s="492"/>
      <c r="F249" s="492"/>
      <c r="G249" s="491"/>
      <c r="H249" s="491"/>
      <c r="I249" s="491"/>
      <c r="J249" s="491"/>
      <c r="K249" s="492"/>
      <c r="L249" s="491"/>
      <c r="M249" s="491"/>
      <c r="N249" s="491"/>
      <c r="O249" s="491"/>
      <c r="P249" s="492"/>
      <c r="Q249" s="491"/>
      <c r="R249" s="491"/>
      <c r="S249" s="491"/>
      <c r="T249" s="491"/>
      <c r="U249" s="492"/>
      <c r="V249" s="491"/>
      <c r="W249" s="491"/>
      <c r="X249" s="491"/>
      <c r="Y249" s="491"/>
      <c r="Z249" s="489">
        <v>14409</v>
      </c>
      <c r="AA249" s="491"/>
      <c r="AB249" s="491"/>
      <c r="AC249" s="491"/>
      <c r="AD249" s="491"/>
      <c r="AE249" s="489">
        <v>14416</v>
      </c>
      <c r="AF249" s="490">
        <v>3833</v>
      </c>
      <c r="AG249" s="497">
        <v>3653</v>
      </c>
      <c r="AH249" s="490">
        <v>3597</v>
      </c>
      <c r="AI249" s="490">
        <f>AJ249-AH249-AG249-AF249</f>
        <v>3527</v>
      </c>
      <c r="AJ249" s="489">
        <v>14610</v>
      </c>
      <c r="AK249" s="490">
        <v>3986</v>
      </c>
      <c r="AL249" s="497">
        <v>3708</v>
      </c>
      <c r="AM249" s="490">
        <v>4464</v>
      </c>
      <c r="AN249" s="490">
        <f>AO249-12243</f>
        <v>4243</v>
      </c>
      <c r="AO249" s="489">
        <v>16486</v>
      </c>
      <c r="AP249" s="490">
        <v>4766</v>
      </c>
      <c r="AQ249" s="497">
        <v>4445</v>
      </c>
      <c r="AR249" s="490">
        <v>4034</v>
      </c>
      <c r="AS249" s="490">
        <f>AT249-SUM(AP249,AQ249,AR249)</f>
        <v>4721</v>
      </c>
      <c r="AT249" s="489">
        <v>17966</v>
      </c>
      <c r="AU249" s="491"/>
      <c r="AV249" s="491"/>
      <c r="AW249" s="692"/>
      <c r="AX249" s="491"/>
      <c r="AY249" s="492"/>
      <c r="AZ249" s="491"/>
      <c r="BA249" s="491"/>
      <c r="BB249" s="491"/>
      <c r="BC249" s="491"/>
      <c r="BD249" s="492"/>
      <c r="BE249" s="492"/>
      <c r="BF249" s="492"/>
      <c r="BG249" s="492"/>
      <c r="BH249" s="484"/>
    </row>
    <row r="250" spans="1:60" s="49" customFormat="1" hidden="1" outlineLevel="2" x14ac:dyDescent="0.25">
      <c r="A250" s="218" t="s">
        <v>32</v>
      </c>
      <c r="B250" s="573"/>
      <c r="C250" s="322"/>
      <c r="D250" s="322"/>
      <c r="E250" s="322"/>
      <c r="F250" s="322"/>
      <c r="G250" s="321"/>
      <c r="H250" s="321"/>
      <c r="I250" s="321"/>
      <c r="J250" s="321"/>
      <c r="K250" s="322"/>
      <c r="L250" s="321"/>
      <c r="M250" s="321"/>
      <c r="N250" s="321"/>
      <c r="O250" s="321"/>
      <c r="P250" s="322"/>
      <c r="Q250" s="321"/>
      <c r="R250" s="321"/>
      <c r="S250" s="321"/>
      <c r="T250" s="321"/>
      <c r="U250" s="322"/>
      <c r="V250" s="321"/>
      <c r="W250" s="321"/>
      <c r="X250" s="321"/>
      <c r="Y250" s="321"/>
      <c r="Z250" s="318">
        <v>6917</v>
      </c>
      <c r="AA250" s="321"/>
      <c r="AB250" s="321"/>
      <c r="AC250" s="321"/>
      <c r="AD250" s="321"/>
      <c r="AE250" s="318">
        <v>6883</v>
      </c>
      <c r="AF250" s="319">
        <v>1722</v>
      </c>
      <c r="AG250" s="320">
        <v>1855</v>
      </c>
      <c r="AH250" s="319">
        <v>1937</v>
      </c>
      <c r="AI250" s="319">
        <f>AJ250-AH250-AG250-AF250</f>
        <v>1798</v>
      </c>
      <c r="AJ250" s="318">
        <v>7312</v>
      </c>
      <c r="AK250" s="319">
        <v>1935</v>
      </c>
      <c r="AL250" s="320">
        <v>1817</v>
      </c>
      <c r="AM250" s="319">
        <v>2249</v>
      </c>
      <c r="AN250" s="319">
        <f>AO250-6074</f>
        <v>2267</v>
      </c>
      <c r="AO250" s="318">
        <v>8341</v>
      </c>
      <c r="AP250" s="319">
        <v>2595</v>
      </c>
      <c r="AQ250" s="320">
        <v>2812</v>
      </c>
      <c r="AR250" s="319">
        <v>2528</v>
      </c>
      <c r="AS250" s="319">
        <f>AT250-SUM(AP250,AQ250,AR250)</f>
        <v>2492</v>
      </c>
      <c r="AT250" s="318">
        <v>10427</v>
      </c>
      <c r="AU250" s="321"/>
      <c r="AV250" s="321"/>
      <c r="AW250" s="693"/>
      <c r="AX250" s="321"/>
      <c r="AY250" s="322"/>
      <c r="AZ250" s="321"/>
      <c r="BA250" s="321"/>
      <c r="BB250" s="321"/>
      <c r="BC250" s="321"/>
      <c r="BD250" s="322"/>
      <c r="BE250" s="322"/>
      <c r="BF250" s="322"/>
      <c r="BG250" s="322"/>
      <c r="BH250" s="484"/>
    </row>
    <row r="251" spans="1:60" s="52" customFormat="1" hidden="1" outlineLevel="2" x14ac:dyDescent="0.25">
      <c r="A251" s="501" t="s">
        <v>33</v>
      </c>
      <c r="B251" s="264"/>
      <c r="C251" s="506"/>
      <c r="D251" s="506"/>
      <c r="E251" s="506"/>
      <c r="F251" s="506"/>
      <c r="G251" s="505"/>
      <c r="H251" s="505"/>
      <c r="I251" s="505"/>
      <c r="J251" s="505"/>
      <c r="K251" s="506"/>
      <c r="L251" s="505"/>
      <c r="M251" s="505"/>
      <c r="N251" s="505"/>
      <c r="O251" s="505"/>
      <c r="P251" s="506"/>
      <c r="Q251" s="505"/>
      <c r="R251" s="505"/>
      <c r="S251" s="505"/>
      <c r="T251" s="505"/>
      <c r="U251" s="506"/>
      <c r="V251" s="505"/>
      <c r="W251" s="505"/>
      <c r="X251" s="505"/>
      <c r="Y251" s="505"/>
      <c r="Z251" s="502">
        <f>SUM(Z249:Z250)</f>
        <v>21326</v>
      </c>
      <c r="AA251" s="505"/>
      <c r="AB251" s="505"/>
      <c r="AC251" s="505"/>
      <c r="AD251" s="505"/>
      <c r="AE251" s="502">
        <f>SUM(AE249:AE250)</f>
        <v>21299</v>
      </c>
      <c r="AF251" s="503">
        <f>SUM(AF249:AF250)</f>
        <v>5555</v>
      </c>
      <c r="AG251" s="504">
        <f>SUM(AG249:AG250)</f>
        <v>5508</v>
      </c>
      <c r="AH251" s="503">
        <v>5534</v>
      </c>
      <c r="AI251" s="503">
        <v>5325</v>
      </c>
      <c r="AJ251" s="502">
        <f>SUM(AJ249:AJ250)</f>
        <v>21922</v>
      </c>
      <c r="AK251" s="503">
        <f>SUM(AK249:AK250)</f>
        <v>5921</v>
      </c>
      <c r="AL251" s="504">
        <f>SUM(AL249:AL250)</f>
        <v>5525</v>
      </c>
      <c r="AM251" s="503">
        <v>6713</v>
      </c>
      <c r="AN251" s="503">
        <f>AN249+AN250</f>
        <v>6510</v>
      </c>
      <c r="AO251" s="502">
        <v>24827</v>
      </c>
      <c r="AP251" s="503">
        <f>SUM(AP249:AP250)</f>
        <v>7361</v>
      </c>
      <c r="AQ251" s="504">
        <v>7257</v>
      </c>
      <c r="AR251" s="503">
        <f t="shared" ref="AR251" si="503">SUM(AR249:AR250)</f>
        <v>6562</v>
      </c>
      <c r="AS251" s="503">
        <f t="shared" ref="AS251:AT251" si="504">AS249+AS250</f>
        <v>7213</v>
      </c>
      <c r="AT251" s="502">
        <f t="shared" si="504"/>
        <v>28393</v>
      </c>
      <c r="AU251" s="505"/>
      <c r="AV251" s="505"/>
      <c r="AW251" s="694"/>
      <c r="AX251" s="505"/>
      <c r="AY251" s="506"/>
      <c r="AZ251" s="505"/>
      <c r="BA251" s="505"/>
      <c r="BB251" s="505"/>
      <c r="BC251" s="505"/>
      <c r="BD251" s="506"/>
      <c r="BE251" s="506"/>
      <c r="BF251" s="506"/>
      <c r="BG251" s="506"/>
      <c r="BH251" s="499"/>
    </row>
    <row r="252" spans="1:60" s="49" customFormat="1" hidden="1" outlineLevel="2" x14ac:dyDescent="0.25">
      <c r="A252" s="226" t="s">
        <v>34</v>
      </c>
      <c r="B252" s="514"/>
      <c r="C252" s="492"/>
      <c r="D252" s="492"/>
      <c r="E252" s="492"/>
      <c r="F252" s="492"/>
      <c r="G252" s="491"/>
      <c r="H252" s="491"/>
      <c r="I252" s="491"/>
      <c r="J252" s="491"/>
      <c r="K252" s="492"/>
      <c r="L252" s="491"/>
      <c r="M252" s="491"/>
      <c r="N252" s="491"/>
      <c r="O252" s="491"/>
      <c r="P252" s="492"/>
      <c r="Q252" s="491"/>
      <c r="R252" s="491"/>
      <c r="S252" s="491"/>
      <c r="T252" s="491"/>
      <c r="U252" s="492"/>
      <c r="V252" s="491"/>
      <c r="W252" s="491"/>
      <c r="X252" s="491"/>
      <c r="Y252" s="491"/>
      <c r="Z252" s="492">
        <v>-12127</v>
      </c>
      <c r="AA252" s="491"/>
      <c r="AB252" s="491"/>
      <c r="AC252" s="491"/>
      <c r="AD252" s="491"/>
      <c r="AE252" s="492">
        <v>-12754</v>
      </c>
      <c r="AF252" s="491">
        <v>-3963</v>
      </c>
      <c r="AG252" s="491">
        <v>-2917</v>
      </c>
      <c r="AH252" s="491">
        <v>-3257</v>
      </c>
      <c r="AI252" s="491">
        <f>AJ252-AH252-AG252-AF252</f>
        <v>-3060</v>
      </c>
      <c r="AJ252" s="492">
        <v>-13197</v>
      </c>
      <c r="AK252" s="491">
        <v>-4248</v>
      </c>
      <c r="AL252" s="491">
        <v>-3012</v>
      </c>
      <c r="AM252" s="491">
        <v>-4092</v>
      </c>
      <c r="AN252" s="491">
        <f>AO252+11439</f>
        <v>-4060</v>
      </c>
      <c r="AO252" s="492">
        <v>-15499</v>
      </c>
      <c r="AP252" s="491">
        <v>-5214</v>
      </c>
      <c r="AQ252" s="491">
        <v>-4335</v>
      </c>
      <c r="AR252" s="491">
        <v>-2980</v>
      </c>
      <c r="AS252" s="491">
        <f t="shared" ref="AS252:AS258" si="505">AT252-SUM(AP252,AQ252,AR252)</f>
        <v>-4858</v>
      </c>
      <c r="AT252" s="492">
        <v>-17387</v>
      </c>
      <c r="AU252" s="491"/>
      <c r="AV252" s="491"/>
      <c r="AW252" s="692"/>
      <c r="AX252" s="491"/>
      <c r="AY252" s="492"/>
      <c r="AZ252" s="491"/>
      <c r="BA252" s="491"/>
      <c r="BB252" s="491"/>
      <c r="BC252" s="491"/>
      <c r="BD252" s="492"/>
      <c r="BE252" s="492"/>
      <c r="BF252" s="492"/>
      <c r="BG252" s="492"/>
      <c r="BH252" s="484"/>
    </row>
    <row r="253" spans="1:60" s="49" customFormat="1" hidden="1" outlineLevel="2" x14ac:dyDescent="0.25">
      <c r="A253" s="226" t="s">
        <v>35</v>
      </c>
      <c r="B253" s="514"/>
      <c r="C253" s="492"/>
      <c r="D253" s="492"/>
      <c r="E253" s="492"/>
      <c r="F253" s="492"/>
      <c r="G253" s="491"/>
      <c r="H253" s="491"/>
      <c r="I253" s="491"/>
      <c r="J253" s="491"/>
      <c r="K253" s="492"/>
      <c r="L253" s="491"/>
      <c r="M253" s="491"/>
      <c r="N253" s="491"/>
      <c r="O253" s="491"/>
      <c r="P253" s="492"/>
      <c r="Q253" s="491"/>
      <c r="R253" s="491"/>
      <c r="S253" s="491"/>
      <c r="T253" s="491"/>
      <c r="U253" s="492"/>
      <c r="V253" s="491"/>
      <c r="W253" s="491"/>
      <c r="X253" s="491"/>
      <c r="Y253" s="491"/>
      <c r="Z253" s="492">
        <v>-1955</v>
      </c>
      <c r="AA253" s="491"/>
      <c r="AB253" s="491"/>
      <c r="AC253" s="491"/>
      <c r="AD253" s="491"/>
      <c r="AE253" s="492">
        <v>-1909</v>
      </c>
      <c r="AF253" s="491">
        <v>-456</v>
      </c>
      <c r="AG253" s="491">
        <v>-464</v>
      </c>
      <c r="AH253" s="491">
        <v>-431</v>
      </c>
      <c r="AI253" s="491">
        <f>AJ253-AH253-AG253-AF253</f>
        <v>-548</v>
      </c>
      <c r="AJ253" s="492">
        <v>-1899</v>
      </c>
      <c r="AK253" s="491">
        <v>-478</v>
      </c>
      <c r="AL253" s="491">
        <v>-465</v>
      </c>
      <c r="AM253" s="491">
        <v>-626</v>
      </c>
      <c r="AN253" s="491">
        <f>AO253+1594</f>
        <v>-767</v>
      </c>
      <c r="AO253" s="492">
        <v>-2361</v>
      </c>
      <c r="AP253" s="491">
        <v>-660</v>
      </c>
      <c r="AQ253" s="491">
        <v>-683</v>
      </c>
      <c r="AR253" s="491">
        <v>-583</v>
      </c>
      <c r="AS253" s="491">
        <f t="shared" si="505"/>
        <v>-588</v>
      </c>
      <c r="AT253" s="492">
        <v>-2514</v>
      </c>
      <c r="AU253" s="491"/>
      <c r="AV253" s="491"/>
      <c r="AW253" s="692"/>
      <c r="AX253" s="491"/>
      <c r="AY253" s="492"/>
      <c r="AZ253" s="491"/>
      <c r="BA253" s="491"/>
      <c r="BB253" s="491"/>
      <c r="BC253" s="491"/>
      <c r="BD253" s="492"/>
      <c r="BE253" s="492"/>
      <c r="BF253" s="492"/>
      <c r="BG253" s="492"/>
      <c r="BH253" s="484"/>
    </row>
    <row r="254" spans="1:60" s="470" customFormat="1" hidden="1" outlineLevel="2" x14ac:dyDescent="0.25">
      <c r="A254" s="483" t="s">
        <v>36</v>
      </c>
      <c r="B254" s="514"/>
      <c r="C254" s="492"/>
      <c r="D254" s="492"/>
      <c r="E254" s="492"/>
      <c r="F254" s="492"/>
      <c r="G254" s="491"/>
      <c r="H254" s="491"/>
      <c r="I254" s="491"/>
      <c r="J254" s="491"/>
      <c r="K254" s="492"/>
      <c r="L254" s="491"/>
      <c r="M254" s="491"/>
      <c r="N254" s="491"/>
      <c r="O254" s="491"/>
      <c r="P254" s="492"/>
      <c r="Q254" s="491"/>
      <c r="R254" s="491"/>
      <c r="S254" s="491"/>
      <c r="T254" s="491"/>
      <c r="U254" s="492"/>
      <c r="V254" s="491"/>
      <c r="W254" s="491"/>
      <c r="X254" s="491"/>
      <c r="Y254" s="491"/>
      <c r="Z254" s="489">
        <v>-219</v>
      </c>
      <c r="AA254" s="491"/>
      <c r="AB254" s="491"/>
      <c r="AC254" s="491"/>
      <c r="AD254" s="491"/>
      <c r="AE254" s="489">
        <v>-206</v>
      </c>
      <c r="AF254" s="490">
        <v>-52</v>
      </c>
      <c r="AG254" s="490">
        <v>-51</v>
      </c>
      <c r="AH254" s="490">
        <f>-151-AG254-AF254</f>
        <v>-48</v>
      </c>
      <c r="AI254" s="490">
        <f>AJ254-AH254-AG254-AF254</f>
        <v>-48</v>
      </c>
      <c r="AJ254" s="489">
        <v>-199</v>
      </c>
      <c r="AK254" s="490">
        <v>-44</v>
      </c>
      <c r="AL254" s="490">
        <v>-45</v>
      </c>
      <c r="AM254" s="490">
        <v>-51</v>
      </c>
      <c r="AN254" s="490">
        <f>AO254+141</f>
        <v>-50</v>
      </c>
      <c r="AO254" s="489">
        <v>-191</v>
      </c>
      <c r="AP254" s="490">
        <v>-50</v>
      </c>
      <c r="AQ254" s="490">
        <v>-43</v>
      </c>
      <c r="AR254" s="490">
        <v>-63</v>
      </c>
      <c r="AS254" s="490">
        <f t="shared" si="505"/>
        <v>-51</v>
      </c>
      <c r="AT254" s="489">
        <v>-207</v>
      </c>
      <c r="AU254" s="491"/>
      <c r="AV254" s="491"/>
      <c r="AW254" s="692"/>
      <c r="AX254" s="491"/>
      <c r="AY254" s="492"/>
      <c r="AZ254" s="491"/>
      <c r="BA254" s="491"/>
      <c r="BB254" s="491"/>
      <c r="BC254" s="491"/>
      <c r="BD254" s="492"/>
      <c r="BE254" s="492"/>
      <c r="BF254" s="492"/>
      <c r="BG254" s="492"/>
      <c r="BH254" s="484"/>
    </row>
    <row r="255" spans="1:60" s="49" customFormat="1" hidden="1" outlineLevel="2" x14ac:dyDescent="0.25">
      <c r="A255" s="218" t="s">
        <v>37</v>
      </c>
      <c r="B255" s="573"/>
      <c r="C255" s="322"/>
      <c r="D255" s="322"/>
      <c r="E255" s="322"/>
      <c r="F255" s="322"/>
      <c r="G255" s="321"/>
      <c r="H255" s="321"/>
      <c r="I255" s="321"/>
      <c r="J255" s="321"/>
      <c r="K255" s="322"/>
      <c r="L255" s="321"/>
      <c r="M255" s="321"/>
      <c r="N255" s="321"/>
      <c r="O255" s="321"/>
      <c r="P255" s="322"/>
      <c r="Q255" s="321"/>
      <c r="R255" s="321"/>
      <c r="S255" s="321"/>
      <c r="T255" s="321"/>
      <c r="U255" s="322"/>
      <c r="V255" s="321"/>
      <c r="W255" s="321"/>
      <c r="X255" s="321"/>
      <c r="Y255" s="321"/>
      <c r="Z255" s="318">
        <v>779</v>
      </c>
      <c r="AA255" s="321"/>
      <c r="AB255" s="321"/>
      <c r="AC255" s="321"/>
      <c r="AD255" s="321"/>
      <c r="AE255" s="318">
        <v>766</v>
      </c>
      <c r="AF255" s="319">
        <v>159</v>
      </c>
      <c r="AG255" s="320">
        <v>182</v>
      </c>
      <c r="AH255" s="319">
        <v>197</v>
      </c>
      <c r="AI255" s="319">
        <f>AJ255-AH255-AG255-AF255</f>
        <v>173</v>
      </c>
      <c r="AJ255" s="318">
        <v>711</v>
      </c>
      <c r="AK255" s="319">
        <v>179</v>
      </c>
      <c r="AL255" s="319">
        <v>182</v>
      </c>
      <c r="AM255" s="319">
        <v>192</v>
      </c>
      <c r="AN255" s="319">
        <f>AO255-553</f>
        <v>150</v>
      </c>
      <c r="AO255" s="318">
        <v>703</v>
      </c>
      <c r="AP255" s="319">
        <v>193</v>
      </c>
      <c r="AQ255" s="319">
        <v>179</v>
      </c>
      <c r="AR255" s="319">
        <v>217</v>
      </c>
      <c r="AS255" s="319">
        <f t="shared" si="505"/>
        <v>148</v>
      </c>
      <c r="AT255" s="318">
        <v>737</v>
      </c>
      <c r="AU255" s="321"/>
      <c r="AV255" s="321"/>
      <c r="AW255" s="693"/>
      <c r="AX255" s="321"/>
      <c r="AY255" s="322"/>
      <c r="AZ255" s="321"/>
      <c r="BA255" s="321"/>
      <c r="BB255" s="321"/>
      <c r="BC255" s="321"/>
      <c r="BD255" s="322"/>
      <c r="BE255" s="322"/>
      <c r="BF255" s="322"/>
      <c r="BG255" s="322"/>
      <c r="BH255" s="484"/>
    </row>
    <row r="256" spans="1:60" s="52" customFormat="1" hidden="1" outlineLevel="2" x14ac:dyDescent="0.25">
      <c r="A256" s="501" t="s">
        <v>38</v>
      </c>
      <c r="B256" s="264"/>
      <c r="C256" s="506"/>
      <c r="D256" s="506"/>
      <c r="E256" s="506"/>
      <c r="F256" s="506"/>
      <c r="G256" s="505"/>
      <c r="H256" s="505"/>
      <c r="I256" s="505"/>
      <c r="J256" s="505"/>
      <c r="K256" s="506"/>
      <c r="L256" s="505"/>
      <c r="M256" s="505"/>
      <c r="N256" s="505"/>
      <c r="O256" s="505"/>
      <c r="P256" s="506"/>
      <c r="Q256" s="505"/>
      <c r="R256" s="505"/>
      <c r="S256" s="505"/>
      <c r="T256" s="505"/>
      <c r="U256" s="506"/>
      <c r="V256" s="505"/>
      <c r="W256" s="505"/>
      <c r="X256" s="505"/>
      <c r="Y256" s="505"/>
      <c r="Z256" s="502">
        <f>SUM(Z251:Z255)</f>
        <v>7804</v>
      </c>
      <c r="AA256" s="505"/>
      <c r="AB256" s="505"/>
      <c r="AC256" s="505"/>
      <c r="AD256" s="505"/>
      <c r="AE256" s="502">
        <f>SUM(AE251:AE255)</f>
        <v>7196</v>
      </c>
      <c r="AF256" s="503">
        <f>SUM(AF251:AF255)</f>
        <v>1243</v>
      </c>
      <c r="AG256" s="504">
        <v>2258</v>
      </c>
      <c r="AH256" s="503">
        <v>1995</v>
      </c>
      <c r="AI256" s="503">
        <v>1842</v>
      </c>
      <c r="AJ256" s="502">
        <f>SUM(AJ251:AJ255)</f>
        <v>7338</v>
      </c>
      <c r="AK256" s="503">
        <f>SUM(AK251:AK255)</f>
        <v>1330</v>
      </c>
      <c r="AL256" s="504">
        <f>SUM(AL251:AL255)</f>
        <v>2185</v>
      </c>
      <c r="AM256" s="503">
        <v>2136</v>
      </c>
      <c r="AN256" s="503">
        <f t="shared" ref="AN256:AR256" si="506">SUM(AN251:AN255)</f>
        <v>1783</v>
      </c>
      <c r="AO256" s="502">
        <f t="shared" si="506"/>
        <v>7479</v>
      </c>
      <c r="AP256" s="503">
        <f t="shared" si="506"/>
        <v>1630</v>
      </c>
      <c r="AQ256" s="504">
        <f t="shared" si="506"/>
        <v>2375</v>
      </c>
      <c r="AR256" s="503">
        <f t="shared" si="506"/>
        <v>3153</v>
      </c>
      <c r="AS256" s="503">
        <f t="shared" si="505"/>
        <v>1864</v>
      </c>
      <c r="AT256" s="502">
        <v>9022</v>
      </c>
      <c r="AU256" s="505"/>
      <c r="AV256" s="505"/>
      <c r="AW256" s="694"/>
      <c r="AX256" s="505"/>
      <c r="AY256" s="506"/>
      <c r="AZ256" s="505"/>
      <c r="BA256" s="505"/>
      <c r="BB256" s="505"/>
      <c r="BC256" s="505"/>
      <c r="BD256" s="506"/>
      <c r="BE256" s="506"/>
      <c r="BF256" s="506"/>
      <c r="BG256" s="506"/>
      <c r="BH256" s="499"/>
    </row>
    <row r="257" spans="1:60" s="470" customFormat="1" hidden="1" outlineLevel="2" x14ac:dyDescent="0.25">
      <c r="A257" s="96" t="s">
        <v>603</v>
      </c>
      <c r="B257" s="514"/>
      <c r="C257" s="492"/>
      <c r="D257" s="492"/>
      <c r="E257" s="492"/>
      <c r="F257" s="492"/>
      <c r="G257" s="491"/>
      <c r="H257" s="491"/>
      <c r="I257" s="491"/>
      <c r="J257" s="491"/>
      <c r="K257" s="492"/>
      <c r="L257" s="491"/>
      <c r="M257" s="491"/>
      <c r="N257" s="491"/>
      <c r="O257" s="491"/>
      <c r="P257" s="492"/>
      <c r="Q257" s="491"/>
      <c r="R257" s="491"/>
      <c r="S257" s="491"/>
      <c r="T257" s="491"/>
      <c r="U257" s="492"/>
      <c r="V257" s="491"/>
      <c r="W257" s="491"/>
      <c r="X257" s="491"/>
      <c r="Y257" s="491"/>
      <c r="Z257" s="492"/>
      <c r="AA257" s="491"/>
      <c r="AB257" s="491"/>
      <c r="AC257" s="491"/>
      <c r="AD257" s="491"/>
      <c r="AE257" s="492"/>
      <c r="AF257" s="491"/>
      <c r="AG257" s="491"/>
      <c r="AH257" s="490">
        <v>0</v>
      </c>
      <c r="AI257" s="491"/>
      <c r="AJ257" s="489">
        <v>0</v>
      </c>
      <c r="AK257" s="490">
        <v>0</v>
      </c>
      <c r="AL257" s="497">
        <f>-154-AM257</f>
        <v>-18</v>
      </c>
      <c r="AM257" s="490">
        <v>-136</v>
      </c>
      <c r="AN257" s="490">
        <f>AO257+154</f>
        <v>-171</v>
      </c>
      <c r="AO257" s="489">
        <v>-325</v>
      </c>
      <c r="AP257" s="490">
        <v>-153</v>
      </c>
      <c r="AQ257" s="497">
        <v>-153</v>
      </c>
      <c r="AR257" s="490">
        <v>-152</v>
      </c>
      <c r="AS257" s="490">
        <f t="shared" si="505"/>
        <v>-152</v>
      </c>
      <c r="AT257" s="489">
        <v>-610</v>
      </c>
      <c r="AU257" s="491"/>
      <c r="AV257" s="491"/>
      <c r="AW257" s="692"/>
      <c r="AX257" s="491"/>
      <c r="AY257" s="492"/>
      <c r="AZ257" s="491"/>
      <c r="BA257" s="491"/>
      <c r="BB257" s="491"/>
      <c r="BC257" s="491"/>
      <c r="BD257" s="492"/>
      <c r="BE257" s="492"/>
      <c r="BF257" s="492"/>
      <c r="BG257" s="492"/>
      <c r="BH257" s="484"/>
    </row>
    <row r="258" spans="1:60" s="470" customFormat="1" hidden="1" outlineLevel="2" x14ac:dyDescent="0.25">
      <c r="A258" s="96" t="s">
        <v>617</v>
      </c>
      <c r="B258" s="514"/>
      <c r="C258" s="492"/>
      <c r="D258" s="492"/>
      <c r="E258" s="492"/>
      <c r="F258" s="492"/>
      <c r="G258" s="491"/>
      <c r="H258" s="491"/>
      <c r="I258" s="491"/>
      <c r="J258" s="491"/>
      <c r="K258" s="492"/>
      <c r="L258" s="491"/>
      <c r="M258" s="491"/>
      <c r="N258" s="491"/>
      <c r="O258" s="491"/>
      <c r="P258" s="492"/>
      <c r="Q258" s="491"/>
      <c r="R258" s="491"/>
      <c r="S258" s="491"/>
      <c r="T258" s="491"/>
      <c r="U258" s="492"/>
      <c r="V258" s="491"/>
      <c r="W258" s="491"/>
      <c r="X258" s="491"/>
      <c r="Y258" s="491"/>
      <c r="Z258" s="492"/>
      <c r="AA258" s="491"/>
      <c r="AB258" s="491"/>
      <c r="AC258" s="491"/>
      <c r="AD258" s="491"/>
      <c r="AE258" s="492"/>
      <c r="AF258" s="491"/>
      <c r="AG258" s="491"/>
      <c r="AH258" s="490">
        <v>0</v>
      </c>
      <c r="AI258" s="491"/>
      <c r="AJ258" s="489">
        <v>0</v>
      </c>
      <c r="AK258" s="490">
        <v>0</v>
      </c>
      <c r="AL258" s="497">
        <f>-218-AM258</f>
        <v>-32</v>
      </c>
      <c r="AM258" s="490">
        <v>-186</v>
      </c>
      <c r="AN258" s="490">
        <f>AO258+218</f>
        <v>-141</v>
      </c>
      <c r="AO258" s="489">
        <v>-359</v>
      </c>
      <c r="AP258" s="490">
        <v>-147</v>
      </c>
      <c r="AQ258" s="497">
        <v>-158</v>
      </c>
      <c r="AR258" s="490">
        <v>-163</v>
      </c>
      <c r="AS258" s="490">
        <f t="shared" si="505"/>
        <v>-227</v>
      </c>
      <c r="AT258" s="489">
        <v>-695</v>
      </c>
      <c r="AU258" s="491"/>
      <c r="AV258" s="491"/>
      <c r="AW258" s="692"/>
      <c r="AX258" s="491"/>
      <c r="AY258" s="492"/>
      <c r="AZ258" s="491"/>
      <c r="BA258" s="491"/>
      <c r="BB258" s="491"/>
      <c r="BC258" s="491"/>
      <c r="BD258" s="492"/>
      <c r="BE258" s="492"/>
      <c r="BF258" s="492"/>
      <c r="BG258" s="492"/>
      <c r="BH258" s="484"/>
    </row>
    <row r="259" spans="1:60" s="470" customFormat="1" hidden="1" outlineLevel="2" x14ac:dyDescent="0.25">
      <c r="A259" s="589" t="s">
        <v>612</v>
      </c>
      <c r="B259" s="758"/>
      <c r="C259" s="582"/>
      <c r="D259" s="582"/>
      <c r="E259" s="582"/>
      <c r="F259" s="582"/>
      <c r="G259" s="581"/>
      <c r="H259" s="581"/>
      <c r="I259" s="581"/>
      <c r="J259" s="581"/>
      <c r="K259" s="582"/>
      <c r="L259" s="581"/>
      <c r="M259" s="581"/>
      <c r="N259" s="581"/>
      <c r="O259" s="581"/>
      <c r="P259" s="582"/>
      <c r="Q259" s="581"/>
      <c r="R259" s="581"/>
      <c r="S259" s="581"/>
      <c r="T259" s="581"/>
      <c r="U259" s="582"/>
      <c r="V259" s="581"/>
      <c r="W259" s="581"/>
      <c r="X259" s="581"/>
      <c r="Y259" s="581"/>
      <c r="Z259" s="582"/>
      <c r="AA259" s="581"/>
      <c r="AB259" s="581"/>
      <c r="AC259" s="581"/>
      <c r="AD259" s="581"/>
      <c r="AE259" s="582"/>
      <c r="AF259" s="581"/>
      <c r="AG259" s="581"/>
      <c r="AH259" s="579">
        <v>0</v>
      </c>
      <c r="AI259" s="581"/>
      <c r="AJ259" s="578">
        <v>0</v>
      </c>
      <c r="AK259" s="579">
        <f t="shared" ref="AK259:AS259" si="507">SUM(AK257:AK258)</f>
        <v>0</v>
      </c>
      <c r="AL259" s="580">
        <f t="shared" si="507"/>
        <v>-50</v>
      </c>
      <c r="AM259" s="579">
        <f t="shared" si="507"/>
        <v>-322</v>
      </c>
      <c r="AN259" s="579">
        <f t="shared" si="507"/>
        <v>-312</v>
      </c>
      <c r="AO259" s="578">
        <f t="shared" si="507"/>
        <v>-684</v>
      </c>
      <c r="AP259" s="579">
        <f t="shared" si="507"/>
        <v>-300</v>
      </c>
      <c r="AQ259" s="580">
        <f t="shared" si="507"/>
        <v>-311</v>
      </c>
      <c r="AR259" s="579">
        <f t="shared" si="507"/>
        <v>-315</v>
      </c>
      <c r="AS259" s="579">
        <f t="shared" si="507"/>
        <v>-379</v>
      </c>
      <c r="AT259" s="578">
        <v>-1305</v>
      </c>
      <c r="AU259" s="581"/>
      <c r="AV259" s="581"/>
      <c r="AW259" s="759"/>
      <c r="AX259" s="581"/>
      <c r="AY259" s="582"/>
      <c r="AZ259" s="581"/>
      <c r="BA259" s="581"/>
      <c r="BB259" s="581"/>
      <c r="BC259" s="581"/>
      <c r="BD259" s="582"/>
      <c r="BE259" s="582"/>
      <c r="BF259" s="582"/>
      <c r="BG259" s="582"/>
      <c r="BH259" s="484"/>
    </row>
    <row r="260" spans="1:60" s="470" customFormat="1" hidden="1" outlineLevel="2" x14ac:dyDescent="0.25">
      <c r="A260" s="483" t="s">
        <v>112</v>
      </c>
      <c r="B260" s="514"/>
      <c r="C260" s="492"/>
      <c r="D260" s="492"/>
      <c r="E260" s="492"/>
      <c r="F260" s="492"/>
      <c r="G260" s="491"/>
      <c r="H260" s="491"/>
      <c r="I260" s="491"/>
      <c r="J260" s="491"/>
      <c r="K260" s="492"/>
      <c r="L260" s="491"/>
      <c r="M260" s="491"/>
      <c r="N260" s="491"/>
      <c r="O260" s="491"/>
      <c r="P260" s="492"/>
      <c r="Q260" s="491"/>
      <c r="R260" s="491"/>
      <c r="S260" s="491"/>
      <c r="T260" s="491"/>
      <c r="U260" s="492"/>
      <c r="V260" s="491"/>
      <c r="W260" s="491"/>
      <c r="X260" s="491"/>
      <c r="Y260" s="491"/>
      <c r="Z260" s="492"/>
      <c r="AA260" s="491"/>
      <c r="AB260" s="491"/>
      <c r="AC260" s="491"/>
      <c r="AD260" s="491"/>
      <c r="AE260" s="492"/>
      <c r="AF260" s="491"/>
      <c r="AG260" s="491"/>
      <c r="AH260" s="490">
        <v>0</v>
      </c>
      <c r="AI260" s="491"/>
      <c r="AJ260" s="489">
        <v>-2</v>
      </c>
      <c r="AK260" s="490">
        <v>0</v>
      </c>
      <c r="AL260" s="497">
        <f>-84-AM260</f>
        <v>-64</v>
      </c>
      <c r="AM260" s="490">
        <v>-20</v>
      </c>
      <c r="AN260" s="490">
        <f>AO260+84</f>
        <v>-21</v>
      </c>
      <c r="AO260" s="489">
        <v>-105</v>
      </c>
      <c r="AP260" s="490">
        <v>-4</v>
      </c>
      <c r="AQ260" s="497">
        <v>-18</v>
      </c>
      <c r="AR260" s="490">
        <v>-4</v>
      </c>
      <c r="AS260" s="490">
        <f>AT260-SUM(AP260,AQ260,AR260)</f>
        <v>-25</v>
      </c>
      <c r="AT260" s="489">
        <v>-51</v>
      </c>
      <c r="AU260" s="491"/>
      <c r="AV260" s="491"/>
      <c r="AW260" s="692"/>
      <c r="AX260" s="491"/>
      <c r="AY260" s="492"/>
      <c r="AZ260" s="491"/>
      <c r="BA260" s="491"/>
      <c r="BB260" s="491"/>
      <c r="BC260" s="491"/>
      <c r="BD260" s="492"/>
      <c r="BE260" s="492"/>
      <c r="BF260" s="492"/>
      <c r="BG260" s="492"/>
      <c r="BH260" s="484"/>
    </row>
    <row r="261" spans="1:60" s="470" customFormat="1" hidden="1" outlineLevel="2" x14ac:dyDescent="0.25">
      <c r="A261" s="483" t="s">
        <v>623</v>
      </c>
      <c r="B261" s="514"/>
      <c r="C261" s="492"/>
      <c r="D261" s="492"/>
      <c r="E261" s="492"/>
      <c r="F261" s="492"/>
      <c r="G261" s="491"/>
      <c r="H261" s="491"/>
      <c r="I261" s="491"/>
      <c r="J261" s="491"/>
      <c r="K261" s="492"/>
      <c r="L261" s="491"/>
      <c r="M261" s="491"/>
      <c r="N261" s="491"/>
      <c r="O261" s="491"/>
      <c r="P261" s="492"/>
      <c r="Q261" s="491"/>
      <c r="R261" s="491"/>
      <c r="S261" s="491"/>
      <c r="T261" s="491"/>
      <c r="U261" s="492"/>
      <c r="V261" s="491"/>
      <c r="W261" s="491"/>
      <c r="X261" s="491"/>
      <c r="Y261" s="491"/>
      <c r="Z261" s="492"/>
      <c r="AA261" s="491"/>
      <c r="AB261" s="491"/>
      <c r="AC261" s="491"/>
      <c r="AD261" s="491"/>
      <c r="AE261" s="492"/>
      <c r="AF261" s="491"/>
      <c r="AG261" s="491"/>
      <c r="AH261" s="490">
        <v>0</v>
      </c>
      <c r="AI261" s="491"/>
      <c r="AJ261" s="489">
        <v>0</v>
      </c>
      <c r="AK261" s="491"/>
      <c r="AL261" s="497">
        <f>-185-AM261</f>
        <v>0</v>
      </c>
      <c r="AM261" s="490">
        <v>-185</v>
      </c>
      <c r="AN261" s="490">
        <f>AO261+185</f>
        <v>1</v>
      </c>
      <c r="AO261" s="489">
        <v>-184</v>
      </c>
      <c r="AP261" s="491"/>
      <c r="AQ261" s="497">
        <v>0</v>
      </c>
      <c r="AR261" s="490">
        <v>0</v>
      </c>
      <c r="AS261" s="490">
        <f>AT261-SUM(AP261,AQ261,AR261)</f>
        <v>0</v>
      </c>
      <c r="AT261" s="489">
        <v>0</v>
      </c>
      <c r="AU261" s="491"/>
      <c r="AV261" s="491"/>
      <c r="AW261" s="692"/>
      <c r="AX261" s="491"/>
      <c r="AY261" s="492"/>
      <c r="AZ261" s="491"/>
      <c r="BA261" s="491"/>
      <c r="BB261" s="491"/>
      <c r="BC261" s="491"/>
      <c r="BD261" s="492"/>
      <c r="BE261" s="492"/>
      <c r="BF261" s="492"/>
      <c r="BG261" s="492"/>
      <c r="BH261" s="484"/>
    </row>
    <row r="262" spans="1:60" s="52" customFormat="1" hidden="1" outlineLevel="2" x14ac:dyDescent="0.25">
      <c r="A262" s="635"/>
      <c r="B262" s="264"/>
      <c r="C262" s="506"/>
      <c r="D262" s="506"/>
      <c r="E262" s="506"/>
      <c r="F262" s="506"/>
      <c r="G262" s="505"/>
      <c r="H262" s="505"/>
      <c r="I262" s="505"/>
      <c r="J262" s="505"/>
      <c r="K262" s="506"/>
      <c r="L262" s="505"/>
      <c r="M262" s="505"/>
      <c r="N262" s="505"/>
      <c r="O262" s="505"/>
      <c r="P262" s="506"/>
      <c r="Q262" s="505"/>
      <c r="R262" s="505"/>
      <c r="S262" s="505"/>
      <c r="T262" s="505"/>
      <c r="U262" s="506"/>
      <c r="V262" s="505"/>
      <c r="W262" s="505"/>
      <c r="X262" s="505"/>
      <c r="Y262" s="505"/>
      <c r="Z262" s="506"/>
      <c r="AA262" s="505"/>
      <c r="AB262" s="505"/>
      <c r="AC262" s="505"/>
      <c r="AD262" s="505"/>
      <c r="AE262" s="506"/>
      <c r="AF262" s="505"/>
      <c r="AG262" s="505"/>
      <c r="AH262" s="505"/>
      <c r="AI262" s="505"/>
      <c r="AJ262" s="506"/>
      <c r="AK262" s="505"/>
      <c r="AL262" s="505"/>
      <c r="AM262" s="505"/>
      <c r="AN262" s="505"/>
      <c r="AO262" s="506"/>
      <c r="AP262" s="505"/>
      <c r="AQ262" s="505"/>
      <c r="AR262" s="505"/>
      <c r="AS262" s="505"/>
      <c r="AT262" s="506"/>
      <c r="AU262" s="505"/>
      <c r="AV262" s="505"/>
      <c r="AW262" s="694"/>
      <c r="AX262" s="505"/>
      <c r="AY262" s="506"/>
      <c r="AZ262" s="505"/>
      <c r="BA262" s="505"/>
      <c r="BB262" s="505"/>
      <c r="BC262" s="505"/>
      <c r="BD262" s="506"/>
      <c r="BE262" s="506"/>
      <c r="BF262" s="506"/>
      <c r="BG262" s="506"/>
      <c r="BH262" s="499"/>
    </row>
    <row r="263" spans="1:60" s="343" customFormat="1" hidden="1" outlineLevel="2" x14ac:dyDescent="0.25">
      <c r="A263" s="168" t="s">
        <v>39</v>
      </c>
      <c r="B263" s="655"/>
      <c r="C263" s="183"/>
      <c r="D263" s="183"/>
      <c r="E263" s="183"/>
      <c r="F263" s="183"/>
      <c r="G263" s="634"/>
      <c r="H263" s="634"/>
      <c r="I263" s="634"/>
      <c r="J263" s="634"/>
      <c r="K263" s="183"/>
      <c r="L263" s="634"/>
      <c r="M263" s="634"/>
      <c r="N263" s="634"/>
      <c r="O263" s="634"/>
      <c r="P263" s="183"/>
      <c r="Q263" s="634"/>
      <c r="R263" s="634"/>
      <c r="S263" s="634"/>
      <c r="T263" s="634"/>
      <c r="U263" s="183"/>
      <c r="V263" s="634"/>
      <c r="W263" s="634"/>
      <c r="X263" s="634"/>
      <c r="Y263" s="634"/>
      <c r="Z263" s="339">
        <f>Z252/-Z251</f>
        <v>0.56864859795554723</v>
      </c>
      <c r="AA263" s="634"/>
      <c r="AB263" s="634"/>
      <c r="AC263" s="634"/>
      <c r="AD263" s="634"/>
      <c r="AE263" s="339">
        <f t="shared" ref="AE263:AR263" si="508">AE252/-AE251</f>
        <v>0.59880745574909622</v>
      </c>
      <c r="AF263" s="340">
        <f t="shared" si="508"/>
        <v>0.71341134113411342</v>
      </c>
      <c r="AG263" s="341">
        <f t="shared" si="508"/>
        <v>0.52959331880900506</v>
      </c>
      <c r="AH263" s="340">
        <f t="shared" si="508"/>
        <v>0.5885435489700036</v>
      </c>
      <c r="AI263" s="340">
        <f t="shared" si="508"/>
        <v>0.57464788732394367</v>
      </c>
      <c r="AJ263" s="339">
        <f t="shared" si="508"/>
        <v>0.60199799288386091</v>
      </c>
      <c r="AK263" s="340">
        <f t="shared" si="508"/>
        <v>0.71744637730113159</v>
      </c>
      <c r="AL263" s="341">
        <f t="shared" si="508"/>
        <v>0.54515837104072395</v>
      </c>
      <c r="AM263" s="340">
        <f t="shared" si="508"/>
        <v>0.60956353344257408</v>
      </c>
      <c r="AN263" s="340">
        <f t="shared" si="508"/>
        <v>0.62365591397849462</v>
      </c>
      <c r="AO263" s="339">
        <f t="shared" si="508"/>
        <v>0.62428001772264063</v>
      </c>
      <c r="AP263" s="340">
        <f t="shared" si="508"/>
        <v>0.70832767287053389</v>
      </c>
      <c r="AQ263" s="341">
        <f t="shared" si="508"/>
        <v>0.59735427862753199</v>
      </c>
      <c r="AR263" s="340">
        <f t="shared" si="508"/>
        <v>0.45412983846388294</v>
      </c>
      <c r="AS263" s="340">
        <f t="shared" ref="AS263:AT263" si="509">AS252/-AS251</f>
        <v>0.67350616941633157</v>
      </c>
      <c r="AT263" s="339">
        <f t="shared" si="509"/>
        <v>0.61236924594090092</v>
      </c>
      <c r="AU263" s="634"/>
      <c r="AV263" s="634"/>
      <c r="AW263" s="691"/>
      <c r="AX263" s="634"/>
      <c r="AY263" s="183"/>
      <c r="AZ263" s="634"/>
      <c r="BA263" s="634"/>
      <c r="BB263" s="634"/>
      <c r="BC263" s="634"/>
      <c r="BD263" s="183"/>
      <c r="BE263" s="183"/>
      <c r="BF263" s="183"/>
      <c r="BG263" s="183"/>
      <c r="BH263" s="342"/>
    </row>
    <row r="264" spans="1:60" s="343" customFormat="1" hidden="1" outlineLevel="2" x14ac:dyDescent="0.25">
      <c r="A264" s="344" t="s">
        <v>40</v>
      </c>
      <c r="B264" s="749"/>
      <c r="C264" s="348"/>
      <c r="D264" s="348"/>
      <c r="E264" s="348"/>
      <c r="F264" s="348"/>
      <c r="G264" s="738"/>
      <c r="H264" s="738"/>
      <c r="I264" s="738"/>
      <c r="J264" s="738"/>
      <c r="K264" s="348"/>
      <c r="L264" s="738"/>
      <c r="M264" s="738"/>
      <c r="N264" s="738"/>
      <c r="O264" s="738"/>
      <c r="P264" s="348"/>
      <c r="Q264" s="738"/>
      <c r="R264" s="738"/>
      <c r="S264" s="738"/>
      <c r="T264" s="738"/>
      <c r="U264" s="348"/>
      <c r="V264" s="738"/>
      <c r="W264" s="738"/>
      <c r="X264" s="738"/>
      <c r="Y264" s="738"/>
      <c r="Z264" s="345">
        <f>Z253/-Z251</f>
        <v>9.1672137297195908E-2</v>
      </c>
      <c r="AA264" s="738"/>
      <c r="AB264" s="738"/>
      <c r="AC264" s="738"/>
      <c r="AD264" s="738"/>
      <c r="AE264" s="345">
        <f t="shared" ref="AE264:AR264" si="510">AE253/-AE251</f>
        <v>8.9628621062021685E-2</v>
      </c>
      <c r="AF264" s="346">
        <f t="shared" si="510"/>
        <v>8.2088208820882094E-2</v>
      </c>
      <c r="AG264" s="347">
        <f t="shared" si="510"/>
        <v>8.424110384894698E-2</v>
      </c>
      <c r="AH264" s="346">
        <f t="shared" si="510"/>
        <v>7.7882182869533786E-2</v>
      </c>
      <c r="AI264" s="346">
        <f t="shared" si="510"/>
        <v>0.10291079812206573</v>
      </c>
      <c r="AJ264" s="345">
        <f t="shared" si="510"/>
        <v>8.662530790986224E-2</v>
      </c>
      <c r="AK264" s="346">
        <f t="shared" si="510"/>
        <v>8.0729606485390987E-2</v>
      </c>
      <c r="AL264" s="347">
        <f t="shared" si="510"/>
        <v>8.4162895927601816E-2</v>
      </c>
      <c r="AM264" s="346">
        <f t="shared" si="510"/>
        <v>9.3251899299865937E-2</v>
      </c>
      <c r="AN264" s="346">
        <f t="shared" si="510"/>
        <v>0.11781874039938556</v>
      </c>
      <c r="AO264" s="345">
        <f t="shared" si="510"/>
        <v>9.5098078704636088E-2</v>
      </c>
      <c r="AP264" s="346">
        <f t="shared" si="510"/>
        <v>8.9661730743105558E-2</v>
      </c>
      <c r="AQ264" s="347">
        <f t="shared" si="510"/>
        <v>9.4116025906021777E-2</v>
      </c>
      <c r="AR264" s="346">
        <f t="shared" si="510"/>
        <v>8.8844864370618712E-2</v>
      </c>
      <c r="AS264" s="346">
        <f t="shared" ref="AS264:AT264" si="511">AS253/-AS251</f>
        <v>8.1519478718979618E-2</v>
      </c>
      <c r="AT264" s="345">
        <f t="shared" si="511"/>
        <v>8.8542950727291944E-2</v>
      </c>
      <c r="AU264" s="738"/>
      <c r="AV264" s="738"/>
      <c r="AW264" s="760"/>
      <c r="AX264" s="738"/>
      <c r="AY264" s="348"/>
      <c r="AZ264" s="738"/>
      <c r="BA264" s="738"/>
      <c r="BB264" s="738"/>
      <c r="BC264" s="738"/>
      <c r="BD264" s="348"/>
      <c r="BE264" s="348"/>
      <c r="BF264" s="348"/>
      <c r="BG264" s="348"/>
      <c r="BH264" s="342"/>
    </row>
    <row r="265" spans="1:60" s="355" customFormat="1" hidden="1" outlineLevel="2" x14ac:dyDescent="0.25">
      <c r="A265" s="349" t="s">
        <v>41</v>
      </c>
      <c r="B265" s="750"/>
      <c r="C265" s="354"/>
      <c r="D265" s="354"/>
      <c r="E265" s="354"/>
      <c r="F265" s="354"/>
      <c r="G265" s="353"/>
      <c r="H265" s="353"/>
      <c r="I265" s="353"/>
      <c r="J265" s="353"/>
      <c r="K265" s="354"/>
      <c r="L265" s="353"/>
      <c r="M265" s="353"/>
      <c r="N265" s="353"/>
      <c r="O265" s="353"/>
      <c r="P265" s="354"/>
      <c r="Q265" s="353"/>
      <c r="R265" s="353"/>
      <c r="S265" s="353"/>
      <c r="T265" s="353"/>
      <c r="U265" s="354"/>
      <c r="V265" s="353"/>
      <c r="W265" s="353"/>
      <c r="X265" s="353"/>
      <c r="Y265" s="353"/>
      <c r="Z265" s="350">
        <f>Z256/Z251</f>
        <v>0.36593829128763011</v>
      </c>
      <c r="AA265" s="353"/>
      <c r="AB265" s="353"/>
      <c r="AC265" s="353"/>
      <c r="AD265" s="353"/>
      <c r="AE265" s="350">
        <f t="shared" ref="AE265:AQ265" si="512">AE256/AE251</f>
        <v>0.33785623738203674</v>
      </c>
      <c r="AF265" s="351">
        <f t="shared" si="512"/>
        <v>0.22376237623762377</v>
      </c>
      <c r="AG265" s="352">
        <f t="shared" si="512"/>
        <v>0.40994916485112565</v>
      </c>
      <c r="AH265" s="351">
        <f t="shared" si="512"/>
        <v>0.36049873509215757</v>
      </c>
      <c r="AI265" s="351">
        <f t="shared" si="512"/>
        <v>0.34591549295774648</v>
      </c>
      <c r="AJ265" s="350">
        <f t="shared" si="512"/>
        <v>0.3347322324605419</v>
      </c>
      <c r="AK265" s="351">
        <f t="shared" si="512"/>
        <v>0.22462421888194561</v>
      </c>
      <c r="AL265" s="352">
        <f t="shared" si="512"/>
        <v>0.39547511312217193</v>
      </c>
      <c r="AM265" s="351">
        <f t="shared" si="512"/>
        <v>0.31818858930433486</v>
      </c>
      <c r="AN265" s="351">
        <f t="shared" si="512"/>
        <v>0.27388632872503837</v>
      </c>
      <c r="AO265" s="350">
        <f t="shared" si="512"/>
        <v>0.30124461272002256</v>
      </c>
      <c r="AP265" s="351">
        <f t="shared" si="512"/>
        <v>0.22143730471403342</v>
      </c>
      <c r="AQ265" s="352">
        <f t="shared" si="512"/>
        <v>0.3272702218547609</v>
      </c>
      <c r="AR265" s="351">
        <f t="shared" ref="AR265:AT265" si="513">AR256/AR251</f>
        <v>0.48049375190490706</v>
      </c>
      <c r="AS265" s="351">
        <f t="shared" si="513"/>
        <v>0.25842229308193537</v>
      </c>
      <c r="AT265" s="350">
        <f t="shared" si="513"/>
        <v>0.3177543760786109</v>
      </c>
      <c r="AU265" s="353"/>
      <c r="AV265" s="353"/>
      <c r="AW265" s="761"/>
      <c r="AX265" s="353"/>
      <c r="AY265" s="354"/>
      <c r="AZ265" s="353"/>
      <c r="BA265" s="353"/>
      <c r="BB265" s="353"/>
      <c r="BC265" s="353"/>
      <c r="BD265" s="354"/>
      <c r="BE265" s="354"/>
      <c r="BF265" s="354"/>
      <c r="BG265" s="354"/>
      <c r="BH265" s="303"/>
    </row>
    <row r="266" spans="1:60" s="44" customFormat="1" hidden="1" outlineLevel="2" x14ac:dyDescent="0.25">
      <c r="A266" s="748"/>
      <c r="B266" s="246"/>
      <c r="C266" s="478"/>
      <c r="D266" s="478"/>
      <c r="E266" s="478"/>
      <c r="F266" s="478"/>
      <c r="G266" s="480"/>
      <c r="H266" s="480"/>
      <c r="I266" s="480"/>
      <c r="J266" s="480"/>
      <c r="K266" s="478"/>
      <c r="L266" s="480"/>
      <c r="M266" s="480"/>
      <c r="N266" s="480"/>
      <c r="O266" s="480"/>
      <c r="P266" s="478"/>
      <c r="Q266" s="480"/>
      <c r="R266" s="480"/>
      <c r="S266" s="480"/>
      <c r="T266" s="480"/>
      <c r="U266" s="478"/>
      <c r="V266" s="480"/>
      <c r="W266" s="480"/>
      <c r="X266" s="480"/>
      <c r="Y266" s="480"/>
      <c r="Z266" s="478"/>
      <c r="AA266" s="480"/>
      <c r="AB266" s="480"/>
      <c r="AC266" s="480"/>
      <c r="AD266" s="480"/>
      <c r="AE266" s="478"/>
      <c r="AF266" s="480"/>
      <c r="AG266" s="480"/>
      <c r="AH266" s="480"/>
      <c r="AI266" s="480"/>
      <c r="AJ266" s="478"/>
      <c r="AK266" s="480"/>
      <c r="AL266" s="480"/>
      <c r="AM266" s="480"/>
      <c r="AN266" s="480"/>
      <c r="AO266" s="478"/>
      <c r="AP266" s="480"/>
      <c r="AQ266" s="480"/>
      <c r="AR266" s="480"/>
      <c r="AS266" s="480"/>
      <c r="AT266" s="478"/>
      <c r="AU266" s="480"/>
      <c r="AV266" s="480"/>
      <c r="AW266" s="708"/>
      <c r="AX266" s="480"/>
      <c r="AY266" s="478"/>
      <c r="AZ266" s="480"/>
      <c r="BA266" s="480"/>
      <c r="BB266" s="480"/>
      <c r="BC266" s="480"/>
      <c r="BD266" s="478"/>
      <c r="BE266" s="478"/>
      <c r="BF266" s="478"/>
      <c r="BG266" s="478"/>
      <c r="BH266" s="473"/>
    </row>
    <row r="267" spans="1:60" s="470" customFormat="1" hidden="1" outlineLevel="2" x14ac:dyDescent="0.25">
      <c r="A267" s="96" t="s">
        <v>589</v>
      </c>
      <c r="B267" s="514"/>
      <c r="C267" s="492"/>
      <c r="D267" s="492"/>
      <c r="E267" s="492"/>
      <c r="F267" s="492"/>
      <c r="G267" s="491"/>
      <c r="H267" s="491"/>
      <c r="I267" s="491"/>
      <c r="J267" s="491"/>
      <c r="K267" s="492"/>
      <c r="L267" s="491"/>
      <c r="M267" s="491"/>
      <c r="N267" s="491"/>
      <c r="O267" s="491"/>
      <c r="P267" s="492"/>
      <c r="Q267" s="491"/>
      <c r="R267" s="491"/>
      <c r="S267" s="491"/>
      <c r="T267" s="491"/>
      <c r="U267" s="492"/>
      <c r="V267" s="491"/>
      <c r="W267" s="491"/>
      <c r="X267" s="491"/>
      <c r="Y267" s="491"/>
      <c r="Z267" s="492"/>
      <c r="AA267" s="491"/>
      <c r="AB267" s="491"/>
      <c r="AC267" s="491"/>
      <c r="AD267" s="491"/>
      <c r="AE267" s="492"/>
      <c r="AF267" s="490">
        <f>AJ267-AG267-AH267-AI267</f>
        <v>29</v>
      </c>
      <c r="AG267" s="497">
        <v>28</v>
      </c>
      <c r="AH267" s="490">
        <v>26</v>
      </c>
      <c r="AI267" s="490">
        <f>AJ267-83</f>
        <v>28</v>
      </c>
      <c r="AJ267" s="489">
        <v>111</v>
      </c>
      <c r="AK267" s="490">
        <v>24</v>
      </c>
      <c r="AL267" s="497">
        <v>25</v>
      </c>
      <c r="AM267" s="490">
        <v>29</v>
      </c>
      <c r="AN267" s="490">
        <f>AO267-79</f>
        <v>28</v>
      </c>
      <c r="AO267" s="489">
        <v>107</v>
      </c>
      <c r="AP267" s="490">
        <v>27</v>
      </c>
      <c r="AQ267" s="497">
        <v>26</v>
      </c>
      <c r="AR267" s="490">
        <v>36</v>
      </c>
      <c r="AS267" s="490">
        <f>AT267-SUM(AP267,AQ267,AR267)</f>
        <v>31</v>
      </c>
      <c r="AT267" s="489">
        <v>120</v>
      </c>
      <c r="AU267" s="491"/>
      <c r="AV267" s="491"/>
      <c r="AW267" s="692"/>
      <c r="AX267" s="491"/>
      <c r="AY267" s="492"/>
      <c r="AZ267" s="491"/>
      <c r="BA267" s="491"/>
      <c r="BB267" s="491"/>
      <c r="BC267" s="491"/>
      <c r="BD267" s="492"/>
      <c r="BE267" s="492"/>
      <c r="BF267" s="492"/>
      <c r="BG267" s="492"/>
      <c r="BH267" s="484"/>
    </row>
    <row r="268" spans="1:60" s="470" customFormat="1" hidden="1" outlineLevel="2" x14ac:dyDescent="0.25">
      <c r="A268" s="96" t="s">
        <v>590</v>
      </c>
      <c r="B268" s="514"/>
      <c r="C268" s="492"/>
      <c r="D268" s="492"/>
      <c r="E268" s="492"/>
      <c r="F268" s="492"/>
      <c r="G268" s="491"/>
      <c r="H268" s="491"/>
      <c r="I268" s="491"/>
      <c r="J268" s="491"/>
      <c r="K268" s="492"/>
      <c r="L268" s="491"/>
      <c r="M268" s="491"/>
      <c r="N268" s="491"/>
      <c r="O268" s="491"/>
      <c r="P268" s="492"/>
      <c r="Q268" s="491"/>
      <c r="R268" s="491"/>
      <c r="S268" s="491"/>
      <c r="T268" s="491"/>
      <c r="U268" s="492"/>
      <c r="V268" s="491"/>
      <c r="W268" s="491"/>
      <c r="X268" s="491"/>
      <c r="Y268" s="491"/>
      <c r="Z268" s="492"/>
      <c r="AA268" s="491"/>
      <c r="AB268" s="491"/>
      <c r="AC268" s="491"/>
      <c r="AD268" s="491"/>
      <c r="AE268" s="492"/>
      <c r="AF268" s="490">
        <f>AJ268-AG268-AH268-AI268</f>
        <v>23</v>
      </c>
      <c r="AG268" s="497">
        <v>23</v>
      </c>
      <c r="AH268" s="490">
        <v>22</v>
      </c>
      <c r="AI268" s="490">
        <f>AJ268-68</f>
        <v>20</v>
      </c>
      <c r="AJ268" s="489">
        <v>88</v>
      </c>
      <c r="AK268" s="490">
        <v>20</v>
      </c>
      <c r="AL268" s="497">
        <v>20</v>
      </c>
      <c r="AM268" s="490">
        <v>22</v>
      </c>
      <c r="AN268" s="490">
        <f>AO268-62</f>
        <v>22</v>
      </c>
      <c r="AO268" s="489">
        <v>84</v>
      </c>
      <c r="AP268" s="490">
        <v>22</v>
      </c>
      <c r="AQ268" s="497">
        <v>16</v>
      </c>
      <c r="AR268" s="490">
        <v>26</v>
      </c>
      <c r="AS268" s="490">
        <f>AT268-SUM(AP268,AQ268,AR268)</f>
        <v>19</v>
      </c>
      <c r="AT268" s="489">
        <v>83</v>
      </c>
      <c r="AU268" s="491"/>
      <c r="AV268" s="491"/>
      <c r="AW268" s="692"/>
      <c r="AX268" s="491"/>
      <c r="AY268" s="492"/>
      <c r="AZ268" s="491"/>
      <c r="BA268" s="491"/>
      <c r="BB268" s="491"/>
      <c r="BC268" s="491"/>
      <c r="BD268" s="492"/>
      <c r="BE268" s="492"/>
      <c r="BF268" s="492"/>
      <c r="BG268" s="492"/>
      <c r="BH268" s="484"/>
    </row>
    <row r="269" spans="1:60" s="498" customFormat="1" hidden="1" outlineLevel="2" x14ac:dyDescent="0.25">
      <c r="A269" s="590" t="s">
        <v>591</v>
      </c>
      <c r="B269" s="516"/>
      <c r="C269" s="511"/>
      <c r="D269" s="511"/>
      <c r="E269" s="511"/>
      <c r="F269" s="511"/>
      <c r="G269" s="510"/>
      <c r="H269" s="510"/>
      <c r="I269" s="510"/>
      <c r="J269" s="510"/>
      <c r="K269" s="511"/>
      <c r="L269" s="510"/>
      <c r="M269" s="510"/>
      <c r="N269" s="510"/>
      <c r="O269" s="510"/>
      <c r="P269" s="511"/>
      <c r="Q269" s="510"/>
      <c r="R269" s="510"/>
      <c r="S269" s="510"/>
      <c r="T269" s="510"/>
      <c r="U269" s="511"/>
      <c r="V269" s="510"/>
      <c r="W269" s="510"/>
      <c r="X269" s="510"/>
      <c r="Y269" s="510"/>
      <c r="Z269" s="511"/>
      <c r="AA269" s="510"/>
      <c r="AB269" s="510"/>
      <c r="AC269" s="510"/>
      <c r="AD269" s="510"/>
      <c r="AE269" s="511"/>
      <c r="AF269" s="508">
        <f t="shared" ref="AF269:AQ269" si="514">SUM(AF267:AF268)</f>
        <v>52</v>
      </c>
      <c r="AG269" s="509">
        <f t="shared" si="514"/>
        <v>51</v>
      </c>
      <c r="AH269" s="508">
        <f t="shared" si="514"/>
        <v>48</v>
      </c>
      <c r="AI269" s="508">
        <f t="shared" si="514"/>
        <v>48</v>
      </c>
      <c r="AJ269" s="507">
        <f t="shared" si="514"/>
        <v>199</v>
      </c>
      <c r="AK269" s="508">
        <f t="shared" si="514"/>
        <v>44</v>
      </c>
      <c r="AL269" s="509">
        <f t="shared" si="514"/>
        <v>45</v>
      </c>
      <c r="AM269" s="508">
        <f t="shared" si="514"/>
        <v>51</v>
      </c>
      <c r="AN269" s="508">
        <f t="shared" si="514"/>
        <v>50</v>
      </c>
      <c r="AO269" s="507">
        <f t="shared" si="514"/>
        <v>191</v>
      </c>
      <c r="AP269" s="508">
        <f t="shared" si="514"/>
        <v>49</v>
      </c>
      <c r="AQ269" s="509">
        <f t="shared" si="514"/>
        <v>42</v>
      </c>
      <c r="AR269" s="508">
        <f t="shared" ref="AR269:AT269" si="515">SUM(AR267:AR268)</f>
        <v>62</v>
      </c>
      <c r="AS269" s="508">
        <f t="shared" si="515"/>
        <v>50</v>
      </c>
      <c r="AT269" s="507">
        <f t="shared" si="515"/>
        <v>203</v>
      </c>
      <c r="AU269" s="510"/>
      <c r="AV269" s="510"/>
      <c r="AW269" s="701"/>
      <c r="AX269" s="510"/>
      <c r="AY269" s="511"/>
      <c r="AZ269" s="510"/>
      <c r="BA269" s="510"/>
      <c r="BB269" s="510"/>
      <c r="BC269" s="510"/>
      <c r="BD269" s="511"/>
      <c r="BE269" s="511"/>
      <c r="BF269" s="511"/>
      <c r="BG269" s="511"/>
      <c r="BH269" s="499"/>
    </row>
    <row r="270" spans="1:60" s="498" customFormat="1" hidden="1" outlineLevel="2" x14ac:dyDescent="0.25">
      <c r="A270" s="591" t="s">
        <v>592</v>
      </c>
      <c r="B270" s="264"/>
      <c r="C270" s="506"/>
      <c r="D270" s="506"/>
      <c r="E270" s="506"/>
      <c r="F270" s="506"/>
      <c r="G270" s="505"/>
      <c r="H270" s="505"/>
      <c r="I270" s="505"/>
      <c r="J270" s="505"/>
      <c r="K270" s="506"/>
      <c r="L270" s="505"/>
      <c r="M270" s="505"/>
      <c r="N270" s="505"/>
      <c r="O270" s="505"/>
      <c r="P270" s="506"/>
      <c r="Q270" s="505"/>
      <c r="R270" s="505"/>
      <c r="S270" s="505"/>
      <c r="T270" s="505"/>
      <c r="U270" s="506"/>
      <c r="V270" s="505"/>
      <c r="W270" s="505"/>
      <c r="X270" s="505"/>
      <c r="Y270" s="505"/>
      <c r="Z270" s="506"/>
      <c r="AA270" s="505"/>
      <c r="AB270" s="505"/>
      <c r="AC270" s="505"/>
      <c r="AD270" s="505"/>
      <c r="AE270" s="506"/>
      <c r="AF270" s="503">
        <f>AJ270-AG270-AH270-AI270</f>
        <v>0</v>
      </c>
      <c r="AG270" s="505"/>
      <c r="AH270" s="503">
        <v>0</v>
      </c>
      <c r="AI270" s="503">
        <v>0</v>
      </c>
      <c r="AJ270" s="502">
        <v>0</v>
      </c>
      <c r="AK270" s="503">
        <v>0</v>
      </c>
      <c r="AL270" s="504">
        <v>0</v>
      </c>
      <c r="AM270" s="503">
        <v>0</v>
      </c>
      <c r="AN270" s="503">
        <v>0</v>
      </c>
      <c r="AO270" s="502">
        <v>0</v>
      </c>
      <c r="AP270" s="503">
        <v>1</v>
      </c>
      <c r="AQ270" s="504">
        <v>1</v>
      </c>
      <c r="AR270" s="503">
        <v>1</v>
      </c>
      <c r="AS270" s="503">
        <f>AT270-SUM(AP270,AQ270,AR270)</f>
        <v>1</v>
      </c>
      <c r="AT270" s="502">
        <v>4</v>
      </c>
      <c r="AU270" s="505"/>
      <c r="AV270" s="505"/>
      <c r="AW270" s="694"/>
      <c r="AX270" s="505"/>
      <c r="AY270" s="506"/>
      <c r="AZ270" s="505"/>
      <c r="BA270" s="505"/>
      <c r="BB270" s="505"/>
      <c r="BC270" s="505"/>
      <c r="BD270" s="506"/>
      <c r="BE270" s="506"/>
      <c r="BF270" s="506"/>
      <c r="BG270" s="506"/>
      <c r="BH270" s="499"/>
    </row>
    <row r="271" spans="1:60" s="498" customFormat="1" hidden="1" outlineLevel="2" x14ac:dyDescent="0.25">
      <c r="A271" s="500" t="s">
        <v>593</v>
      </c>
      <c r="B271" s="516"/>
      <c r="C271" s="511"/>
      <c r="D271" s="511"/>
      <c r="E271" s="511"/>
      <c r="F271" s="511"/>
      <c r="G271" s="510"/>
      <c r="H271" s="510"/>
      <c r="I271" s="510"/>
      <c r="J271" s="510"/>
      <c r="K271" s="511"/>
      <c r="L271" s="510"/>
      <c r="M271" s="510"/>
      <c r="N271" s="510"/>
      <c r="O271" s="510"/>
      <c r="P271" s="511"/>
      <c r="Q271" s="510"/>
      <c r="R271" s="510"/>
      <c r="S271" s="510"/>
      <c r="T271" s="510"/>
      <c r="U271" s="511"/>
      <c r="V271" s="510"/>
      <c r="W271" s="510"/>
      <c r="X271" s="510"/>
      <c r="Y271" s="510"/>
      <c r="Z271" s="511"/>
      <c r="AA271" s="510"/>
      <c r="AB271" s="510"/>
      <c r="AC271" s="510"/>
      <c r="AD271" s="510"/>
      <c r="AE271" s="511"/>
      <c r="AF271" s="508">
        <f t="shared" ref="AF271:AT271" si="516">SUM(AF269:AF270)</f>
        <v>52</v>
      </c>
      <c r="AG271" s="509">
        <f t="shared" si="516"/>
        <v>51</v>
      </c>
      <c r="AH271" s="508">
        <f t="shared" si="516"/>
        <v>48</v>
      </c>
      <c r="AI271" s="508">
        <f t="shared" si="516"/>
        <v>48</v>
      </c>
      <c r="AJ271" s="507">
        <f t="shared" si="516"/>
        <v>199</v>
      </c>
      <c r="AK271" s="508">
        <f t="shared" si="516"/>
        <v>44</v>
      </c>
      <c r="AL271" s="509">
        <f t="shared" si="516"/>
        <v>45</v>
      </c>
      <c r="AM271" s="508">
        <f t="shared" si="516"/>
        <v>51</v>
      </c>
      <c r="AN271" s="508">
        <f t="shared" si="516"/>
        <v>50</v>
      </c>
      <c r="AO271" s="507">
        <f t="shared" si="516"/>
        <v>191</v>
      </c>
      <c r="AP271" s="508">
        <f t="shared" si="516"/>
        <v>50</v>
      </c>
      <c r="AQ271" s="509">
        <f t="shared" si="516"/>
        <v>43</v>
      </c>
      <c r="AR271" s="508">
        <f t="shared" si="516"/>
        <v>63</v>
      </c>
      <c r="AS271" s="508">
        <f t="shared" si="516"/>
        <v>51</v>
      </c>
      <c r="AT271" s="507">
        <f t="shared" si="516"/>
        <v>207</v>
      </c>
      <c r="AU271" s="510"/>
      <c r="AV271" s="510"/>
      <c r="AW271" s="701"/>
      <c r="AX271" s="510"/>
      <c r="AY271" s="511"/>
      <c r="AZ271" s="510"/>
      <c r="BA271" s="510"/>
      <c r="BB271" s="510"/>
      <c r="BC271" s="510"/>
      <c r="BD271" s="511"/>
      <c r="BE271" s="511"/>
      <c r="BF271" s="511"/>
      <c r="BG271" s="511"/>
      <c r="BH271" s="499"/>
    </row>
    <row r="272" spans="1:60" s="469" customFormat="1" hidden="1" outlineLevel="2" x14ac:dyDescent="0.25">
      <c r="A272" s="748"/>
      <c r="B272" s="246"/>
      <c r="C272" s="478"/>
      <c r="D272" s="478"/>
      <c r="E272" s="478"/>
      <c r="F272" s="478"/>
      <c r="G272" s="480"/>
      <c r="H272" s="480"/>
      <c r="I272" s="480"/>
      <c r="J272" s="480"/>
      <c r="K272" s="478"/>
      <c r="L272" s="480"/>
      <c r="M272" s="480"/>
      <c r="N272" s="480"/>
      <c r="O272" s="480"/>
      <c r="P272" s="478"/>
      <c r="Q272" s="480"/>
      <c r="R272" s="480"/>
      <c r="S272" s="480"/>
      <c r="T272" s="480"/>
      <c r="U272" s="478"/>
      <c r="V272" s="480"/>
      <c r="W272" s="480"/>
      <c r="X272" s="480"/>
      <c r="Y272" s="480"/>
      <c r="Z272" s="478"/>
      <c r="AA272" s="480"/>
      <c r="AB272" s="480"/>
      <c r="AC272" s="480"/>
      <c r="AD272" s="480"/>
      <c r="AE272" s="478"/>
      <c r="AF272" s="480"/>
      <c r="AG272" s="480"/>
      <c r="AH272" s="480"/>
      <c r="AI272" s="480"/>
      <c r="AJ272" s="478"/>
      <c r="AK272" s="480"/>
      <c r="AL272" s="480"/>
      <c r="AM272" s="480"/>
      <c r="AN272" s="480"/>
      <c r="AO272" s="478"/>
      <c r="AP272" s="480"/>
      <c r="AQ272" s="480"/>
      <c r="AR272" s="480"/>
      <c r="AS272" s="480"/>
      <c r="AT272" s="478"/>
      <c r="AU272" s="480"/>
      <c r="AV272" s="480"/>
      <c r="AW272" s="708"/>
      <c r="AX272" s="480"/>
      <c r="AY272" s="478"/>
      <c r="AZ272" s="480"/>
      <c r="BA272" s="480"/>
      <c r="BB272" s="480"/>
      <c r="BC272" s="480"/>
      <c r="BD272" s="478"/>
      <c r="BE272" s="478"/>
      <c r="BF272" s="478"/>
      <c r="BG272" s="478"/>
      <c r="BH272" s="473"/>
    </row>
    <row r="273" spans="1:60" s="470" customFormat="1" hidden="1" outlineLevel="2" x14ac:dyDescent="0.25">
      <c r="A273" s="483" t="s">
        <v>605</v>
      </c>
      <c r="B273" s="514"/>
      <c r="C273" s="492"/>
      <c r="D273" s="492"/>
      <c r="E273" s="492"/>
      <c r="F273" s="492"/>
      <c r="G273" s="491"/>
      <c r="H273" s="491"/>
      <c r="I273" s="491"/>
      <c r="J273" s="491"/>
      <c r="K273" s="492"/>
      <c r="L273" s="491"/>
      <c r="M273" s="491"/>
      <c r="N273" s="491"/>
      <c r="O273" s="491"/>
      <c r="P273" s="492"/>
      <c r="Q273" s="491"/>
      <c r="R273" s="491"/>
      <c r="S273" s="491"/>
      <c r="T273" s="491"/>
      <c r="U273" s="492"/>
      <c r="V273" s="491"/>
      <c r="W273" s="491"/>
      <c r="X273" s="491"/>
      <c r="Y273" s="491"/>
      <c r="Z273" s="492"/>
      <c r="AA273" s="491"/>
      <c r="AB273" s="491"/>
      <c r="AC273" s="491"/>
      <c r="AD273" s="491"/>
      <c r="AE273" s="492"/>
      <c r="AF273" s="491"/>
      <c r="AG273" s="497">
        <v>63</v>
      </c>
      <c r="AH273" s="490">
        <v>90</v>
      </c>
      <c r="AI273" s="490">
        <f>AJ273</f>
        <v>96</v>
      </c>
      <c r="AJ273" s="489">
        <v>96</v>
      </c>
      <c r="AK273" s="490">
        <v>32</v>
      </c>
      <c r="AL273" s="497">
        <v>41</v>
      </c>
      <c r="AM273" s="490">
        <v>60</v>
      </c>
      <c r="AN273" s="490">
        <f>AO273</f>
        <v>93</v>
      </c>
      <c r="AO273" s="489">
        <v>93</v>
      </c>
      <c r="AP273" s="490">
        <v>33</v>
      </c>
      <c r="AQ273" s="497">
        <v>51</v>
      </c>
      <c r="AR273" s="490">
        <v>49</v>
      </c>
      <c r="AS273" s="490">
        <f t="shared" ref="AS273:AS274" si="517">+AT273</f>
        <v>61</v>
      </c>
      <c r="AT273" s="489">
        <v>61</v>
      </c>
      <c r="AU273" s="491"/>
      <c r="AV273" s="491"/>
      <c r="AW273" s="692"/>
      <c r="AX273" s="491"/>
      <c r="AY273" s="492"/>
      <c r="AZ273" s="491"/>
      <c r="BA273" s="491"/>
      <c r="BB273" s="491"/>
      <c r="BC273" s="491"/>
      <c r="BD273" s="492"/>
      <c r="BE273" s="492"/>
      <c r="BF273" s="492"/>
      <c r="BG273" s="492"/>
      <c r="BH273" s="484"/>
    </row>
    <row r="274" spans="1:60" s="470" customFormat="1" hidden="1" outlineLevel="2" x14ac:dyDescent="0.25">
      <c r="A274" s="483" t="s">
        <v>606</v>
      </c>
      <c r="B274" s="514"/>
      <c r="C274" s="492"/>
      <c r="D274" s="492"/>
      <c r="E274" s="492"/>
      <c r="F274" s="492"/>
      <c r="G274" s="491"/>
      <c r="H274" s="491"/>
      <c r="I274" s="491"/>
      <c r="J274" s="491"/>
      <c r="K274" s="492"/>
      <c r="L274" s="491"/>
      <c r="M274" s="491"/>
      <c r="N274" s="491"/>
      <c r="O274" s="491"/>
      <c r="P274" s="492"/>
      <c r="Q274" s="491"/>
      <c r="R274" s="491"/>
      <c r="S274" s="491"/>
      <c r="T274" s="491"/>
      <c r="U274" s="492"/>
      <c r="V274" s="491"/>
      <c r="W274" s="491"/>
      <c r="X274" s="491"/>
      <c r="Y274" s="491"/>
      <c r="Z274" s="492"/>
      <c r="AA274" s="491"/>
      <c r="AB274" s="491"/>
      <c r="AC274" s="491"/>
      <c r="AD274" s="491"/>
      <c r="AE274" s="492"/>
      <c r="AF274" s="491"/>
      <c r="AG274" s="497">
        <v>45</v>
      </c>
      <c r="AH274" s="490">
        <v>54</v>
      </c>
      <c r="AI274" s="490">
        <f>AJ274</f>
        <v>107</v>
      </c>
      <c r="AJ274" s="489">
        <v>107</v>
      </c>
      <c r="AK274" s="490">
        <v>33</v>
      </c>
      <c r="AL274" s="497">
        <v>55</v>
      </c>
      <c r="AM274" s="490">
        <v>65</v>
      </c>
      <c r="AN274" s="490">
        <f>AO274</f>
        <v>81</v>
      </c>
      <c r="AO274" s="489">
        <v>81</v>
      </c>
      <c r="AP274" s="490">
        <v>27</v>
      </c>
      <c r="AQ274" s="497">
        <v>36</v>
      </c>
      <c r="AR274" s="490">
        <v>48</v>
      </c>
      <c r="AS274" s="490">
        <f t="shared" si="517"/>
        <v>51</v>
      </c>
      <c r="AT274" s="489">
        <v>51</v>
      </c>
      <c r="AU274" s="491"/>
      <c r="AV274" s="491"/>
      <c r="AW274" s="692"/>
      <c r="AX274" s="491"/>
      <c r="AY274" s="492"/>
      <c r="AZ274" s="491"/>
      <c r="BA274" s="491"/>
      <c r="BB274" s="491"/>
      <c r="BC274" s="491"/>
      <c r="BD274" s="492"/>
      <c r="BE274" s="492"/>
      <c r="BF274" s="492"/>
      <c r="BG274" s="492"/>
      <c r="BH274" s="484"/>
    </row>
    <row r="275" spans="1:60" s="52" customFormat="1" hidden="1" outlineLevel="2" x14ac:dyDescent="0.25">
      <c r="A275" s="500" t="s">
        <v>42</v>
      </c>
      <c r="B275" s="762"/>
      <c r="C275" s="106"/>
      <c r="D275" s="106"/>
      <c r="E275" s="106"/>
      <c r="F275" s="106"/>
      <c r="G275" s="105"/>
      <c r="H275" s="105"/>
      <c r="I275" s="105"/>
      <c r="J275" s="105"/>
      <c r="K275" s="106"/>
      <c r="L275" s="105"/>
      <c r="M275" s="105"/>
      <c r="N275" s="105"/>
      <c r="O275" s="105"/>
      <c r="P275" s="106"/>
      <c r="Q275" s="105"/>
      <c r="R275" s="105"/>
      <c r="S275" s="105"/>
      <c r="T275" s="105"/>
      <c r="U275" s="106"/>
      <c r="V275" s="105"/>
      <c r="W275" s="105"/>
      <c r="X275" s="105"/>
      <c r="Y275" s="105"/>
      <c r="Z275" s="106"/>
      <c r="AA275" s="105"/>
      <c r="AB275" s="105"/>
      <c r="AC275" s="105"/>
      <c r="AD275" s="105"/>
      <c r="AE275" s="106"/>
      <c r="AF275" s="61">
        <v>82</v>
      </c>
      <c r="AG275" s="192">
        <v>108</v>
      </c>
      <c r="AH275" s="61">
        <v>144</v>
      </c>
      <c r="AI275" s="61">
        <f>AJ275</f>
        <v>203</v>
      </c>
      <c r="AJ275" s="53">
        <v>203</v>
      </c>
      <c r="AK275" s="61">
        <v>65</v>
      </c>
      <c r="AL275" s="192">
        <v>96</v>
      </c>
      <c r="AM275" s="61">
        <v>125</v>
      </c>
      <c r="AN275" s="61">
        <f>AO275</f>
        <v>174</v>
      </c>
      <c r="AO275" s="53">
        <v>174</v>
      </c>
      <c r="AP275" s="61">
        <v>60</v>
      </c>
      <c r="AQ275" s="192">
        <v>87</v>
      </c>
      <c r="AR275" s="61">
        <v>97</v>
      </c>
      <c r="AS275" s="61">
        <f>+AT275</f>
        <v>112</v>
      </c>
      <c r="AT275" s="53">
        <f t="shared" ref="AT275" si="518">+AT273+AT274</f>
        <v>112</v>
      </c>
      <c r="AU275" s="105"/>
      <c r="AV275" s="105"/>
      <c r="AW275" s="763"/>
      <c r="AX275" s="105"/>
      <c r="AY275" s="106"/>
      <c r="AZ275" s="105"/>
      <c r="BA275" s="105"/>
      <c r="BB275" s="105"/>
      <c r="BC275" s="105"/>
      <c r="BD275" s="106"/>
      <c r="BE275" s="106"/>
      <c r="BF275" s="106"/>
      <c r="BG275" s="106"/>
      <c r="BH275" s="499"/>
    </row>
    <row r="276" spans="1:60" s="52" customFormat="1" hidden="1" outlineLevel="2" collapsed="1" x14ac:dyDescent="0.25">
      <c r="A276" s="501" t="s">
        <v>43</v>
      </c>
      <c r="B276" s="764"/>
      <c r="C276" s="111"/>
      <c r="D276" s="111"/>
      <c r="E276" s="111"/>
      <c r="F276" s="111"/>
      <c r="G276" s="114"/>
      <c r="H276" s="114"/>
      <c r="I276" s="114"/>
      <c r="J276" s="114"/>
      <c r="K276" s="111"/>
      <c r="L276" s="114"/>
      <c r="M276" s="114"/>
      <c r="N276" s="114"/>
      <c r="O276" s="114"/>
      <c r="P276" s="111"/>
      <c r="Q276" s="114"/>
      <c r="R276" s="114"/>
      <c r="S276" s="114"/>
      <c r="T276" s="114"/>
      <c r="U276" s="111"/>
      <c r="V276" s="114"/>
      <c r="W276" s="114"/>
      <c r="X276" s="114"/>
      <c r="Y276" s="114"/>
      <c r="Z276" s="111"/>
      <c r="AA276" s="114"/>
      <c r="AB276" s="114"/>
      <c r="AC276" s="114"/>
      <c r="AD276" s="114"/>
      <c r="AE276" s="111"/>
      <c r="AF276" s="499">
        <f>AF275</f>
        <v>82</v>
      </c>
      <c r="AG276" s="194">
        <f>AG275-AF275</f>
        <v>26</v>
      </c>
      <c r="AH276" s="499">
        <f>AH275-AG275</f>
        <v>36</v>
      </c>
      <c r="AI276" s="499">
        <f>AI275-AH275</f>
        <v>59</v>
      </c>
      <c r="AJ276" s="51">
        <v>203</v>
      </c>
      <c r="AK276" s="499">
        <f>AK275</f>
        <v>65</v>
      </c>
      <c r="AL276" s="194">
        <f>AL275-AK275</f>
        <v>31</v>
      </c>
      <c r="AM276" s="499">
        <f>AM275-AL275</f>
        <v>29</v>
      </c>
      <c r="AN276" s="499">
        <f>AN275-AM275</f>
        <v>49</v>
      </c>
      <c r="AO276" s="51">
        <v>174</v>
      </c>
      <c r="AP276" s="499">
        <f>AP275</f>
        <v>60</v>
      </c>
      <c r="AQ276" s="194">
        <f>AQ275-AP275</f>
        <v>27</v>
      </c>
      <c r="AR276" s="499">
        <f>AR275-AQ275</f>
        <v>10</v>
      </c>
      <c r="AS276" s="499">
        <f>AT276-SUM(AP276,AQ276,AR276)</f>
        <v>15</v>
      </c>
      <c r="AT276" s="51">
        <f>+AT275</f>
        <v>112</v>
      </c>
      <c r="AU276" s="114"/>
      <c r="AV276" s="114"/>
      <c r="AW276" s="765"/>
      <c r="AX276" s="114"/>
      <c r="AY276" s="111"/>
      <c r="AZ276" s="114"/>
      <c r="BA276" s="114"/>
      <c r="BB276" s="114"/>
      <c r="BC276" s="114"/>
      <c r="BD276" s="111"/>
      <c r="BE276" s="111"/>
      <c r="BF276" s="111"/>
      <c r="BG276" s="111"/>
      <c r="BH276" s="499"/>
    </row>
    <row r="277" spans="1:60" s="44" customFormat="1" hidden="1" outlineLevel="1" collapsed="1" x14ac:dyDescent="0.25">
      <c r="A277" s="748"/>
      <c r="B277" s="246"/>
      <c r="C277" s="478"/>
      <c r="D277" s="478"/>
      <c r="E277" s="478"/>
      <c r="F277" s="478"/>
      <c r="G277" s="480"/>
      <c r="H277" s="480"/>
      <c r="I277" s="480"/>
      <c r="J277" s="480"/>
      <c r="K277" s="478"/>
      <c r="L277" s="480"/>
      <c r="M277" s="480"/>
      <c r="N277" s="480"/>
      <c r="O277" s="480"/>
      <c r="P277" s="478"/>
      <c r="Q277" s="480"/>
      <c r="R277" s="480"/>
      <c r="S277" s="480"/>
      <c r="T277" s="480"/>
      <c r="U277" s="478"/>
      <c r="V277" s="480"/>
      <c r="W277" s="480"/>
      <c r="X277" s="480"/>
      <c r="Y277" s="480"/>
      <c r="Z277" s="478"/>
      <c r="AA277" s="480"/>
      <c r="AB277" s="480"/>
      <c r="AC277" s="480"/>
      <c r="AD277" s="480"/>
      <c r="AE277" s="478"/>
      <c r="AF277" s="480"/>
      <c r="AG277" s="480"/>
      <c r="AH277" s="480"/>
      <c r="AI277" s="480"/>
      <c r="AJ277" s="478"/>
      <c r="AK277" s="480"/>
      <c r="AL277" s="480"/>
      <c r="AM277" s="480"/>
      <c r="AN277" s="480"/>
      <c r="AO277" s="478"/>
      <c r="AP277" s="480"/>
      <c r="AQ277" s="480"/>
      <c r="AR277" s="480"/>
      <c r="AS277" s="480"/>
      <c r="AT277" s="478"/>
      <c r="AU277" s="480"/>
      <c r="AV277" s="480"/>
      <c r="AW277" s="708"/>
      <c r="AX277" s="480"/>
      <c r="AY277" s="478"/>
      <c r="AZ277" s="480"/>
      <c r="BA277" s="480"/>
      <c r="BB277" s="480"/>
      <c r="BC277" s="480"/>
      <c r="BD277" s="478"/>
      <c r="BE277" s="478"/>
      <c r="BF277" s="478"/>
      <c r="BG277" s="478"/>
      <c r="BH277" s="473"/>
    </row>
    <row r="278" spans="1:60" s="19" customFormat="1" hidden="1" outlineLevel="1" x14ac:dyDescent="0.25">
      <c r="A278" s="956" t="s">
        <v>826</v>
      </c>
      <c r="B278" s="956"/>
      <c r="C278" s="986"/>
      <c r="D278" s="986"/>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6"/>
      <c r="AJ278" s="986"/>
      <c r="AK278" s="986"/>
      <c r="AL278" s="986"/>
      <c r="AM278" s="986"/>
      <c r="AN278" s="986"/>
      <c r="AO278" s="986"/>
      <c r="AP278" s="986"/>
      <c r="AQ278" s="986"/>
      <c r="AR278" s="986"/>
      <c r="AS278" s="986"/>
      <c r="AT278" s="986"/>
      <c r="AU278" s="986"/>
      <c r="AV278" s="986"/>
      <c r="AW278" s="987"/>
      <c r="AX278" s="986"/>
      <c r="AY278" s="986"/>
      <c r="AZ278" s="986"/>
      <c r="BA278" s="986"/>
      <c r="BB278" s="986"/>
      <c r="BC278" s="986"/>
      <c r="BD278" s="986"/>
      <c r="BE278" s="986"/>
      <c r="BF278" s="986"/>
      <c r="BG278" s="986"/>
      <c r="BH278" s="730"/>
    </row>
    <row r="279" spans="1:60" s="49" customFormat="1" hidden="1" outlineLevel="2" x14ac:dyDescent="0.25">
      <c r="A279" s="226" t="s">
        <v>44</v>
      </c>
      <c r="B279" s="514"/>
      <c r="C279" s="492"/>
      <c r="D279" s="492"/>
      <c r="E279" s="492"/>
      <c r="F279" s="492"/>
      <c r="G279" s="491"/>
      <c r="H279" s="491"/>
      <c r="I279" s="491"/>
      <c r="J279" s="491"/>
      <c r="K279" s="492"/>
      <c r="L279" s="491"/>
      <c r="M279" s="491"/>
      <c r="N279" s="491"/>
      <c r="O279" s="491"/>
      <c r="P279" s="492"/>
      <c r="Q279" s="491"/>
      <c r="R279" s="491"/>
      <c r="S279" s="491"/>
      <c r="T279" s="491"/>
      <c r="U279" s="492"/>
      <c r="V279" s="491"/>
      <c r="W279" s="491"/>
      <c r="X279" s="491"/>
      <c r="Y279" s="491"/>
      <c r="Z279" s="492">
        <v>10960</v>
      </c>
      <c r="AA279" s="491"/>
      <c r="AB279" s="491"/>
      <c r="AC279" s="491"/>
      <c r="AD279" s="491"/>
      <c r="AE279" s="492">
        <v>11324</v>
      </c>
      <c r="AF279" s="491">
        <v>2867</v>
      </c>
      <c r="AG279" s="491">
        <v>3043</v>
      </c>
      <c r="AH279" s="491">
        <v>2981</v>
      </c>
      <c r="AI279" s="491">
        <f>AJ279-AH279-AG279-AF279</f>
        <v>3016</v>
      </c>
      <c r="AJ279" s="492">
        <v>11907</v>
      </c>
      <c r="AK279" s="491">
        <v>3075</v>
      </c>
      <c r="AL279" s="491">
        <v>3177</v>
      </c>
      <c r="AM279" s="491">
        <v>3564</v>
      </c>
      <c r="AN279" s="491">
        <f>AO279-9873</f>
        <v>3560</v>
      </c>
      <c r="AO279" s="492">
        <v>13433</v>
      </c>
      <c r="AP279" s="491">
        <v>3648</v>
      </c>
      <c r="AQ279" s="491">
        <v>3746</v>
      </c>
      <c r="AR279" s="491">
        <v>3647</v>
      </c>
      <c r="AS279" s="491">
        <f>AT279-SUM(AP279,AQ279,AR279)</f>
        <v>3977</v>
      </c>
      <c r="AT279" s="492">
        <v>15018</v>
      </c>
      <c r="AU279" s="491"/>
      <c r="AV279" s="491"/>
      <c r="AW279" s="692"/>
      <c r="AX279" s="491"/>
      <c r="AY279" s="492"/>
      <c r="AZ279" s="491"/>
      <c r="BA279" s="491"/>
      <c r="BB279" s="491"/>
      <c r="BC279" s="491"/>
      <c r="BD279" s="492"/>
      <c r="BE279" s="492"/>
      <c r="BF279" s="492"/>
      <c r="BG279" s="492"/>
      <c r="BH279" s="484"/>
    </row>
    <row r="280" spans="1:60" s="49" customFormat="1" hidden="1" outlineLevel="2" x14ac:dyDescent="0.25">
      <c r="A280" s="226" t="s">
        <v>45</v>
      </c>
      <c r="B280" s="514"/>
      <c r="C280" s="492"/>
      <c r="D280" s="492"/>
      <c r="E280" s="492"/>
      <c r="F280" s="492"/>
      <c r="G280" s="491"/>
      <c r="H280" s="491"/>
      <c r="I280" s="491"/>
      <c r="J280" s="491"/>
      <c r="K280" s="492"/>
      <c r="L280" s="491"/>
      <c r="M280" s="491"/>
      <c r="N280" s="491"/>
      <c r="O280" s="491"/>
      <c r="P280" s="492"/>
      <c r="Q280" s="491"/>
      <c r="R280" s="491"/>
      <c r="S280" s="491"/>
      <c r="T280" s="491"/>
      <c r="U280" s="492"/>
      <c r="V280" s="491"/>
      <c r="W280" s="491"/>
      <c r="X280" s="491"/>
      <c r="Y280" s="491"/>
      <c r="Z280" s="492">
        <v>7202</v>
      </c>
      <c r="AA280" s="491"/>
      <c r="AB280" s="491"/>
      <c r="AC280" s="491"/>
      <c r="AD280" s="491"/>
      <c r="AE280" s="492">
        <v>6938</v>
      </c>
      <c r="AF280" s="491">
        <v>1963</v>
      </c>
      <c r="AG280" s="491">
        <v>1643</v>
      </c>
      <c r="AH280" s="491">
        <v>1677</v>
      </c>
      <c r="AI280" s="491">
        <f>AJ280-AH280-AG280-AF280</f>
        <v>1303</v>
      </c>
      <c r="AJ280" s="492">
        <v>6586</v>
      </c>
      <c r="AK280" s="491">
        <v>2023</v>
      </c>
      <c r="AL280" s="491">
        <v>1596</v>
      </c>
      <c r="AM280" s="491">
        <v>1874</v>
      </c>
      <c r="AN280" s="491">
        <f>AO280-5521</f>
        <v>1444</v>
      </c>
      <c r="AO280" s="492">
        <v>6965</v>
      </c>
      <c r="AP280" s="491">
        <v>2023</v>
      </c>
      <c r="AQ280" s="491">
        <v>1703</v>
      </c>
      <c r="AR280" s="491">
        <v>1115</v>
      </c>
      <c r="AS280" s="491">
        <f>AT280-SUM(AP280,AQ280,AR280)</f>
        <v>1533</v>
      </c>
      <c r="AT280" s="492">
        <v>6374</v>
      </c>
      <c r="AU280" s="491"/>
      <c r="AV280" s="491"/>
      <c r="AW280" s="692"/>
      <c r="AX280" s="491"/>
      <c r="AY280" s="492"/>
      <c r="AZ280" s="491"/>
      <c r="BA280" s="491"/>
      <c r="BB280" s="491"/>
      <c r="BC280" s="491"/>
      <c r="BD280" s="492"/>
      <c r="BE280" s="492"/>
      <c r="BF280" s="492"/>
      <c r="BG280" s="492"/>
      <c r="BH280" s="484"/>
    </row>
    <row r="281" spans="1:60" s="49" customFormat="1" hidden="1" outlineLevel="2" x14ac:dyDescent="0.25">
      <c r="A281" s="226" t="s">
        <v>46</v>
      </c>
      <c r="B281" s="514"/>
      <c r="C281" s="492"/>
      <c r="D281" s="492"/>
      <c r="E281" s="492"/>
      <c r="F281" s="492"/>
      <c r="G281" s="491"/>
      <c r="H281" s="491"/>
      <c r="I281" s="491"/>
      <c r="J281" s="491"/>
      <c r="K281" s="492"/>
      <c r="L281" s="491"/>
      <c r="M281" s="491"/>
      <c r="N281" s="491"/>
      <c r="O281" s="491"/>
      <c r="P281" s="492"/>
      <c r="Q281" s="491"/>
      <c r="R281" s="491"/>
      <c r="S281" s="491"/>
      <c r="T281" s="491"/>
      <c r="U281" s="492"/>
      <c r="V281" s="491"/>
      <c r="W281" s="491"/>
      <c r="X281" s="491"/>
      <c r="Y281" s="491"/>
      <c r="Z281" s="492">
        <v>3164</v>
      </c>
      <c r="AA281" s="491"/>
      <c r="AB281" s="491"/>
      <c r="AC281" s="491"/>
      <c r="AD281" s="491"/>
      <c r="AE281" s="492">
        <v>3037</v>
      </c>
      <c r="AF281" s="491">
        <v>624</v>
      </c>
      <c r="AG281" s="491">
        <v>761</v>
      </c>
      <c r="AH281" s="491">
        <v>822</v>
      </c>
      <c r="AI281" s="491">
        <f>AJ281-AH281-AG281-AF281</f>
        <v>913</v>
      </c>
      <c r="AJ281" s="492">
        <v>3120</v>
      </c>
      <c r="AK281" s="491">
        <v>722</v>
      </c>
      <c r="AL281" s="491">
        <v>678</v>
      </c>
      <c r="AM281" s="491">
        <v>1150</v>
      </c>
      <c r="AN281" s="491">
        <f>AO281-2617</f>
        <v>1429</v>
      </c>
      <c r="AO281" s="492">
        <v>4046</v>
      </c>
      <c r="AP281" s="491">
        <v>1538</v>
      </c>
      <c r="AQ281" s="491">
        <v>1700</v>
      </c>
      <c r="AR281" s="491">
        <v>1675</v>
      </c>
      <c r="AS281" s="491">
        <f>AT281-SUM(AP281,AQ281,AR281)</f>
        <v>1576</v>
      </c>
      <c r="AT281" s="492">
        <v>6489</v>
      </c>
      <c r="AU281" s="491"/>
      <c r="AV281" s="491"/>
      <c r="AW281" s="692"/>
      <c r="AX281" s="491"/>
      <c r="AY281" s="492"/>
      <c r="AZ281" s="491"/>
      <c r="BA281" s="491"/>
      <c r="BB281" s="491"/>
      <c r="BC281" s="491"/>
      <c r="BD281" s="492"/>
      <c r="BE281" s="492"/>
      <c r="BF281" s="492"/>
      <c r="BG281" s="492"/>
      <c r="BH281" s="484"/>
    </row>
    <row r="282" spans="1:60" s="49" customFormat="1" hidden="1" outlineLevel="2" x14ac:dyDescent="0.25">
      <c r="A282" s="538" t="s">
        <v>47</v>
      </c>
      <c r="B282" s="573"/>
      <c r="C282" s="322"/>
      <c r="D282" s="322"/>
      <c r="E282" s="322"/>
      <c r="F282" s="322"/>
      <c r="G282" s="321"/>
      <c r="H282" s="321"/>
      <c r="I282" s="321"/>
      <c r="J282" s="321"/>
      <c r="K282" s="322"/>
      <c r="L282" s="321"/>
      <c r="M282" s="321"/>
      <c r="N282" s="321"/>
      <c r="O282" s="321"/>
      <c r="P282" s="322"/>
      <c r="Q282" s="321"/>
      <c r="R282" s="321"/>
      <c r="S282" s="321"/>
      <c r="T282" s="321"/>
      <c r="U282" s="322"/>
      <c r="V282" s="321"/>
      <c r="W282" s="321"/>
      <c r="X282" s="321"/>
      <c r="Y282" s="321"/>
      <c r="Z282" s="322"/>
      <c r="AA282" s="321"/>
      <c r="AB282" s="321"/>
      <c r="AC282" s="321"/>
      <c r="AD282" s="321"/>
      <c r="AE282" s="322"/>
      <c r="AF282" s="321">
        <v>101</v>
      </c>
      <c r="AG282" s="321">
        <v>61</v>
      </c>
      <c r="AH282" s="321">
        <v>54</v>
      </c>
      <c r="AI282" s="321">
        <f>AJ282-AH282-AG282-AF282</f>
        <v>93</v>
      </c>
      <c r="AJ282" s="322">
        <v>309</v>
      </c>
      <c r="AK282" s="321">
        <v>101</v>
      </c>
      <c r="AL282" s="321">
        <v>74</v>
      </c>
      <c r="AM282" s="321">
        <v>125</v>
      </c>
      <c r="AN282" s="321">
        <f>AO282-306</f>
        <v>77</v>
      </c>
      <c r="AO282" s="322">
        <v>383</v>
      </c>
      <c r="AP282" s="321">
        <v>152</v>
      </c>
      <c r="AQ282" s="321">
        <v>108</v>
      </c>
      <c r="AR282" s="321">
        <v>125</v>
      </c>
      <c r="AS282" s="321">
        <f>AT282-SUM(AP282,AQ282,AR282)</f>
        <v>127</v>
      </c>
      <c r="AT282" s="322">
        <v>512</v>
      </c>
      <c r="AU282" s="321"/>
      <c r="AV282" s="321"/>
      <c r="AW282" s="693"/>
      <c r="AX282" s="321"/>
      <c r="AY282" s="322"/>
      <c r="AZ282" s="321"/>
      <c r="BA282" s="321"/>
      <c r="BB282" s="321"/>
      <c r="BC282" s="321"/>
      <c r="BD282" s="322"/>
      <c r="BE282" s="322"/>
      <c r="BF282" s="322"/>
      <c r="BG282" s="322"/>
      <c r="BH282" s="484"/>
    </row>
    <row r="283" spans="1:60" s="52" customFormat="1" hidden="1" outlineLevel="2" x14ac:dyDescent="0.25">
      <c r="A283" s="501" t="s">
        <v>33</v>
      </c>
      <c r="B283" s="264"/>
      <c r="C283" s="506"/>
      <c r="D283" s="506"/>
      <c r="E283" s="506"/>
      <c r="F283" s="506"/>
      <c r="G283" s="505"/>
      <c r="H283" s="505"/>
      <c r="I283" s="505"/>
      <c r="J283" s="505"/>
      <c r="K283" s="506"/>
      <c r="L283" s="505"/>
      <c r="M283" s="505"/>
      <c r="N283" s="505"/>
      <c r="O283" s="505"/>
      <c r="P283" s="506"/>
      <c r="Q283" s="505"/>
      <c r="R283" s="505"/>
      <c r="S283" s="505"/>
      <c r="T283" s="505"/>
      <c r="U283" s="506"/>
      <c r="V283" s="505"/>
      <c r="W283" s="505"/>
      <c r="X283" s="505"/>
      <c r="Y283" s="505"/>
      <c r="Z283" s="502">
        <f>SUM(Z279:Z281)</f>
        <v>21326</v>
      </c>
      <c r="AA283" s="505"/>
      <c r="AB283" s="505"/>
      <c r="AC283" s="505"/>
      <c r="AD283" s="505"/>
      <c r="AE283" s="502">
        <f>SUM(AE279:AE281)</f>
        <v>21299</v>
      </c>
      <c r="AF283" s="503">
        <f t="shared" ref="AF283:AO283" si="519">SUM(AF279:AF282)</f>
        <v>5555</v>
      </c>
      <c r="AG283" s="504">
        <f t="shared" si="519"/>
        <v>5508</v>
      </c>
      <c r="AH283" s="503">
        <f t="shared" si="519"/>
        <v>5534</v>
      </c>
      <c r="AI283" s="503">
        <f t="shared" si="519"/>
        <v>5325</v>
      </c>
      <c r="AJ283" s="502">
        <f t="shared" si="519"/>
        <v>21922</v>
      </c>
      <c r="AK283" s="503">
        <f t="shared" si="519"/>
        <v>5921</v>
      </c>
      <c r="AL283" s="504">
        <f t="shared" si="519"/>
        <v>5525</v>
      </c>
      <c r="AM283" s="503">
        <f t="shared" si="519"/>
        <v>6713</v>
      </c>
      <c r="AN283" s="503">
        <f t="shared" si="519"/>
        <v>6510</v>
      </c>
      <c r="AO283" s="502">
        <f t="shared" si="519"/>
        <v>24827</v>
      </c>
      <c r="AP283" s="503">
        <v>7361</v>
      </c>
      <c r="AQ283" s="504">
        <f t="shared" ref="AQ283:AT283" si="520">SUM(AQ279:AQ282)</f>
        <v>7257</v>
      </c>
      <c r="AR283" s="503">
        <f t="shared" si="520"/>
        <v>6562</v>
      </c>
      <c r="AS283" s="503">
        <f t="shared" si="520"/>
        <v>7213</v>
      </c>
      <c r="AT283" s="502">
        <f t="shared" si="520"/>
        <v>28393</v>
      </c>
      <c r="AU283" s="505"/>
      <c r="AV283" s="505"/>
      <c r="AW283" s="694"/>
      <c r="AX283" s="505"/>
      <c r="AY283" s="506"/>
      <c r="AZ283" s="505"/>
      <c r="BA283" s="505"/>
      <c r="BB283" s="505"/>
      <c r="BC283" s="505"/>
      <c r="BD283" s="506"/>
      <c r="BE283" s="506"/>
      <c r="BF283" s="506"/>
      <c r="BG283" s="506"/>
      <c r="BH283" s="499"/>
    </row>
    <row r="284" spans="1:60" s="498" customFormat="1" hidden="1" outlineLevel="2" x14ac:dyDescent="0.25">
      <c r="A284" s="635"/>
      <c r="B284" s="264"/>
      <c r="C284" s="506"/>
      <c r="D284" s="506"/>
      <c r="E284" s="506"/>
      <c r="F284" s="506"/>
      <c r="G284" s="505"/>
      <c r="H284" s="505"/>
      <c r="I284" s="505"/>
      <c r="J284" s="505"/>
      <c r="K284" s="506"/>
      <c r="L284" s="505"/>
      <c r="M284" s="505"/>
      <c r="N284" s="505"/>
      <c r="O284" s="505"/>
      <c r="P284" s="506"/>
      <c r="Q284" s="505"/>
      <c r="R284" s="505"/>
      <c r="S284" s="505"/>
      <c r="T284" s="505"/>
      <c r="U284" s="506"/>
      <c r="V284" s="505"/>
      <c r="W284" s="505"/>
      <c r="X284" s="505"/>
      <c r="Y284" s="505"/>
      <c r="Z284" s="506"/>
      <c r="AA284" s="505"/>
      <c r="AB284" s="505"/>
      <c r="AC284" s="505"/>
      <c r="AD284" s="505"/>
      <c r="AE284" s="506"/>
      <c r="AF284" s="505"/>
      <c r="AG284" s="505"/>
      <c r="AH284" s="505"/>
      <c r="AI284" s="505"/>
      <c r="AJ284" s="506"/>
      <c r="AK284" s="505"/>
      <c r="AL284" s="505"/>
      <c r="AM284" s="505"/>
      <c r="AN284" s="505"/>
      <c r="AO284" s="506"/>
      <c r="AP284" s="505"/>
      <c r="AQ284" s="505"/>
      <c r="AR284" s="505"/>
      <c r="AS284" s="505"/>
      <c r="AT284" s="506"/>
      <c r="AU284" s="505"/>
      <c r="AV284" s="505"/>
      <c r="AW284" s="694"/>
      <c r="AX284" s="505"/>
      <c r="AY284" s="506"/>
      <c r="AZ284" s="505"/>
      <c r="BA284" s="505"/>
      <c r="BB284" s="505"/>
      <c r="BC284" s="505"/>
      <c r="BD284" s="506"/>
      <c r="BE284" s="506"/>
      <c r="BF284" s="506"/>
      <c r="BG284" s="506"/>
      <c r="BH284" s="499"/>
    </row>
    <row r="285" spans="1:60" s="470" customFormat="1" hidden="1" outlineLevel="2" x14ac:dyDescent="0.25">
      <c r="A285" s="96" t="s">
        <v>633</v>
      </c>
      <c r="B285" s="514"/>
      <c r="C285" s="492"/>
      <c r="D285" s="492"/>
      <c r="E285" s="492"/>
      <c r="F285" s="492"/>
      <c r="G285" s="491"/>
      <c r="H285" s="491"/>
      <c r="I285" s="491"/>
      <c r="J285" s="491"/>
      <c r="K285" s="492"/>
      <c r="L285" s="491"/>
      <c r="M285" s="491"/>
      <c r="N285" s="491"/>
      <c r="O285" s="491"/>
      <c r="P285" s="492"/>
      <c r="Q285" s="491"/>
      <c r="R285" s="491"/>
      <c r="S285" s="491"/>
      <c r="T285" s="491"/>
      <c r="U285" s="492"/>
      <c r="V285" s="491"/>
      <c r="W285" s="491"/>
      <c r="X285" s="491"/>
      <c r="Y285" s="491"/>
      <c r="Z285" s="492"/>
      <c r="AA285" s="491"/>
      <c r="AB285" s="491"/>
      <c r="AC285" s="491"/>
      <c r="AD285" s="491"/>
      <c r="AE285" s="492"/>
      <c r="AF285" s="491"/>
      <c r="AG285" s="491"/>
      <c r="AH285" s="491"/>
      <c r="AI285" s="491"/>
      <c r="AJ285" s="492"/>
      <c r="AK285" s="490">
        <v>5688</v>
      </c>
      <c r="AL285" s="497">
        <v>5307</v>
      </c>
      <c r="AM285" s="490">
        <v>6338</v>
      </c>
      <c r="AN285" s="490">
        <f>AO285-17464</f>
        <v>6159</v>
      </c>
      <c r="AO285" s="489">
        <v>23623</v>
      </c>
      <c r="AP285" s="490">
        <v>6941</v>
      </c>
      <c r="AQ285" s="497">
        <v>6805</v>
      </c>
      <c r="AR285" s="490">
        <v>6208</v>
      </c>
      <c r="AS285" s="491"/>
      <c r="AT285" s="492"/>
      <c r="AU285" s="491"/>
      <c r="AV285" s="491"/>
      <c r="AW285" s="692"/>
      <c r="AX285" s="491"/>
      <c r="AY285" s="492"/>
      <c r="AZ285" s="491"/>
      <c r="BA285" s="491"/>
      <c r="BB285" s="491"/>
      <c r="BC285" s="491"/>
      <c r="BD285" s="492"/>
      <c r="BE285" s="492"/>
      <c r="BF285" s="492"/>
      <c r="BG285" s="492"/>
      <c r="BH285" s="484"/>
    </row>
    <row r="286" spans="1:60" s="470" customFormat="1" hidden="1" outlineLevel="2" x14ac:dyDescent="0.25">
      <c r="A286" s="363" t="s">
        <v>636</v>
      </c>
      <c r="B286" s="573"/>
      <c r="C286" s="322"/>
      <c r="D286" s="322"/>
      <c r="E286" s="322"/>
      <c r="F286" s="322"/>
      <c r="G286" s="321"/>
      <c r="H286" s="321"/>
      <c r="I286" s="321"/>
      <c r="J286" s="321"/>
      <c r="K286" s="322"/>
      <c r="L286" s="321"/>
      <c r="M286" s="321"/>
      <c r="N286" s="321"/>
      <c r="O286" s="321"/>
      <c r="P286" s="322"/>
      <c r="Q286" s="321"/>
      <c r="R286" s="321"/>
      <c r="S286" s="321"/>
      <c r="T286" s="321"/>
      <c r="U286" s="322"/>
      <c r="V286" s="321"/>
      <c r="W286" s="321"/>
      <c r="X286" s="321"/>
      <c r="Y286" s="321"/>
      <c r="Z286" s="322"/>
      <c r="AA286" s="321"/>
      <c r="AB286" s="321"/>
      <c r="AC286" s="321"/>
      <c r="AD286" s="321"/>
      <c r="AE286" s="322"/>
      <c r="AF286" s="321"/>
      <c r="AG286" s="321"/>
      <c r="AH286" s="321"/>
      <c r="AI286" s="321"/>
      <c r="AJ286" s="322"/>
      <c r="AK286" s="319">
        <v>28</v>
      </c>
      <c r="AL286" s="320">
        <v>4</v>
      </c>
      <c r="AM286" s="319">
        <v>17</v>
      </c>
      <c r="AN286" s="319">
        <f>AO286-73</f>
        <v>71</v>
      </c>
      <c r="AO286" s="318">
        <v>144</v>
      </c>
      <c r="AP286" s="319">
        <v>67</v>
      </c>
      <c r="AQ286" s="320">
        <v>20</v>
      </c>
      <c r="AR286" s="319">
        <v>21</v>
      </c>
      <c r="AS286" s="321"/>
      <c r="AT286" s="322"/>
      <c r="AU286" s="321"/>
      <c r="AV286" s="321"/>
      <c r="AW286" s="693"/>
      <c r="AX286" s="321"/>
      <c r="AY286" s="322"/>
      <c r="AZ286" s="321"/>
      <c r="BA286" s="321"/>
      <c r="BB286" s="321"/>
      <c r="BC286" s="321"/>
      <c r="BD286" s="322"/>
      <c r="BE286" s="322"/>
      <c r="BF286" s="322"/>
      <c r="BG286" s="322"/>
      <c r="BH286" s="484"/>
    </row>
    <row r="287" spans="1:60" s="470" customFormat="1" hidden="1" outlineLevel="2" x14ac:dyDescent="0.25">
      <c r="A287" s="483" t="s">
        <v>697</v>
      </c>
      <c r="B287" s="514"/>
      <c r="C287" s="492"/>
      <c r="D287" s="492"/>
      <c r="E287" s="492"/>
      <c r="F287" s="492"/>
      <c r="G287" s="491"/>
      <c r="H287" s="491"/>
      <c r="I287" s="491"/>
      <c r="J287" s="491"/>
      <c r="K287" s="492"/>
      <c r="L287" s="491"/>
      <c r="M287" s="491"/>
      <c r="N287" s="491"/>
      <c r="O287" s="491"/>
      <c r="P287" s="492"/>
      <c r="Q287" s="491"/>
      <c r="R287" s="491"/>
      <c r="S287" s="491"/>
      <c r="T287" s="491"/>
      <c r="U287" s="492"/>
      <c r="V287" s="491"/>
      <c r="W287" s="491"/>
      <c r="X287" s="491"/>
      <c r="Y287" s="491"/>
      <c r="Z287" s="492"/>
      <c r="AA287" s="491"/>
      <c r="AB287" s="491"/>
      <c r="AC287" s="491"/>
      <c r="AD287" s="491"/>
      <c r="AE287" s="492"/>
      <c r="AF287" s="491"/>
      <c r="AG287" s="491"/>
      <c r="AH287" s="491"/>
      <c r="AI287" s="491"/>
      <c r="AJ287" s="492"/>
      <c r="AK287" s="490">
        <f>SUM(AK285:AK286)</f>
        <v>5716</v>
      </c>
      <c r="AL287" s="497">
        <f t="shared" ref="AL287:AR287" si="521">SUM(AL285:AL286)</f>
        <v>5311</v>
      </c>
      <c r="AM287" s="490">
        <f t="shared" si="521"/>
        <v>6355</v>
      </c>
      <c r="AN287" s="490">
        <f t="shared" si="521"/>
        <v>6230</v>
      </c>
      <c r="AO287" s="489">
        <f t="shared" si="521"/>
        <v>23767</v>
      </c>
      <c r="AP287" s="490">
        <f t="shared" si="521"/>
        <v>7008</v>
      </c>
      <c r="AQ287" s="497">
        <f t="shared" si="521"/>
        <v>6825</v>
      </c>
      <c r="AR287" s="490">
        <f t="shared" si="521"/>
        <v>6229</v>
      </c>
      <c r="AS287" s="490">
        <f>AT287-SUM(AP287,AQ287,AR287)</f>
        <v>6504</v>
      </c>
      <c r="AT287" s="489">
        <v>26566</v>
      </c>
      <c r="AU287" s="491"/>
      <c r="AV287" s="491"/>
      <c r="AW287" s="692"/>
      <c r="AX287" s="491"/>
      <c r="AY287" s="492"/>
      <c r="AZ287" s="491"/>
      <c r="BA287" s="491"/>
      <c r="BB287" s="491"/>
      <c r="BC287" s="491"/>
      <c r="BD287" s="492"/>
      <c r="BE287" s="492"/>
      <c r="BF287" s="492"/>
      <c r="BG287" s="492"/>
      <c r="BH287" s="484"/>
    </row>
    <row r="288" spans="1:60" s="470" customFormat="1" hidden="1" outlineLevel="2" x14ac:dyDescent="0.25">
      <c r="A288" s="483" t="s">
        <v>634</v>
      </c>
      <c r="B288" s="514"/>
      <c r="C288" s="492"/>
      <c r="D288" s="492"/>
      <c r="E288" s="492"/>
      <c r="F288" s="492"/>
      <c r="G288" s="491"/>
      <c r="H288" s="491"/>
      <c r="I288" s="491"/>
      <c r="J288" s="491"/>
      <c r="K288" s="492"/>
      <c r="L288" s="491"/>
      <c r="M288" s="491"/>
      <c r="N288" s="491"/>
      <c r="O288" s="491"/>
      <c r="P288" s="492"/>
      <c r="Q288" s="491"/>
      <c r="R288" s="491"/>
      <c r="S288" s="491"/>
      <c r="T288" s="491"/>
      <c r="U288" s="492"/>
      <c r="V288" s="491"/>
      <c r="W288" s="491"/>
      <c r="X288" s="491"/>
      <c r="Y288" s="491"/>
      <c r="Z288" s="492"/>
      <c r="AA288" s="491"/>
      <c r="AB288" s="491"/>
      <c r="AC288" s="491"/>
      <c r="AD288" s="491"/>
      <c r="AE288" s="492"/>
      <c r="AF288" s="491"/>
      <c r="AG288" s="491"/>
      <c r="AH288" s="491"/>
      <c r="AI288" s="491"/>
      <c r="AJ288" s="492"/>
      <c r="AK288" s="490">
        <v>142</v>
      </c>
      <c r="AL288" s="497">
        <v>167</v>
      </c>
      <c r="AM288" s="490">
        <v>295</v>
      </c>
      <c r="AN288" s="490">
        <f>AO288-585</f>
        <v>200</v>
      </c>
      <c r="AO288" s="489">
        <v>785</v>
      </c>
      <c r="AP288" s="490">
        <v>207</v>
      </c>
      <c r="AQ288" s="497">
        <v>383</v>
      </c>
      <c r="AR288" s="490">
        <v>248</v>
      </c>
      <c r="AS288" s="490">
        <f>AT288-SUM(AP288,AQ288,AR288)</f>
        <v>540</v>
      </c>
      <c r="AT288" s="489">
        <v>1378</v>
      </c>
      <c r="AU288" s="491"/>
      <c r="AV288" s="491"/>
      <c r="AW288" s="692"/>
      <c r="AX288" s="491"/>
      <c r="AY288" s="492"/>
      <c r="AZ288" s="491"/>
      <c r="BA288" s="491"/>
      <c r="BB288" s="491"/>
      <c r="BC288" s="491"/>
      <c r="BD288" s="492"/>
      <c r="BE288" s="492"/>
      <c r="BF288" s="492"/>
      <c r="BG288" s="492"/>
      <c r="BH288" s="484"/>
    </row>
    <row r="289" spans="1:60" s="470" customFormat="1" hidden="1" outlineLevel="2" x14ac:dyDescent="0.25">
      <c r="A289" s="483" t="s">
        <v>635</v>
      </c>
      <c r="B289" s="514"/>
      <c r="C289" s="492"/>
      <c r="D289" s="492"/>
      <c r="E289" s="492"/>
      <c r="F289" s="492"/>
      <c r="G289" s="491"/>
      <c r="H289" s="491"/>
      <c r="I289" s="491"/>
      <c r="J289" s="491"/>
      <c r="K289" s="492"/>
      <c r="L289" s="491"/>
      <c r="M289" s="491"/>
      <c r="N289" s="491"/>
      <c r="O289" s="491"/>
      <c r="P289" s="492"/>
      <c r="Q289" s="491"/>
      <c r="R289" s="491"/>
      <c r="S289" s="491"/>
      <c r="T289" s="491"/>
      <c r="U289" s="492"/>
      <c r="V289" s="491"/>
      <c r="W289" s="491"/>
      <c r="X289" s="491"/>
      <c r="Y289" s="491"/>
      <c r="Z289" s="492"/>
      <c r="AA289" s="491"/>
      <c r="AB289" s="491"/>
      <c r="AC289" s="491"/>
      <c r="AD289" s="491"/>
      <c r="AE289" s="492"/>
      <c r="AF289" s="491"/>
      <c r="AG289" s="491"/>
      <c r="AH289" s="491"/>
      <c r="AI289" s="491"/>
      <c r="AJ289" s="492"/>
      <c r="AK289" s="490">
        <v>63</v>
      </c>
      <c r="AL289" s="497">
        <v>47</v>
      </c>
      <c r="AM289" s="490">
        <v>63</v>
      </c>
      <c r="AN289" s="490">
        <f>AO289-195</f>
        <v>80</v>
      </c>
      <c r="AO289" s="489">
        <v>275</v>
      </c>
      <c r="AP289" s="490">
        <v>146</v>
      </c>
      <c r="AQ289" s="497">
        <v>49</v>
      </c>
      <c r="AR289" s="490">
        <v>85</v>
      </c>
      <c r="AS289" s="490">
        <f>AT289-SUM(AP289,AQ289,AR289)</f>
        <v>169</v>
      </c>
      <c r="AT289" s="489">
        <v>449</v>
      </c>
      <c r="AU289" s="491"/>
      <c r="AV289" s="491"/>
      <c r="AW289" s="692"/>
      <c r="AX289" s="491"/>
      <c r="AY289" s="492"/>
      <c r="AZ289" s="491"/>
      <c r="BA289" s="491"/>
      <c r="BB289" s="491"/>
      <c r="BC289" s="491"/>
      <c r="BD289" s="492"/>
      <c r="BE289" s="492"/>
      <c r="BF289" s="492"/>
      <c r="BG289" s="492"/>
      <c r="BH289" s="484"/>
    </row>
    <row r="290" spans="1:60" s="498" customFormat="1" hidden="1" outlineLevel="2" x14ac:dyDescent="0.25">
      <c r="A290" s="500" t="s">
        <v>585</v>
      </c>
      <c r="B290" s="516"/>
      <c r="C290" s="511"/>
      <c r="D290" s="511"/>
      <c r="E290" s="511"/>
      <c r="F290" s="511"/>
      <c r="G290" s="510"/>
      <c r="H290" s="510"/>
      <c r="I290" s="510"/>
      <c r="J290" s="510"/>
      <c r="K290" s="511"/>
      <c r="L290" s="510"/>
      <c r="M290" s="510"/>
      <c r="N290" s="510"/>
      <c r="O290" s="510"/>
      <c r="P290" s="511"/>
      <c r="Q290" s="510"/>
      <c r="R290" s="510"/>
      <c r="S290" s="510"/>
      <c r="T290" s="510"/>
      <c r="U290" s="511"/>
      <c r="V290" s="510"/>
      <c r="W290" s="510"/>
      <c r="X290" s="510"/>
      <c r="Y290" s="510"/>
      <c r="Z290" s="511"/>
      <c r="AA290" s="510"/>
      <c r="AB290" s="510"/>
      <c r="AC290" s="510"/>
      <c r="AD290" s="510"/>
      <c r="AE290" s="511"/>
      <c r="AF290" s="510"/>
      <c r="AG290" s="510"/>
      <c r="AH290" s="510"/>
      <c r="AI290" s="510"/>
      <c r="AJ290" s="511"/>
      <c r="AK290" s="508">
        <f>SUM(AK287:AK289)</f>
        <v>5921</v>
      </c>
      <c r="AL290" s="509">
        <f t="shared" ref="AL290:AT290" si="522">SUM(AL287:AL289)</f>
        <v>5525</v>
      </c>
      <c r="AM290" s="508">
        <f t="shared" si="522"/>
        <v>6713</v>
      </c>
      <c r="AN290" s="508">
        <f t="shared" si="522"/>
        <v>6510</v>
      </c>
      <c r="AO290" s="507">
        <f t="shared" si="522"/>
        <v>24827</v>
      </c>
      <c r="AP290" s="508">
        <f t="shared" si="522"/>
        <v>7361</v>
      </c>
      <c r="AQ290" s="509">
        <f t="shared" si="522"/>
        <v>7257</v>
      </c>
      <c r="AR290" s="508">
        <f t="shared" si="522"/>
        <v>6562</v>
      </c>
      <c r="AS290" s="508">
        <f t="shared" si="522"/>
        <v>7213</v>
      </c>
      <c r="AT290" s="507">
        <f t="shared" si="522"/>
        <v>28393</v>
      </c>
      <c r="AU290" s="510"/>
      <c r="AV290" s="510"/>
      <c r="AW290" s="701"/>
      <c r="AX290" s="510"/>
      <c r="AY290" s="511"/>
      <c r="AZ290" s="510"/>
      <c r="BA290" s="510"/>
      <c r="BB290" s="510"/>
      <c r="BC290" s="510"/>
      <c r="BD290" s="511"/>
      <c r="BE290" s="511"/>
      <c r="BF290" s="511"/>
      <c r="BG290" s="511"/>
      <c r="BH290" s="499"/>
    </row>
    <row r="291" spans="1:60" s="44" customFormat="1" hidden="1" outlineLevel="2" x14ac:dyDescent="0.25">
      <c r="A291" s="748"/>
      <c r="B291" s="246"/>
      <c r="C291" s="478"/>
      <c r="D291" s="478"/>
      <c r="E291" s="478"/>
      <c r="F291" s="478"/>
      <c r="G291" s="480"/>
      <c r="H291" s="480"/>
      <c r="I291" s="480"/>
      <c r="J291" s="480"/>
      <c r="K291" s="478"/>
      <c r="L291" s="480"/>
      <c r="M291" s="480"/>
      <c r="N291" s="480"/>
      <c r="O291" s="480"/>
      <c r="P291" s="478"/>
      <c r="Q291" s="480"/>
      <c r="R291" s="480"/>
      <c r="S291" s="480"/>
      <c r="T291" s="480"/>
      <c r="U291" s="478"/>
      <c r="V291" s="480"/>
      <c r="W291" s="480"/>
      <c r="X291" s="480"/>
      <c r="Y291" s="480"/>
      <c r="Z291" s="478"/>
      <c r="AA291" s="480"/>
      <c r="AB291" s="480"/>
      <c r="AC291" s="480"/>
      <c r="AD291" s="480"/>
      <c r="AE291" s="478"/>
      <c r="AF291" s="480"/>
      <c r="AG291" s="480"/>
      <c r="AH291" s="480"/>
      <c r="AI291" s="480"/>
      <c r="AJ291" s="478"/>
      <c r="AK291" s="480"/>
      <c r="AL291" s="480"/>
      <c r="AM291" s="480"/>
      <c r="AN291" s="480"/>
      <c r="AO291" s="478"/>
      <c r="AP291" s="480"/>
      <c r="AQ291" s="480"/>
      <c r="AR291" s="480"/>
      <c r="AS291" s="480"/>
      <c r="AT291" s="478"/>
      <c r="AU291" s="480"/>
      <c r="AV291" s="480"/>
      <c r="AW291" s="708"/>
      <c r="AX291" s="480"/>
      <c r="AY291" s="478"/>
      <c r="AZ291" s="480"/>
      <c r="BA291" s="480"/>
      <c r="BB291" s="480"/>
      <c r="BC291" s="480"/>
      <c r="BD291" s="478"/>
      <c r="BE291" s="478"/>
      <c r="BF291" s="478"/>
      <c r="BG291" s="478"/>
      <c r="BH291" s="473"/>
    </row>
    <row r="292" spans="1:60" s="49" customFormat="1" hidden="1" outlineLevel="2" x14ac:dyDescent="0.25">
      <c r="A292" s="483" t="s">
        <v>48</v>
      </c>
      <c r="B292" s="514"/>
      <c r="C292" s="492"/>
      <c r="D292" s="492"/>
      <c r="E292" s="492"/>
      <c r="F292" s="492"/>
      <c r="G292" s="491"/>
      <c r="H292" s="491"/>
      <c r="I292" s="491"/>
      <c r="J292" s="491"/>
      <c r="K292" s="492"/>
      <c r="L292" s="491"/>
      <c r="M292" s="491"/>
      <c r="N292" s="491"/>
      <c r="O292" s="491"/>
      <c r="P292" s="492"/>
      <c r="Q292" s="491"/>
      <c r="R292" s="491"/>
      <c r="S292" s="491"/>
      <c r="T292" s="491"/>
      <c r="U292" s="492"/>
      <c r="V292" s="491"/>
      <c r="W292" s="491"/>
      <c r="X292" s="491"/>
      <c r="Y292" s="491"/>
      <c r="Z292" s="489">
        <v>5760</v>
      </c>
      <c r="AA292" s="491"/>
      <c r="AB292" s="491"/>
      <c r="AC292" s="491"/>
      <c r="AD292" s="491"/>
      <c r="AE292" s="489">
        <v>5174</v>
      </c>
      <c r="AF292" s="490">
        <v>793</v>
      </c>
      <c r="AG292" s="497">
        <v>1728</v>
      </c>
      <c r="AH292" s="490">
        <v>1429</v>
      </c>
      <c r="AI292" s="490">
        <f>AJ292-AH292-AG292-AF292</f>
        <v>1275</v>
      </c>
      <c r="AJ292" s="489">
        <v>5225</v>
      </c>
      <c r="AK292" s="490">
        <v>743</v>
      </c>
      <c r="AL292" s="497">
        <v>1756</v>
      </c>
      <c r="AM292" s="490">
        <v>1637</v>
      </c>
      <c r="AN292" s="490">
        <f>AO292-4169</f>
        <v>1256</v>
      </c>
      <c r="AO292" s="489">
        <v>5425</v>
      </c>
      <c r="AP292" s="490">
        <v>862</v>
      </c>
      <c r="AQ292" s="497">
        <v>1799</v>
      </c>
      <c r="AR292" s="490">
        <v>2459</v>
      </c>
      <c r="AS292" s="490">
        <f>AT292-SUM(AP292,AQ292,AR292)</f>
        <v>1163</v>
      </c>
      <c r="AT292" s="489">
        <v>6283</v>
      </c>
      <c r="AU292" s="491"/>
      <c r="AV292" s="491"/>
      <c r="AW292" s="692"/>
      <c r="AX292" s="491"/>
      <c r="AY292" s="492"/>
      <c r="AZ292" s="491"/>
      <c r="BA292" s="491"/>
      <c r="BB292" s="491"/>
      <c r="BC292" s="491"/>
      <c r="BD292" s="492"/>
      <c r="BE292" s="492"/>
      <c r="BF292" s="492"/>
      <c r="BG292" s="492"/>
      <c r="BH292" s="484"/>
    </row>
    <row r="293" spans="1:60" s="49" customFormat="1" hidden="1" outlineLevel="2" x14ac:dyDescent="0.25">
      <c r="A293" s="483" t="s">
        <v>49</v>
      </c>
      <c r="B293" s="514"/>
      <c r="C293" s="492"/>
      <c r="D293" s="492"/>
      <c r="E293" s="492"/>
      <c r="F293" s="492"/>
      <c r="G293" s="491"/>
      <c r="H293" s="491"/>
      <c r="I293" s="491"/>
      <c r="J293" s="491"/>
      <c r="K293" s="492"/>
      <c r="L293" s="491"/>
      <c r="M293" s="491"/>
      <c r="N293" s="491"/>
      <c r="O293" s="491"/>
      <c r="P293" s="492"/>
      <c r="Q293" s="491"/>
      <c r="R293" s="491"/>
      <c r="S293" s="491"/>
      <c r="T293" s="491"/>
      <c r="U293" s="492"/>
      <c r="V293" s="491"/>
      <c r="W293" s="491"/>
      <c r="X293" s="491"/>
      <c r="Y293" s="491"/>
      <c r="Z293" s="489">
        <v>1265</v>
      </c>
      <c r="AA293" s="491"/>
      <c r="AB293" s="491"/>
      <c r="AC293" s="491"/>
      <c r="AD293" s="491"/>
      <c r="AE293" s="489">
        <v>1256</v>
      </c>
      <c r="AF293" s="490">
        <v>291</v>
      </c>
      <c r="AG293" s="497">
        <v>348</v>
      </c>
      <c r="AH293" s="490">
        <v>369</v>
      </c>
      <c r="AI293" s="490">
        <f>AJ293-AH293-AG293-AF293</f>
        <v>394</v>
      </c>
      <c r="AJ293" s="489">
        <v>1402</v>
      </c>
      <c r="AK293" s="490">
        <v>408</v>
      </c>
      <c r="AL293" s="497">
        <v>247</v>
      </c>
      <c r="AM293" s="490">
        <v>307</v>
      </c>
      <c r="AN293" s="490">
        <f>AO293-974</f>
        <v>377</v>
      </c>
      <c r="AO293" s="489">
        <v>1351</v>
      </c>
      <c r="AP293" s="490">
        <v>575</v>
      </c>
      <c r="AQ293" s="497">
        <v>397</v>
      </c>
      <c r="AR293" s="490">
        <v>477</v>
      </c>
      <c r="AS293" s="490">
        <f>AT293-SUM(AP293,AQ293,AR293)</f>
        <v>553</v>
      </c>
      <c r="AT293" s="489">
        <v>2002</v>
      </c>
      <c r="AU293" s="491"/>
      <c r="AV293" s="491"/>
      <c r="AW293" s="692"/>
      <c r="AX293" s="491"/>
      <c r="AY293" s="492"/>
      <c r="AZ293" s="491"/>
      <c r="BA293" s="491"/>
      <c r="BB293" s="491"/>
      <c r="BC293" s="491"/>
      <c r="BD293" s="492"/>
      <c r="BE293" s="492"/>
      <c r="BF293" s="492"/>
      <c r="BG293" s="492"/>
      <c r="BH293" s="484"/>
    </row>
    <row r="294" spans="1:60" s="49" customFormat="1" hidden="1" outlineLevel="2" x14ac:dyDescent="0.25">
      <c r="A294" s="218" t="s">
        <v>37</v>
      </c>
      <c r="B294" s="573"/>
      <c r="C294" s="322"/>
      <c r="D294" s="322"/>
      <c r="E294" s="322"/>
      <c r="F294" s="322"/>
      <c r="G294" s="321"/>
      <c r="H294" s="321"/>
      <c r="I294" s="321"/>
      <c r="J294" s="321"/>
      <c r="K294" s="322"/>
      <c r="L294" s="321"/>
      <c r="M294" s="321"/>
      <c r="N294" s="321"/>
      <c r="O294" s="321"/>
      <c r="P294" s="322"/>
      <c r="Q294" s="321"/>
      <c r="R294" s="321"/>
      <c r="S294" s="321"/>
      <c r="T294" s="321"/>
      <c r="U294" s="322"/>
      <c r="V294" s="321"/>
      <c r="W294" s="321"/>
      <c r="X294" s="321"/>
      <c r="Y294" s="321"/>
      <c r="Z294" s="318">
        <v>779</v>
      </c>
      <c r="AA294" s="321"/>
      <c r="AB294" s="321"/>
      <c r="AC294" s="321"/>
      <c r="AD294" s="321"/>
      <c r="AE294" s="318">
        <v>766</v>
      </c>
      <c r="AF294" s="319">
        <v>159</v>
      </c>
      <c r="AG294" s="320">
        <v>182</v>
      </c>
      <c r="AH294" s="319">
        <v>197</v>
      </c>
      <c r="AI294" s="319">
        <f>AJ294-AH294-AG294-AF294</f>
        <v>173</v>
      </c>
      <c r="AJ294" s="318">
        <v>711</v>
      </c>
      <c r="AK294" s="319">
        <v>179</v>
      </c>
      <c r="AL294" s="320">
        <v>182</v>
      </c>
      <c r="AM294" s="319">
        <v>192</v>
      </c>
      <c r="AN294" s="319">
        <f>AO294-553</f>
        <v>150</v>
      </c>
      <c r="AO294" s="318">
        <v>703</v>
      </c>
      <c r="AP294" s="319">
        <v>193</v>
      </c>
      <c r="AQ294" s="320">
        <v>179</v>
      </c>
      <c r="AR294" s="319">
        <v>217</v>
      </c>
      <c r="AS294" s="319">
        <f>AT294-SUM(AP294,AQ294,AR294)</f>
        <v>148</v>
      </c>
      <c r="AT294" s="318">
        <v>737</v>
      </c>
      <c r="AU294" s="321"/>
      <c r="AV294" s="321"/>
      <c r="AW294" s="693"/>
      <c r="AX294" s="321"/>
      <c r="AY294" s="322"/>
      <c r="AZ294" s="321"/>
      <c r="BA294" s="321"/>
      <c r="BB294" s="321"/>
      <c r="BC294" s="321"/>
      <c r="BD294" s="322"/>
      <c r="BE294" s="322"/>
      <c r="BF294" s="322"/>
      <c r="BG294" s="322"/>
      <c r="BH294" s="484"/>
    </row>
    <row r="295" spans="1:60" s="52" customFormat="1" hidden="1" outlineLevel="2" x14ac:dyDescent="0.25">
      <c r="A295" s="501" t="s">
        <v>38</v>
      </c>
      <c r="B295" s="264"/>
      <c r="C295" s="506"/>
      <c r="D295" s="506"/>
      <c r="E295" s="506"/>
      <c r="F295" s="506"/>
      <c r="G295" s="505"/>
      <c r="H295" s="505"/>
      <c r="I295" s="505"/>
      <c r="J295" s="505"/>
      <c r="K295" s="506"/>
      <c r="L295" s="505"/>
      <c r="M295" s="505"/>
      <c r="N295" s="505"/>
      <c r="O295" s="505"/>
      <c r="P295" s="506"/>
      <c r="Q295" s="505"/>
      <c r="R295" s="505"/>
      <c r="S295" s="505"/>
      <c r="T295" s="505"/>
      <c r="U295" s="506"/>
      <c r="V295" s="505"/>
      <c r="W295" s="505"/>
      <c r="X295" s="505"/>
      <c r="Y295" s="505"/>
      <c r="Z295" s="502">
        <f>SUM(Z292:Z294)</f>
        <v>7804</v>
      </c>
      <c r="AA295" s="505"/>
      <c r="AB295" s="505"/>
      <c r="AC295" s="505"/>
      <c r="AD295" s="505"/>
      <c r="AE295" s="502">
        <f t="shared" ref="AE295:AT295" si="523">SUM(AE292:AE294)</f>
        <v>7196</v>
      </c>
      <c r="AF295" s="503">
        <f t="shared" si="523"/>
        <v>1243</v>
      </c>
      <c r="AG295" s="504">
        <f t="shared" si="523"/>
        <v>2258</v>
      </c>
      <c r="AH295" s="503">
        <f t="shared" si="523"/>
        <v>1995</v>
      </c>
      <c r="AI295" s="503">
        <f t="shared" si="523"/>
        <v>1842</v>
      </c>
      <c r="AJ295" s="502">
        <f t="shared" si="523"/>
        <v>7338</v>
      </c>
      <c r="AK295" s="503">
        <f t="shared" si="523"/>
        <v>1330</v>
      </c>
      <c r="AL295" s="504">
        <f t="shared" si="523"/>
        <v>2185</v>
      </c>
      <c r="AM295" s="503">
        <f t="shared" si="523"/>
        <v>2136</v>
      </c>
      <c r="AN295" s="503">
        <f t="shared" si="523"/>
        <v>1783</v>
      </c>
      <c r="AO295" s="502">
        <f t="shared" si="523"/>
        <v>7479</v>
      </c>
      <c r="AP295" s="503">
        <f t="shared" si="523"/>
        <v>1630</v>
      </c>
      <c r="AQ295" s="504">
        <f t="shared" si="523"/>
        <v>2375</v>
      </c>
      <c r="AR295" s="503">
        <f t="shared" si="523"/>
        <v>3153</v>
      </c>
      <c r="AS295" s="503">
        <f t="shared" si="523"/>
        <v>1864</v>
      </c>
      <c r="AT295" s="502">
        <f t="shared" si="523"/>
        <v>9022</v>
      </c>
      <c r="AU295" s="505"/>
      <c r="AV295" s="505"/>
      <c r="AW295" s="694"/>
      <c r="AX295" s="505"/>
      <c r="AY295" s="506"/>
      <c r="AZ295" s="505"/>
      <c r="BA295" s="505"/>
      <c r="BB295" s="505"/>
      <c r="BC295" s="505"/>
      <c r="BD295" s="506"/>
      <c r="BE295" s="506"/>
      <c r="BF295" s="506"/>
      <c r="BG295" s="506"/>
      <c r="BH295" s="499"/>
    </row>
    <row r="296" spans="1:60" s="44" customFormat="1" hidden="1" outlineLevel="1" collapsed="1" x14ac:dyDescent="0.25">
      <c r="A296" s="748"/>
      <c r="B296" s="246"/>
      <c r="C296" s="478"/>
      <c r="D296" s="478"/>
      <c r="E296" s="478"/>
      <c r="F296" s="478"/>
      <c r="G296" s="480"/>
      <c r="H296" s="480"/>
      <c r="I296" s="480"/>
      <c r="J296" s="480"/>
      <c r="K296" s="478"/>
      <c r="L296" s="480"/>
      <c r="M296" s="480"/>
      <c r="N296" s="480"/>
      <c r="O296" s="480"/>
      <c r="P296" s="478"/>
      <c r="Q296" s="480"/>
      <c r="R296" s="480"/>
      <c r="S296" s="480"/>
      <c r="T296" s="480"/>
      <c r="U296" s="478"/>
      <c r="V296" s="480"/>
      <c r="W296" s="480"/>
      <c r="X296" s="480"/>
      <c r="Y296" s="480"/>
      <c r="Z296" s="478"/>
      <c r="AA296" s="480"/>
      <c r="AB296" s="480"/>
      <c r="AC296" s="480"/>
      <c r="AD296" s="480"/>
      <c r="AE296" s="478"/>
      <c r="AF296" s="480"/>
      <c r="AG296" s="480"/>
      <c r="AH296" s="480"/>
      <c r="AI296" s="480"/>
      <c r="AJ296" s="478"/>
      <c r="AK296" s="480"/>
      <c r="AL296" s="480"/>
      <c r="AM296" s="480"/>
      <c r="AN296" s="480"/>
      <c r="AO296" s="478"/>
      <c r="AP296" s="480"/>
      <c r="AQ296" s="480"/>
      <c r="AR296" s="480"/>
      <c r="AS296" s="480"/>
      <c r="AT296" s="478"/>
      <c r="AU296" s="480"/>
      <c r="AV296" s="480"/>
      <c r="AW296" s="708"/>
      <c r="AX296" s="480"/>
      <c r="AY296" s="478"/>
      <c r="AZ296" s="480"/>
      <c r="BA296" s="480"/>
      <c r="BB296" s="480"/>
      <c r="BC296" s="480"/>
      <c r="BD296" s="478"/>
      <c r="BE296" s="478"/>
      <c r="BF296" s="478"/>
      <c r="BG296" s="478"/>
      <c r="BH296" s="473"/>
    </row>
    <row r="297" spans="1:60" s="19" customFormat="1" hidden="1" outlineLevel="1" x14ac:dyDescent="0.25">
      <c r="A297" s="956" t="s">
        <v>827</v>
      </c>
      <c r="B297" s="956"/>
      <c r="C297" s="986"/>
      <c r="D297" s="986"/>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6"/>
      <c r="AJ297" s="986"/>
      <c r="AK297" s="986"/>
      <c r="AL297" s="986"/>
      <c r="AM297" s="986"/>
      <c r="AN297" s="986"/>
      <c r="AO297" s="986"/>
      <c r="AP297" s="986"/>
      <c r="AQ297" s="986"/>
      <c r="AR297" s="986"/>
      <c r="AS297" s="986"/>
      <c r="AT297" s="986"/>
      <c r="AU297" s="986"/>
      <c r="AV297" s="986"/>
      <c r="AW297" s="987"/>
      <c r="AX297" s="986"/>
      <c r="AY297" s="986"/>
      <c r="AZ297" s="986"/>
      <c r="BA297" s="986"/>
      <c r="BB297" s="986"/>
      <c r="BC297" s="986"/>
      <c r="BD297" s="986"/>
      <c r="BE297" s="986"/>
      <c r="BF297" s="986"/>
      <c r="BG297" s="986"/>
      <c r="BH297" s="730"/>
    </row>
    <row r="298" spans="1:60" s="83" customFormat="1" hidden="1" outlineLevel="2" x14ac:dyDescent="0.25">
      <c r="A298" s="476" t="s">
        <v>17</v>
      </c>
      <c r="B298" s="245"/>
      <c r="C298" s="103"/>
      <c r="D298" s="103"/>
      <c r="E298" s="103"/>
      <c r="F298" s="103"/>
      <c r="G298" s="101"/>
      <c r="H298" s="101"/>
      <c r="I298" s="101"/>
      <c r="J298" s="101"/>
      <c r="K298" s="103"/>
      <c r="L298" s="101"/>
      <c r="M298" s="101"/>
      <c r="N298" s="101"/>
      <c r="O298" s="101"/>
      <c r="P298" s="103"/>
      <c r="Q298" s="101"/>
      <c r="R298" s="101"/>
      <c r="S298" s="101"/>
      <c r="T298" s="101"/>
      <c r="U298" s="103"/>
      <c r="V298" s="101"/>
      <c r="W298" s="101"/>
      <c r="X298" s="101"/>
      <c r="Y298" s="101"/>
      <c r="Z298" s="103"/>
      <c r="AA298" s="101"/>
      <c r="AB298" s="101"/>
      <c r="AC298" s="101"/>
      <c r="AD298" s="101"/>
      <c r="AE298" s="468">
        <f>AE303/Z303-1</f>
        <v>4.0533895328415781E-2</v>
      </c>
      <c r="AF298" s="101"/>
      <c r="AG298" s="101"/>
      <c r="AH298" s="101"/>
      <c r="AI298" s="101"/>
      <c r="AJ298" s="468">
        <f t="shared" ref="AJ298:AR299" si="524">AJ303/AE303-1</f>
        <v>9.1074804212800453E-2</v>
      </c>
      <c r="AK298" s="471">
        <f t="shared" si="524"/>
        <v>7.2404699112922577E-2</v>
      </c>
      <c r="AL298" s="481">
        <f t="shared" si="524"/>
        <v>6.0781841109709855E-2</v>
      </c>
      <c r="AM298" s="471">
        <f t="shared" si="524"/>
        <v>8.094888725849847E-2</v>
      </c>
      <c r="AN298" s="471">
        <f t="shared" si="524"/>
        <v>8.4603658536585469E-2</v>
      </c>
      <c r="AO298" s="468">
        <f t="shared" si="524"/>
        <v>7.4747849761772178E-2</v>
      </c>
      <c r="AP298" s="471">
        <f t="shared" si="524"/>
        <v>0.10418063939190692</v>
      </c>
      <c r="AQ298" s="481">
        <f t="shared" si="524"/>
        <v>-1.5929624346172178E-2</v>
      </c>
      <c r="AR298" s="471">
        <f t="shared" si="524"/>
        <v>-0.95180995475113117</v>
      </c>
      <c r="AS298" s="471">
        <f t="shared" ref="AS298:AS299" si="525">AS303/AN303-1</f>
        <v>-0.78097915202623569</v>
      </c>
      <c r="AT298" s="468">
        <f t="shared" ref="AT298:AT299" si="526">AT303/AO303-1</f>
        <v>-0.41124992803270199</v>
      </c>
      <c r="AU298" s="101"/>
      <c r="AV298" s="101"/>
      <c r="AW298" s="686"/>
      <c r="AX298" s="101"/>
      <c r="AY298" s="103"/>
      <c r="AZ298" s="101"/>
      <c r="BA298" s="101"/>
      <c r="BB298" s="101"/>
      <c r="BC298" s="101"/>
      <c r="BD298" s="103"/>
      <c r="BE298" s="103"/>
      <c r="BF298" s="103"/>
      <c r="BG298" s="103"/>
      <c r="BH298" s="477"/>
    </row>
    <row r="299" spans="1:60" s="83" customFormat="1" hidden="1" outlineLevel="2" x14ac:dyDescent="0.25">
      <c r="A299" s="476" t="s">
        <v>18</v>
      </c>
      <c r="B299" s="245"/>
      <c r="C299" s="103"/>
      <c r="D299" s="103"/>
      <c r="E299" s="103"/>
      <c r="F299" s="103"/>
      <c r="G299" s="101"/>
      <c r="H299" s="101"/>
      <c r="I299" s="101"/>
      <c r="J299" s="101"/>
      <c r="K299" s="103"/>
      <c r="L299" s="101"/>
      <c r="M299" s="101"/>
      <c r="N299" s="101"/>
      <c r="O299" s="101"/>
      <c r="P299" s="103"/>
      <c r="Q299" s="101"/>
      <c r="R299" s="101"/>
      <c r="S299" s="101"/>
      <c r="T299" s="101"/>
      <c r="U299" s="103"/>
      <c r="V299" s="101"/>
      <c r="W299" s="101"/>
      <c r="X299" s="101"/>
      <c r="Y299" s="101"/>
      <c r="Z299" s="103"/>
      <c r="AA299" s="101"/>
      <c r="AB299" s="101"/>
      <c r="AC299" s="101"/>
      <c r="AD299" s="101"/>
      <c r="AE299" s="468">
        <f>AE304/Z304-1</f>
        <v>0.31881405563689613</v>
      </c>
      <c r="AF299" s="101"/>
      <c r="AG299" s="101"/>
      <c r="AH299" s="101"/>
      <c r="AI299" s="101"/>
      <c r="AJ299" s="468">
        <f t="shared" si="524"/>
        <v>0.14765473216763803</v>
      </c>
      <c r="AK299" s="471">
        <f t="shared" si="524"/>
        <v>2.741116751269046E-2</v>
      </c>
      <c r="AL299" s="481">
        <f t="shared" si="524"/>
        <v>1.6411378555798661E-2</v>
      </c>
      <c r="AM299" s="471">
        <f t="shared" si="524"/>
        <v>1.9927536231884035E-2</v>
      </c>
      <c r="AN299" s="471">
        <f t="shared" si="524"/>
        <v>2.031802120141335E-2</v>
      </c>
      <c r="AO299" s="468">
        <f t="shared" si="524"/>
        <v>2.1281741233373674E-2</v>
      </c>
      <c r="AP299" s="471">
        <f t="shared" si="524"/>
        <v>-6.1264822134387331E-2</v>
      </c>
      <c r="AQ299" s="481">
        <f t="shared" si="524"/>
        <v>-0.48331539289558667</v>
      </c>
      <c r="AR299" s="471">
        <f t="shared" si="524"/>
        <v>-0.89698046181172297</v>
      </c>
      <c r="AS299" s="471">
        <f t="shared" si="525"/>
        <v>-0.58961038961038958</v>
      </c>
      <c r="AT299" s="468">
        <f t="shared" si="526"/>
        <v>-0.52166706133080742</v>
      </c>
      <c r="AU299" s="101"/>
      <c r="AV299" s="101"/>
      <c r="AW299" s="686"/>
      <c r="AX299" s="101"/>
      <c r="AY299" s="103"/>
      <c r="AZ299" s="101"/>
      <c r="BA299" s="101"/>
      <c r="BB299" s="101"/>
      <c r="BC299" s="101"/>
      <c r="BD299" s="103"/>
      <c r="BE299" s="103"/>
      <c r="BF299" s="103"/>
      <c r="BG299" s="103"/>
      <c r="BH299" s="477"/>
    </row>
    <row r="300" spans="1:60" s="83" customFormat="1" hidden="1" outlineLevel="2" x14ac:dyDescent="0.25">
      <c r="A300" s="493" t="s">
        <v>19</v>
      </c>
      <c r="B300" s="659"/>
      <c r="C300" s="660"/>
      <c r="D300" s="660"/>
      <c r="E300" s="660"/>
      <c r="F300" s="660"/>
      <c r="G300" s="661"/>
      <c r="H300" s="661"/>
      <c r="I300" s="661"/>
      <c r="J300" s="661"/>
      <c r="K300" s="660"/>
      <c r="L300" s="661"/>
      <c r="M300" s="661"/>
      <c r="N300" s="661"/>
      <c r="O300" s="661"/>
      <c r="P300" s="660"/>
      <c r="Q300" s="661"/>
      <c r="R300" s="661"/>
      <c r="S300" s="661"/>
      <c r="T300" s="661"/>
      <c r="U300" s="660"/>
      <c r="V300" s="661"/>
      <c r="W300" s="661"/>
      <c r="X300" s="661"/>
      <c r="Y300" s="661"/>
      <c r="Z300" s="660"/>
      <c r="AA300" s="661"/>
      <c r="AB300" s="661"/>
      <c r="AC300" s="661"/>
      <c r="AD300" s="661"/>
      <c r="AE300" s="486">
        <f>AE306/Z306-1</f>
        <v>-0.12889812889812891</v>
      </c>
      <c r="AF300" s="661"/>
      <c r="AG300" s="661"/>
      <c r="AH300" s="661"/>
      <c r="AI300" s="661"/>
      <c r="AJ300" s="486">
        <f t="shared" ref="AJ300:AR301" si="527">AJ306/AE306-1</f>
        <v>-4.4261228032111077E-2</v>
      </c>
      <c r="AK300" s="487">
        <f t="shared" si="527"/>
        <v>-2.334062727935815E-2</v>
      </c>
      <c r="AL300" s="488">
        <f t="shared" si="527"/>
        <v>9.765625E-3</v>
      </c>
      <c r="AM300" s="487">
        <f t="shared" si="527"/>
        <v>9.1198303287380655E-2</v>
      </c>
      <c r="AN300" s="487">
        <f t="shared" si="527"/>
        <v>0.15370196813495784</v>
      </c>
      <c r="AO300" s="486">
        <f t="shared" si="527"/>
        <v>5.1759364358683335E-2</v>
      </c>
      <c r="AP300" s="487">
        <f t="shared" si="527"/>
        <v>0.1254667662434652</v>
      </c>
      <c r="AQ300" s="488">
        <f t="shared" si="527"/>
        <v>-0.1063829787234043</v>
      </c>
      <c r="AR300" s="487">
        <f t="shared" si="527"/>
        <v>-0.36443148688046645</v>
      </c>
      <c r="AS300" s="487">
        <f t="shared" ref="AS300:AS301" si="528">AS306/AN306-1</f>
        <v>-4.8740861088545917E-2</v>
      </c>
      <c r="AT300" s="486">
        <f t="shared" ref="AT300:AT301" si="529">AT306/AO306-1</f>
        <v>-8.1372760630261221E-2</v>
      </c>
      <c r="AU300" s="661"/>
      <c r="AV300" s="661"/>
      <c r="AW300" s="696"/>
      <c r="AX300" s="661"/>
      <c r="AY300" s="660"/>
      <c r="AZ300" s="661"/>
      <c r="BA300" s="661"/>
      <c r="BB300" s="661"/>
      <c r="BC300" s="661"/>
      <c r="BD300" s="660"/>
      <c r="BE300" s="660"/>
      <c r="BF300" s="660"/>
      <c r="BG300" s="660"/>
      <c r="BH300" s="477"/>
    </row>
    <row r="301" spans="1:60" s="83" customFormat="1" hidden="1" outlineLevel="2" x14ac:dyDescent="0.25">
      <c r="A301" s="485" t="s">
        <v>20</v>
      </c>
      <c r="B301" s="245"/>
      <c r="C301" s="103"/>
      <c r="D301" s="103"/>
      <c r="E301" s="103"/>
      <c r="F301" s="103"/>
      <c r="G301" s="101"/>
      <c r="H301" s="101"/>
      <c r="I301" s="101"/>
      <c r="J301" s="101"/>
      <c r="K301" s="103"/>
      <c r="L301" s="101"/>
      <c r="M301" s="101"/>
      <c r="N301" s="101"/>
      <c r="O301" s="101"/>
      <c r="P301" s="103"/>
      <c r="Q301" s="101"/>
      <c r="R301" s="101"/>
      <c r="S301" s="101"/>
      <c r="T301" s="101"/>
      <c r="U301" s="103"/>
      <c r="V301" s="101"/>
      <c r="W301" s="101"/>
      <c r="X301" s="101"/>
      <c r="Y301" s="101"/>
      <c r="Z301" s="103"/>
      <c r="AA301" s="101"/>
      <c r="AB301" s="101"/>
      <c r="AC301" s="101"/>
      <c r="AD301" s="101"/>
      <c r="AE301" s="468">
        <f>AE307/Z307-1</f>
        <v>3.4414592506065267E-2</v>
      </c>
      <c r="AF301" s="101"/>
      <c r="AG301" s="101"/>
      <c r="AH301" s="101"/>
      <c r="AI301" s="101"/>
      <c r="AJ301" s="468">
        <f t="shared" si="527"/>
        <v>7.283703961084087E-2</v>
      </c>
      <c r="AK301" s="471">
        <f t="shared" si="527"/>
        <v>4.550329400949904E-2</v>
      </c>
      <c r="AL301" s="481">
        <f t="shared" si="527"/>
        <v>4.5061832966288407E-2</v>
      </c>
      <c r="AM301" s="471">
        <f t="shared" si="527"/>
        <v>7.15449804432855E-2</v>
      </c>
      <c r="AN301" s="471">
        <f t="shared" si="527"/>
        <v>8.4759576202118936E-2</v>
      </c>
      <c r="AO301" s="468">
        <f t="shared" si="527"/>
        <v>6.1697906967329352E-2</v>
      </c>
      <c r="AP301" s="471">
        <f t="shared" si="527"/>
        <v>8.3821805392731541E-2</v>
      </c>
      <c r="AQ301" s="481">
        <f t="shared" si="527"/>
        <v>-0.10147511752309935</v>
      </c>
      <c r="AR301" s="471">
        <f t="shared" si="527"/>
        <v>-0.85049429657794673</v>
      </c>
      <c r="AS301" s="471">
        <f t="shared" si="528"/>
        <v>-0.61232156273478588</v>
      </c>
      <c r="AT301" s="468">
        <f t="shared" si="529"/>
        <v>-0.37075309818875124</v>
      </c>
      <c r="AU301" s="101"/>
      <c r="AV301" s="101"/>
      <c r="AW301" s="686"/>
      <c r="AX301" s="101"/>
      <c r="AY301" s="103"/>
      <c r="AZ301" s="101"/>
      <c r="BA301" s="101"/>
      <c r="BB301" s="101"/>
      <c r="BC301" s="101"/>
      <c r="BD301" s="103"/>
      <c r="BE301" s="103"/>
      <c r="BF301" s="103"/>
      <c r="BG301" s="103"/>
      <c r="BH301" s="477"/>
    </row>
    <row r="302" spans="1:60" s="283" customFormat="1" hidden="1" outlineLevel="2" x14ac:dyDescent="0.25">
      <c r="A302" s="534"/>
      <c r="B302" s="514"/>
      <c r="C302" s="492"/>
      <c r="D302" s="492"/>
      <c r="E302" s="492"/>
      <c r="F302" s="492"/>
      <c r="G302" s="491"/>
      <c r="H302" s="491"/>
      <c r="I302" s="491"/>
      <c r="J302" s="491"/>
      <c r="K302" s="492"/>
      <c r="L302" s="491"/>
      <c r="M302" s="491"/>
      <c r="N302" s="491"/>
      <c r="O302" s="491"/>
      <c r="P302" s="492"/>
      <c r="Q302" s="491"/>
      <c r="R302" s="491"/>
      <c r="S302" s="491"/>
      <c r="T302" s="491"/>
      <c r="U302" s="492"/>
      <c r="V302" s="491"/>
      <c r="W302" s="491"/>
      <c r="X302" s="491"/>
      <c r="Y302" s="491"/>
      <c r="Z302" s="492"/>
      <c r="AA302" s="491"/>
      <c r="AB302" s="491"/>
      <c r="AC302" s="491"/>
      <c r="AD302" s="491"/>
      <c r="AE302" s="492"/>
      <c r="AF302" s="491"/>
      <c r="AG302" s="491"/>
      <c r="AH302" s="491"/>
      <c r="AI302" s="491"/>
      <c r="AJ302" s="492"/>
      <c r="AK302" s="491"/>
      <c r="AL302" s="491"/>
      <c r="AM302" s="491"/>
      <c r="AN302" s="491"/>
      <c r="AO302" s="492"/>
      <c r="AP302" s="491"/>
      <c r="AQ302" s="491"/>
      <c r="AR302" s="491"/>
      <c r="AS302" s="491"/>
      <c r="AT302" s="492"/>
      <c r="AU302" s="491"/>
      <c r="AV302" s="491"/>
      <c r="AW302" s="692"/>
      <c r="AX302" s="491"/>
      <c r="AY302" s="492"/>
      <c r="AZ302" s="491"/>
      <c r="BA302" s="491"/>
      <c r="BB302" s="491"/>
      <c r="BC302" s="491"/>
      <c r="BD302" s="492"/>
      <c r="BE302" s="492"/>
      <c r="BF302" s="492"/>
      <c r="BG302" s="492"/>
      <c r="BH302" s="484"/>
    </row>
    <row r="303" spans="1:60" s="49" customFormat="1" hidden="1" outlineLevel="2" x14ac:dyDescent="0.25">
      <c r="A303" s="534" t="s">
        <v>50</v>
      </c>
      <c r="B303" s="514"/>
      <c r="C303" s="492"/>
      <c r="D303" s="492"/>
      <c r="E303" s="492"/>
      <c r="F303" s="492"/>
      <c r="G303" s="491"/>
      <c r="H303" s="491"/>
      <c r="I303" s="491"/>
      <c r="J303" s="491"/>
      <c r="K303" s="492"/>
      <c r="L303" s="491"/>
      <c r="M303" s="491"/>
      <c r="N303" s="491"/>
      <c r="O303" s="491"/>
      <c r="P303" s="492"/>
      <c r="Q303" s="491"/>
      <c r="R303" s="491"/>
      <c r="S303" s="491"/>
      <c r="T303" s="491"/>
      <c r="U303" s="492"/>
      <c r="V303" s="491"/>
      <c r="W303" s="491"/>
      <c r="X303" s="491"/>
      <c r="Y303" s="491"/>
      <c r="Z303" s="492">
        <v>14235</v>
      </c>
      <c r="AA303" s="491"/>
      <c r="AB303" s="491"/>
      <c r="AC303" s="491"/>
      <c r="AD303" s="491"/>
      <c r="AE303" s="492">
        <v>14812</v>
      </c>
      <c r="AF303" s="491">
        <v>4171</v>
      </c>
      <c r="AG303" s="491">
        <v>3965</v>
      </c>
      <c r="AH303" s="491">
        <v>4089</v>
      </c>
      <c r="AI303" s="491">
        <f>AJ303-SUM(AF303,AG303,AH303)</f>
        <v>3936</v>
      </c>
      <c r="AJ303" s="492">
        <v>16161</v>
      </c>
      <c r="AK303" s="491">
        <v>4473</v>
      </c>
      <c r="AL303" s="491">
        <v>4206</v>
      </c>
      <c r="AM303" s="491">
        <v>4420</v>
      </c>
      <c r="AN303" s="491">
        <f>AO303-13100</f>
        <v>4269</v>
      </c>
      <c r="AO303" s="492">
        <v>17369</v>
      </c>
      <c r="AP303" s="491">
        <v>4939</v>
      </c>
      <c r="AQ303" s="491">
        <v>4139</v>
      </c>
      <c r="AR303" s="491">
        <v>213</v>
      </c>
      <c r="AS303" s="491">
        <f>AT303-SUM(AP303,AQ303,AR303)</f>
        <v>935</v>
      </c>
      <c r="AT303" s="492">
        <v>10226</v>
      </c>
      <c r="AU303" s="491"/>
      <c r="AV303" s="491"/>
      <c r="AW303" s="692"/>
      <c r="AX303" s="491"/>
      <c r="AY303" s="492"/>
      <c r="AZ303" s="491"/>
      <c r="BA303" s="491"/>
      <c r="BB303" s="491"/>
      <c r="BC303" s="491"/>
      <c r="BD303" s="492"/>
      <c r="BE303" s="492"/>
      <c r="BF303" s="492"/>
      <c r="BG303" s="492"/>
      <c r="BH303" s="484"/>
    </row>
    <row r="304" spans="1:60" s="49" customFormat="1" hidden="1" outlineLevel="2" x14ac:dyDescent="0.25">
      <c r="A304" s="535" t="s">
        <v>51</v>
      </c>
      <c r="B304" s="573"/>
      <c r="C304" s="322"/>
      <c r="D304" s="322"/>
      <c r="E304" s="322"/>
      <c r="F304" s="322"/>
      <c r="G304" s="321"/>
      <c r="H304" s="321"/>
      <c r="I304" s="321"/>
      <c r="J304" s="321"/>
      <c r="K304" s="322"/>
      <c r="L304" s="321"/>
      <c r="M304" s="321"/>
      <c r="N304" s="321"/>
      <c r="O304" s="321"/>
      <c r="P304" s="322"/>
      <c r="Q304" s="321"/>
      <c r="R304" s="321"/>
      <c r="S304" s="321"/>
      <c r="T304" s="321"/>
      <c r="U304" s="322"/>
      <c r="V304" s="321"/>
      <c r="W304" s="321"/>
      <c r="X304" s="321"/>
      <c r="Y304" s="321"/>
      <c r="Z304" s="322">
        <v>2732</v>
      </c>
      <c r="AA304" s="321"/>
      <c r="AB304" s="321"/>
      <c r="AC304" s="321"/>
      <c r="AD304" s="321"/>
      <c r="AE304" s="322">
        <v>3603</v>
      </c>
      <c r="AF304" s="321">
        <v>985</v>
      </c>
      <c r="AG304" s="321">
        <v>914</v>
      </c>
      <c r="AH304" s="321">
        <v>1104</v>
      </c>
      <c r="AI304" s="321">
        <f>AJ304-SUM(AF304,AG304,AH304)</f>
        <v>1132</v>
      </c>
      <c r="AJ304" s="322">
        <v>4135</v>
      </c>
      <c r="AK304" s="321">
        <v>1012</v>
      </c>
      <c r="AL304" s="321">
        <v>929</v>
      </c>
      <c r="AM304" s="321">
        <v>1126</v>
      </c>
      <c r="AN304" s="321">
        <f>AO304-3068</f>
        <v>1155</v>
      </c>
      <c r="AO304" s="322">
        <v>4223</v>
      </c>
      <c r="AP304" s="321">
        <v>950</v>
      </c>
      <c r="AQ304" s="321">
        <v>480</v>
      </c>
      <c r="AR304" s="321">
        <v>116</v>
      </c>
      <c r="AS304" s="321">
        <f>AT304-SUM(AP304,AQ304,AR304)</f>
        <v>474</v>
      </c>
      <c r="AT304" s="322">
        <v>2020</v>
      </c>
      <c r="AU304" s="321"/>
      <c r="AV304" s="321"/>
      <c r="AW304" s="693"/>
      <c r="AX304" s="321"/>
      <c r="AY304" s="322"/>
      <c r="AZ304" s="321"/>
      <c r="BA304" s="321"/>
      <c r="BB304" s="321"/>
      <c r="BC304" s="321"/>
      <c r="BD304" s="322"/>
      <c r="BE304" s="322"/>
      <c r="BF304" s="322"/>
      <c r="BG304" s="322"/>
      <c r="BH304" s="484"/>
    </row>
    <row r="305" spans="1:60" s="49" customFormat="1" hidden="1" outlineLevel="2" x14ac:dyDescent="0.25">
      <c r="A305" s="226" t="s">
        <v>52</v>
      </c>
      <c r="B305" s="514"/>
      <c r="C305" s="492"/>
      <c r="D305" s="492"/>
      <c r="E305" s="492"/>
      <c r="F305" s="492"/>
      <c r="G305" s="491"/>
      <c r="H305" s="491"/>
      <c r="I305" s="491"/>
      <c r="J305" s="491"/>
      <c r="K305" s="492"/>
      <c r="L305" s="491"/>
      <c r="M305" s="491"/>
      <c r="N305" s="491"/>
      <c r="O305" s="491"/>
      <c r="P305" s="492"/>
      <c r="Q305" s="491"/>
      <c r="R305" s="491"/>
      <c r="S305" s="491"/>
      <c r="T305" s="491"/>
      <c r="U305" s="492"/>
      <c r="V305" s="491"/>
      <c r="W305" s="491"/>
      <c r="X305" s="491"/>
      <c r="Y305" s="491"/>
      <c r="Z305" s="492">
        <f>SUM(Z303:Z304)</f>
        <v>16967</v>
      </c>
      <c r="AA305" s="491"/>
      <c r="AB305" s="491"/>
      <c r="AC305" s="491"/>
      <c r="AD305" s="491"/>
      <c r="AE305" s="492">
        <f t="shared" ref="AE305:AT305" si="530">SUM(AE303:AE304)</f>
        <v>18415</v>
      </c>
      <c r="AF305" s="491">
        <f t="shared" si="530"/>
        <v>5156</v>
      </c>
      <c r="AG305" s="491">
        <f t="shared" si="530"/>
        <v>4879</v>
      </c>
      <c r="AH305" s="491">
        <f t="shared" si="530"/>
        <v>5193</v>
      </c>
      <c r="AI305" s="491">
        <f t="shared" si="530"/>
        <v>5068</v>
      </c>
      <c r="AJ305" s="492">
        <f t="shared" si="530"/>
        <v>20296</v>
      </c>
      <c r="AK305" s="491">
        <f t="shared" si="530"/>
        <v>5485</v>
      </c>
      <c r="AL305" s="491">
        <f t="shared" si="530"/>
        <v>5135</v>
      </c>
      <c r="AM305" s="491">
        <f t="shared" si="530"/>
        <v>5546</v>
      </c>
      <c r="AN305" s="491">
        <f t="shared" si="530"/>
        <v>5424</v>
      </c>
      <c r="AO305" s="492">
        <f t="shared" si="530"/>
        <v>21592</v>
      </c>
      <c r="AP305" s="491">
        <f t="shared" si="530"/>
        <v>5889</v>
      </c>
      <c r="AQ305" s="491">
        <f t="shared" si="530"/>
        <v>4619</v>
      </c>
      <c r="AR305" s="491">
        <f t="shared" si="530"/>
        <v>329</v>
      </c>
      <c r="AS305" s="491">
        <f t="shared" si="530"/>
        <v>1409</v>
      </c>
      <c r="AT305" s="492">
        <f t="shared" si="530"/>
        <v>12246</v>
      </c>
      <c r="AU305" s="491"/>
      <c r="AV305" s="491"/>
      <c r="AW305" s="692"/>
      <c r="AX305" s="491"/>
      <c r="AY305" s="492"/>
      <c r="AZ305" s="491"/>
      <c r="BA305" s="491"/>
      <c r="BB305" s="491"/>
      <c r="BC305" s="491"/>
      <c r="BD305" s="492"/>
      <c r="BE305" s="492"/>
      <c r="BF305" s="492"/>
      <c r="BG305" s="492"/>
      <c r="BH305" s="484"/>
    </row>
    <row r="306" spans="1:60" s="49" customFormat="1" hidden="1" outlineLevel="2" x14ac:dyDescent="0.25">
      <c r="A306" s="538" t="s">
        <v>53</v>
      </c>
      <c r="B306" s="573"/>
      <c r="C306" s="322"/>
      <c r="D306" s="322"/>
      <c r="E306" s="322"/>
      <c r="F306" s="322"/>
      <c r="G306" s="321"/>
      <c r="H306" s="321"/>
      <c r="I306" s="321"/>
      <c r="J306" s="321"/>
      <c r="K306" s="322"/>
      <c r="L306" s="321"/>
      <c r="M306" s="321"/>
      <c r="N306" s="321"/>
      <c r="O306" s="321"/>
      <c r="P306" s="322"/>
      <c r="Q306" s="321"/>
      <c r="R306" s="321"/>
      <c r="S306" s="321"/>
      <c r="T306" s="321"/>
      <c r="U306" s="322"/>
      <c r="V306" s="321"/>
      <c r="W306" s="321"/>
      <c r="X306" s="321"/>
      <c r="Y306" s="321"/>
      <c r="Z306" s="322">
        <v>5291</v>
      </c>
      <c r="AA306" s="321"/>
      <c r="AB306" s="321"/>
      <c r="AC306" s="321"/>
      <c r="AD306" s="321"/>
      <c r="AE306" s="322">
        <v>4609</v>
      </c>
      <c r="AF306" s="321">
        <v>1371</v>
      </c>
      <c r="AG306" s="321">
        <v>1024</v>
      </c>
      <c r="AH306" s="321">
        <v>943</v>
      </c>
      <c r="AI306" s="321">
        <f>AJ306-SUM(AF306,AG306,AH306)</f>
        <v>1067</v>
      </c>
      <c r="AJ306" s="322">
        <v>4405</v>
      </c>
      <c r="AK306" s="321">
        <v>1339</v>
      </c>
      <c r="AL306" s="321">
        <v>1034</v>
      </c>
      <c r="AM306" s="321">
        <v>1029</v>
      </c>
      <c r="AN306" s="321">
        <f>AO306-SUM(AK306,AL306,AM306)</f>
        <v>1231</v>
      </c>
      <c r="AO306" s="322">
        <v>4633</v>
      </c>
      <c r="AP306" s="321">
        <v>1507</v>
      </c>
      <c r="AQ306" s="321">
        <v>924</v>
      </c>
      <c r="AR306" s="321">
        <v>654</v>
      </c>
      <c r="AS306" s="321">
        <f>AT306-SUM(AP306,AQ306,AR306)</f>
        <v>1171</v>
      </c>
      <c r="AT306" s="322">
        <v>4256</v>
      </c>
      <c r="AU306" s="321"/>
      <c r="AV306" s="321"/>
      <c r="AW306" s="693"/>
      <c r="AX306" s="321"/>
      <c r="AY306" s="322"/>
      <c r="AZ306" s="321"/>
      <c r="BA306" s="321"/>
      <c r="BB306" s="321"/>
      <c r="BC306" s="321"/>
      <c r="BD306" s="322"/>
      <c r="BE306" s="322"/>
      <c r="BF306" s="322"/>
      <c r="BG306" s="322"/>
      <c r="BH306" s="484"/>
    </row>
    <row r="307" spans="1:60" s="52" customFormat="1" hidden="1" outlineLevel="2" x14ac:dyDescent="0.25">
      <c r="A307" s="635" t="s">
        <v>54</v>
      </c>
      <c r="B307" s="264"/>
      <c r="C307" s="506"/>
      <c r="D307" s="506"/>
      <c r="E307" s="506"/>
      <c r="F307" s="506"/>
      <c r="G307" s="505"/>
      <c r="H307" s="505"/>
      <c r="I307" s="505"/>
      <c r="J307" s="505"/>
      <c r="K307" s="506"/>
      <c r="L307" s="505"/>
      <c r="M307" s="505"/>
      <c r="N307" s="505"/>
      <c r="O307" s="505"/>
      <c r="P307" s="506"/>
      <c r="Q307" s="505"/>
      <c r="R307" s="505"/>
      <c r="S307" s="505"/>
      <c r="T307" s="505"/>
      <c r="U307" s="506"/>
      <c r="V307" s="505"/>
      <c r="W307" s="505"/>
      <c r="X307" s="505"/>
      <c r="Y307" s="505"/>
      <c r="Z307" s="506">
        <f>SUM(Z305:Z306)</f>
        <v>22258</v>
      </c>
      <c r="AA307" s="505"/>
      <c r="AB307" s="505"/>
      <c r="AC307" s="505"/>
      <c r="AD307" s="505"/>
      <c r="AE307" s="506">
        <f>SUM(AE305:AE306)</f>
        <v>23024</v>
      </c>
      <c r="AF307" s="505">
        <f>SUM(AF305:AF306)</f>
        <v>6527</v>
      </c>
      <c r="AG307" s="505">
        <v>5903</v>
      </c>
      <c r="AH307" s="505">
        <v>6136</v>
      </c>
      <c r="AI307" s="505">
        <v>6135</v>
      </c>
      <c r="AJ307" s="506">
        <f t="shared" ref="AJ307:AR307" si="531">SUM(AJ305:AJ306)</f>
        <v>24701</v>
      </c>
      <c r="AK307" s="505">
        <f t="shared" si="531"/>
        <v>6824</v>
      </c>
      <c r="AL307" s="505">
        <f t="shared" si="531"/>
        <v>6169</v>
      </c>
      <c r="AM307" s="505">
        <f t="shared" si="531"/>
        <v>6575</v>
      </c>
      <c r="AN307" s="505">
        <f t="shared" si="531"/>
        <v>6655</v>
      </c>
      <c r="AO307" s="506">
        <f t="shared" si="531"/>
        <v>26225</v>
      </c>
      <c r="AP307" s="505">
        <f t="shared" si="531"/>
        <v>7396</v>
      </c>
      <c r="AQ307" s="505">
        <f t="shared" si="531"/>
        <v>5543</v>
      </c>
      <c r="AR307" s="505">
        <f t="shared" si="531"/>
        <v>983</v>
      </c>
      <c r="AS307" s="505">
        <v>2580</v>
      </c>
      <c r="AT307" s="506">
        <f>SUM(AP307,AQ307,AR307,AS307)</f>
        <v>16502</v>
      </c>
      <c r="AU307" s="505"/>
      <c r="AV307" s="505"/>
      <c r="AW307" s="694"/>
      <c r="AX307" s="505"/>
      <c r="AY307" s="506"/>
      <c r="AZ307" s="505"/>
      <c r="BA307" s="505"/>
      <c r="BB307" s="505"/>
      <c r="BC307" s="505"/>
      <c r="BD307" s="506"/>
      <c r="BE307" s="506"/>
      <c r="BF307" s="506"/>
      <c r="BG307" s="506"/>
      <c r="BH307" s="499"/>
    </row>
    <row r="308" spans="1:60" s="49" customFormat="1" hidden="1" outlineLevel="2" x14ac:dyDescent="0.25">
      <c r="A308" s="226" t="s">
        <v>34</v>
      </c>
      <c r="B308" s="514"/>
      <c r="C308" s="492"/>
      <c r="D308" s="492"/>
      <c r="E308" s="492"/>
      <c r="F308" s="492"/>
      <c r="G308" s="491"/>
      <c r="H308" s="491"/>
      <c r="I308" s="491"/>
      <c r="J308" s="491"/>
      <c r="K308" s="492"/>
      <c r="L308" s="491"/>
      <c r="M308" s="491"/>
      <c r="N308" s="491"/>
      <c r="O308" s="491"/>
      <c r="P308" s="492"/>
      <c r="Q308" s="491"/>
      <c r="R308" s="491"/>
      <c r="S308" s="491"/>
      <c r="T308" s="491"/>
      <c r="U308" s="492"/>
      <c r="V308" s="491"/>
      <c r="W308" s="491"/>
      <c r="X308" s="491"/>
      <c r="Y308" s="491"/>
      <c r="Z308" s="492">
        <v>-12176</v>
      </c>
      <c r="AA308" s="491"/>
      <c r="AB308" s="491"/>
      <c r="AC308" s="491"/>
      <c r="AD308" s="491"/>
      <c r="AE308" s="492">
        <v>-12455</v>
      </c>
      <c r="AF308" s="491">
        <v>-3329</v>
      </c>
      <c r="AG308" s="491">
        <v>-3245</v>
      </c>
      <c r="AH308" s="491">
        <v>-3189</v>
      </c>
      <c r="AI308" s="491">
        <f>AJ308-SUM(AF308,AG308,AH308)</f>
        <v>-3563</v>
      </c>
      <c r="AJ308" s="492">
        <v>-13326</v>
      </c>
      <c r="AK308" s="491">
        <v>-3406</v>
      </c>
      <c r="AL308" s="491">
        <v>-3339</v>
      </c>
      <c r="AM308" s="491">
        <v>-3482</v>
      </c>
      <c r="AN308" s="491">
        <f>AO308+10229</f>
        <v>-3786</v>
      </c>
      <c r="AO308" s="492">
        <v>-14015</v>
      </c>
      <c r="AP308" s="491">
        <v>-3703</v>
      </c>
      <c r="AQ308" s="491">
        <v>-3555</v>
      </c>
      <c r="AR308" s="491">
        <v>-1801</v>
      </c>
      <c r="AS308" s="491">
        <f>AT308-SUM(AP308,AQ308,AR308)</f>
        <v>-2426</v>
      </c>
      <c r="AT308" s="492">
        <v>-11485</v>
      </c>
      <c r="AU308" s="491"/>
      <c r="AV308" s="491"/>
      <c r="AW308" s="692"/>
      <c r="AX308" s="491"/>
      <c r="AY308" s="492"/>
      <c r="AZ308" s="491"/>
      <c r="BA308" s="491"/>
      <c r="BB308" s="491"/>
      <c r="BC308" s="491"/>
      <c r="BD308" s="492"/>
      <c r="BE308" s="492"/>
      <c r="BF308" s="492"/>
      <c r="BG308" s="492"/>
      <c r="BH308" s="484"/>
    </row>
    <row r="309" spans="1:60" s="49" customFormat="1" hidden="1" outlineLevel="2" x14ac:dyDescent="0.25">
      <c r="A309" s="226" t="s">
        <v>35</v>
      </c>
      <c r="B309" s="514"/>
      <c r="C309" s="492"/>
      <c r="D309" s="492"/>
      <c r="E309" s="492"/>
      <c r="F309" s="492"/>
      <c r="G309" s="491"/>
      <c r="H309" s="491"/>
      <c r="I309" s="491"/>
      <c r="J309" s="491"/>
      <c r="K309" s="492"/>
      <c r="L309" s="491"/>
      <c r="M309" s="491"/>
      <c r="N309" s="491"/>
      <c r="O309" s="491"/>
      <c r="P309" s="492"/>
      <c r="Q309" s="491"/>
      <c r="R309" s="491"/>
      <c r="S309" s="491"/>
      <c r="T309" s="491"/>
      <c r="U309" s="492"/>
      <c r="V309" s="491"/>
      <c r="W309" s="491"/>
      <c r="X309" s="491"/>
      <c r="Y309" s="491"/>
      <c r="Z309" s="492">
        <v>-2992</v>
      </c>
      <c r="AA309" s="491"/>
      <c r="AB309" s="491"/>
      <c r="AC309" s="491"/>
      <c r="AD309" s="491"/>
      <c r="AE309" s="492">
        <v>-2896</v>
      </c>
      <c r="AF309" s="491">
        <v>-665</v>
      </c>
      <c r="AG309" s="491">
        <v>-765</v>
      </c>
      <c r="AH309" s="491">
        <v>-718</v>
      </c>
      <c r="AI309" s="491">
        <f>AJ309-SUM(AF309,AG309,AH309)</f>
        <v>-782</v>
      </c>
      <c r="AJ309" s="492">
        <v>-2930</v>
      </c>
      <c r="AK309" s="491">
        <v>-689</v>
      </c>
      <c r="AL309" s="491">
        <v>-748</v>
      </c>
      <c r="AM309" s="491">
        <v>-800</v>
      </c>
      <c r="AN309" s="491">
        <f>AO309-SUM(AK309,AL309,AM309)</f>
        <v>-896</v>
      </c>
      <c r="AO309" s="492">
        <v>-3133</v>
      </c>
      <c r="AP309" s="491">
        <v>-758</v>
      </c>
      <c r="AQ309" s="491">
        <v>-733</v>
      </c>
      <c r="AR309" s="491">
        <v>-507</v>
      </c>
      <c r="AS309" s="491">
        <f>AT309-SUM(AP309,AQ309,AR309)</f>
        <v>-644</v>
      </c>
      <c r="AT309" s="492">
        <v>-2642</v>
      </c>
      <c r="AU309" s="491"/>
      <c r="AV309" s="491"/>
      <c r="AW309" s="692"/>
      <c r="AX309" s="491"/>
      <c r="AY309" s="492"/>
      <c r="AZ309" s="491"/>
      <c r="BA309" s="491"/>
      <c r="BB309" s="491"/>
      <c r="BC309" s="491"/>
      <c r="BD309" s="492"/>
      <c r="BE309" s="492"/>
      <c r="BF309" s="492"/>
      <c r="BG309" s="492"/>
      <c r="BH309" s="484"/>
    </row>
    <row r="310" spans="1:60" s="470" customFormat="1" hidden="1" outlineLevel="2" x14ac:dyDescent="0.25">
      <c r="A310" s="226" t="s">
        <v>36</v>
      </c>
      <c r="B310" s="514"/>
      <c r="C310" s="492"/>
      <c r="D310" s="492"/>
      <c r="E310" s="492"/>
      <c r="F310" s="492"/>
      <c r="G310" s="491"/>
      <c r="H310" s="491"/>
      <c r="I310" s="491"/>
      <c r="J310" s="491"/>
      <c r="K310" s="492"/>
      <c r="L310" s="491"/>
      <c r="M310" s="491"/>
      <c r="N310" s="491"/>
      <c r="O310" s="491"/>
      <c r="P310" s="492"/>
      <c r="Q310" s="491"/>
      <c r="R310" s="491"/>
      <c r="S310" s="491"/>
      <c r="T310" s="491"/>
      <c r="U310" s="492"/>
      <c r="V310" s="491"/>
      <c r="W310" s="491"/>
      <c r="X310" s="491"/>
      <c r="Y310" s="491"/>
      <c r="Z310" s="492">
        <v>-1889</v>
      </c>
      <c r="AA310" s="491"/>
      <c r="AB310" s="491"/>
      <c r="AC310" s="491"/>
      <c r="AD310" s="491"/>
      <c r="AE310" s="492">
        <v>-2161</v>
      </c>
      <c r="AF310" s="491">
        <v>-572</v>
      </c>
      <c r="AG310" s="491">
        <v>-577</v>
      </c>
      <c r="AH310" s="491">
        <v>-569</v>
      </c>
      <c r="AI310" s="491">
        <f>AJ310-SUM(AF310,AG310,AH310)</f>
        <v>-609</v>
      </c>
      <c r="AJ310" s="492">
        <v>-2327</v>
      </c>
      <c r="AK310" s="491">
        <v>-565</v>
      </c>
      <c r="AL310" s="491">
        <v>-576</v>
      </c>
      <c r="AM310" s="491">
        <v>-574</v>
      </c>
      <c r="AN310" s="491">
        <f>AO310-SUM(AK310,AL310,AM310)</f>
        <v>-591</v>
      </c>
      <c r="AO310" s="492">
        <v>-2306</v>
      </c>
      <c r="AP310" s="491">
        <v>-594</v>
      </c>
      <c r="AQ310" s="491">
        <v>-610</v>
      </c>
      <c r="AR310" s="491">
        <v>-629</v>
      </c>
      <c r="AS310" s="491">
        <f>AT310-SUM(AP310,AQ310,AR310)</f>
        <v>-604</v>
      </c>
      <c r="AT310" s="492">
        <v>-2437</v>
      </c>
      <c r="AU310" s="491"/>
      <c r="AV310" s="491"/>
      <c r="AW310" s="692"/>
      <c r="AX310" s="491"/>
      <c r="AY310" s="492"/>
      <c r="AZ310" s="491"/>
      <c r="BA310" s="491"/>
      <c r="BB310" s="491"/>
      <c r="BC310" s="491"/>
      <c r="BD310" s="492"/>
      <c r="BE310" s="492"/>
      <c r="BF310" s="492"/>
      <c r="BG310" s="492"/>
      <c r="BH310" s="484"/>
    </row>
    <row r="311" spans="1:60" s="49" customFormat="1" hidden="1" outlineLevel="2" x14ac:dyDescent="0.25">
      <c r="A311" s="218" t="s">
        <v>37</v>
      </c>
      <c r="B311" s="573"/>
      <c r="C311" s="322"/>
      <c r="D311" s="322"/>
      <c r="E311" s="322"/>
      <c r="F311" s="322"/>
      <c r="G311" s="321"/>
      <c r="H311" s="321"/>
      <c r="I311" s="321"/>
      <c r="J311" s="321"/>
      <c r="K311" s="322"/>
      <c r="L311" s="321"/>
      <c r="M311" s="321"/>
      <c r="N311" s="321"/>
      <c r="O311" s="321"/>
      <c r="P311" s="322"/>
      <c r="Q311" s="321"/>
      <c r="R311" s="321"/>
      <c r="S311" s="321"/>
      <c r="T311" s="321"/>
      <c r="U311" s="322"/>
      <c r="V311" s="321"/>
      <c r="W311" s="321"/>
      <c r="X311" s="321"/>
      <c r="Y311" s="321"/>
      <c r="Z311" s="318">
        <v>-3</v>
      </c>
      <c r="AA311" s="321"/>
      <c r="AB311" s="321"/>
      <c r="AC311" s="321"/>
      <c r="AD311" s="321"/>
      <c r="AE311" s="318">
        <v>-25</v>
      </c>
      <c r="AF311" s="319">
        <v>-7</v>
      </c>
      <c r="AG311" s="320">
        <v>-7</v>
      </c>
      <c r="AH311" s="319">
        <v>-5</v>
      </c>
      <c r="AI311" s="319">
        <f>AJ311-SUM(AF311,AG311,AH311)</f>
        <v>-4</v>
      </c>
      <c r="AJ311" s="318">
        <v>-23</v>
      </c>
      <c r="AK311" s="319">
        <v>-12</v>
      </c>
      <c r="AL311" s="319">
        <v>0</v>
      </c>
      <c r="AM311" s="319">
        <v>0</v>
      </c>
      <c r="AN311" s="319">
        <f>AO311-SUM(AK311,AL311,AM311)</f>
        <v>-1</v>
      </c>
      <c r="AO311" s="318">
        <v>-13</v>
      </c>
      <c r="AP311" s="319">
        <v>-3</v>
      </c>
      <c r="AQ311" s="319">
        <v>-6</v>
      </c>
      <c r="AR311" s="319">
        <v>-6</v>
      </c>
      <c r="AS311" s="319">
        <f>AT311-SUM(AP311,AQ311,AR311)</f>
        <v>-4</v>
      </c>
      <c r="AT311" s="318">
        <v>-19</v>
      </c>
      <c r="AU311" s="321"/>
      <c r="AV311" s="321"/>
      <c r="AW311" s="693"/>
      <c r="AX311" s="321"/>
      <c r="AY311" s="322"/>
      <c r="AZ311" s="321"/>
      <c r="BA311" s="321"/>
      <c r="BB311" s="321"/>
      <c r="BC311" s="321"/>
      <c r="BD311" s="322"/>
      <c r="BE311" s="322"/>
      <c r="BF311" s="322"/>
      <c r="BG311" s="322"/>
      <c r="BH311" s="484"/>
    </row>
    <row r="312" spans="1:60" s="52" customFormat="1" hidden="1" outlineLevel="2" x14ac:dyDescent="0.25">
      <c r="A312" s="501" t="s">
        <v>55</v>
      </c>
      <c r="B312" s="264"/>
      <c r="C312" s="506"/>
      <c r="D312" s="506"/>
      <c r="E312" s="506"/>
      <c r="F312" s="506"/>
      <c r="G312" s="505"/>
      <c r="H312" s="505"/>
      <c r="I312" s="505"/>
      <c r="J312" s="505"/>
      <c r="K312" s="506"/>
      <c r="L312" s="505"/>
      <c r="M312" s="505"/>
      <c r="N312" s="505"/>
      <c r="O312" s="505"/>
      <c r="P312" s="506"/>
      <c r="Q312" s="505"/>
      <c r="R312" s="505"/>
      <c r="S312" s="505"/>
      <c r="T312" s="505"/>
      <c r="U312" s="506"/>
      <c r="V312" s="505"/>
      <c r="W312" s="505"/>
      <c r="X312" s="505"/>
      <c r="Y312" s="505"/>
      <c r="Z312" s="502">
        <f>SUM(Z307:Z311)</f>
        <v>5198</v>
      </c>
      <c r="AA312" s="505"/>
      <c r="AB312" s="505"/>
      <c r="AC312" s="505"/>
      <c r="AD312" s="505"/>
      <c r="AE312" s="502">
        <f t="shared" ref="AE312:AT312" si="532">SUM(AE307:AE311)</f>
        <v>5487</v>
      </c>
      <c r="AF312" s="503">
        <f t="shared" si="532"/>
        <v>1954</v>
      </c>
      <c r="AG312" s="504">
        <f t="shared" si="532"/>
        <v>1309</v>
      </c>
      <c r="AH312" s="503">
        <f t="shared" si="532"/>
        <v>1655</v>
      </c>
      <c r="AI312" s="503">
        <f t="shared" si="532"/>
        <v>1177</v>
      </c>
      <c r="AJ312" s="502">
        <f t="shared" si="532"/>
        <v>6095</v>
      </c>
      <c r="AK312" s="503">
        <f t="shared" si="532"/>
        <v>2152</v>
      </c>
      <c r="AL312" s="504">
        <f t="shared" si="532"/>
        <v>1506</v>
      </c>
      <c r="AM312" s="503">
        <f t="shared" si="532"/>
        <v>1719</v>
      </c>
      <c r="AN312" s="503">
        <f t="shared" si="532"/>
        <v>1381</v>
      </c>
      <c r="AO312" s="502">
        <f t="shared" si="532"/>
        <v>6758</v>
      </c>
      <c r="AP312" s="503">
        <f t="shared" si="532"/>
        <v>2338</v>
      </c>
      <c r="AQ312" s="504">
        <f t="shared" si="532"/>
        <v>639</v>
      </c>
      <c r="AR312" s="503">
        <f t="shared" si="532"/>
        <v>-1960</v>
      </c>
      <c r="AS312" s="503">
        <f t="shared" si="532"/>
        <v>-1098</v>
      </c>
      <c r="AT312" s="502">
        <f t="shared" si="532"/>
        <v>-81</v>
      </c>
      <c r="AU312" s="505"/>
      <c r="AV312" s="505"/>
      <c r="AW312" s="694"/>
      <c r="AX312" s="505"/>
      <c r="AY312" s="506"/>
      <c r="AZ312" s="505"/>
      <c r="BA312" s="505"/>
      <c r="BB312" s="505"/>
      <c r="BC312" s="505"/>
      <c r="BD312" s="506"/>
      <c r="BE312" s="506"/>
      <c r="BF312" s="506"/>
      <c r="BG312" s="506"/>
      <c r="BH312" s="499"/>
    </row>
    <row r="313" spans="1:60" s="470" customFormat="1" hidden="1" outlineLevel="2" x14ac:dyDescent="0.25">
      <c r="A313" s="96" t="s">
        <v>618</v>
      </c>
      <c r="B313" s="514"/>
      <c r="C313" s="492"/>
      <c r="D313" s="492"/>
      <c r="E313" s="492"/>
      <c r="F313" s="492"/>
      <c r="G313" s="491"/>
      <c r="H313" s="491"/>
      <c r="I313" s="491"/>
      <c r="J313" s="491"/>
      <c r="K313" s="492"/>
      <c r="L313" s="491"/>
      <c r="M313" s="491"/>
      <c r="N313" s="491"/>
      <c r="O313" s="491"/>
      <c r="P313" s="492"/>
      <c r="Q313" s="491"/>
      <c r="R313" s="491"/>
      <c r="S313" s="491"/>
      <c r="T313" s="491"/>
      <c r="U313" s="492"/>
      <c r="V313" s="491"/>
      <c r="W313" s="491"/>
      <c r="X313" s="491"/>
      <c r="Y313" s="491"/>
      <c r="Z313" s="492"/>
      <c r="AA313" s="491"/>
      <c r="AB313" s="491"/>
      <c r="AC313" s="491"/>
      <c r="AD313" s="491"/>
      <c r="AE313" s="492"/>
      <c r="AF313" s="491"/>
      <c r="AG313" s="491"/>
      <c r="AH313" s="491"/>
      <c r="AI313" s="491"/>
      <c r="AJ313" s="489">
        <f t="shared" ref="AJ313:AR313" si="533">AJ542-AJ436-AJ398-AJ257</f>
        <v>0</v>
      </c>
      <c r="AK313" s="490">
        <f t="shared" si="533"/>
        <v>0</v>
      </c>
      <c r="AL313" s="497">
        <f t="shared" si="533"/>
        <v>1</v>
      </c>
      <c r="AM313" s="490">
        <f t="shared" si="533"/>
        <v>-2</v>
      </c>
      <c r="AN313" s="490">
        <f t="shared" si="533"/>
        <v>-3</v>
      </c>
      <c r="AO313" s="489">
        <f t="shared" si="533"/>
        <v>-4</v>
      </c>
      <c r="AP313" s="490">
        <f t="shared" si="533"/>
        <v>-2</v>
      </c>
      <c r="AQ313" s="497">
        <f t="shared" si="533"/>
        <v>-2</v>
      </c>
      <c r="AR313" s="490">
        <f t="shared" si="533"/>
        <v>-2</v>
      </c>
      <c r="AS313" s="490">
        <f>AT313-SUM(AP313,AQ313,AR313)</f>
        <v>-2</v>
      </c>
      <c r="AT313" s="489">
        <v>-8</v>
      </c>
      <c r="AU313" s="491"/>
      <c r="AV313" s="491"/>
      <c r="AW313" s="692"/>
      <c r="AX313" s="491"/>
      <c r="AY313" s="492"/>
      <c r="AZ313" s="491"/>
      <c r="BA313" s="491"/>
      <c r="BB313" s="491"/>
      <c r="BC313" s="491"/>
      <c r="BD313" s="492"/>
      <c r="BE313" s="492"/>
      <c r="BF313" s="492"/>
      <c r="BG313" s="492"/>
      <c r="BH313" s="484"/>
    </row>
    <row r="314" spans="1:60" s="470" customFormat="1" hidden="1" outlineLevel="2" x14ac:dyDescent="0.25">
      <c r="A314" s="96" t="s">
        <v>619</v>
      </c>
      <c r="B314" s="514"/>
      <c r="C314" s="492"/>
      <c r="D314" s="492"/>
      <c r="E314" s="492"/>
      <c r="F314" s="492"/>
      <c r="G314" s="491"/>
      <c r="H314" s="491"/>
      <c r="I314" s="491"/>
      <c r="J314" s="491"/>
      <c r="K314" s="492"/>
      <c r="L314" s="491"/>
      <c r="M314" s="491"/>
      <c r="N314" s="491"/>
      <c r="O314" s="491"/>
      <c r="P314" s="492"/>
      <c r="Q314" s="491"/>
      <c r="R314" s="491"/>
      <c r="S314" s="491"/>
      <c r="T314" s="491"/>
      <c r="U314" s="492"/>
      <c r="V314" s="491"/>
      <c r="W314" s="491"/>
      <c r="X314" s="491"/>
      <c r="Y314" s="491"/>
      <c r="Z314" s="492"/>
      <c r="AA314" s="491"/>
      <c r="AB314" s="491"/>
      <c r="AC314" s="491"/>
      <c r="AD314" s="491"/>
      <c r="AE314" s="492"/>
      <c r="AF314" s="491"/>
      <c r="AG314" s="491"/>
      <c r="AH314" s="491"/>
      <c r="AI314" s="491"/>
      <c r="AJ314" s="489">
        <f t="shared" ref="AJ314:AR314" si="534">AJ543-AJ437-AJ399-AJ258</f>
        <v>0</v>
      </c>
      <c r="AK314" s="490">
        <f t="shared" si="534"/>
        <v>0</v>
      </c>
      <c r="AL314" s="497">
        <f t="shared" si="534"/>
        <v>-1</v>
      </c>
      <c r="AM314" s="490">
        <f t="shared" si="534"/>
        <v>0</v>
      </c>
      <c r="AN314" s="490">
        <f t="shared" si="534"/>
        <v>16</v>
      </c>
      <c r="AO314" s="489">
        <f t="shared" si="534"/>
        <v>15</v>
      </c>
      <c r="AP314" s="490">
        <f t="shared" si="534"/>
        <v>0</v>
      </c>
      <c r="AQ314" s="497">
        <f t="shared" si="534"/>
        <v>0</v>
      </c>
      <c r="AR314" s="490">
        <f t="shared" si="534"/>
        <v>2</v>
      </c>
      <c r="AS314" s="490">
        <f>AT314-SUM(AP314,AQ314,AR314)</f>
        <v>-2</v>
      </c>
      <c r="AT314" s="489">
        <v>0</v>
      </c>
      <c r="AU314" s="491"/>
      <c r="AV314" s="491"/>
      <c r="AW314" s="692"/>
      <c r="AX314" s="491"/>
      <c r="AY314" s="492"/>
      <c r="AZ314" s="491"/>
      <c r="BA314" s="491"/>
      <c r="BB314" s="491"/>
      <c r="BC314" s="491"/>
      <c r="BD314" s="492"/>
      <c r="BE314" s="492"/>
      <c r="BF314" s="492"/>
      <c r="BG314" s="492"/>
      <c r="BH314" s="484"/>
    </row>
    <row r="315" spans="1:60" s="470" customFormat="1" hidden="1" outlineLevel="2" x14ac:dyDescent="0.25">
      <c r="A315" s="589" t="s">
        <v>620</v>
      </c>
      <c r="B315" s="758"/>
      <c r="C315" s="582"/>
      <c r="D315" s="582"/>
      <c r="E315" s="582"/>
      <c r="F315" s="582"/>
      <c r="G315" s="581"/>
      <c r="H315" s="581"/>
      <c r="I315" s="581"/>
      <c r="J315" s="581"/>
      <c r="K315" s="582"/>
      <c r="L315" s="581"/>
      <c r="M315" s="581"/>
      <c r="N315" s="581"/>
      <c r="O315" s="581"/>
      <c r="P315" s="582"/>
      <c r="Q315" s="581"/>
      <c r="R315" s="581"/>
      <c r="S315" s="581"/>
      <c r="T315" s="581"/>
      <c r="U315" s="582"/>
      <c r="V315" s="581"/>
      <c r="W315" s="581"/>
      <c r="X315" s="581"/>
      <c r="Y315" s="581"/>
      <c r="Z315" s="582"/>
      <c r="AA315" s="581"/>
      <c r="AB315" s="581"/>
      <c r="AC315" s="581"/>
      <c r="AD315" s="581"/>
      <c r="AE315" s="582"/>
      <c r="AF315" s="581"/>
      <c r="AG315" s="581"/>
      <c r="AH315" s="581"/>
      <c r="AI315" s="581"/>
      <c r="AJ315" s="578">
        <f t="shared" ref="AJ315:AT315" si="535">SUM(AJ313:AJ314)</f>
        <v>0</v>
      </c>
      <c r="AK315" s="579">
        <f t="shared" si="535"/>
        <v>0</v>
      </c>
      <c r="AL315" s="580">
        <f t="shared" si="535"/>
        <v>0</v>
      </c>
      <c r="AM315" s="579">
        <f t="shared" si="535"/>
        <v>-2</v>
      </c>
      <c r="AN315" s="579">
        <f t="shared" si="535"/>
        <v>13</v>
      </c>
      <c r="AO315" s="578">
        <f t="shared" si="535"/>
        <v>11</v>
      </c>
      <c r="AP315" s="579">
        <f t="shared" si="535"/>
        <v>-2</v>
      </c>
      <c r="AQ315" s="580">
        <f t="shared" si="535"/>
        <v>-2</v>
      </c>
      <c r="AR315" s="579">
        <f t="shared" si="535"/>
        <v>0</v>
      </c>
      <c r="AS315" s="579">
        <f>AT315-SUM(AP315,AQ315,AR315)</f>
        <v>-4</v>
      </c>
      <c r="AT315" s="578">
        <f t="shared" si="535"/>
        <v>-8</v>
      </c>
      <c r="AU315" s="581"/>
      <c r="AV315" s="581"/>
      <c r="AW315" s="759"/>
      <c r="AX315" s="581"/>
      <c r="AY315" s="582"/>
      <c r="AZ315" s="581"/>
      <c r="BA315" s="581"/>
      <c r="BB315" s="581"/>
      <c r="BC315" s="581"/>
      <c r="BD315" s="582"/>
      <c r="BE315" s="582"/>
      <c r="BF315" s="582"/>
      <c r="BG315" s="582"/>
      <c r="BH315" s="484"/>
    </row>
    <row r="316" spans="1:60" s="470" customFormat="1" hidden="1" outlineLevel="2" x14ac:dyDescent="0.25">
      <c r="A316" s="483" t="s">
        <v>621</v>
      </c>
      <c r="B316" s="514"/>
      <c r="C316" s="492"/>
      <c r="D316" s="492"/>
      <c r="E316" s="492"/>
      <c r="F316" s="492"/>
      <c r="G316" s="491"/>
      <c r="H316" s="491"/>
      <c r="I316" s="491"/>
      <c r="J316" s="491"/>
      <c r="K316" s="492"/>
      <c r="L316" s="491"/>
      <c r="M316" s="491"/>
      <c r="N316" s="491"/>
      <c r="O316" s="491"/>
      <c r="P316" s="492"/>
      <c r="Q316" s="491"/>
      <c r="R316" s="491"/>
      <c r="S316" s="491"/>
      <c r="T316" s="491"/>
      <c r="U316" s="492"/>
      <c r="V316" s="491"/>
      <c r="W316" s="491"/>
      <c r="X316" s="491"/>
      <c r="Y316" s="491"/>
      <c r="Z316" s="492"/>
      <c r="AA316" s="491"/>
      <c r="AB316" s="491"/>
      <c r="AC316" s="491"/>
      <c r="AD316" s="491"/>
      <c r="AE316" s="492"/>
      <c r="AF316" s="491"/>
      <c r="AG316" s="491"/>
      <c r="AH316" s="491"/>
      <c r="AI316" s="491"/>
      <c r="AJ316" s="489">
        <f t="shared" ref="AJ316:AR316" si="536">AJ528-AJ440-AJ401-AJ260</f>
        <v>-23</v>
      </c>
      <c r="AK316" s="490">
        <f t="shared" si="536"/>
        <v>0</v>
      </c>
      <c r="AL316" s="497">
        <f t="shared" si="536"/>
        <v>-349</v>
      </c>
      <c r="AM316" s="490">
        <f t="shared" si="536"/>
        <v>-22</v>
      </c>
      <c r="AN316" s="490">
        <f t="shared" si="536"/>
        <v>-32</v>
      </c>
      <c r="AO316" s="489">
        <f t="shared" si="536"/>
        <v>-403</v>
      </c>
      <c r="AP316" s="490">
        <f t="shared" si="536"/>
        <v>-23</v>
      </c>
      <c r="AQ316" s="497">
        <f t="shared" si="536"/>
        <v>-21</v>
      </c>
      <c r="AR316" s="490">
        <f t="shared" si="536"/>
        <v>-10</v>
      </c>
      <c r="AS316" s="490">
        <f>AT316-SUM(AP316,AQ316,AR316)</f>
        <v>-211</v>
      </c>
      <c r="AT316" s="489">
        <v>-265</v>
      </c>
      <c r="AU316" s="491"/>
      <c r="AV316" s="491"/>
      <c r="AW316" s="692"/>
      <c r="AX316" s="491"/>
      <c r="AY316" s="492"/>
      <c r="AZ316" s="491"/>
      <c r="BA316" s="491"/>
      <c r="BB316" s="491"/>
      <c r="BC316" s="491"/>
      <c r="BD316" s="492"/>
      <c r="BE316" s="492"/>
      <c r="BF316" s="492"/>
      <c r="BG316" s="492"/>
      <c r="BH316" s="484"/>
    </row>
    <row r="317" spans="1:60" s="498" customFormat="1" hidden="1" outlineLevel="2" x14ac:dyDescent="0.25">
      <c r="A317" s="226"/>
      <c r="B317" s="264"/>
      <c r="C317" s="506"/>
      <c r="D317" s="506"/>
      <c r="E317" s="506"/>
      <c r="F317" s="506"/>
      <c r="G317" s="505"/>
      <c r="H317" s="505"/>
      <c r="I317" s="505"/>
      <c r="J317" s="505"/>
      <c r="K317" s="506"/>
      <c r="L317" s="505"/>
      <c r="M317" s="505"/>
      <c r="N317" s="505"/>
      <c r="O317" s="505"/>
      <c r="P317" s="506"/>
      <c r="Q317" s="505"/>
      <c r="R317" s="505"/>
      <c r="S317" s="505"/>
      <c r="T317" s="505"/>
      <c r="U317" s="506"/>
      <c r="V317" s="505"/>
      <c r="W317" s="505"/>
      <c r="X317" s="505"/>
      <c r="Y317" s="505"/>
      <c r="Z317" s="506"/>
      <c r="AA317" s="505"/>
      <c r="AB317" s="505"/>
      <c r="AC317" s="505"/>
      <c r="AD317" s="505"/>
      <c r="AE317" s="506"/>
      <c r="AF317" s="505"/>
      <c r="AG317" s="505"/>
      <c r="AH317" s="505"/>
      <c r="AI317" s="505"/>
      <c r="AJ317" s="506"/>
      <c r="AK317" s="505"/>
      <c r="AL317" s="505"/>
      <c r="AM317" s="505"/>
      <c r="AN317" s="505"/>
      <c r="AO317" s="506"/>
      <c r="AP317" s="505"/>
      <c r="AQ317" s="505"/>
      <c r="AR317" s="505"/>
      <c r="AS317" s="505"/>
      <c r="AT317" s="506"/>
      <c r="AU317" s="505"/>
      <c r="AV317" s="505"/>
      <c r="AW317" s="694"/>
      <c r="AX317" s="505"/>
      <c r="AY317" s="506"/>
      <c r="AZ317" s="505"/>
      <c r="BA317" s="505"/>
      <c r="BB317" s="505"/>
      <c r="BC317" s="505"/>
      <c r="BD317" s="506"/>
      <c r="BE317" s="506"/>
      <c r="BF317" s="506"/>
      <c r="BG317" s="506"/>
      <c r="BH317" s="499"/>
    </row>
    <row r="318" spans="1:60" s="343" customFormat="1" hidden="1" outlineLevel="2" x14ac:dyDescent="0.25">
      <c r="A318" s="168" t="s">
        <v>56</v>
      </c>
      <c r="B318" s="655"/>
      <c r="C318" s="183"/>
      <c r="D318" s="183"/>
      <c r="E318" s="183"/>
      <c r="F318" s="183"/>
      <c r="G318" s="634"/>
      <c r="H318" s="634"/>
      <c r="I318" s="634"/>
      <c r="J318" s="634"/>
      <c r="K318" s="183"/>
      <c r="L318" s="634"/>
      <c r="M318" s="634"/>
      <c r="N318" s="634"/>
      <c r="O318" s="634"/>
      <c r="P318" s="183"/>
      <c r="Q318" s="634"/>
      <c r="R318" s="634"/>
      <c r="S318" s="634"/>
      <c r="T318" s="634"/>
      <c r="U318" s="183"/>
      <c r="V318" s="634"/>
      <c r="W318" s="634"/>
      <c r="X318" s="634"/>
      <c r="Y318" s="634"/>
      <c r="Z318" s="339">
        <f>Z308/-Z307</f>
        <v>0.54703926678048342</v>
      </c>
      <c r="AA318" s="634"/>
      <c r="AB318" s="634"/>
      <c r="AC318" s="634"/>
      <c r="AD318" s="634"/>
      <c r="AE318" s="339">
        <f t="shared" ref="AE318:AR318" si="537">AE308/-AE307</f>
        <v>0.54095726198749128</v>
      </c>
      <c r="AF318" s="340">
        <f t="shared" si="537"/>
        <v>0.51003523824115216</v>
      </c>
      <c r="AG318" s="341">
        <f t="shared" si="537"/>
        <v>0.54972048111129934</v>
      </c>
      <c r="AH318" s="340">
        <f t="shared" si="537"/>
        <v>0.51971968709256844</v>
      </c>
      <c r="AI318" s="340">
        <f t="shared" si="537"/>
        <v>0.58076609616951913</v>
      </c>
      <c r="AJ318" s="339">
        <f t="shared" si="537"/>
        <v>0.53949232824582005</v>
      </c>
      <c r="AK318" s="340">
        <f t="shared" si="537"/>
        <v>0.49912075029308323</v>
      </c>
      <c r="AL318" s="341">
        <f t="shared" si="537"/>
        <v>0.54125466039876802</v>
      </c>
      <c r="AM318" s="340">
        <f t="shared" si="537"/>
        <v>0.52958174904942967</v>
      </c>
      <c r="AN318" s="340">
        <f t="shared" si="537"/>
        <v>0.56889556724267465</v>
      </c>
      <c r="AO318" s="339">
        <f t="shared" si="537"/>
        <v>0.53441372735938986</v>
      </c>
      <c r="AP318" s="340">
        <f t="shared" si="537"/>
        <v>0.50067604110329911</v>
      </c>
      <c r="AQ318" s="341">
        <f t="shared" si="537"/>
        <v>0.64134944975644959</v>
      </c>
      <c r="AR318" s="340">
        <f t="shared" si="537"/>
        <v>1.832146490335707</v>
      </c>
      <c r="AS318" s="340">
        <f t="shared" ref="AS318:AT318" si="538">AS308/-AS307</f>
        <v>0.94031007751937989</v>
      </c>
      <c r="AT318" s="339">
        <f t="shared" si="538"/>
        <v>0.69597624530359958</v>
      </c>
      <c r="AU318" s="634"/>
      <c r="AV318" s="634"/>
      <c r="AW318" s="691"/>
      <c r="AX318" s="634"/>
      <c r="AY318" s="183"/>
      <c r="AZ318" s="634"/>
      <c r="BA318" s="634"/>
      <c r="BB318" s="634"/>
      <c r="BC318" s="634"/>
      <c r="BD318" s="183"/>
      <c r="BE318" s="183"/>
      <c r="BF318" s="183"/>
      <c r="BG318" s="183"/>
      <c r="BH318" s="342"/>
    </row>
    <row r="319" spans="1:60" s="343" customFormat="1" hidden="1" outlineLevel="2" x14ac:dyDescent="0.25">
      <c r="A319" s="344" t="s">
        <v>57</v>
      </c>
      <c r="B319" s="749"/>
      <c r="C319" s="348"/>
      <c r="D319" s="348"/>
      <c r="E319" s="348"/>
      <c r="F319" s="348"/>
      <c r="G319" s="738"/>
      <c r="H319" s="738"/>
      <c r="I319" s="738"/>
      <c r="J319" s="738"/>
      <c r="K319" s="348"/>
      <c r="L319" s="738"/>
      <c r="M319" s="738"/>
      <c r="N319" s="738"/>
      <c r="O319" s="738"/>
      <c r="P319" s="348"/>
      <c r="Q319" s="738"/>
      <c r="R319" s="738"/>
      <c r="S319" s="738"/>
      <c r="T319" s="738"/>
      <c r="U319" s="348"/>
      <c r="V319" s="738"/>
      <c r="W319" s="738"/>
      <c r="X319" s="738"/>
      <c r="Y319" s="738"/>
      <c r="Z319" s="345">
        <f>Z309/-Z307</f>
        <v>0.13442357803935664</v>
      </c>
      <c r="AA319" s="738"/>
      <c r="AB319" s="738"/>
      <c r="AC319" s="738"/>
      <c r="AD319" s="738"/>
      <c r="AE319" s="345">
        <f t="shared" ref="AE319:AR319" si="539">AE309/-AE307</f>
        <v>0.12578179291174427</v>
      </c>
      <c r="AF319" s="346">
        <f t="shared" si="539"/>
        <v>0.10188447985291865</v>
      </c>
      <c r="AG319" s="347">
        <f t="shared" si="539"/>
        <v>0.12959512112485178</v>
      </c>
      <c r="AH319" s="346">
        <f t="shared" si="539"/>
        <v>0.11701434159061277</v>
      </c>
      <c r="AI319" s="346">
        <f t="shared" si="539"/>
        <v>0.12746536267318664</v>
      </c>
      <c r="AJ319" s="345">
        <f t="shared" si="539"/>
        <v>0.11861867940569208</v>
      </c>
      <c r="AK319" s="346">
        <f t="shared" si="539"/>
        <v>0.10096717467760843</v>
      </c>
      <c r="AL319" s="347">
        <f t="shared" si="539"/>
        <v>0.12125141838223374</v>
      </c>
      <c r="AM319" s="346">
        <f t="shared" si="539"/>
        <v>0.12167300380228137</v>
      </c>
      <c r="AN319" s="346">
        <f t="shared" si="539"/>
        <v>0.13463561232156274</v>
      </c>
      <c r="AO319" s="345">
        <f t="shared" si="539"/>
        <v>0.11946615824594853</v>
      </c>
      <c r="AP319" s="346">
        <f t="shared" si="539"/>
        <v>0.10248783126014062</v>
      </c>
      <c r="AQ319" s="347">
        <f t="shared" si="539"/>
        <v>0.13223885982320044</v>
      </c>
      <c r="AR319" s="346">
        <f t="shared" si="539"/>
        <v>0.51576805696846384</v>
      </c>
      <c r="AS319" s="346">
        <f t="shared" ref="AS319:AT319" si="540">AS309/-AS307</f>
        <v>0.2496124031007752</v>
      </c>
      <c r="AT319" s="345">
        <f t="shared" si="540"/>
        <v>0.16010180584171615</v>
      </c>
      <c r="AU319" s="738"/>
      <c r="AV319" s="738"/>
      <c r="AW319" s="760"/>
      <c r="AX319" s="738"/>
      <c r="AY319" s="348"/>
      <c r="AZ319" s="738"/>
      <c r="BA319" s="738"/>
      <c r="BB319" s="738"/>
      <c r="BC319" s="738"/>
      <c r="BD319" s="348"/>
      <c r="BE319" s="348"/>
      <c r="BF319" s="348"/>
      <c r="BG319" s="348"/>
      <c r="BH319" s="342"/>
    </row>
    <row r="320" spans="1:60" s="355" customFormat="1" hidden="1" outlineLevel="2" x14ac:dyDescent="0.25">
      <c r="A320" s="349" t="s">
        <v>58</v>
      </c>
      <c r="B320" s="750"/>
      <c r="C320" s="354"/>
      <c r="D320" s="354"/>
      <c r="E320" s="354"/>
      <c r="F320" s="354"/>
      <c r="G320" s="353"/>
      <c r="H320" s="353"/>
      <c r="I320" s="353"/>
      <c r="J320" s="353"/>
      <c r="K320" s="354"/>
      <c r="L320" s="353"/>
      <c r="M320" s="353"/>
      <c r="N320" s="353"/>
      <c r="O320" s="353"/>
      <c r="P320" s="354"/>
      <c r="Q320" s="353"/>
      <c r="R320" s="353"/>
      <c r="S320" s="353"/>
      <c r="T320" s="353"/>
      <c r="U320" s="354"/>
      <c r="V320" s="353"/>
      <c r="W320" s="353"/>
      <c r="X320" s="353"/>
      <c r="Y320" s="353"/>
      <c r="Z320" s="350">
        <f>Z312/Z307</f>
        <v>0.23353401024350795</v>
      </c>
      <c r="AA320" s="353"/>
      <c r="AB320" s="353"/>
      <c r="AC320" s="353"/>
      <c r="AD320" s="353"/>
      <c r="AE320" s="350">
        <f t="shared" ref="AE320:AQ320" si="541">AE312/AE307</f>
        <v>0.23831653926337734</v>
      </c>
      <c r="AF320" s="351">
        <f t="shared" si="541"/>
        <v>0.29937184004902712</v>
      </c>
      <c r="AG320" s="352">
        <f t="shared" si="541"/>
        <v>0.22175165170252414</v>
      </c>
      <c r="AH320" s="351">
        <f t="shared" si="541"/>
        <v>0.26971968709256844</v>
      </c>
      <c r="AI320" s="351">
        <f t="shared" si="541"/>
        <v>0.19185004074979625</v>
      </c>
      <c r="AJ320" s="350">
        <f t="shared" si="541"/>
        <v>0.2467511436783936</v>
      </c>
      <c r="AK320" s="351">
        <f t="shared" si="541"/>
        <v>0.31535756154747946</v>
      </c>
      <c r="AL320" s="352">
        <f t="shared" si="541"/>
        <v>0.24412384503160967</v>
      </c>
      <c r="AM320" s="351">
        <f t="shared" si="541"/>
        <v>0.26144486692015206</v>
      </c>
      <c r="AN320" s="351">
        <f t="shared" si="541"/>
        <v>0.20751314800901577</v>
      </c>
      <c r="AO320" s="350">
        <f t="shared" si="541"/>
        <v>0.25769304099142037</v>
      </c>
      <c r="AP320" s="351">
        <f t="shared" si="541"/>
        <v>0.31611681990265006</v>
      </c>
      <c r="AQ320" s="352">
        <f t="shared" si="541"/>
        <v>0.11528053400685549</v>
      </c>
      <c r="AR320" s="351">
        <f t="shared" ref="AR320:AT320" si="542">AR312/AR307</f>
        <v>-1.9938962360122074</v>
      </c>
      <c r="AS320" s="351">
        <f t="shared" si="542"/>
        <v>-0.42558139534883721</v>
      </c>
      <c r="AT320" s="350">
        <f t="shared" si="542"/>
        <v>-4.908495939886074E-3</v>
      </c>
      <c r="AU320" s="353"/>
      <c r="AV320" s="353"/>
      <c r="AW320" s="761"/>
      <c r="AX320" s="353"/>
      <c r="AY320" s="354"/>
      <c r="AZ320" s="353"/>
      <c r="BA320" s="353"/>
      <c r="BB320" s="353"/>
      <c r="BC320" s="353"/>
      <c r="BD320" s="354"/>
      <c r="BE320" s="354"/>
      <c r="BF320" s="354"/>
      <c r="BG320" s="354"/>
      <c r="BH320" s="303"/>
    </row>
    <row r="321" spans="1:60" s="355" customFormat="1" hidden="1" outlineLevel="2" x14ac:dyDescent="0.25">
      <c r="A321" s="766"/>
      <c r="B321" s="750"/>
      <c r="C321" s="354"/>
      <c r="D321" s="354"/>
      <c r="E321" s="354"/>
      <c r="F321" s="354"/>
      <c r="G321" s="353"/>
      <c r="H321" s="353"/>
      <c r="I321" s="353"/>
      <c r="J321" s="353"/>
      <c r="K321" s="354"/>
      <c r="L321" s="353"/>
      <c r="M321" s="353"/>
      <c r="N321" s="353"/>
      <c r="O321" s="353"/>
      <c r="P321" s="354"/>
      <c r="Q321" s="353"/>
      <c r="R321" s="353"/>
      <c r="S321" s="353"/>
      <c r="T321" s="353"/>
      <c r="U321" s="354"/>
      <c r="V321" s="353"/>
      <c r="W321" s="353"/>
      <c r="X321" s="353"/>
      <c r="Y321" s="353"/>
      <c r="Z321" s="354"/>
      <c r="AA321" s="353"/>
      <c r="AB321" s="353"/>
      <c r="AC321" s="353"/>
      <c r="AD321" s="353"/>
      <c r="AE321" s="354"/>
      <c r="AF321" s="353"/>
      <c r="AG321" s="353"/>
      <c r="AH321" s="353"/>
      <c r="AI321" s="353"/>
      <c r="AJ321" s="354"/>
      <c r="AK321" s="353"/>
      <c r="AL321" s="353"/>
      <c r="AM321" s="353"/>
      <c r="AN321" s="353"/>
      <c r="AO321" s="354"/>
      <c r="AP321" s="353"/>
      <c r="AQ321" s="353"/>
      <c r="AR321" s="353"/>
      <c r="AS321" s="353"/>
      <c r="AT321" s="354"/>
      <c r="AU321" s="353"/>
      <c r="AV321" s="353"/>
      <c r="AW321" s="761"/>
      <c r="AX321" s="353"/>
      <c r="AY321" s="354"/>
      <c r="AZ321" s="353"/>
      <c r="BA321" s="353"/>
      <c r="BB321" s="353"/>
      <c r="BC321" s="353"/>
      <c r="BD321" s="354"/>
      <c r="BE321" s="354"/>
      <c r="BF321" s="354"/>
      <c r="BG321" s="354"/>
      <c r="BH321" s="303"/>
    </row>
    <row r="322" spans="1:60" s="470" customFormat="1" hidden="1" outlineLevel="2" x14ac:dyDescent="0.25">
      <c r="A322" s="96" t="s">
        <v>609</v>
      </c>
      <c r="B322" s="514"/>
      <c r="C322" s="492"/>
      <c r="D322" s="492"/>
      <c r="E322" s="492"/>
      <c r="F322" s="492"/>
      <c r="G322" s="491"/>
      <c r="H322" s="491"/>
      <c r="I322" s="491"/>
      <c r="J322" s="491"/>
      <c r="K322" s="492"/>
      <c r="L322" s="491"/>
      <c r="M322" s="491"/>
      <c r="N322" s="491"/>
      <c r="O322" s="491"/>
      <c r="P322" s="492"/>
      <c r="Q322" s="491"/>
      <c r="R322" s="491"/>
      <c r="S322" s="491"/>
      <c r="T322" s="491"/>
      <c r="U322" s="492"/>
      <c r="V322" s="491"/>
      <c r="W322" s="491"/>
      <c r="X322" s="491"/>
      <c r="Y322" s="491"/>
      <c r="Z322" s="492"/>
      <c r="AA322" s="491"/>
      <c r="AB322" s="491"/>
      <c r="AC322" s="491"/>
      <c r="AD322" s="491"/>
      <c r="AE322" s="492"/>
      <c r="AF322" s="491"/>
      <c r="AG322" s="497">
        <v>364</v>
      </c>
      <c r="AH322" s="490">
        <v>348</v>
      </c>
      <c r="AI322" s="490">
        <f>AJ322-1075</f>
        <v>374</v>
      </c>
      <c r="AJ322" s="489">
        <v>1449</v>
      </c>
      <c r="AK322" s="490">
        <v>352</v>
      </c>
      <c r="AL322" s="497">
        <v>367</v>
      </c>
      <c r="AM322" s="490">
        <v>366</v>
      </c>
      <c r="AN322" s="490">
        <f>AO322-1085</f>
        <v>389</v>
      </c>
      <c r="AO322" s="489">
        <v>1474</v>
      </c>
      <c r="AP322" s="490">
        <v>398</v>
      </c>
      <c r="AQ322" s="497">
        <v>408</v>
      </c>
      <c r="AR322" s="490">
        <v>426</v>
      </c>
      <c r="AS322" s="490">
        <f>AT322-SUM(AP322,AQ322,AR322)</f>
        <v>402</v>
      </c>
      <c r="AT322" s="489">
        <v>1634</v>
      </c>
      <c r="AU322" s="491"/>
      <c r="AV322" s="491"/>
      <c r="AW322" s="692"/>
      <c r="AX322" s="491"/>
      <c r="AY322" s="492"/>
      <c r="AZ322" s="491"/>
      <c r="BA322" s="491"/>
      <c r="BB322" s="491"/>
      <c r="BC322" s="491"/>
      <c r="BD322" s="492"/>
      <c r="BE322" s="492"/>
      <c r="BF322" s="492"/>
      <c r="BG322" s="492"/>
      <c r="BH322" s="484"/>
    </row>
    <row r="323" spans="1:60" s="470" customFormat="1" hidden="1" outlineLevel="2" x14ac:dyDescent="0.25">
      <c r="A323" s="96" t="s">
        <v>610</v>
      </c>
      <c r="B323" s="514"/>
      <c r="C323" s="492"/>
      <c r="D323" s="492"/>
      <c r="E323" s="492"/>
      <c r="F323" s="492"/>
      <c r="G323" s="491"/>
      <c r="H323" s="491"/>
      <c r="I323" s="491"/>
      <c r="J323" s="491"/>
      <c r="K323" s="492"/>
      <c r="L323" s="491"/>
      <c r="M323" s="491"/>
      <c r="N323" s="491"/>
      <c r="O323" s="491"/>
      <c r="P323" s="492"/>
      <c r="Q323" s="491"/>
      <c r="R323" s="491"/>
      <c r="S323" s="491"/>
      <c r="T323" s="491"/>
      <c r="U323" s="492"/>
      <c r="V323" s="491"/>
      <c r="W323" s="491"/>
      <c r="X323" s="491"/>
      <c r="Y323" s="491"/>
      <c r="Z323" s="492"/>
      <c r="AA323" s="491"/>
      <c r="AB323" s="491"/>
      <c r="AC323" s="491"/>
      <c r="AD323" s="491"/>
      <c r="AE323" s="492"/>
      <c r="AF323" s="491"/>
      <c r="AG323" s="497">
        <v>185</v>
      </c>
      <c r="AH323" s="490">
        <v>194</v>
      </c>
      <c r="AI323" s="490">
        <f>AJ323-561</f>
        <v>207</v>
      </c>
      <c r="AJ323" s="489">
        <v>768</v>
      </c>
      <c r="AK323" s="490">
        <v>186</v>
      </c>
      <c r="AL323" s="497">
        <v>182</v>
      </c>
      <c r="AM323" s="490">
        <v>181</v>
      </c>
      <c r="AN323" s="490">
        <f>AO323-549</f>
        <v>175</v>
      </c>
      <c r="AO323" s="489">
        <v>724</v>
      </c>
      <c r="AP323" s="490">
        <v>169</v>
      </c>
      <c r="AQ323" s="497">
        <v>175</v>
      </c>
      <c r="AR323" s="490">
        <v>176</v>
      </c>
      <c r="AS323" s="490">
        <f>AT323-SUM(AP323,AQ323,AR323)</f>
        <v>174</v>
      </c>
      <c r="AT323" s="489">
        <v>694</v>
      </c>
      <c r="AU323" s="491"/>
      <c r="AV323" s="491"/>
      <c r="AW323" s="692"/>
      <c r="AX323" s="491"/>
      <c r="AY323" s="492"/>
      <c r="AZ323" s="491"/>
      <c r="BA323" s="491"/>
      <c r="BB323" s="491"/>
      <c r="BC323" s="491"/>
      <c r="BD323" s="492"/>
      <c r="BE323" s="492"/>
      <c r="BF323" s="492"/>
      <c r="BG323" s="492"/>
      <c r="BH323" s="484"/>
    </row>
    <row r="324" spans="1:60" s="498" customFormat="1" hidden="1" outlineLevel="2" x14ac:dyDescent="0.25">
      <c r="A324" s="590" t="s">
        <v>594</v>
      </c>
      <c r="B324" s="516"/>
      <c r="C324" s="511"/>
      <c r="D324" s="511"/>
      <c r="E324" s="511"/>
      <c r="F324" s="511"/>
      <c r="G324" s="510"/>
      <c r="H324" s="510"/>
      <c r="I324" s="510"/>
      <c r="J324" s="510"/>
      <c r="K324" s="511"/>
      <c r="L324" s="510"/>
      <c r="M324" s="510"/>
      <c r="N324" s="510"/>
      <c r="O324" s="510"/>
      <c r="P324" s="511"/>
      <c r="Q324" s="510"/>
      <c r="R324" s="510"/>
      <c r="S324" s="510"/>
      <c r="T324" s="510"/>
      <c r="U324" s="511"/>
      <c r="V324" s="510"/>
      <c r="W324" s="510"/>
      <c r="X324" s="510"/>
      <c r="Y324" s="510"/>
      <c r="Z324" s="511"/>
      <c r="AA324" s="510"/>
      <c r="AB324" s="510"/>
      <c r="AC324" s="510"/>
      <c r="AD324" s="510"/>
      <c r="AE324" s="511"/>
      <c r="AF324" s="508">
        <f t="shared" ref="AF324:AQ324" si="543">SUM(AF322:AF323)</f>
        <v>0</v>
      </c>
      <c r="AG324" s="509">
        <f t="shared" si="543"/>
        <v>549</v>
      </c>
      <c r="AH324" s="508">
        <f t="shared" si="543"/>
        <v>542</v>
      </c>
      <c r="AI324" s="508">
        <f t="shared" si="543"/>
        <v>581</v>
      </c>
      <c r="AJ324" s="507">
        <f t="shared" si="543"/>
        <v>2217</v>
      </c>
      <c r="AK324" s="508">
        <f t="shared" si="543"/>
        <v>538</v>
      </c>
      <c r="AL324" s="509">
        <f t="shared" si="543"/>
        <v>549</v>
      </c>
      <c r="AM324" s="508">
        <f t="shared" si="543"/>
        <v>547</v>
      </c>
      <c r="AN324" s="508">
        <f t="shared" si="543"/>
        <v>564</v>
      </c>
      <c r="AO324" s="507">
        <f t="shared" si="543"/>
        <v>2198</v>
      </c>
      <c r="AP324" s="508">
        <f t="shared" si="543"/>
        <v>567</v>
      </c>
      <c r="AQ324" s="509">
        <f t="shared" si="543"/>
        <v>583</v>
      </c>
      <c r="AR324" s="508">
        <f t="shared" ref="AR324:AT324" si="544">SUM(AR322:AR323)</f>
        <v>602</v>
      </c>
      <c r="AS324" s="508">
        <f t="shared" si="544"/>
        <v>576</v>
      </c>
      <c r="AT324" s="507">
        <f t="shared" si="544"/>
        <v>2328</v>
      </c>
      <c r="AU324" s="510"/>
      <c r="AV324" s="510"/>
      <c r="AW324" s="701"/>
      <c r="AX324" s="510"/>
      <c r="AY324" s="511"/>
      <c r="AZ324" s="510"/>
      <c r="BA324" s="510"/>
      <c r="BB324" s="510"/>
      <c r="BC324" s="510"/>
      <c r="BD324" s="511"/>
      <c r="BE324" s="511"/>
      <c r="BF324" s="511"/>
      <c r="BG324" s="511"/>
      <c r="BH324" s="499"/>
    </row>
    <row r="325" spans="1:60" s="498" customFormat="1" hidden="1" outlineLevel="2" x14ac:dyDescent="0.25">
      <c r="A325" s="591" t="s">
        <v>595</v>
      </c>
      <c r="B325" s="264"/>
      <c r="C325" s="506"/>
      <c r="D325" s="506"/>
      <c r="E325" s="506"/>
      <c r="F325" s="506"/>
      <c r="G325" s="505"/>
      <c r="H325" s="505"/>
      <c r="I325" s="505"/>
      <c r="J325" s="505"/>
      <c r="K325" s="506"/>
      <c r="L325" s="505"/>
      <c r="M325" s="505"/>
      <c r="N325" s="505"/>
      <c r="O325" s="505"/>
      <c r="P325" s="506"/>
      <c r="Q325" s="505"/>
      <c r="R325" s="505"/>
      <c r="S325" s="505"/>
      <c r="T325" s="505"/>
      <c r="U325" s="506"/>
      <c r="V325" s="505"/>
      <c r="W325" s="505"/>
      <c r="X325" s="505"/>
      <c r="Y325" s="505"/>
      <c r="Z325" s="506"/>
      <c r="AA325" s="505"/>
      <c r="AB325" s="505"/>
      <c r="AC325" s="505"/>
      <c r="AD325" s="505"/>
      <c r="AE325" s="506"/>
      <c r="AF325" s="505"/>
      <c r="AG325" s="504">
        <v>28</v>
      </c>
      <c r="AH325" s="503">
        <v>27</v>
      </c>
      <c r="AI325" s="503">
        <f>AJ325-82</f>
        <v>28</v>
      </c>
      <c r="AJ325" s="502">
        <v>110</v>
      </c>
      <c r="AK325" s="503">
        <v>27</v>
      </c>
      <c r="AL325" s="504">
        <v>27</v>
      </c>
      <c r="AM325" s="503">
        <v>27</v>
      </c>
      <c r="AN325" s="503">
        <f>AO325-81</f>
        <v>27</v>
      </c>
      <c r="AO325" s="502">
        <v>108</v>
      </c>
      <c r="AP325" s="503">
        <v>27</v>
      </c>
      <c r="AQ325" s="504">
        <v>27</v>
      </c>
      <c r="AR325" s="503">
        <v>27</v>
      </c>
      <c r="AS325" s="503">
        <f>AT325-SUM(AP325,AQ325,AR325)</f>
        <v>28</v>
      </c>
      <c r="AT325" s="502">
        <v>109</v>
      </c>
      <c r="AU325" s="505"/>
      <c r="AV325" s="505"/>
      <c r="AW325" s="694"/>
      <c r="AX325" s="505"/>
      <c r="AY325" s="506"/>
      <c r="AZ325" s="505"/>
      <c r="BA325" s="505"/>
      <c r="BB325" s="505"/>
      <c r="BC325" s="505"/>
      <c r="BD325" s="506"/>
      <c r="BE325" s="506"/>
      <c r="BF325" s="506"/>
      <c r="BG325" s="506"/>
      <c r="BH325" s="499"/>
    </row>
    <row r="326" spans="1:60" s="498" customFormat="1" hidden="1" outlineLevel="2" x14ac:dyDescent="0.25">
      <c r="A326" s="500" t="s">
        <v>596</v>
      </c>
      <c r="B326" s="516"/>
      <c r="C326" s="511"/>
      <c r="D326" s="511"/>
      <c r="E326" s="511"/>
      <c r="F326" s="511"/>
      <c r="G326" s="510"/>
      <c r="H326" s="510"/>
      <c r="I326" s="510"/>
      <c r="J326" s="510"/>
      <c r="K326" s="511"/>
      <c r="L326" s="510"/>
      <c r="M326" s="510"/>
      <c r="N326" s="510"/>
      <c r="O326" s="510"/>
      <c r="P326" s="511"/>
      <c r="Q326" s="510"/>
      <c r="R326" s="510"/>
      <c r="S326" s="510"/>
      <c r="T326" s="510"/>
      <c r="U326" s="511"/>
      <c r="V326" s="510"/>
      <c r="W326" s="510"/>
      <c r="X326" s="510"/>
      <c r="Y326" s="510"/>
      <c r="Z326" s="511"/>
      <c r="AA326" s="510"/>
      <c r="AB326" s="510"/>
      <c r="AC326" s="510"/>
      <c r="AD326" s="510"/>
      <c r="AE326" s="511"/>
      <c r="AF326" s="508">
        <f t="shared" ref="AF326:AT326" si="545">SUM(AF324:AF325)</f>
        <v>0</v>
      </c>
      <c r="AG326" s="509">
        <f t="shared" si="545"/>
        <v>577</v>
      </c>
      <c r="AH326" s="508">
        <f t="shared" si="545"/>
        <v>569</v>
      </c>
      <c r="AI326" s="508">
        <f t="shared" si="545"/>
        <v>609</v>
      </c>
      <c r="AJ326" s="507">
        <f t="shared" si="545"/>
        <v>2327</v>
      </c>
      <c r="AK326" s="508">
        <f t="shared" si="545"/>
        <v>565</v>
      </c>
      <c r="AL326" s="509">
        <f t="shared" si="545"/>
        <v>576</v>
      </c>
      <c r="AM326" s="508">
        <f t="shared" si="545"/>
        <v>574</v>
      </c>
      <c r="AN326" s="508">
        <f t="shared" si="545"/>
        <v>591</v>
      </c>
      <c r="AO326" s="507">
        <f t="shared" si="545"/>
        <v>2306</v>
      </c>
      <c r="AP326" s="508">
        <f t="shared" si="545"/>
        <v>594</v>
      </c>
      <c r="AQ326" s="509">
        <f t="shared" si="545"/>
        <v>610</v>
      </c>
      <c r="AR326" s="508">
        <f t="shared" si="545"/>
        <v>629</v>
      </c>
      <c r="AS326" s="508">
        <f t="shared" si="545"/>
        <v>604</v>
      </c>
      <c r="AT326" s="507">
        <f t="shared" si="545"/>
        <v>2437</v>
      </c>
      <c r="AU326" s="510"/>
      <c r="AV326" s="510"/>
      <c r="AW326" s="701"/>
      <c r="AX326" s="510"/>
      <c r="AY326" s="511"/>
      <c r="AZ326" s="510"/>
      <c r="BA326" s="510"/>
      <c r="BB326" s="510"/>
      <c r="BC326" s="510"/>
      <c r="BD326" s="511"/>
      <c r="BE326" s="511"/>
      <c r="BF326" s="511"/>
      <c r="BG326" s="511"/>
      <c r="BH326" s="499"/>
    </row>
    <row r="327" spans="1:60" s="44" customFormat="1" hidden="1" outlineLevel="2" x14ac:dyDescent="0.25">
      <c r="A327" s="748"/>
      <c r="B327" s="246"/>
      <c r="C327" s="478"/>
      <c r="D327" s="478"/>
      <c r="E327" s="478"/>
      <c r="F327" s="478"/>
      <c r="G327" s="480"/>
      <c r="H327" s="480"/>
      <c r="I327" s="480"/>
      <c r="J327" s="480"/>
      <c r="K327" s="478"/>
      <c r="L327" s="480"/>
      <c r="M327" s="480"/>
      <c r="N327" s="480"/>
      <c r="O327" s="480"/>
      <c r="P327" s="478"/>
      <c r="Q327" s="480"/>
      <c r="R327" s="480"/>
      <c r="S327" s="480"/>
      <c r="T327" s="480"/>
      <c r="U327" s="478"/>
      <c r="V327" s="480"/>
      <c r="W327" s="480"/>
      <c r="X327" s="480"/>
      <c r="Y327" s="480"/>
      <c r="Z327" s="478"/>
      <c r="AA327" s="480"/>
      <c r="AB327" s="480"/>
      <c r="AC327" s="480"/>
      <c r="AD327" s="480"/>
      <c r="AE327" s="478"/>
      <c r="AF327" s="480"/>
      <c r="AG327" s="480"/>
      <c r="AH327" s="480"/>
      <c r="AI327" s="480"/>
      <c r="AJ327" s="478"/>
      <c r="AK327" s="480"/>
      <c r="AL327" s="480"/>
      <c r="AM327" s="480"/>
      <c r="AN327" s="480"/>
      <c r="AO327" s="478"/>
      <c r="AP327" s="480"/>
      <c r="AQ327" s="480"/>
      <c r="AR327" s="480"/>
      <c r="AS327" s="480"/>
      <c r="AT327" s="478"/>
      <c r="AU327" s="480"/>
      <c r="AV327" s="480"/>
      <c r="AW327" s="708"/>
      <c r="AX327" s="480"/>
      <c r="AY327" s="478"/>
      <c r="AZ327" s="480"/>
      <c r="BA327" s="480"/>
      <c r="BB327" s="480"/>
      <c r="BC327" s="480"/>
      <c r="BD327" s="478"/>
      <c r="BE327" s="478"/>
      <c r="BF327" s="478"/>
      <c r="BG327" s="478"/>
      <c r="BH327" s="473"/>
    </row>
    <row r="328" spans="1:60" s="470" customFormat="1" hidden="1" outlineLevel="2" x14ac:dyDescent="0.25">
      <c r="A328" s="483" t="s">
        <v>607</v>
      </c>
      <c r="B328" s="514"/>
      <c r="C328" s="492"/>
      <c r="D328" s="492"/>
      <c r="E328" s="492"/>
      <c r="F328" s="492"/>
      <c r="G328" s="491"/>
      <c r="H328" s="491"/>
      <c r="I328" s="491"/>
      <c r="J328" s="491"/>
      <c r="K328" s="492"/>
      <c r="L328" s="491"/>
      <c r="M328" s="491"/>
      <c r="N328" s="491"/>
      <c r="O328" s="491"/>
      <c r="P328" s="492"/>
      <c r="Q328" s="491"/>
      <c r="R328" s="491"/>
      <c r="S328" s="491"/>
      <c r="T328" s="491"/>
      <c r="U328" s="492"/>
      <c r="V328" s="491"/>
      <c r="W328" s="491"/>
      <c r="X328" s="491"/>
      <c r="Y328" s="491"/>
      <c r="Z328" s="492"/>
      <c r="AA328" s="491"/>
      <c r="AB328" s="491"/>
      <c r="AC328" s="491"/>
      <c r="AD328" s="491"/>
      <c r="AE328" s="492"/>
      <c r="AF328" s="491"/>
      <c r="AG328" s="497">
        <v>1419</v>
      </c>
      <c r="AH328" s="490">
        <v>2379</v>
      </c>
      <c r="AI328" s="490">
        <f>AJ328</f>
        <v>3223</v>
      </c>
      <c r="AJ328" s="489">
        <v>3223</v>
      </c>
      <c r="AK328" s="490">
        <v>838</v>
      </c>
      <c r="AL328" s="497">
        <v>1678</v>
      </c>
      <c r="AM328" s="490">
        <v>2491</v>
      </c>
      <c r="AN328" s="490">
        <f>AO328</f>
        <v>3294</v>
      </c>
      <c r="AO328" s="489">
        <v>3294</v>
      </c>
      <c r="AP328" s="490">
        <v>820</v>
      </c>
      <c r="AQ328" s="497">
        <v>1549</v>
      </c>
      <c r="AR328" s="490">
        <v>1857</v>
      </c>
      <c r="AS328" s="490">
        <f t="shared" ref="AS328:AS329" si="546">+AT328</f>
        <v>2145</v>
      </c>
      <c r="AT328" s="489">
        <v>2145</v>
      </c>
      <c r="AU328" s="491"/>
      <c r="AV328" s="491"/>
      <c r="AW328" s="692"/>
      <c r="AX328" s="491"/>
      <c r="AY328" s="492"/>
      <c r="AZ328" s="491"/>
      <c r="BA328" s="491"/>
      <c r="BB328" s="491"/>
      <c r="BC328" s="491"/>
      <c r="BD328" s="492"/>
      <c r="BE328" s="492"/>
      <c r="BF328" s="492"/>
      <c r="BG328" s="492"/>
      <c r="BH328" s="484"/>
    </row>
    <row r="329" spans="1:60" s="470" customFormat="1" hidden="1" outlineLevel="2" x14ac:dyDescent="0.25">
      <c r="A329" s="483" t="s">
        <v>608</v>
      </c>
      <c r="B329" s="514"/>
      <c r="C329" s="492"/>
      <c r="D329" s="492"/>
      <c r="E329" s="492"/>
      <c r="F329" s="492"/>
      <c r="G329" s="491"/>
      <c r="H329" s="491"/>
      <c r="I329" s="491"/>
      <c r="J329" s="491"/>
      <c r="K329" s="492"/>
      <c r="L329" s="491"/>
      <c r="M329" s="491"/>
      <c r="N329" s="491"/>
      <c r="O329" s="491"/>
      <c r="P329" s="492"/>
      <c r="Q329" s="491"/>
      <c r="R329" s="491"/>
      <c r="S329" s="491"/>
      <c r="T329" s="491"/>
      <c r="U329" s="492"/>
      <c r="V329" s="491"/>
      <c r="W329" s="491"/>
      <c r="X329" s="491"/>
      <c r="Y329" s="491"/>
      <c r="Z329" s="492"/>
      <c r="AA329" s="491"/>
      <c r="AB329" s="491"/>
      <c r="AC329" s="491"/>
      <c r="AD329" s="491"/>
      <c r="AE329" s="492"/>
      <c r="AF329" s="491"/>
      <c r="AG329" s="497">
        <v>310</v>
      </c>
      <c r="AH329" s="490">
        <v>468</v>
      </c>
      <c r="AI329" s="490">
        <f>AJ329</f>
        <v>677</v>
      </c>
      <c r="AJ329" s="489">
        <v>677</v>
      </c>
      <c r="AK329" s="490">
        <v>206</v>
      </c>
      <c r="AL329" s="497">
        <v>415</v>
      </c>
      <c r="AM329" s="490">
        <v>611</v>
      </c>
      <c r="AN329" s="490">
        <f>AO329</f>
        <v>852</v>
      </c>
      <c r="AO329" s="489">
        <v>852</v>
      </c>
      <c r="AP329" s="490">
        <v>229</v>
      </c>
      <c r="AQ329" s="497">
        <v>441</v>
      </c>
      <c r="AR329" s="490">
        <v>625</v>
      </c>
      <c r="AS329" s="490">
        <f t="shared" si="546"/>
        <v>759</v>
      </c>
      <c r="AT329" s="489">
        <v>759</v>
      </c>
      <c r="AU329" s="491"/>
      <c r="AV329" s="491"/>
      <c r="AW329" s="692"/>
      <c r="AX329" s="491"/>
      <c r="AY329" s="492"/>
      <c r="AZ329" s="491"/>
      <c r="BA329" s="491"/>
      <c r="BB329" s="491"/>
      <c r="BC329" s="491"/>
      <c r="BD329" s="492"/>
      <c r="BE329" s="492"/>
      <c r="BF329" s="492"/>
      <c r="BG329" s="492"/>
      <c r="BH329" s="484"/>
    </row>
    <row r="330" spans="1:60" s="52" customFormat="1" hidden="1" outlineLevel="2" x14ac:dyDescent="0.25">
      <c r="A330" s="500" t="s">
        <v>59</v>
      </c>
      <c r="B330" s="762"/>
      <c r="C330" s="106"/>
      <c r="D330" s="106"/>
      <c r="E330" s="106"/>
      <c r="F330" s="106"/>
      <c r="G330" s="105"/>
      <c r="H330" s="105"/>
      <c r="I330" s="105"/>
      <c r="J330" s="105"/>
      <c r="K330" s="106"/>
      <c r="L330" s="105"/>
      <c r="M330" s="105"/>
      <c r="N330" s="105"/>
      <c r="O330" s="105"/>
      <c r="P330" s="106"/>
      <c r="Q330" s="105"/>
      <c r="R330" s="105"/>
      <c r="S330" s="105"/>
      <c r="T330" s="105"/>
      <c r="U330" s="106"/>
      <c r="V330" s="105"/>
      <c r="W330" s="105"/>
      <c r="X330" s="105"/>
      <c r="Y330" s="105"/>
      <c r="Z330" s="106"/>
      <c r="AA330" s="105"/>
      <c r="AB330" s="105"/>
      <c r="AC330" s="105"/>
      <c r="AD330" s="105"/>
      <c r="AE330" s="106"/>
      <c r="AF330" s="61">
        <v>795</v>
      </c>
      <c r="AG330" s="192">
        <v>1729</v>
      </c>
      <c r="AH330" s="61">
        <v>2847</v>
      </c>
      <c r="AI330" s="61">
        <f>AJ330</f>
        <v>3900</v>
      </c>
      <c r="AJ330" s="53">
        <v>3900</v>
      </c>
      <c r="AK330" s="61">
        <v>1044</v>
      </c>
      <c r="AL330" s="192">
        <v>2093</v>
      </c>
      <c r="AM330" s="61">
        <v>3102</v>
      </c>
      <c r="AN330" s="61">
        <f>AO330</f>
        <v>4146</v>
      </c>
      <c r="AO330" s="53">
        <v>4146</v>
      </c>
      <c r="AP330" s="61">
        <v>1049</v>
      </c>
      <c r="AQ330" s="192">
        <v>1990</v>
      </c>
      <c r="AR330" s="61">
        <v>2482</v>
      </c>
      <c r="AS330" s="61">
        <f t="shared" ref="AS330:AT330" si="547">+AS328+AS329</f>
        <v>2904</v>
      </c>
      <c r="AT330" s="53">
        <f t="shared" si="547"/>
        <v>2904</v>
      </c>
      <c r="AU330" s="105"/>
      <c r="AV330" s="105"/>
      <c r="AW330" s="763"/>
      <c r="AX330" s="105"/>
      <c r="AY330" s="106"/>
      <c r="AZ330" s="105"/>
      <c r="BA330" s="105"/>
      <c r="BB330" s="105"/>
      <c r="BC330" s="105"/>
      <c r="BD330" s="106"/>
      <c r="BE330" s="106"/>
      <c r="BF330" s="106"/>
      <c r="BG330" s="106"/>
      <c r="BH330" s="499"/>
    </row>
    <row r="331" spans="1:60" s="52" customFormat="1" hidden="1" outlineLevel="2" collapsed="1" x14ac:dyDescent="0.25">
      <c r="A331" s="501" t="s">
        <v>60</v>
      </c>
      <c r="B331" s="764"/>
      <c r="C331" s="111"/>
      <c r="D331" s="111"/>
      <c r="E331" s="111"/>
      <c r="F331" s="111"/>
      <c r="G331" s="114"/>
      <c r="H331" s="114"/>
      <c r="I331" s="114"/>
      <c r="J331" s="114"/>
      <c r="K331" s="111"/>
      <c r="L331" s="114"/>
      <c r="M331" s="114"/>
      <c r="N331" s="114"/>
      <c r="O331" s="114"/>
      <c r="P331" s="111"/>
      <c r="Q331" s="114"/>
      <c r="R331" s="114"/>
      <c r="S331" s="114"/>
      <c r="T331" s="114"/>
      <c r="U331" s="111"/>
      <c r="V331" s="114"/>
      <c r="W331" s="114"/>
      <c r="X331" s="114"/>
      <c r="Y331" s="114"/>
      <c r="Z331" s="111"/>
      <c r="AA331" s="114"/>
      <c r="AB331" s="114"/>
      <c r="AC331" s="114"/>
      <c r="AD331" s="114"/>
      <c r="AE331" s="111"/>
      <c r="AF331" s="499">
        <f>AF330</f>
        <v>795</v>
      </c>
      <c r="AG331" s="194">
        <f>AG330-AF330</f>
        <v>934</v>
      </c>
      <c r="AH331" s="499">
        <f>AH330-AG330</f>
        <v>1118</v>
      </c>
      <c r="AI331" s="499">
        <f>AI330-AH330</f>
        <v>1053</v>
      </c>
      <c r="AJ331" s="51">
        <v>3900</v>
      </c>
      <c r="AK331" s="499">
        <f>AK330</f>
        <v>1044</v>
      </c>
      <c r="AL331" s="194">
        <f>AL330-AK330</f>
        <v>1049</v>
      </c>
      <c r="AM331" s="499">
        <f>AM330-AL330</f>
        <v>1009</v>
      </c>
      <c r="AN331" s="499">
        <f>AN330-AM330</f>
        <v>1044</v>
      </c>
      <c r="AO331" s="51">
        <v>4146</v>
      </c>
      <c r="AP331" s="499">
        <f>AP330</f>
        <v>1049</v>
      </c>
      <c r="AQ331" s="194">
        <f>AQ330-AP330</f>
        <v>941</v>
      </c>
      <c r="AR331" s="499">
        <f>AR330-AQ330</f>
        <v>492</v>
      </c>
      <c r="AS331" s="499">
        <f>AT331-SUM(AP331,AQ331,AR331)</f>
        <v>422</v>
      </c>
      <c r="AT331" s="51">
        <f>+AT330</f>
        <v>2904</v>
      </c>
      <c r="AU331" s="114"/>
      <c r="AV331" s="114"/>
      <c r="AW331" s="765"/>
      <c r="AX331" s="114"/>
      <c r="AY331" s="111"/>
      <c r="AZ331" s="114"/>
      <c r="BA331" s="114"/>
      <c r="BB331" s="114"/>
      <c r="BC331" s="114"/>
      <c r="BD331" s="111"/>
      <c r="BE331" s="111"/>
      <c r="BF331" s="111"/>
      <c r="BG331" s="111"/>
      <c r="BH331" s="499"/>
    </row>
    <row r="332" spans="1:60" s="44" customFormat="1" hidden="1" outlineLevel="1" collapsed="1" x14ac:dyDescent="0.25">
      <c r="A332" s="748"/>
      <c r="B332" s="246"/>
      <c r="C332" s="478"/>
      <c r="D332" s="478"/>
      <c r="E332" s="478"/>
      <c r="F332" s="478"/>
      <c r="G332" s="480"/>
      <c r="H332" s="480"/>
      <c r="I332" s="480"/>
      <c r="J332" s="480"/>
      <c r="K332" s="478"/>
      <c r="L332" s="480"/>
      <c r="M332" s="480"/>
      <c r="N332" s="480"/>
      <c r="O332" s="480"/>
      <c r="P332" s="478"/>
      <c r="Q332" s="480"/>
      <c r="R332" s="480"/>
      <c r="S332" s="480"/>
      <c r="T332" s="480"/>
      <c r="U332" s="478"/>
      <c r="V332" s="480"/>
      <c r="W332" s="480"/>
      <c r="X332" s="480"/>
      <c r="Y332" s="480"/>
      <c r="Z332" s="478"/>
      <c r="AA332" s="480"/>
      <c r="AB332" s="480"/>
      <c r="AC332" s="480"/>
      <c r="AD332" s="480"/>
      <c r="AE332" s="478"/>
      <c r="AF332" s="480"/>
      <c r="AG332" s="480"/>
      <c r="AH332" s="480"/>
      <c r="AI332" s="480"/>
      <c r="AJ332" s="478"/>
      <c r="AK332" s="480"/>
      <c r="AL332" s="480"/>
      <c r="AM332" s="480"/>
      <c r="AN332" s="480"/>
      <c r="AO332" s="478"/>
      <c r="AP332" s="480"/>
      <c r="AQ332" s="480"/>
      <c r="AR332" s="480"/>
      <c r="AS332" s="480"/>
      <c r="AT332" s="478"/>
      <c r="AU332" s="480"/>
      <c r="AV332" s="480"/>
      <c r="AW332" s="708"/>
      <c r="AX332" s="480"/>
      <c r="AY332" s="478"/>
      <c r="AZ332" s="480"/>
      <c r="BA332" s="480"/>
      <c r="BB332" s="480"/>
      <c r="BC332" s="480"/>
      <c r="BD332" s="478"/>
      <c r="BE332" s="478"/>
      <c r="BF332" s="478"/>
      <c r="BG332" s="478"/>
      <c r="BH332" s="473"/>
    </row>
    <row r="333" spans="1:60" s="19" customFormat="1" hidden="1" outlineLevel="1" x14ac:dyDescent="0.25">
      <c r="A333" s="956" t="s">
        <v>828</v>
      </c>
      <c r="B333" s="956"/>
      <c r="C333" s="986"/>
      <c r="D333" s="986"/>
      <c r="E333" s="986"/>
      <c r="F333" s="986"/>
      <c r="G333" s="986"/>
      <c r="H333" s="986"/>
      <c r="I333" s="986"/>
      <c r="J333" s="986"/>
      <c r="K333" s="986"/>
      <c r="L333" s="986"/>
      <c r="M333" s="986"/>
      <c r="N333" s="986"/>
      <c r="O333" s="986"/>
      <c r="P333" s="986"/>
      <c r="Q333" s="986"/>
      <c r="R333" s="986"/>
      <c r="S333" s="986"/>
      <c r="T333" s="986"/>
      <c r="U333" s="986"/>
      <c r="V333" s="986"/>
      <c r="W333" s="986"/>
      <c r="X333" s="986"/>
      <c r="Y333" s="986"/>
      <c r="Z333" s="986"/>
      <c r="AA333" s="986"/>
      <c r="AB333" s="986"/>
      <c r="AC333" s="986"/>
      <c r="AD333" s="986"/>
      <c r="AE333" s="986"/>
      <c r="AF333" s="986"/>
      <c r="AG333" s="986"/>
      <c r="AH333" s="986"/>
      <c r="AI333" s="986"/>
      <c r="AJ333" s="986"/>
      <c r="AK333" s="986"/>
      <c r="AL333" s="986"/>
      <c r="AM333" s="986"/>
      <c r="AN333" s="986"/>
      <c r="AO333" s="986"/>
      <c r="AP333" s="986"/>
      <c r="AQ333" s="986"/>
      <c r="AR333" s="986"/>
      <c r="AS333" s="986"/>
      <c r="AT333" s="986"/>
      <c r="AU333" s="986"/>
      <c r="AV333" s="986"/>
      <c r="AW333" s="987"/>
      <c r="AX333" s="986"/>
      <c r="AY333" s="986"/>
      <c r="AZ333" s="986"/>
      <c r="BA333" s="986"/>
      <c r="BB333" s="986"/>
      <c r="BC333" s="986"/>
      <c r="BD333" s="986"/>
      <c r="BE333" s="986"/>
      <c r="BF333" s="986"/>
      <c r="BG333" s="986"/>
      <c r="BH333" s="730"/>
    </row>
    <row r="334" spans="1:60" s="49" customFormat="1" hidden="1" outlineLevel="2" x14ac:dyDescent="0.25">
      <c r="A334" s="226" t="s">
        <v>61</v>
      </c>
      <c r="B334" s="514"/>
      <c r="C334" s="492"/>
      <c r="D334" s="492"/>
      <c r="E334" s="492"/>
      <c r="F334" s="492"/>
      <c r="G334" s="491"/>
      <c r="H334" s="491"/>
      <c r="I334" s="491"/>
      <c r="J334" s="491"/>
      <c r="K334" s="492"/>
      <c r="L334" s="491"/>
      <c r="M334" s="491"/>
      <c r="N334" s="491"/>
      <c r="O334" s="491"/>
      <c r="P334" s="492"/>
      <c r="Q334" s="491"/>
      <c r="R334" s="491"/>
      <c r="S334" s="491"/>
      <c r="T334" s="491"/>
      <c r="U334" s="492"/>
      <c r="V334" s="491"/>
      <c r="W334" s="491"/>
      <c r="X334" s="491"/>
      <c r="Y334" s="491"/>
      <c r="Z334" s="492">
        <v>5900</v>
      </c>
      <c r="AA334" s="491"/>
      <c r="AB334" s="491"/>
      <c r="AC334" s="491"/>
      <c r="AD334" s="491"/>
      <c r="AE334" s="492">
        <v>6504</v>
      </c>
      <c r="AF334" s="491">
        <v>1832</v>
      </c>
      <c r="AG334" s="491">
        <v>1690</v>
      </c>
      <c r="AH334" s="491">
        <v>1834</v>
      </c>
      <c r="AI334" s="491">
        <f>AJ334-AH334-AG334-AF334</f>
        <v>1827</v>
      </c>
      <c r="AJ334" s="492">
        <v>7183</v>
      </c>
      <c r="AK334" s="491">
        <v>1933</v>
      </c>
      <c r="AL334" s="491">
        <v>1768</v>
      </c>
      <c r="AM334" s="491">
        <v>1956</v>
      </c>
      <c r="AN334" s="491">
        <f>AO334-5657</f>
        <v>1883</v>
      </c>
      <c r="AO334" s="492">
        <v>7540</v>
      </c>
      <c r="AP334" s="491">
        <v>2067</v>
      </c>
      <c r="AQ334" s="491">
        <v>1554</v>
      </c>
      <c r="AR334" s="491">
        <v>34</v>
      </c>
      <c r="AS334" s="491">
        <f>AT334-SUM(AP334,AQ334,AR334)</f>
        <v>383</v>
      </c>
      <c r="AT334" s="492">
        <v>4038</v>
      </c>
      <c r="AU334" s="491"/>
      <c r="AV334" s="491"/>
      <c r="AW334" s="692"/>
      <c r="AX334" s="491"/>
      <c r="AY334" s="492"/>
      <c r="AZ334" s="491"/>
      <c r="BA334" s="491"/>
      <c r="BB334" s="491"/>
      <c r="BC334" s="491"/>
      <c r="BD334" s="492"/>
      <c r="BE334" s="492"/>
      <c r="BF334" s="492"/>
      <c r="BG334" s="492"/>
      <c r="BH334" s="484"/>
    </row>
    <row r="335" spans="1:60" s="49" customFormat="1" hidden="1" outlineLevel="2" x14ac:dyDescent="0.25">
      <c r="A335" s="226" t="s">
        <v>695</v>
      </c>
      <c r="B335" s="514"/>
      <c r="C335" s="492"/>
      <c r="D335" s="492"/>
      <c r="E335" s="492"/>
      <c r="F335" s="492"/>
      <c r="G335" s="491"/>
      <c r="H335" s="491"/>
      <c r="I335" s="491"/>
      <c r="J335" s="491"/>
      <c r="K335" s="492"/>
      <c r="L335" s="491"/>
      <c r="M335" s="491"/>
      <c r="N335" s="491"/>
      <c r="O335" s="491"/>
      <c r="P335" s="492"/>
      <c r="Q335" s="491"/>
      <c r="R335" s="491"/>
      <c r="S335" s="491"/>
      <c r="T335" s="491"/>
      <c r="U335" s="492"/>
      <c r="V335" s="491"/>
      <c r="W335" s="491"/>
      <c r="X335" s="491"/>
      <c r="Y335" s="491"/>
      <c r="Z335" s="492">
        <v>4690</v>
      </c>
      <c r="AA335" s="491"/>
      <c r="AB335" s="491"/>
      <c r="AC335" s="491"/>
      <c r="AD335" s="491"/>
      <c r="AE335" s="492">
        <v>5154</v>
      </c>
      <c r="AF335" s="491">
        <v>2059</v>
      </c>
      <c r="AG335" s="491">
        <v>1707</v>
      </c>
      <c r="AH335" s="491">
        <v>1800</v>
      </c>
      <c r="AI335" s="491">
        <f>AJ335-AH335-AG335-AF335</f>
        <v>1799</v>
      </c>
      <c r="AJ335" s="492">
        <v>7365</v>
      </c>
      <c r="AK335" s="491">
        <v>2122</v>
      </c>
      <c r="AL335" s="491">
        <v>1768</v>
      </c>
      <c r="AM335" s="491">
        <v>1877</v>
      </c>
      <c r="AN335" s="491">
        <f>AO335-5767</f>
        <v>1949</v>
      </c>
      <c r="AO335" s="492">
        <v>7716</v>
      </c>
      <c r="AP335" s="491">
        <v>2313</v>
      </c>
      <c r="AQ335" s="491">
        <v>1584</v>
      </c>
      <c r="AR335" s="491">
        <v>264</v>
      </c>
      <c r="AS335" s="491">
        <f>AT335-SUM(AP335,AQ335,AR335)</f>
        <v>791</v>
      </c>
      <c r="AT335" s="492">
        <v>4952</v>
      </c>
      <c r="AU335" s="491"/>
      <c r="AV335" s="491"/>
      <c r="AW335" s="692"/>
      <c r="AX335" s="491"/>
      <c r="AY335" s="492"/>
      <c r="AZ335" s="491"/>
      <c r="BA335" s="491"/>
      <c r="BB335" s="491"/>
      <c r="BC335" s="491"/>
      <c r="BD335" s="492"/>
      <c r="BE335" s="492"/>
      <c r="BF335" s="492"/>
      <c r="BG335" s="492"/>
      <c r="BH335" s="484"/>
    </row>
    <row r="336" spans="1:60" s="49" customFormat="1" hidden="1" outlineLevel="2" x14ac:dyDescent="0.25">
      <c r="A336" s="226" t="s">
        <v>62</v>
      </c>
      <c r="B336" s="514"/>
      <c r="C336" s="492"/>
      <c r="D336" s="492"/>
      <c r="E336" s="492"/>
      <c r="F336" s="492"/>
      <c r="G336" s="491"/>
      <c r="H336" s="491"/>
      <c r="I336" s="491"/>
      <c r="J336" s="491"/>
      <c r="K336" s="492"/>
      <c r="L336" s="491"/>
      <c r="M336" s="491"/>
      <c r="N336" s="491"/>
      <c r="O336" s="491"/>
      <c r="P336" s="492"/>
      <c r="Q336" s="491"/>
      <c r="R336" s="491"/>
      <c r="S336" s="491"/>
      <c r="T336" s="491"/>
      <c r="U336" s="492"/>
      <c r="V336" s="491"/>
      <c r="W336" s="491"/>
      <c r="X336" s="491"/>
      <c r="Y336" s="491"/>
      <c r="Z336" s="492">
        <v>5088</v>
      </c>
      <c r="AA336" s="491"/>
      <c r="AB336" s="491"/>
      <c r="AC336" s="491"/>
      <c r="AD336" s="491"/>
      <c r="AE336" s="492">
        <v>5378</v>
      </c>
      <c r="AF336" s="491">
        <v>1463</v>
      </c>
      <c r="AG336" s="491">
        <v>1461</v>
      </c>
      <c r="AH336" s="491">
        <v>1530</v>
      </c>
      <c r="AI336" s="491">
        <f>AJ336-AH336-AG336-AF336</f>
        <v>1484</v>
      </c>
      <c r="AJ336" s="492">
        <v>5938</v>
      </c>
      <c r="AK336" s="491">
        <v>1531</v>
      </c>
      <c r="AL336" s="491">
        <v>1502</v>
      </c>
      <c r="AM336" s="491">
        <v>1610</v>
      </c>
      <c r="AN336" s="491">
        <f>AO336-4644</f>
        <v>1622</v>
      </c>
      <c r="AO336" s="492">
        <v>6266</v>
      </c>
      <c r="AP336" s="491">
        <v>1631</v>
      </c>
      <c r="AQ336" s="491">
        <v>1377</v>
      </c>
      <c r="AR336" s="491">
        <v>80</v>
      </c>
      <c r="AS336" s="491">
        <f>AT336-SUM(AP336,AQ336,AR336)</f>
        <v>314</v>
      </c>
      <c r="AT336" s="492">
        <v>3402</v>
      </c>
      <c r="AU336" s="491"/>
      <c r="AV336" s="491"/>
      <c r="AW336" s="692"/>
      <c r="AX336" s="491"/>
      <c r="AY336" s="492"/>
      <c r="AZ336" s="491"/>
      <c r="BA336" s="491"/>
      <c r="BB336" s="491"/>
      <c r="BC336" s="491"/>
      <c r="BD336" s="492"/>
      <c r="BE336" s="492"/>
      <c r="BF336" s="492"/>
      <c r="BG336" s="492"/>
      <c r="BH336" s="484"/>
    </row>
    <row r="337" spans="1:60" s="49" customFormat="1" hidden="1" outlineLevel="2" x14ac:dyDescent="0.25">
      <c r="A337" s="226" t="s">
        <v>85</v>
      </c>
      <c r="B337" s="514"/>
      <c r="C337" s="492"/>
      <c r="D337" s="492"/>
      <c r="E337" s="492"/>
      <c r="F337" s="492"/>
      <c r="G337" s="491"/>
      <c r="H337" s="491"/>
      <c r="I337" s="491"/>
      <c r="J337" s="491"/>
      <c r="K337" s="492"/>
      <c r="L337" s="491"/>
      <c r="M337" s="491"/>
      <c r="N337" s="491"/>
      <c r="O337" s="491"/>
      <c r="P337" s="492"/>
      <c r="Q337" s="491"/>
      <c r="R337" s="491"/>
      <c r="S337" s="491"/>
      <c r="T337" s="491"/>
      <c r="U337" s="492"/>
      <c r="V337" s="491"/>
      <c r="W337" s="491"/>
      <c r="X337" s="491"/>
      <c r="Y337" s="491"/>
      <c r="Z337" s="492">
        <v>5214</v>
      </c>
      <c r="AA337" s="491"/>
      <c r="AB337" s="491"/>
      <c r="AC337" s="491"/>
      <c r="AD337" s="491"/>
      <c r="AE337" s="492">
        <v>4494</v>
      </c>
      <c r="AF337" s="491">
        <v>776</v>
      </c>
      <c r="AG337" s="491">
        <v>625</v>
      </c>
      <c r="AH337" s="491">
        <v>560</v>
      </c>
      <c r="AI337" s="491">
        <f>AJ337-AH337-AG337-AF337</f>
        <v>605</v>
      </c>
      <c r="AJ337" s="492">
        <v>2566</v>
      </c>
      <c r="AK337" s="491">
        <v>741</v>
      </c>
      <c r="AL337" s="491">
        <v>635</v>
      </c>
      <c r="AM337" s="491">
        <v>631</v>
      </c>
      <c r="AN337" s="491">
        <f>AO337-2009</f>
        <v>759</v>
      </c>
      <c r="AO337" s="492">
        <v>2768</v>
      </c>
      <c r="AP337" s="491">
        <v>864</v>
      </c>
      <c r="AQ337" s="491">
        <v>591</v>
      </c>
      <c r="AR337" s="491">
        <v>438</v>
      </c>
      <c r="AS337" s="491">
        <f>AT337-SUM(AP337,AQ337,AR337)</f>
        <v>781</v>
      </c>
      <c r="AT337" s="492">
        <v>2674</v>
      </c>
      <c r="AU337" s="491"/>
      <c r="AV337" s="491"/>
      <c r="AW337" s="692"/>
      <c r="AX337" s="491"/>
      <c r="AY337" s="492"/>
      <c r="AZ337" s="491"/>
      <c r="BA337" s="491"/>
      <c r="BB337" s="491"/>
      <c r="BC337" s="491"/>
      <c r="BD337" s="492"/>
      <c r="BE337" s="492"/>
      <c r="BF337" s="492"/>
      <c r="BG337" s="492"/>
      <c r="BH337" s="484"/>
    </row>
    <row r="338" spans="1:60" s="49" customFormat="1" hidden="1" outlineLevel="2" x14ac:dyDescent="0.25">
      <c r="A338" s="226" t="s">
        <v>63</v>
      </c>
      <c r="B338" s="514"/>
      <c r="C338" s="492"/>
      <c r="D338" s="492"/>
      <c r="E338" s="492"/>
      <c r="F338" s="492"/>
      <c r="G338" s="491"/>
      <c r="H338" s="491"/>
      <c r="I338" s="491"/>
      <c r="J338" s="491"/>
      <c r="K338" s="492"/>
      <c r="L338" s="491"/>
      <c r="M338" s="491"/>
      <c r="N338" s="491"/>
      <c r="O338" s="491"/>
      <c r="P338" s="492"/>
      <c r="Q338" s="491"/>
      <c r="R338" s="491"/>
      <c r="S338" s="491"/>
      <c r="T338" s="491"/>
      <c r="U338" s="492"/>
      <c r="V338" s="491"/>
      <c r="W338" s="491"/>
      <c r="X338" s="491"/>
      <c r="Y338" s="491"/>
      <c r="Z338" s="492">
        <v>1366</v>
      </c>
      <c r="AA338" s="491"/>
      <c r="AB338" s="491"/>
      <c r="AC338" s="491"/>
      <c r="AD338" s="491"/>
      <c r="AE338" s="492">
        <v>1494</v>
      </c>
      <c r="AF338" s="491"/>
      <c r="AG338" s="491"/>
      <c r="AH338" s="491"/>
      <c r="AI338" s="491"/>
      <c r="AJ338" s="492"/>
      <c r="AK338" s="491"/>
      <c r="AL338" s="491"/>
      <c r="AM338" s="491"/>
      <c r="AN338" s="491"/>
      <c r="AO338" s="492"/>
      <c r="AP338" s="491"/>
      <c r="AQ338" s="491"/>
      <c r="AR338" s="491"/>
      <c r="AS338" s="491"/>
      <c r="AT338" s="492"/>
      <c r="AU338" s="491"/>
      <c r="AV338" s="491"/>
      <c r="AW338" s="692"/>
      <c r="AX338" s="491"/>
      <c r="AY338" s="492"/>
      <c r="AZ338" s="491"/>
      <c r="BA338" s="491"/>
      <c r="BB338" s="491"/>
      <c r="BC338" s="491"/>
      <c r="BD338" s="492"/>
      <c r="BE338" s="492"/>
      <c r="BF338" s="492"/>
      <c r="BG338" s="492"/>
      <c r="BH338" s="484"/>
    </row>
    <row r="339" spans="1:60" s="49" customFormat="1" hidden="1" outlineLevel="2" x14ac:dyDescent="0.25">
      <c r="A339" s="226" t="s">
        <v>45</v>
      </c>
      <c r="B339" s="514"/>
      <c r="C339" s="492"/>
      <c r="D339" s="492"/>
      <c r="E339" s="492"/>
      <c r="F339" s="492"/>
      <c r="G339" s="491"/>
      <c r="H339" s="491"/>
      <c r="I339" s="491"/>
      <c r="J339" s="491"/>
      <c r="K339" s="492"/>
      <c r="L339" s="491"/>
      <c r="M339" s="491"/>
      <c r="N339" s="491"/>
      <c r="O339" s="491"/>
      <c r="P339" s="492"/>
      <c r="Q339" s="491"/>
      <c r="R339" s="491"/>
      <c r="S339" s="491"/>
      <c r="T339" s="491"/>
      <c r="U339" s="492"/>
      <c r="V339" s="491"/>
      <c r="W339" s="491"/>
      <c r="X339" s="491"/>
      <c r="Y339" s="491"/>
      <c r="Z339" s="492"/>
      <c r="AA339" s="491"/>
      <c r="AB339" s="491"/>
      <c r="AC339" s="491"/>
      <c r="AD339" s="491"/>
      <c r="AE339" s="492"/>
      <c r="AF339" s="491">
        <v>2</v>
      </c>
      <c r="AG339" s="491">
        <v>2</v>
      </c>
      <c r="AH339" s="491">
        <v>1</v>
      </c>
      <c r="AI339" s="491">
        <f>AJ339-AH339-AG339-AF339</f>
        <v>2</v>
      </c>
      <c r="AJ339" s="492">
        <v>7</v>
      </c>
      <c r="AK339" s="491">
        <v>2</v>
      </c>
      <c r="AL339" s="491">
        <v>1</v>
      </c>
      <c r="AM339" s="491">
        <v>0</v>
      </c>
      <c r="AN339" s="491">
        <f>AO339-3</f>
        <v>3</v>
      </c>
      <c r="AO339" s="492">
        <v>6</v>
      </c>
      <c r="AP339" s="491">
        <v>2</v>
      </c>
      <c r="AQ339" s="491">
        <v>1</v>
      </c>
      <c r="AR339" s="491">
        <v>1</v>
      </c>
      <c r="AS339" s="491">
        <f>AT339-SUM(AP339,AQ339,AR339)</f>
        <v>0</v>
      </c>
      <c r="AT339" s="492">
        <v>4</v>
      </c>
      <c r="AU339" s="491"/>
      <c r="AV339" s="491"/>
      <c r="AW339" s="692"/>
      <c r="AX339" s="491"/>
      <c r="AY339" s="492"/>
      <c r="AZ339" s="491"/>
      <c r="BA339" s="491"/>
      <c r="BB339" s="491"/>
      <c r="BC339" s="491"/>
      <c r="BD339" s="492"/>
      <c r="BE339" s="492"/>
      <c r="BF339" s="492"/>
      <c r="BG339" s="492"/>
      <c r="BH339" s="484"/>
    </row>
    <row r="340" spans="1:60" s="49" customFormat="1" hidden="1" outlineLevel="2" x14ac:dyDescent="0.25">
      <c r="A340" s="538" t="s">
        <v>47</v>
      </c>
      <c r="B340" s="573"/>
      <c r="C340" s="322"/>
      <c r="D340" s="322"/>
      <c r="E340" s="322"/>
      <c r="F340" s="322"/>
      <c r="G340" s="321"/>
      <c r="H340" s="321"/>
      <c r="I340" s="321"/>
      <c r="J340" s="321"/>
      <c r="K340" s="322"/>
      <c r="L340" s="321"/>
      <c r="M340" s="321"/>
      <c r="N340" s="321"/>
      <c r="O340" s="321"/>
      <c r="P340" s="322"/>
      <c r="Q340" s="321"/>
      <c r="R340" s="321"/>
      <c r="S340" s="321"/>
      <c r="T340" s="321"/>
      <c r="U340" s="322"/>
      <c r="V340" s="321"/>
      <c r="W340" s="321"/>
      <c r="X340" s="321"/>
      <c r="Y340" s="321"/>
      <c r="Z340" s="322"/>
      <c r="AA340" s="321"/>
      <c r="AB340" s="321"/>
      <c r="AC340" s="321"/>
      <c r="AD340" s="321"/>
      <c r="AE340" s="322"/>
      <c r="AF340" s="321">
        <v>395</v>
      </c>
      <c r="AG340" s="321">
        <v>418</v>
      </c>
      <c r="AH340" s="321">
        <v>411</v>
      </c>
      <c r="AI340" s="321">
        <f>AJ340-AH340-AG340-AF340</f>
        <v>418</v>
      </c>
      <c r="AJ340" s="322">
        <v>1642</v>
      </c>
      <c r="AK340" s="321">
        <v>495</v>
      </c>
      <c r="AL340" s="321">
        <v>495</v>
      </c>
      <c r="AM340" s="321">
        <v>501</v>
      </c>
      <c r="AN340" s="321">
        <f>AO340-1490</f>
        <v>439</v>
      </c>
      <c r="AO340" s="322">
        <v>1929</v>
      </c>
      <c r="AP340" s="321">
        <v>519</v>
      </c>
      <c r="AQ340" s="321">
        <v>436</v>
      </c>
      <c r="AR340" s="321">
        <v>166</v>
      </c>
      <c r="AS340" s="321">
        <f>AT340-SUM(AP340,AQ340,AR340)</f>
        <v>311</v>
      </c>
      <c r="AT340" s="322">
        <v>1432</v>
      </c>
      <c r="AU340" s="321"/>
      <c r="AV340" s="321"/>
      <c r="AW340" s="693"/>
      <c r="AX340" s="321"/>
      <c r="AY340" s="322"/>
      <c r="AZ340" s="321"/>
      <c r="BA340" s="321"/>
      <c r="BB340" s="321"/>
      <c r="BC340" s="321"/>
      <c r="BD340" s="322"/>
      <c r="BE340" s="322"/>
      <c r="BF340" s="322"/>
      <c r="BG340" s="322"/>
      <c r="BH340" s="484"/>
    </row>
    <row r="341" spans="1:60" s="52" customFormat="1" hidden="1" outlineLevel="2" x14ac:dyDescent="0.25">
      <c r="A341" s="501" t="s">
        <v>54</v>
      </c>
      <c r="B341" s="264"/>
      <c r="C341" s="506"/>
      <c r="D341" s="506"/>
      <c r="E341" s="506"/>
      <c r="F341" s="506"/>
      <c r="G341" s="505"/>
      <c r="H341" s="505"/>
      <c r="I341" s="505"/>
      <c r="J341" s="505"/>
      <c r="K341" s="506"/>
      <c r="L341" s="505"/>
      <c r="M341" s="505"/>
      <c r="N341" s="505"/>
      <c r="O341" s="505"/>
      <c r="P341" s="506"/>
      <c r="Q341" s="505"/>
      <c r="R341" s="505"/>
      <c r="S341" s="505"/>
      <c r="T341" s="505"/>
      <c r="U341" s="506"/>
      <c r="V341" s="505"/>
      <c r="W341" s="505"/>
      <c r="X341" s="505"/>
      <c r="Y341" s="505"/>
      <c r="Z341" s="502">
        <f>SUM(Z334:Z340)</f>
        <v>22258</v>
      </c>
      <c r="AA341" s="505"/>
      <c r="AB341" s="505"/>
      <c r="AC341" s="505"/>
      <c r="AD341" s="505"/>
      <c r="AE341" s="502">
        <f>SUM(AE334:AE340)</f>
        <v>23024</v>
      </c>
      <c r="AF341" s="503">
        <f>SUM(AF334:AF340)</f>
        <v>6527</v>
      </c>
      <c r="AG341" s="504">
        <v>5903</v>
      </c>
      <c r="AH341" s="503">
        <f t="shared" ref="AH341:AT341" si="548">SUM(AH334:AH340)</f>
        <v>6136</v>
      </c>
      <c r="AI341" s="503">
        <f t="shared" si="548"/>
        <v>6135</v>
      </c>
      <c r="AJ341" s="502">
        <f t="shared" si="548"/>
        <v>24701</v>
      </c>
      <c r="AK341" s="503">
        <f t="shared" si="548"/>
        <v>6824</v>
      </c>
      <c r="AL341" s="504">
        <f t="shared" si="548"/>
        <v>6169</v>
      </c>
      <c r="AM341" s="503">
        <f t="shared" si="548"/>
        <v>6575</v>
      </c>
      <c r="AN341" s="503">
        <f t="shared" si="548"/>
        <v>6655</v>
      </c>
      <c r="AO341" s="502">
        <f t="shared" si="548"/>
        <v>26225</v>
      </c>
      <c r="AP341" s="503">
        <f t="shared" si="548"/>
        <v>7396</v>
      </c>
      <c r="AQ341" s="504">
        <f t="shared" si="548"/>
        <v>5543</v>
      </c>
      <c r="AR341" s="503">
        <f t="shared" si="548"/>
        <v>983</v>
      </c>
      <c r="AS341" s="503">
        <f t="shared" si="548"/>
        <v>2580</v>
      </c>
      <c r="AT341" s="502">
        <f t="shared" si="548"/>
        <v>16502</v>
      </c>
      <c r="AU341" s="505"/>
      <c r="AV341" s="505"/>
      <c r="AW341" s="694"/>
      <c r="AX341" s="505"/>
      <c r="AY341" s="506"/>
      <c r="AZ341" s="505"/>
      <c r="BA341" s="505"/>
      <c r="BB341" s="505"/>
      <c r="BC341" s="505"/>
      <c r="BD341" s="506"/>
      <c r="BE341" s="506"/>
      <c r="BF341" s="506"/>
      <c r="BG341" s="506"/>
      <c r="BH341" s="499"/>
    </row>
    <row r="342" spans="1:60" s="498" customFormat="1" hidden="1" outlineLevel="1" collapsed="1" x14ac:dyDescent="0.25">
      <c r="A342" s="635"/>
      <c r="B342" s="264"/>
      <c r="C342" s="506"/>
      <c r="D342" s="506"/>
      <c r="E342" s="506"/>
      <c r="F342" s="506"/>
      <c r="G342" s="505"/>
      <c r="H342" s="505"/>
      <c r="I342" s="505"/>
      <c r="J342" s="505"/>
      <c r="K342" s="506"/>
      <c r="L342" s="505"/>
      <c r="M342" s="505"/>
      <c r="N342" s="505"/>
      <c r="O342" s="505"/>
      <c r="P342" s="506"/>
      <c r="Q342" s="505"/>
      <c r="R342" s="505"/>
      <c r="S342" s="505"/>
      <c r="T342" s="505"/>
      <c r="U342" s="506"/>
      <c r="V342" s="505"/>
      <c r="W342" s="505"/>
      <c r="X342" s="505"/>
      <c r="Y342" s="505"/>
      <c r="Z342" s="506"/>
      <c r="AA342" s="505"/>
      <c r="AB342" s="505"/>
      <c r="AC342" s="505"/>
      <c r="AD342" s="505"/>
      <c r="AE342" s="506"/>
      <c r="AF342" s="505"/>
      <c r="AG342" s="505"/>
      <c r="AH342" s="505"/>
      <c r="AI342" s="505"/>
      <c r="AJ342" s="506"/>
      <c r="AK342" s="505"/>
      <c r="AL342" s="505"/>
      <c r="AM342" s="505"/>
      <c r="AN342" s="505"/>
      <c r="AO342" s="506"/>
      <c r="AP342" s="505"/>
      <c r="AQ342" s="505"/>
      <c r="AR342" s="505"/>
      <c r="AS342" s="505"/>
      <c r="AT342" s="506"/>
      <c r="AU342" s="505"/>
      <c r="AV342" s="505"/>
      <c r="AW342" s="694"/>
      <c r="AX342" s="505"/>
      <c r="AY342" s="506"/>
      <c r="AZ342" s="505"/>
      <c r="BA342" s="505"/>
      <c r="BB342" s="505"/>
      <c r="BC342" s="505"/>
      <c r="BD342" s="506"/>
      <c r="BE342" s="506"/>
      <c r="BF342" s="506"/>
      <c r="BG342" s="506"/>
      <c r="BH342" s="499"/>
    </row>
    <row r="343" spans="1:60" s="19" customFormat="1" hidden="1" outlineLevel="1" x14ac:dyDescent="0.25">
      <c r="A343" s="956" t="s">
        <v>829</v>
      </c>
      <c r="B343" s="956"/>
      <c r="C343" s="986"/>
      <c r="D343" s="986"/>
      <c r="E343" s="986"/>
      <c r="F343" s="986"/>
      <c r="G343" s="986"/>
      <c r="H343" s="986"/>
      <c r="I343" s="986"/>
      <c r="J343" s="986"/>
      <c r="K343" s="986"/>
      <c r="L343" s="986"/>
      <c r="M343" s="986"/>
      <c r="N343" s="986"/>
      <c r="O343" s="986"/>
      <c r="P343" s="986"/>
      <c r="Q343" s="986"/>
      <c r="R343" s="986"/>
      <c r="S343" s="986"/>
      <c r="T343" s="986"/>
      <c r="U343" s="986"/>
      <c r="V343" s="986"/>
      <c r="W343" s="986"/>
      <c r="X343" s="986"/>
      <c r="Y343" s="986"/>
      <c r="Z343" s="986"/>
      <c r="AA343" s="986"/>
      <c r="AB343" s="986"/>
      <c r="AC343" s="986"/>
      <c r="AD343" s="986"/>
      <c r="AE343" s="986"/>
      <c r="AF343" s="986"/>
      <c r="AG343" s="986"/>
      <c r="AH343" s="986"/>
      <c r="AI343" s="986"/>
      <c r="AJ343" s="986"/>
      <c r="AK343" s="986"/>
      <c r="AL343" s="986"/>
      <c r="AM343" s="986"/>
      <c r="AN343" s="986"/>
      <c r="AO343" s="986"/>
      <c r="AP343" s="986"/>
      <c r="AQ343" s="986"/>
      <c r="AR343" s="986"/>
      <c r="AS343" s="986"/>
      <c r="AT343" s="986"/>
      <c r="AU343" s="986"/>
      <c r="AV343" s="986"/>
      <c r="AW343" s="987"/>
      <c r="AX343" s="986"/>
      <c r="AY343" s="986"/>
      <c r="AZ343" s="986"/>
      <c r="BA343" s="986"/>
      <c r="BB343" s="986"/>
      <c r="BC343" s="986"/>
      <c r="BD343" s="986"/>
      <c r="BE343" s="986"/>
      <c r="BF343" s="986"/>
      <c r="BG343" s="986"/>
      <c r="BH343" s="730"/>
    </row>
    <row r="344" spans="1:60" s="470" customFormat="1" hidden="1" outlineLevel="2" x14ac:dyDescent="0.25">
      <c r="A344" s="96" t="s">
        <v>629</v>
      </c>
      <c r="B344" s="514"/>
      <c r="C344" s="492"/>
      <c r="D344" s="492"/>
      <c r="E344" s="492"/>
      <c r="F344" s="492"/>
      <c r="G344" s="491"/>
      <c r="H344" s="491"/>
      <c r="I344" s="491"/>
      <c r="J344" s="491"/>
      <c r="K344" s="492"/>
      <c r="L344" s="491"/>
      <c r="M344" s="491"/>
      <c r="N344" s="491"/>
      <c r="O344" s="491"/>
      <c r="P344" s="492"/>
      <c r="Q344" s="491"/>
      <c r="R344" s="491"/>
      <c r="S344" s="491"/>
      <c r="T344" s="491"/>
      <c r="U344" s="492"/>
      <c r="V344" s="491"/>
      <c r="W344" s="491"/>
      <c r="X344" s="491"/>
      <c r="Y344" s="491"/>
      <c r="Z344" s="492"/>
      <c r="AA344" s="491"/>
      <c r="AB344" s="491"/>
      <c r="AC344" s="491"/>
      <c r="AD344" s="491"/>
      <c r="AE344" s="492"/>
      <c r="AF344" s="491"/>
      <c r="AG344" s="491"/>
      <c r="AH344" s="491"/>
      <c r="AI344" s="491"/>
      <c r="AJ344" s="492"/>
      <c r="AK344" s="490">
        <v>5142</v>
      </c>
      <c r="AL344" s="497">
        <v>4700</v>
      </c>
      <c r="AM344" s="490">
        <v>4911</v>
      </c>
      <c r="AN344" s="490">
        <f>AO344-14742</f>
        <v>4889</v>
      </c>
      <c r="AO344" s="489">
        <v>19631</v>
      </c>
      <c r="AP344" s="490">
        <v>5708</v>
      </c>
      <c r="AQ344" s="497">
        <v>4567</v>
      </c>
      <c r="AR344" s="490">
        <v>523</v>
      </c>
      <c r="AS344" s="491"/>
      <c r="AT344" s="492"/>
      <c r="AU344" s="491"/>
      <c r="AV344" s="491"/>
      <c r="AW344" s="692"/>
      <c r="AX344" s="491"/>
      <c r="AY344" s="492"/>
      <c r="AZ344" s="491"/>
      <c r="BA344" s="491"/>
      <c r="BB344" s="491"/>
      <c r="BC344" s="491"/>
      <c r="BD344" s="492"/>
      <c r="BE344" s="492"/>
      <c r="BF344" s="492"/>
      <c r="BG344" s="492"/>
      <c r="BH344" s="484"/>
    </row>
    <row r="345" spans="1:60" s="470" customFormat="1" hidden="1" outlineLevel="2" x14ac:dyDescent="0.25">
      <c r="A345" s="363" t="s">
        <v>632</v>
      </c>
      <c r="B345" s="573"/>
      <c r="C345" s="322"/>
      <c r="D345" s="322"/>
      <c r="E345" s="322"/>
      <c r="F345" s="322"/>
      <c r="G345" s="321"/>
      <c r="H345" s="321"/>
      <c r="I345" s="321"/>
      <c r="J345" s="321"/>
      <c r="K345" s="322"/>
      <c r="L345" s="321"/>
      <c r="M345" s="321"/>
      <c r="N345" s="321"/>
      <c r="O345" s="321"/>
      <c r="P345" s="322"/>
      <c r="Q345" s="321"/>
      <c r="R345" s="321"/>
      <c r="S345" s="321"/>
      <c r="T345" s="321"/>
      <c r="U345" s="322"/>
      <c r="V345" s="321"/>
      <c r="W345" s="321"/>
      <c r="X345" s="321"/>
      <c r="Y345" s="321"/>
      <c r="Z345" s="322"/>
      <c r="AA345" s="321"/>
      <c r="AB345" s="321"/>
      <c r="AC345" s="321"/>
      <c r="AD345" s="321"/>
      <c r="AE345" s="322"/>
      <c r="AF345" s="321"/>
      <c r="AG345" s="321"/>
      <c r="AH345" s="321"/>
      <c r="AI345" s="321"/>
      <c r="AJ345" s="322"/>
      <c r="AK345" s="319">
        <v>66</v>
      </c>
      <c r="AL345" s="320">
        <v>49</v>
      </c>
      <c r="AM345" s="319">
        <v>51</v>
      </c>
      <c r="AN345" s="319">
        <f>AO345-168</f>
        <v>69</v>
      </c>
      <c r="AO345" s="318">
        <v>237</v>
      </c>
      <c r="AP345" s="319">
        <v>64</v>
      </c>
      <c r="AQ345" s="320">
        <v>48</v>
      </c>
      <c r="AR345" s="319">
        <v>16</v>
      </c>
      <c r="AS345" s="321"/>
      <c r="AT345" s="322"/>
      <c r="AU345" s="321"/>
      <c r="AV345" s="321"/>
      <c r="AW345" s="693"/>
      <c r="AX345" s="321"/>
      <c r="AY345" s="322"/>
      <c r="AZ345" s="321"/>
      <c r="BA345" s="321"/>
      <c r="BB345" s="321"/>
      <c r="BC345" s="321"/>
      <c r="BD345" s="322"/>
      <c r="BE345" s="322"/>
      <c r="BF345" s="322"/>
      <c r="BG345" s="322"/>
      <c r="BH345" s="484"/>
    </row>
    <row r="346" spans="1:60" s="470" customFormat="1" hidden="1" outlineLevel="2" x14ac:dyDescent="0.25">
      <c r="A346" s="483" t="s">
        <v>698</v>
      </c>
      <c r="B346" s="514"/>
      <c r="C346" s="492"/>
      <c r="D346" s="492"/>
      <c r="E346" s="492"/>
      <c r="F346" s="492"/>
      <c r="G346" s="491"/>
      <c r="H346" s="491"/>
      <c r="I346" s="491"/>
      <c r="J346" s="491"/>
      <c r="K346" s="492"/>
      <c r="L346" s="491"/>
      <c r="M346" s="491"/>
      <c r="N346" s="491"/>
      <c r="O346" s="491"/>
      <c r="P346" s="492"/>
      <c r="Q346" s="491"/>
      <c r="R346" s="491"/>
      <c r="S346" s="491"/>
      <c r="T346" s="491"/>
      <c r="U346" s="492"/>
      <c r="V346" s="491"/>
      <c r="W346" s="491"/>
      <c r="X346" s="491"/>
      <c r="Y346" s="491"/>
      <c r="Z346" s="492"/>
      <c r="AA346" s="491"/>
      <c r="AB346" s="491"/>
      <c r="AC346" s="491"/>
      <c r="AD346" s="491"/>
      <c r="AE346" s="492"/>
      <c r="AF346" s="491"/>
      <c r="AG346" s="491"/>
      <c r="AH346" s="491"/>
      <c r="AI346" s="491"/>
      <c r="AJ346" s="492"/>
      <c r="AK346" s="490">
        <f>SUM(AK344:AK345)</f>
        <v>5208</v>
      </c>
      <c r="AL346" s="497">
        <f t="shared" ref="AL346:AR346" si="549">SUM(AL344:AL345)</f>
        <v>4749</v>
      </c>
      <c r="AM346" s="490">
        <f t="shared" si="549"/>
        <v>4962</v>
      </c>
      <c r="AN346" s="490">
        <f t="shared" si="549"/>
        <v>4958</v>
      </c>
      <c r="AO346" s="489">
        <f t="shared" si="549"/>
        <v>19868</v>
      </c>
      <c r="AP346" s="490">
        <f t="shared" si="549"/>
        <v>5772</v>
      </c>
      <c r="AQ346" s="497">
        <f t="shared" si="549"/>
        <v>4615</v>
      </c>
      <c r="AR346" s="490">
        <f t="shared" si="549"/>
        <v>539</v>
      </c>
      <c r="AS346" s="490">
        <f>AT346-SUM(AP346,AQ346,AR346)</f>
        <v>1598</v>
      </c>
      <c r="AT346" s="489">
        <v>12524</v>
      </c>
      <c r="AU346" s="491"/>
      <c r="AV346" s="491"/>
      <c r="AW346" s="692"/>
      <c r="AX346" s="491"/>
      <c r="AY346" s="492"/>
      <c r="AZ346" s="491"/>
      <c r="BA346" s="491"/>
      <c r="BB346" s="491"/>
      <c r="BC346" s="491"/>
      <c r="BD346" s="492"/>
      <c r="BE346" s="492"/>
      <c r="BF346" s="492"/>
      <c r="BG346" s="492"/>
      <c r="BH346" s="484"/>
    </row>
    <row r="347" spans="1:60" s="470" customFormat="1" hidden="1" outlineLevel="2" x14ac:dyDescent="0.25">
      <c r="A347" s="483" t="s">
        <v>630</v>
      </c>
      <c r="B347" s="514"/>
      <c r="C347" s="492"/>
      <c r="D347" s="492"/>
      <c r="E347" s="492"/>
      <c r="F347" s="492"/>
      <c r="G347" s="491"/>
      <c r="H347" s="491"/>
      <c r="I347" s="491"/>
      <c r="J347" s="491"/>
      <c r="K347" s="492"/>
      <c r="L347" s="491"/>
      <c r="M347" s="491"/>
      <c r="N347" s="491"/>
      <c r="O347" s="491"/>
      <c r="P347" s="492"/>
      <c r="Q347" s="491"/>
      <c r="R347" s="491"/>
      <c r="S347" s="491"/>
      <c r="T347" s="491"/>
      <c r="U347" s="492"/>
      <c r="V347" s="491"/>
      <c r="W347" s="491"/>
      <c r="X347" s="491"/>
      <c r="Y347" s="491"/>
      <c r="Z347" s="492"/>
      <c r="AA347" s="491"/>
      <c r="AB347" s="491"/>
      <c r="AC347" s="491"/>
      <c r="AD347" s="491"/>
      <c r="AE347" s="492"/>
      <c r="AF347" s="491"/>
      <c r="AG347" s="491"/>
      <c r="AH347" s="491"/>
      <c r="AI347" s="491"/>
      <c r="AJ347" s="492"/>
      <c r="AK347" s="490">
        <v>854</v>
      </c>
      <c r="AL347" s="497">
        <v>631</v>
      </c>
      <c r="AM347" s="490">
        <v>776</v>
      </c>
      <c r="AN347" s="490">
        <f>AO347-2261</f>
        <v>874</v>
      </c>
      <c r="AO347" s="489">
        <v>3135</v>
      </c>
      <c r="AP347" s="490">
        <v>892</v>
      </c>
      <c r="AQ347" s="497">
        <v>523</v>
      </c>
      <c r="AR347" s="490">
        <v>154</v>
      </c>
      <c r="AS347" s="490">
        <f>AT347-SUM(AP347,AQ347,AR347)</f>
        <v>413</v>
      </c>
      <c r="AT347" s="489">
        <v>1982</v>
      </c>
      <c r="AU347" s="491"/>
      <c r="AV347" s="491"/>
      <c r="AW347" s="692"/>
      <c r="AX347" s="491"/>
      <c r="AY347" s="492"/>
      <c r="AZ347" s="491"/>
      <c r="BA347" s="491"/>
      <c r="BB347" s="491"/>
      <c r="BC347" s="491"/>
      <c r="BD347" s="492"/>
      <c r="BE347" s="492"/>
      <c r="BF347" s="492"/>
      <c r="BG347" s="492"/>
      <c r="BH347" s="484"/>
    </row>
    <row r="348" spans="1:60" s="470" customFormat="1" hidden="1" outlineLevel="2" x14ac:dyDescent="0.25">
      <c r="A348" s="483" t="s">
        <v>631</v>
      </c>
      <c r="B348" s="514"/>
      <c r="C348" s="492"/>
      <c r="D348" s="492"/>
      <c r="E348" s="492"/>
      <c r="F348" s="492"/>
      <c r="G348" s="491"/>
      <c r="H348" s="491"/>
      <c r="I348" s="491"/>
      <c r="J348" s="491"/>
      <c r="K348" s="492"/>
      <c r="L348" s="491"/>
      <c r="M348" s="491"/>
      <c r="N348" s="491"/>
      <c r="O348" s="491"/>
      <c r="P348" s="492"/>
      <c r="Q348" s="491"/>
      <c r="R348" s="491"/>
      <c r="S348" s="491"/>
      <c r="T348" s="491"/>
      <c r="U348" s="492"/>
      <c r="V348" s="491"/>
      <c r="W348" s="491"/>
      <c r="X348" s="491"/>
      <c r="Y348" s="491"/>
      <c r="Z348" s="492"/>
      <c r="AA348" s="491"/>
      <c r="AB348" s="491"/>
      <c r="AC348" s="491"/>
      <c r="AD348" s="491"/>
      <c r="AE348" s="492"/>
      <c r="AF348" s="491"/>
      <c r="AG348" s="491"/>
      <c r="AH348" s="491"/>
      <c r="AI348" s="491"/>
      <c r="AJ348" s="492"/>
      <c r="AK348" s="490">
        <v>762</v>
      </c>
      <c r="AL348" s="497">
        <v>789</v>
      </c>
      <c r="AM348" s="490">
        <v>837</v>
      </c>
      <c r="AN348" s="490">
        <f>AO348-2399</f>
        <v>823</v>
      </c>
      <c r="AO348" s="489">
        <v>3222</v>
      </c>
      <c r="AP348" s="490">
        <v>732</v>
      </c>
      <c r="AQ348" s="497">
        <v>405</v>
      </c>
      <c r="AR348" s="490">
        <v>290</v>
      </c>
      <c r="AS348" s="490">
        <f>AT348-SUM(AP348,AQ348,AR348)</f>
        <v>569</v>
      </c>
      <c r="AT348" s="489">
        <v>1996</v>
      </c>
      <c r="AU348" s="491"/>
      <c r="AV348" s="491"/>
      <c r="AW348" s="692"/>
      <c r="AX348" s="491"/>
      <c r="AY348" s="492"/>
      <c r="AZ348" s="491"/>
      <c r="BA348" s="491"/>
      <c r="BB348" s="491"/>
      <c r="BC348" s="491"/>
      <c r="BD348" s="492"/>
      <c r="BE348" s="492"/>
      <c r="BF348" s="492"/>
      <c r="BG348" s="492"/>
      <c r="BH348" s="484"/>
    </row>
    <row r="349" spans="1:60" s="498" customFormat="1" hidden="1" outlineLevel="2" x14ac:dyDescent="0.25">
      <c r="A349" s="500" t="s">
        <v>586</v>
      </c>
      <c r="B349" s="516"/>
      <c r="C349" s="511"/>
      <c r="D349" s="511"/>
      <c r="E349" s="511"/>
      <c r="F349" s="511"/>
      <c r="G349" s="510"/>
      <c r="H349" s="510"/>
      <c r="I349" s="510"/>
      <c r="J349" s="510"/>
      <c r="K349" s="511"/>
      <c r="L349" s="510"/>
      <c r="M349" s="510"/>
      <c r="N349" s="510"/>
      <c r="O349" s="510"/>
      <c r="P349" s="511"/>
      <c r="Q349" s="510"/>
      <c r="R349" s="510"/>
      <c r="S349" s="510"/>
      <c r="T349" s="510"/>
      <c r="U349" s="511"/>
      <c r="V349" s="510"/>
      <c r="W349" s="510"/>
      <c r="X349" s="510"/>
      <c r="Y349" s="510"/>
      <c r="Z349" s="511"/>
      <c r="AA349" s="510"/>
      <c r="AB349" s="510"/>
      <c r="AC349" s="510"/>
      <c r="AD349" s="510"/>
      <c r="AE349" s="511"/>
      <c r="AF349" s="510"/>
      <c r="AG349" s="510"/>
      <c r="AH349" s="510"/>
      <c r="AI349" s="510"/>
      <c r="AJ349" s="511"/>
      <c r="AK349" s="508">
        <f>SUM(AK346:AK348)</f>
        <v>6824</v>
      </c>
      <c r="AL349" s="509">
        <f t="shared" ref="AL349:AT349" si="550">SUM(AL346:AL348)</f>
        <v>6169</v>
      </c>
      <c r="AM349" s="508">
        <f t="shared" si="550"/>
        <v>6575</v>
      </c>
      <c r="AN349" s="508">
        <f t="shared" si="550"/>
        <v>6655</v>
      </c>
      <c r="AO349" s="507">
        <f t="shared" si="550"/>
        <v>26225</v>
      </c>
      <c r="AP349" s="508">
        <f t="shared" si="550"/>
        <v>7396</v>
      </c>
      <c r="AQ349" s="509">
        <f t="shared" si="550"/>
        <v>5543</v>
      </c>
      <c r="AR349" s="508">
        <f t="shared" si="550"/>
        <v>983</v>
      </c>
      <c r="AS349" s="508">
        <f t="shared" si="550"/>
        <v>2580</v>
      </c>
      <c r="AT349" s="507">
        <f t="shared" si="550"/>
        <v>16502</v>
      </c>
      <c r="AU349" s="510"/>
      <c r="AV349" s="510"/>
      <c r="AW349" s="701"/>
      <c r="AX349" s="510"/>
      <c r="AY349" s="511"/>
      <c r="AZ349" s="510"/>
      <c r="BA349" s="510"/>
      <c r="BB349" s="510"/>
      <c r="BC349" s="510"/>
      <c r="BD349" s="511"/>
      <c r="BE349" s="511"/>
      <c r="BF349" s="511"/>
      <c r="BG349" s="511"/>
      <c r="BH349" s="499"/>
    </row>
    <row r="350" spans="1:60" s="52" customFormat="1" hidden="1" outlineLevel="1" collapsed="1" x14ac:dyDescent="0.25">
      <c r="A350" s="635"/>
      <c r="B350" s="264"/>
      <c r="C350" s="506"/>
      <c r="D350" s="506"/>
      <c r="E350" s="506"/>
      <c r="F350" s="506"/>
      <c r="G350" s="505"/>
      <c r="H350" s="505"/>
      <c r="I350" s="505"/>
      <c r="J350" s="505"/>
      <c r="K350" s="506"/>
      <c r="L350" s="505"/>
      <c r="M350" s="505"/>
      <c r="N350" s="505"/>
      <c r="O350" s="505"/>
      <c r="P350" s="506"/>
      <c r="Q350" s="505"/>
      <c r="R350" s="505"/>
      <c r="S350" s="505"/>
      <c r="T350" s="505"/>
      <c r="U350" s="506"/>
      <c r="V350" s="505"/>
      <c r="W350" s="505"/>
      <c r="X350" s="505"/>
      <c r="Y350" s="505"/>
      <c r="Z350" s="506"/>
      <c r="AA350" s="505"/>
      <c r="AB350" s="505"/>
      <c r="AC350" s="505"/>
      <c r="AD350" s="505"/>
      <c r="AE350" s="506"/>
      <c r="AF350" s="505"/>
      <c r="AG350" s="505"/>
      <c r="AH350" s="505"/>
      <c r="AI350" s="505"/>
      <c r="AJ350" s="506"/>
      <c r="AK350" s="505"/>
      <c r="AL350" s="505"/>
      <c r="AM350" s="505"/>
      <c r="AN350" s="505"/>
      <c r="AO350" s="506"/>
      <c r="AP350" s="505"/>
      <c r="AQ350" s="505"/>
      <c r="AR350" s="505"/>
      <c r="AS350" s="505"/>
      <c r="AT350" s="506"/>
      <c r="AU350" s="505"/>
      <c r="AV350" s="505"/>
      <c r="AW350" s="694"/>
      <c r="AX350" s="505"/>
      <c r="AY350" s="506"/>
      <c r="AZ350" s="505"/>
      <c r="BA350" s="505"/>
      <c r="BB350" s="505"/>
      <c r="BC350" s="505"/>
      <c r="BD350" s="506"/>
      <c r="BE350" s="506"/>
      <c r="BF350" s="506"/>
      <c r="BG350" s="506"/>
      <c r="BH350" s="499"/>
    </row>
    <row r="351" spans="1:60" s="19" customFormat="1" hidden="1" outlineLevel="1" x14ac:dyDescent="0.25">
      <c r="A351" s="956" t="s">
        <v>830</v>
      </c>
      <c r="B351" s="956"/>
      <c r="C351" s="986"/>
      <c r="D351" s="986"/>
      <c r="E351" s="986"/>
      <c r="F351" s="986"/>
      <c r="G351" s="986"/>
      <c r="H351" s="986"/>
      <c r="I351" s="986"/>
      <c r="J351" s="986"/>
      <c r="K351" s="986"/>
      <c r="L351" s="986"/>
      <c r="M351" s="986"/>
      <c r="N351" s="986"/>
      <c r="O351" s="986"/>
      <c r="P351" s="986"/>
      <c r="Q351" s="986"/>
      <c r="R351" s="986"/>
      <c r="S351" s="986"/>
      <c r="T351" s="986"/>
      <c r="U351" s="986"/>
      <c r="V351" s="986"/>
      <c r="W351" s="986"/>
      <c r="X351" s="986"/>
      <c r="Y351" s="986"/>
      <c r="Z351" s="986"/>
      <c r="AA351" s="986"/>
      <c r="AB351" s="986"/>
      <c r="AC351" s="986"/>
      <c r="AD351" s="986"/>
      <c r="AE351" s="986"/>
      <c r="AF351" s="986"/>
      <c r="AG351" s="986"/>
      <c r="AH351" s="986"/>
      <c r="AI351" s="986"/>
      <c r="AJ351" s="986"/>
      <c r="AK351" s="986"/>
      <c r="AL351" s="986"/>
      <c r="AM351" s="986"/>
      <c r="AN351" s="986"/>
      <c r="AO351" s="986"/>
      <c r="AP351" s="986"/>
      <c r="AQ351" s="986"/>
      <c r="AR351" s="986"/>
      <c r="AS351" s="986"/>
      <c r="AT351" s="986"/>
      <c r="AU351" s="986"/>
      <c r="AV351" s="986"/>
      <c r="AW351" s="987"/>
      <c r="AX351" s="986"/>
      <c r="AY351" s="986"/>
      <c r="AZ351" s="986"/>
      <c r="BA351" s="986"/>
      <c r="BB351" s="986"/>
      <c r="BC351" s="986"/>
      <c r="BD351" s="986"/>
      <c r="BE351" s="986"/>
      <c r="BF351" s="986"/>
      <c r="BG351" s="986"/>
      <c r="BH351" s="730"/>
    </row>
    <row r="352" spans="1:60" s="49" customFormat="1" hidden="1" outlineLevel="2" x14ac:dyDescent="0.25">
      <c r="A352" s="534" t="s">
        <v>64</v>
      </c>
      <c r="B352" s="514"/>
      <c r="C352" s="492"/>
      <c r="D352" s="492"/>
      <c r="E352" s="492"/>
      <c r="F352" s="492"/>
      <c r="G352" s="491"/>
      <c r="H352" s="491"/>
      <c r="I352" s="491"/>
      <c r="J352" s="491"/>
      <c r="K352" s="492"/>
      <c r="L352" s="491"/>
      <c r="M352" s="491"/>
      <c r="N352" s="491"/>
      <c r="O352" s="491"/>
      <c r="P352" s="492"/>
      <c r="Q352" s="491"/>
      <c r="R352" s="491"/>
      <c r="S352" s="491"/>
      <c r="T352" s="491"/>
      <c r="U352" s="492"/>
      <c r="V352" s="491"/>
      <c r="W352" s="491"/>
      <c r="X352" s="491"/>
      <c r="Y352" s="491"/>
      <c r="Z352" s="492">
        <v>3362</v>
      </c>
      <c r="AA352" s="491"/>
      <c r="AB352" s="491"/>
      <c r="AC352" s="491"/>
      <c r="AD352" s="491"/>
      <c r="AE352" s="492">
        <v>3464</v>
      </c>
      <c r="AF352" s="491">
        <v>1240</v>
      </c>
      <c r="AG352" s="491">
        <v>931</v>
      </c>
      <c r="AH352" s="491">
        <v>1195</v>
      </c>
      <c r="AI352" s="491">
        <f>AJ352-AH352-AG352-AF352</f>
        <v>647</v>
      </c>
      <c r="AJ352" s="492">
        <v>4013</v>
      </c>
      <c r="AK352" s="491">
        <v>1481</v>
      </c>
      <c r="AL352" s="491">
        <v>1046</v>
      </c>
      <c r="AM352" s="491">
        <v>1157</v>
      </c>
      <c r="AN352" s="491">
        <f>AO352-3685</f>
        <v>727</v>
      </c>
      <c r="AO352" s="492">
        <v>4412</v>
      </c>
      <c r="AP352" s="491">
        <v>1572</v>
      </c>
      <c r="AQ352" s="491">
        <v>661</v>
      </c>
      <c r="AR352" s="491">
        <v>-1584</v>
      </c>
      <c r="AS352" s="491">
        <f>AT352-SUM(AP352,AQ352,AR352)</f>
        <v>-1272</v>
      </c>
      <c r="AT352" s="492">
        <v>-623</v>
      </c>
      <c r="AU352" s="491"/>
      <c r="AV352" s="491"/>
      <c r="AW352" s="692"/>
      <c r="AX352" s="491"/>
      <c r="AY352" s="492"/>
      <c r="AZ352" s="491"/>
      <c r="BA352" s="491"/>
      <c r="BB352" s="491"/>
      <c r="BC352" s="491"/>
      <c r="BD352" s="492"/>
      <c r="BE352" s="492"/>
      <c r="BF352" s="492"/>
      <c r="BG352" s="492"/>
      <c r="BH352" s="484"/>
    </row>
    <row r="353" spans="1:60" s="49" customFormat="1" hidden="1" outlineLevel="2" x14ac:dyDescent="0.25">
      <c r="A353" s="535" t="s">
        <v>65</v>
      </c>
      <c r="B353" s="573"/>
      <c r="C353" s="322"/>
      <c r="D353" s="322"/>
      <c r="E353" s="322"/>
      <c r="F353" s="322"/>
      <c r="G353" s="321"/>
      <c r="H353" s="321"/>
      <c r="I353" s="321"/>
      <c r="J353" s="321"/>
      <c r="K353" s="322"/>
      <c r="L353" s="321"/>
      <c r="M353" s="321"/>
      <c r="N353" s="321"/>
      <c r="O353" s="321"/>
      <c r="P353" s="322"/>
      <c r="Q353" s="321"/>
      <c r="R353" s="321"/>
      <c r="S353" s="321"/>
      <c r="T353" s="321"/>
      <c r="U353" s="322"/>
      <c r="V353" s="321"/>
      <c r="W353" s="321"/>
      <c r="X353" s="321"/>
      <c r="Y353" s="321"/>
      <c r="Z353" s="322">
        <v>-61</v>
      </c>
      <c r="AA353" s="321"/>
      <c r="AB353" s="321"/>
      <c r="AC353" s="321"/>
      <c r="AD353" s="321"/>
      <c r="AE353" s="322">
        <v>310</v>
      </c>
      <c r="AF353" s="321">
        <v>109</v>
      </c>
      <c r="AG353" s="321">
        <v>23</v>
      </c>
      <c r="AH353" s="321">
        <v>144</v>
      </c>
      <c r="AI353" s="321">
        <f>AJ353-AH353-AG353-AF353</f>
        <v>180</v>
      </c>
      <c r="AJ353" s="322">
        <v>456</v>
      </c>
      <c r="AK353" s="321">
        <v>99</v>
      </c>
      <c r="AL353" s="321">
        <v>44</v>
      </c>
      <c r="AM353" s="321">
        <v>189</v>
      </c>
      <c r="AN353" s="321">
        <f>AO353-331</f>
        <v>176</v>
      </c>
      <c r="AO353" s="322">
        <v>507</v>
      </c>
      <c r="AP353" s="321">
        <v>51</v>
      </c>
      <c r="AQ353" s="321">
        <v>-343</v>
      </c>
      <c r="AR353" s="321">
        <v>-438</v>
      </c>
      <c r="AS353" s="321">
        <f>AT353-SUM(AP353,AQ353,AR353)</f>
        <v>-343</v>
      </c>
      <c r="AT353" s="322">
        <v>-1073</v>
      </c>
      <c r="AU353" s="321"/>
      <c r="AV353" s="321"/>
      <c r="AW353" s="693"/>
      <c r="AX353" s="321"/>
      <c r="AY353" s="322"/>
      <c r="AZ353" s="321"/>
      <c r="BA353" s="321"/>
      <c r="BB353" s="321"/>
      <c r="BC353" s="321"/>
      <c r="BD353" s="322"/>
      <c r="BE353" s="322"/>
      <c r="BF353" s="322"/>
      <c r="BG353" s="322"/>
      <c r="BH353" s="484"/>
    </row>
    <row r="354" spans="1:60" s="49" customFormat="1" hidden="1" outlineLevel="2" x14ac:dyDescent="0.25">
      <c r="A354" s="226" t="s">
        <v>66</v>
      </c>
      <c r="B354" s="514"/>
      <c r="C354" s="492"/>
      <c r="D354" s="492"/>
      <c r="E354" s="492"/>
      <c r="F354" s="492"/>
      <c r="G354" s="491"/>
      <c r="H354" s="491"/>
      <c r="I354" s="491"/>
      <c r="J354" s="491"/>
      <c r="K354" s="492"/>
      <c r="L354" s="491"/>
      <c r="M354" s="491"/>
      <c r="N354" s="491"/>
      <c r="O354" s="491"/>
      <c r="P354" s="492"/>
      <c r="Q354" s="491"/>
      <c r="R354" s="491"/>
      <c r="S354" s="491"/>
      <c r="T354" s="491"/>
      <c r="U354" s="492"/>
      <c r="V354" s="491"/>
      <c r="W354" s="491"/>
      <c r="X354" s="491"/>
      <c r="Y354" s="491"/>
      <c r="Z354" s="492">
        <f>SUM(Z352:Z353)</f>
        <v>3301</v>
      </c>
      <c r="AA354" s="491"/>
      <c r="AB354" s="491"/>
      <c r="AC354" s="491"/>
      <c r="AD354" s="491"/>
      <c r="AE354" s="492">
        <f t="shared" ref="AE354:AT354" si="551">SUM(AE352:AE353)</f>
        <v>3774</v>
      </c>
      <c r="AF354" s="491">
        <f t="shared" si="551"/>
        <v>1349</v>
      </c>
      <c r="AG354" s="491">
        <f t="shared" si="551"/>
        <v>954</v>
      </c>
      <c r="AH354" s="491">
        <f t="shared" si="551"/>
        <v>1339</v>
      </c>
      <c r="AI354" s="491">
        <f t="shared" si="551"/>
        <v>827</v>
      </c>
      <c r="AJ354" s="492">
        <f t="shared" si="551"/>
        <v>4469</v>
      </c>
      <c r="AK354" s="491">
        <f t="shared" si="551"/>
        <v>1580</v>
      </c>
      <c r="AL354" s="491">
        <f t="shared" si="551"/>
        <v>1090</v>
      </c>
      <c r="AM354" s="491">
        <f t="shared" si="551"/>
        <v>1346</v>
      </c>
      <c r="AN354" s="491">
        <f t="shared" si="551"/>
        <v>903</v>
      </c>
      <c r="AO354" s="492">
        <f t="shared" si="551"/>
        <v>4919</v>
      </c>
      <c r="AP354" s="491">
        <f t="shared" si="551"/>
        <v>1623</v>
      </c>
      <c r="AQ354" s="491">
        <f t="shared" si="551"/>
        <v>318</v>
      </c>
      <c r="AR354" s="491">
        <f t="shared" si="551"/>
        <v>-2022</v>
      </c>
      <c r="AS354" s="491">
        <f t="shared" si="551"/>
        <v>-1615</v>
      </c>
      <c r="AT354" s="492">
        <f t="shared" si="551"/>
        <v>-1696</v>
      </c>
      <c r="AU354" s="491"/>
      <c r="AV354" s="491"/>
      <c r="AW354" s="692"/>
      <c r="AX354" s="491"/>
      <c r="AY354" s="492"/>
      <c r="AZ354" s="491"/>
      <c r="BA354" s="491"/>
      <c r="BB354" s="491"/>
      <c r="BC354" s="491"/>
      <c r="BD354" s="492"/>
      <c r="BE354" s="492"/>
      <c r="BF354" s="492"/>
      <c r="BG354" s="492"/>
      <c r="BH354" s="484"/>
    </row>
    <row r="355" spans="1:60" s="49" customFormat="1" hidden="1" outlineLevel="2" x14ac:dyDescent="0.25">
      <c r="A355" s="538" t="s">
        <v>67</v>
      </c>
      <c r="B355" s="573"/>
      <c r="C355" s="322"/>
      <c r="D355" s="322"/>
      <c r="E355" s="322"/>
      <c r="F355" s="322"/>
      <c r="G355" s="321"/>
      <c r="H355" s="321"/>
      <c r="I355" s="321"/>
      <c r="J355" s="321"/>
      <c r="K355" s="322"/>
      <c r="L355" s="321"/>
      <c r="M355" s="321"/>
      <c r="N355" s="321"/>
      <c r="O355" s="321"/>
      <c r="P355" s="322"/>
      <c r="Q355" s="321"/>
      <c r="R355" s="321"/>
      <c r="S355" s="321"/>
      <c r="T355" s="321"/>
      <c r="U355" s="322"/>
      <c r="V355" s="321"/>
      <c r="W355" s="321"/>
      <c r="X355" s="321"/>
      <c r="Y355" s="321"/>
      <c r="Z355" s="322">
        <v>1897</v>
      </c>
      <c r="AA355" s="321"/>
      <c r="AB355" s="321"/>
      <c r="AC355" s="321"/>
      <c r="AD355" s="321"/>
      <c r="AE355" s="322">
        <v>1713</v>
      </c>
      <c r="AF355" s="321">
        <v>605</v>
      </c>
      <c r="AG355" s="321">
        <v>355</v>
      </c>
      <c r="AH355" s="321">
        <v>316</v>
      </c>
      <c r="AI355" s="321">
        <f>AJ355-AH355-AG355-AF355</f>
        <v>350</v>
      </c>
      <c r="AJ355" s="322">
        <v>1626</v>
      </c>
      <c r="AK355" s="321">
        <v>572</v>
      </c>
      <c r="AL355" s="321">
        <v>416</v>
      </c>
      <c r="AM355" s="321">
        <v>373</v>
      </c>
      <c r="AN355" s="321">
        <f>AO355-AM355-AL355-AK355</f>
        <v>478</v>
      </c>
      <c r="AO355" s="322">
        <v>1839</v>
      </c>
      <c r="AP355" s="321">
        <v>715</v>
      </c>
      <c r="AQ355" s="321">
        <v>321</v>
      </c>
      <c r="AR355" s="321">
        <v>62</v>
      </c>
      <c r="AS355" s="321">
        <f>AT355-SUM(AP355,AQ355,AR355)</f>
        <v>517</v>
      </c>
      <c r="AT355" s="322">
        <v>1615</v>
      </c>
      <c r="AU355" s="321"/>
      <c r="AV355" s="321"/>
      <c r="AW355" s="693"/>
      <c r="AX355" s="321"/>
      <c r="AY355" s="322"/>
      <c r="AZ355" s="321"/>
      <c r="BA355" s="321"/>
      <c r="BB355" s="321"/>
      <c r="BC355" s="321"/>
      <c r="BD355" s="322"/>
      <c r="BE355" s="322"/>
      <c r="BF355" s="322"/>
      <c r="BG355" s="322"/>
      <c r="BH355" s="484"/>
    </row>
    <row r="356" spans="1:60" s="52" customFormat="1" hidden="1" outlineLevel="2" x14ac:dyDescent="0.25">
      <c r="A356" s="501" t="s">
        <v>55</v>
      </c>
      <c r="B356" s="264"/>
      <c r="C356" s="506"/>
      <c r="D356" s="506"/>
      <c r="E356" s="506"/>
      <c r="F356" s="506"/>
      <c r="G356" s="505"/>
      <c r="H356" s="505"/>
      <c r="I356" s="505"/>
      <c r="J356" s="505"/>
      <c r="K356" s="506"/>
      <c r="L356" s="505"/>
      <c r="M356" s="505"/>
      <c r="N356" s="505"/>
      <c r="O356" s="505"/>
      <c r="P356" s="506"/>
      <c r="Q356" s="505"/>
      <c r="R356" s="505"/>
      <c r="S356" s="505"/>
      <c r="T356" s="505"/>
      <c r="U356" s="506"/>
      <c r="V356" s="505"/>
      <c r="W356" s="505"/>
      <c r="X356" s="505"/>
      <c r="Y356" s="505"/>
      <c r="Z356" s="502">
        <f>SUM(Z354:Z355)</f>
        <v>5198</v>
      </c>
      <c r="AA356" s="505"/>
      <c r="AB356" s="505"/>
      <c r="AC356" s="505"/>
      <c r="AD356" s="505"/>
      <c r="AE356" s="502">
        <f>SUM(AE354:AE355)</f>
        <v>5487</v>
      </c>
      <c r="AF356" s="503">
        <f>SUM(AF354:AF355)</f>
        <v>1954</v>
      </c>
      <c r="AG356" s="504">
        <v>1309</v>
      </c>
      <c r="AH356" s="503">
        <f t="shared" ref="AH356:AT356" si="552">SUM(AH354:AH355)</f>
        <v>1655</v>
      </c>
      <c r="AI356" s="503">
        <f t="shared" si="552"/>
        <v>1177</v>
      </c>
      <c r="AJ356" s="502">
        <f t="shared" si="552"/>
        <v>6095</v>
      </c>
      <c r="AK356" s="503">
        <f t="shared" si="552"/>
        <v>2152</v>
      </c>
      <c r="AL356" s="504">
        <f t="shared" si="552"/>
        <v>1506</v>
      </c>
      <c r="AM356" s="503">
        <f t="shared" si="552"/>
        <v>1719</v>
      </c>
      <c r="AN356" s="503">
        <f t="shared" si="552"/>
        <v>1381</v>
      </c>
      <c r="AO356" s="502">
        <f t="shared" si="552"/>
        <v>6758</v>
      </c>
      <c r="AP356" s="503">
        <f t="shared" si="552"/>
        <v>2338</v>
      </c>
      <c r="AQ356" s="504">
        <f t="shared" si="552"/>
        <v>639</v>
      </c>
      <c r="AR356" s="503">
        <f t="shared" si="552"/>
        <v>-1960</v>
      </c>
      <c r="AS356" s="503">
        <f t="shared" si="552"/>
        <v>-1098</v>
      </c>
      <c r="AT356" s="502">
        <f t="shared" si="552"/>
        <v>-81</v>
      </c>
      <c r="AU356" s="505"/>
      <c r="AV356" s="505"/>
      <c r="AW356" s="694"/>
      <c r="AX356" s="505"/>
      <c r="AY356" s="506"/>
      <c r="AZ356" s="505"/>
      <c r="BA356" s="505"/>
      <c r="BB356" s="505"/>
      <c r="BC356" s="505"/>
      <c r="BD356" s="506"/>
      <c r="BE356" s="506"/>
      <c r="BF356" s="506"/>
      <c r="BG356" s="506"/>
      <c r="BH356" s="499"/>
    </row>
    <row r="357" spans="1:60" s="312" customFormat="1" hidden="1" outlineLevel="1" collapsed="1" x14ac:dyDescent="0.25">
      <c r="A357" s="315"/>
      <c r="B357" s="308"/>
      <c r="C357" s="309"/>
      <c r="D357" s="309"/>
      <c r="E357" s="309"/>
      <c r="F357" s="309"/>
      <c r="G357" s="310"/>
      <c r="H357" s="310"/>
      <c r="I357" s="310"/>
      <c r="J357" s="310"/>
      <c r="K357" s="309"/>
      <c r="L357" s="310"/>
      <c r="M357" s="310"/>
      <c r="N357" s="310"/>
      <c r="O357" s="310"/>
      <c r="P357" s="309"/>
      <c r="Q357" s="310"/>
      <c r="R357" s="310"/>
      <c r="S357" s="310"/>
      <c r="T357" s="310"/>
      <c r="U357" s="309"/>
      <c r="V357" s="310"/>
      <c r="W357" s="310"/>
      <c r="X357" s="310"/>
      <c r="Y357" s="310"/>
      <c r="Z357" s="309"/>
      <c r="AA357" s="310"/>
      <c r="AB357" s="310"/>
      <c r="AC357" s="310"/>
      <c r="AD357" s="310"/>
      <c r="AE357" s="309"/>
      <c r="AF357" s="310"/>
      <c r="AG357" s="310"/>
      <c r="AH357" s="310"/>
      <c r="AI357" s="310"/>
      <c r="AJ357" s="309"/>
      <c r="AK357" s="310"/>
      <c r="AL357" s="310"/>
      <c r="AM357" s="310"/>
      <c r="AN357" s="310"/>
      <c r="AO357" s="309"/>
      <c r="AP357" s="310"/>
      <c r="AQ357" s="310"/>
      <c r="AR357" s="310"/>
      <c r="AS357" s="310"/>
      <c r="AT357" s="309"/>
      <c r="AU357" s="310"/>
      <c r="AV357" s="310"/>
      <c r="AW357" s="695"/>
      <c r="AX357" s="310"/>
      <c r="AY357" s="309"/>
      <c r="AZ357" s="310"/>
      <c r="BA357" s="310"/>
      <c r="BB357" s="310"/>
      <c r="BC357" s="310"/>
      <c r="BD357" s="309"/>
      <c r="BE357" s="309"/>
      <c r="BF357" s="309"/>
      <c r="BG357" s="309"/>
      <c r="BH357" s="311"/>
    </row>
    <row r="358" spans="1:60" s="19" customFormat="1" hidden="1" outlineLevel="1" x14ac:dyDescent="0.25">
      <c r="A358" s="956" t="s">
        <v>831</v>
      </c>
      <c r="B358" s="956"/>
      <c r="C358" s="986"/>
      <c r="D358" s="986"/>
      <c r="E358" s="986"/>
      <c r="F358" s="986"/>
      <c r="G358" s="986"/>
      <c r="H358" s="986"/>
      <c r="I358" s="986"/>
      <c r="J358" s="986"/>
      <c r="K358" s="986"/>
      <c r="L358" s="986"/>
      <c r="M358" s="986"/>
      <c r="N358" s="986"/>
      <c r="O358" s="986"/>
      <c r="P358" s="986"/>
      <c r="Q358" s="986"/>
      <c r="R358" s="986"/>
      <c r="S358" s="986"/>
      <c r="T358" s="986"/>
      <c r="U358" s="986"/>
      <c r="V358" s="986"/>
      <c r="W358" s="986"/>
      <c r="X358" s="986"/>
      <c r="Y358" s="986"/>
      <c r="Z358" s="986"/>
      <c r="AA358" s="986"/>
      <c r="AB358" s="986"/>
      <c r="AC358" s="986"/>
      <c r="AD358" s="986"/>
      <c r="AE358" s="986"/>
      <c r="AF358" s="986"/>
      <c r="AG358" s="986"/>
      <c r="AH358" s="986"/>
      <c r="AI358" s="986"/>
      <c r="AJ358" s="986"/>
      <c r="AK358" s="986"/>
      <c r="AL358" s="986"/>
      <c r="AM358" s="986"/>
      <c r="AN358" s="986"/>
      <c r="AO358" s="986"/>
      <c r="AP358" s="986"/>
      <c r="AQ358" s="986"/>
      <c r="AR358" s="986"/>
      <c r="AS358" s="986"/>
      <c r="AT358" s="986"/>
      <c r="AU358" s="986"/>
      <c r="AV358" s="986"/>
      <c r="AW358" s="987"/>
      <c r="AX358" s="986"/>
      <c r="AY358" s="986"/>
      <c r="AZ358" s="986"/>
      <c r="BA358" s="986"/>
      <c r="BB358" s="986"/>
      <c r="BC358" s="986"/>
      <c r="BD358" s="986"/>
      <c r="BE358" s="986"/>
      <c r="BF358" s="986"/>
      <c r="BG358" s="986"/>
      <c r="BH358" s="730"/>
    </row>
    <row r="359" spans="1:60" s="86" customFormat="1" hidden="1" outlineLevel="2" x14ac:dyDescent="0.25">
      <c r="A359" s="387" t="s">
        <v>68</v>
      </c>
      <c r="B359" s="233"/>
      <c r="C359" s="107"/>
      <c r="D359" s="107"/>
      <c r="E359" s="107"/>
      <c r="F359" s="107"/>
      <c r="G359" s="127"/>
      <c r="H359" s="127"/>
      <c r="I359" s="127"/>
      <c r="J359" s="127"/>
      <c r="K359" s="107"/>
      <c r="L359" s="127"/>
      <c r="M359" s="127"/>
      <c r="N359" s="127"/>
      <c r="O359" s="127"/>
      <c r="P359" s="107"/>
      <c r="Q359" s="127"/>
      <c r="R359" s="127"/>
      <c r="S359" s="127"/>
      <c r="T359" s="127"/>
      <c r="U359" s="107"/>
      <c r="V359" s="127"/>
      <c r="W359" s="127"/>
      <c r="X359" s="127"/>
      <c r="Y359" s="127"/>
      <c r="Z359" s="933">
        <v>-0.01</v>
      </c>
      <c r="AA359" s="127"/>
      <c r="AB359" s="127"/>
      <c r="AC359" s="127"/>
      <c r="AD359" s="127"/>
      <c r="AE359" s="933">
        <v>0.02</v>
      </c>
      <c r="AF359" s="68">
        <v>0.06</v>
      </c>
      <c r="AG359" s="917">
        <v>0.05</v>
      </c>
      <c r="AH359" s="68">
        <v>0.01</v>
      </c>
      <c r="AI359" s="127"/>
      <c r="AJ359" s="933">
        <v>0.04</v>
      </c>
      <c r="AK359" s="68">
        <v>0</v>
      </c>
      <c r="AL359" s="917">
        <v>0.01</v>
      </c>
      <c r="AM359" s="68">
        <v>-0.03</v>
      </c>
      <c r="AN359" s="127"/>
      <c r="AO359" s="933">
        <v>0</v>
      </c>
      <c r="AP359" s="68">
        <v>0.02</v>
      </c>
      <c r="AQ359" s="917">
        <v>-0.11</v>
      </c>
      <c r="AR359" s="68">
        <v>-1</v>
      </c>
      <c r="AS359" s="127"/>
      <c r="AT359" s="933">
        <v>-0.47</v>
      </c>
      <c r="AU359" s="127"/>
      <c r="AV359" s="127"/>
      <c r="AW359" s="703"/>
      <c r="AX359" s="127"/>
      <c r="AY359" s="107"/>
      <c r="AZ359" s="127"/>
      <c r="BA359" s="127"/>
      <c r="BB359" s="127"/>
      <c r="BC359" s="127"/>
      <c r="BD359" s="107"/>
      <c r="BE359" s="107"/>
      <c r="BF359" s="107"/>
      <c r="BG359" s="107"/>
      <c r="BH359" s="291"/>
    </row>
    <row r="360" spans="1:60" s="86" customFormat="1" hidden="1" outlineLevel="2" x14ac:dyDescent="0.25">
      <c r="A360" s="388" t="s">
        <v>69</v>
      </c>
      <c r="B360" s="767"/>
      <c r="C360" s="390"/>
      <c r="D360" s="390"/>
      <c r="E360" s="390"/>
      <c r="F360" s="390"/>
      <c r="G360" s="389"/>
      <c r="H360" s="389"/>
      <c r="I360" s="389"/>
      <c r="J360" s="389"/>
      <c r="K360" s="390"/>
      <c r="L360" s="389"/>
      <c r="M360" s="389"/>
      <c r="N360" s="389"/>
      <c r="O360" s="389"/>
      <c r="P360" s="390"/>
      <c r="Q360" s="389"/>
      <c r="R360" s="389"/>
      <c r="S360" s="389"/>
      <c r="T360" s="389"/>
      <c r="U360" s="390"/>
      <c r="V360" s="389"/>
      <c r="W360" s="389"/>
      <c r="X360" s="389"/>
      <c r="Y360" s="389"/>
      <c r="Z360" s="937">
        <v>0.05</v>
      </c>
      <c r="AA360" s="389"/>
      <c r="AB360" s="389"/>
      <c r="AC360" s="389"/>
      <c r="AD360" s="389"/>
      <c r="AE360" s="937">
        <v>0.47</v>
      </c>
      <c r="AF360" s="918">
        <v>0.1</v>
      </c>
      <c r="AG360" s="919">
        <v>0.01</v>
      </c>
      <c r="AH360" s="918">
        <v>0.02</v>
      </c>
      <c r="AI360" s="389"/>
      <c r="AJ360" s="937">
        <v>0.04</v>
      </c>
      <c r="AK360" s="918">
        <v>-0.05</v>
      </c>
      <c r="AL360" s="919">
        <v>-0.03</v>
      </c>
      <c r="AM360" s="918">
        <v>-7.0000000000000007E-2</v>
      </c>
      <c r="AN360" s="389"/>
      <c r="AO360" s="937">
        <v>-7.0000000000000007E-2</v>
      </c>
      <c r="AP360" s="918">
        <v>-0.08</v>
      </c>
      <c r="AQ360" s="919">
        <v>-0.5</v>
      </c>
      <c r="AR360" s="918">
        <v>-0.9</v>
      </c>
      <c r="AS360" s="389"/>
      <c r="AT360" s="937">
        <v>-0.53</v>
      </c>
      <c r="AU360" s="389"/>
      <c r="AV360" s="389"/>
      <c r="AW360" s="889"/>
      <c r="AX360" s="389"/>
      <c r="AY360" s="390"/>
      <c r="AZ360" s="389"/>
      <c r="BA360" s="389"/>
      <c r="BB360" s="389"/>
      <c r="BC360" s="389"/>
      <c r="BD360" s="390"/>
      <c r="BE360" s="390"/>
      <c r="BF360" s="390"/>
      <c r="BG360" s="390"/>
      <c r="BH360" s="291"/>
    </row>
    <row r="361" spans="1:60" s="395" customFormat="1" hidden="1" outlineLevel="2" x14ac:dyDescent="0.25">
      <c r="A361" s="391" t="s">
        <v>70</v>
      </c>
      <c r="B361" s="768"/>
      <c r="C361" s="393"/>
      <c r="D361" s="393"/>
      <c r="E361" s="393"/>
      <c r="F361" s="393"/>
      <c r="G361" s="392"/>
      <c r="H361" s="392"/>
      <c r="I361" s="392"/>
      <c r="J361" s="392"/>
      <c r="K361" s="393"/>
      <c r="L361" s="392"/>
      <c r="M361" s="392"/>
      <c r="N361" s="392"/>
      <c r="O361" s="392"/>
      <c r="P361" s="393"/>
      <c r="Q361" s="392"/>
      <c r="R361" s="392"/>
      <c r="S361" s="392"/>
      <c r="T361" s="392"/>
      <c r="U361" s="393"/>
      <c r="V361" s="392"/>
      <c r="W361" s="392"/>
      <c r="X361" s="392"/>
      <c r="Y361" s="392"/>
      <c r="Z361" s="938">
        <v>0.01</v>
      </c>
      <c r="AA361" s="392"/>
      <c r="AB361" s="392"/>
      <c r="AC361" s="392"/>
      <c r="AD361" s="392"/>
      <c r="AE361" s="938">
        <v>0.13</v>
      </c>
      <c r="AF361" s="920">
        <v>7.0000000000000007E-2</v>
      </c>
      <c r="AG361" s="921">
        <v>0.04</v>
      </c>
      <c r="AH361" s="920">
        <v>0.01</v>
      </c>
      <c r="AI361" s="392"/>
      <c r="AJ361" s="938">
        <v>0.04</v>
      </c>
      <c r="AK361" s="920">
        <v>-0.01</v>
      </c>
      <c r="AL361" s="921">
        <v>0</v>
      </c>
      <c r="AM361" s="920">
        <v>-0.04</v>
      </c>
      <c r="AN361" s="392"/>
      <c r="AO361" s="938">
        <v>-0.02</v>
      </c>
      <c r="AP361" s="920">
        <v>-0.01</v>
      </c>
      <c r="AQ361" s="921">
        <v>-0.22</v>
      </c>
      <c r="AR361" s="920">
        <v>-0.97</v>
      </c>
      <c r="AS361" s="392"/>
      <c r="AT361" s="938">
        <v>-0.49</v>
      </c>
      <c r="AU361" s="392"/>
      <c r="AV361" s="392"/>
      <c r="AW361" s="769"/>
      <c r="AX361" s="392"/>
      <c r="AY361" s="393"/>
      <c r="AZ361" s="392"/>
      <c r="BA361" s="392"/>
      <c r="BB361" s="392"/>
      <c r="BC361" s="392"/>
      <c r="BD361" s="393"/>
      <c r="BE361" s="393"/>
      <c r="BF361" s="393"/>
      <c r="BG361" s="393"/>
      <c r="BH361" s="394"/>
    </row>
    <row r="362" spans="1:60" s="395" customFormat="1" hidden="1" outlineLevel="2" x14ac:dyDescent="0.25">
      <c r="A362" s="770"/>
      <c r="B362" s="768"/>
      <c r="C362" s="393"/>
      <c r="D362" s="393"/>
      <c r="E362" s="393"/>
      <c r="F362" s="393"/>
      <c r="G362" s="392"/>
      <c r="H362" s="392"/>
      <c r="I362" s="392"/>
      <c r="J362" s="392"/>
      <c r="K362" s="393"/>
      <c r="L362" s="392"/>
      <c r="M362" s="392"/>
      <c r="N362" s="392"/>
      <c r="O362" s="392"/>
      <c r="P362" s="393"/>
      <c r="Q362" s="392"/>
      <c r="R362" s="392"/>
      <c r="S362" s="392"/>
      <c r="T362" s="392"/>
      <c r="U362" s="393"/>
      <c r="V362" s="392"/>
      <c r="W362" s="392"/>
      <c r="X362" s="392"/>
      <c r="Y362" s="392"/>
      <c r="Z362" s="393"/>
      <c r="AA362" s="392"/>
      <c r="AB362" s="392"/>
      <c r="AC362" s="392"/>
      <c r="AD362" s="392"/>
      <c r="AE362" s="393"/>
      <c r="AF362" s="392"/>
      <c r="AG362" s="392"/>
      <c r="AH362" s="392"/>
      <c r="AI362" s="392"/>
      <c r="AJ362" s="393"/>
      <c r="AK362" s="392"/>
      <c r="AL362" s="392"/>
      <c r="AM362" s="392"/>
      <c r="AN362" s="392"/>
      <c r="AO362" s="393"/>
      <c r="AP362" s="392"/>
      <c r="AQ362" s="392"/>
      <c r="AR362" s="392"/>
      <c r="AS362" s="392"/>
      <c r="AT362" s="393"/>
      <c r="AU362" s="392"/>
      <c r="AV362" s="392"/>
      <c r="AW362" s="769"/>
      <c r="AX362" s="392"/>
      <c r="AY362" s="393"/>
      <c r="AZ362" s="392"/>
      <c r="BA362" s="392"/>
      <c r="BB362" s="392"/>
      <c r="BC362" s="392"/>
      <c r="BD362" s="393"/>
      <c r="BE362" s="393"/>
      <c r="BF362" s="393"/>
      <c r="BG362" s="393"/>
      <c r="BH362" s="394"/>
    </row>
    <row r="363" spans="1:60" s="86" customFormat="1" hidden="1" outlineLevel="2" x14ac:dyDescent="0.25">
      <c r="A363" s="387" t="s">
        <v>71</v>
      </c>
      <c r="B363" s="233"/>
      <c r="C363" s="107"/>
      <c r="D363" s="107"/>
      <c r="E363" s="107"/>
      <c r="F363" s="107"/>
      <c r="G363" s="127"/>
      <c r="H363" s="127"/>
      <c r="I363" s="127"/>
      <c r="J363" s="127"/>
      <c r="K363" s="107"/>
      <c r="L363" s="127"/>
      <c r="M363" s="127"/>
      <c r="N363" s="127"/>
      <c r="O363" s="127"/>
      <c r="P363" s="107"/>
      <c r="Q363" s="127"/>
      <c r="R363" s="127"/>
      <c r="S363" s="127"/>
      <c r="T363" s="127"/>
      <c r="U363" s="107"/>
      <c r="V363" s="127"/>
      <c r="W363" s="127"/>
      <c r="X363" s="127"/>
      <c r="Y363" s="127"/>
      <c r="Z363" s="933">
        <v>7.0000000000000007E-2</v>
      </c>
      <c r="AA363" s="127"/>
      <c r="AB363" s="127"/>
      <c r="AC363" s="127"/>
      <c r="AD363" s="127"/>
      <c r="AE363" s="933">
        <v>0.02</v>
      </c>
      <c r="AF363" s="68">
        <v>7.0000000000000007E-2</v>
      </c>
      <c r="AG363" s="917">
        <v>0.06</v>
      </c>
      <c r="AH363" s="68">
        <v>0.05</v>
      </c>
      <c r="AI363" s="127"/>
      <c r="AJ363" s="933">
        <v>0.06</v>
      </c>
      <c r="AK363" s="68">
        <v>7.0000000000000007E-2</v>
      </c>
      <c r="AL363" s="917">
        <v>0.04</v>
      </c>
      <c r="AM363" s="68">
        <v>0.1</v>
      </c>
      <c r="AN363" s="127"/>
      <c r="AO363" s="933">
        <v>7.0000000000000007E-2</v>
      </c>
      <c r="AP363" s="68">
        <v>0.1</v>
      </c>
      <c r="AQ363" s="917">
        <v>1.2999999999999999E-3</v>
      </c>
      <c r="AR363" s="68" t="s">
        <v>671</v>
      </c>
      <c r="AS363" s="127"/>
      <c r="AT363" s="933">
        <v>0.08</v>
      </c>
      <c r="AU363" s="127"/>
      <c r="AV363" s="127"/>
      <c r="AW363" s="703"/>
      <c r="AX363" s="127"/>
      <c r="AY363" s="107"/>
      <c r="AZ363" s="127"/>
      <c r="BA363" s="127"/>
      <c r="BB363" s="127"/>
      <c r="BC363" s="127"/>
      <c r="BD363" s="107"/>
      <c r="BE363" s="107"/>
      <c r="BF363" s="107"/>
      <c r="BG363" s="107"/>
      <c r="BH363" s="291"/>
    </row>
    <row r="364" spans="1:60" s="86" customFormat="1" hidden="1" outlineLevel="2" x14ac:dyDescent="0.25">
      <c r="A364" s="388" t="s">
        <v>72</v>
      </c>
      <c r="B364" s="767"/>
      <c r="C364" s="390"/>
      <c r="D364" s="390"/>
      <c r="E364" s="390"/>
      <c r="F364" s="390"/>
      <c r="G364" s="389"/>
      <c r="H364" s="389"/>
      <c r="I364" s="389"/>
      <c r="J364" s="389"/>
      <c r="K364" s="390"/>
      <c r="L364" s="389"/>
      <c r="M364" s="389"/>
      <c r="N364" s="389"/>
      <c r="O364" s="389"/>
      <c r="P364" s="390"/>
      <c r="Q364" s="389"/>
      <c r="R364" s="389"/>
      <c r="S364" s="389"/>
      <c r="T364" s="389"/>
      <c r="U364" s="390"/>
      <c r="V364" s="389"/>
      <c r="W364" s="389"/>
      <c r="X364" s="389"/>
      <c r="Y364" s="389"/>
      <c r="Z364" s="937">
        <v>0.06</v>
      </c>
      <c r="AA364" s="389"/>
      <c r="AB364" s="389"/>
      <c r="AC364" s="389"/>
      <c r="AD364" s="389"/>
      <c r="AE364" s="937">
        <v>-0.01</v>
      </c>
      <c r="AF364" s="918">
        <v>0.09</v>
      </c>
      <c r="AG364" s="919">
        <v>0.1</v>
      </c>
      <c r="AH364" s="918">
        <v>0.04</v>
      </c>
      <c r="AI364" s="389"/>
      <c r="AJ364" s="937">
        <v>0.05</v>
      </c>
      <c r="AK364" s="918">
        <v>0.08</v>
      </c>
      <c r="AL364" s="919">
        <v>0.1</v>
      </c>
      <c r="AM364" s="918">
        <v>0.17</v>
      </c>
      <c r="AN364" s="389"/>
      <c r="AO364" s="937">
        <v>0.13</v>
      </c>
      <c r="AP364" s="918">
        <v>0.03</v>
      </c>
      <c r="AQ364" s="919">
        <v>-0.05</v>
      </c>
      <c r="AR364" s="918">
        <v>-0.12</v>
      </c>
      <c r="AS364" s="389"/>
      <c r="AT364" s="937">
        <v>-0.03</v>
      </c>
      <c r="AU364" s="389"/>
      <c r="AV364" s="389"/>
      <c r="AW364" s="889"/>
      <c r="AX364" s="389"/>
      <c r="AY364" s="390"/>
      <c r="AZ364" s="389"/>
      <c r="BA364" s="389"/>
      <c r="BB364" s="389"/>
      <c r="BC364" s="389"/>
      <c r="BD364" s="390"/>
      <c r="BE364" s="390"/>
      <c r="BF364" s="390"/>
      <c r="BG364" s="390"/>
      <c r="BH364" s="291"/>
    </row>
    <row r="365" spans="1:60" s="395" customFormat="1" hidden="1" outlineLevel="2" x14ac:dyDescent="0.25">
      <c r="A365" s="391" t="s">
        <v>73</v>
      </c>
      <c r="B365" s="768"/>
      <c r="C365" s="393"/>
      <c r="D365" s="393"/>
      <c r="E365" s="393"/>
      <c r="F365" s="393"/>
      <c r="G365" s="392"/>
      <c r="H365" s="392"/>
      <c r="I365" s="392"/>
      <c r="J365" s="392"/>
      <c r="K365" s="393"/>
      <c r="L365" s="392"/>
      <c r="M365" s="392"/>
      <c r="N365" s="392"/>
      <c r="O365" s="392"/>
      <c r="P365" s="393"/>
      <c r="Q365" s="392"/>
      <c r="R365" s="392"/>
      <c r="S365" s="392"/>
      <c r="T365" s="392"/>
      <c r="U365" s="393"/>
      <c r="V365" s="392"/>
      <c r="W365" s="392"/>
      <c r="X365" s="392"/>
      <c r="Y365" s="392"/>
      <c r="Z365" s="938">
        <v>7.0000000000000007E-2</v>
      </c>
      <c r="AA365" s="392"/>
      <c r="AB365" s="392"/>
      <c r="AC365" s="392"/>
      <c r="AD365" s="392"/>
      <c r="AE365" s="938">
        <v>-0.01</v>
      </c>
      <c r="AF365" s="920">
        <v>7.0000000000000007E-2</v>
      </c>
      <c r="AG365" s="921">
        <v>7.0000000000000007E-2</v>
      </c>
      <c r="AH365" s="920">
        <v>0.04</v>
      </c>
      <c r="AI365" s="392"/>
      <c r="AJ365" s="938">
        <v>0.06</v>
      </c>
      <c r="AK365" s="920">
        <v>0.08</v>
      </c>
      <c r="AL365" s="921">
        <v>0.06</v>
      </c>
      <c r="AM365" s="920">
        <v>0.12</v>
      </c>
      <c r="AN365" s="392"/>
      <c r="AO365" s="938">
        <v>0.08</v>
      </c>
      <c r="AP365" s="920">
        <v>0.09</v>
      </c>
      <c r="AQ365" s="921">
        <v>0.14000000000000001</v>
      </c>
      <c r="AR365" s="920" t="s">
        <v>671</v>
      </c>
      <c r="AS365" s="392"/>
      <c r="AT365" s="938">
        <v>7.0000000000000007E-2</v>
      </c>
      <c r="AU365" s="392"/>
      <c r="AV365" s="392"/>
      <c r="AW365" s="769"/>
      <c r="AX365" s="392"/>
      <c r="AY365" s="393"/>
      <c r="AZ365" s="392"/>
      <c r="BA365" s="392"/>
      <c r="BB365" s="392"/>
      <c r="BC365" s="392"/>
      <c r="BD365" s="393"/>
      <c r="BE365" s="393"/>
      <c r="BF365" s="393"/>
      <c r="BG365" s="393"/>
      <c r="BH365" s="394"/>
    </row>
    <row r="366" spans="1:60" s="395" customFormat="1" hidden="1" outlineLevel="2" x14ac:dyDescent="0.25">
      <c r="A366" s="770"/>
      <c r="B366" s="768"/>
      <c r="C366" s="393"/>
      <c r="D366" s="393"/>
      <c r="E366" s="393"/>
      <c r="F366" s="393"/>
      <c r="G366" s="392"/>
      <c r="H366" s="392"/>
      <c r="I366" s="392"/>
      <c r="J366" s="392"/>
      <c r="K366" s="393"/>
      <c r="L366" s="392"/>
      <c r="M366" s="392"/>
      <c r="N366" s="392"/>
      <c r="O366" s="392"/>
      <c r="P366" s="393"/>
      <c r="Q366" s="392"/>
      <c r="R366" s="392"/>
      <c r="S366" s="392"/>
      <c r="T366" s="392"/>
      <c r="U366" s="393"/>
      <c r="V366" s="392"/>
      <c r="W366" s="392"/>
      <c r="X366" s="392"/>
      <c r="Y366" s="392"/>
      <c r="Z366" s="393"/>
      <c r="AA366" s="392"/>
      <c r="AB366" s="392"/>
      <c r="AC366" s="392"/>
      <c r="AD366" s="392"/>
      <c r="AE366" s="393"/>
      <c r="AF366" s="392"/>
      <c r="AG366" s="392"/>
      <c r="AH366" s="392"/>
      <c r="AI366" s="392"/>
      <c r="AJ366" s="393"/>
      <c r="AK366" s="392"/>
      <c r="AL366" s="392"/>
      <c r="AM366" s="392"/>
      <c r="AN366" s="392"/>
      <c r="AO366" s="393"/>
      <c r="AP366" s="392"/>
      <c r="AQ366" s="392"/>
      <c r="AR366" s="392"/>
      <c r="AS366" s="392"/>
      <c r="AT366" s="393"/>
      <c r="AU366" s="392"/>
      <c r="AV366" s="392"/>
      <c r="AW366" s="769"/>
      <c r="AX366" s="392"/>
      <c r="AY366" s="393"/>
      <c r="AZ366" s="392"/>
      <c r="BA366" s="392"/>
      <c r="BB366" s="392"/>
      <c r="BC366" s="392"/>
      <c r="BD366" s="393"/>
      <c r="BE366" s="393"/>
      <c r="BF366" s="393"/>
      <c r="BG366" s="393"/>
      <c r="BH366" s="394"/>
    </row>
    <row r="367" spans="1:60" s="86" customFormat="1" hidden="1" outlineLevel="2" x14ac:dyDescent="0.25">
      <c r="A367" s="387" t="s">
        <v>74</v>
      </c>
      <c r="B367" s="233"/>
      <c r="C367" s="107"/>
      <c r="D367" s="107"/>
      <c r="E367" s="107"/>
      <c r="F367" s="107"/>
      <c r="G367" s="127"/>
      <c r="H367" s="127"/>
      <c r="I367" s="127"/>
      <c r="J367" s="127"/>
      <c r="K367" s="107"/>
      <c r="L367" s="127"/>
      <c r="M367" s="127"/>
      <c r="N367" s="127"/>
      <c r="O367" s="127"/>
      <c r="P367" s="107"/>
      <c r="Q367" s="127"/>
      <c r="R367" s="127"/>
      <c r="S367" s="127"/>
      <c r="T367" s="127"/>
      <c r="U367" s="107"/>
      <c r="V367" s="127"/>
      <c r="W367" s="127"/>
      <c r="X367" s="127"/>
      <c r="Y367" s="127"/>
      <c r="Z367" s="933">
        <v>0.89</v>
      </c>
      <c r="AA367" s="127"/>
      <c r="AB367" s="127"/>
      <c r="AC367" s="127"/>
      <c r="AD367" s="127"/>
      <c r="AE367" s="933">
        <v>0.88</v>
      </c>
      <c r="AF367" s="68">
        <v>0.91</v>
      </c>
      <c r="AG367" s="917">
        <v>0.9</v>
      </c>
      <c r="AH367" s="68">
        <v>0.86</v>
      </c>
      <c r="AI367" s="127"/>
      <c r="AJ367" s="933">
        <v>0.88</v>
      </c>
      <c r="AK367" s="68">
        <v>0.94</v>
      </c>
      <c r="AL367" s="917">
        <v>0.93</v>
      </c>
      <c r="AM367" s="68">
        <v>0.88</v>
      </c>
      <c r="AN367" s="127"/>
      <c r="AO367" s="933">
        <v>0.9</v>
      </c>
      <c r="AP367" s="68">
        <v>0.92</v>
      </c>
      <c r="AQ367" s="917">
        <v>0.77</v>
      </c>
      <c r="AR367" s="68" t="s">
        <v>671</v>
      </c>
      <c r="AS367" s="127"/>
      <c r="AT367" s="933">
        <v>0.43</v>
      </c>
      <c r="AU367" s="127"/>
      <c r="AV367" s="127"/>
      <c r="AW367" s="703"/>
      <c r="AX367" s="127"/>
      <c r="AY367" s="107"/>
      <c r="AZ367" s="127"/>
      <c r="BA367" s="127"/>
      <c r="BB367" s="127"/>
      <c r="BC367" s="127"/>
      <c r="BD367" s="107"/>
      <c r="BE367" s="107"/>
      <c r="BF367" s="107"/>
      <c r="BG367" s="107"/>
      <c r="BH367" s="291"/>
    </row>
    <row r="368" spans="1:60" s="86" customFormat="1" hidden="1" outlineLevel="2" x14ac:dyDescent="0.25">
      <c r="A368" s="388" t="s">
        <v>75</v>
      </c>
      <c r="B368" s="767"/>
      <c r="C368" s="390"/>
      <c r="D368" s="390"/>
      <c r="E368" s="390"/>
      <c r="F368" s="390"/>
      <c r="G368" s="389"/>
      <c r="H368" s="389"/>
      <c r="I368" s="389"/>
      <c r="J368" s="389"/>
      <c r="K368" s="390"/>
      <c r="L368" s="389"/>
      <c r="M368" s="389"/>
      <c r="N368" s="389"/>
      <c r="O368" s="389"/>
      <c r="P368" s="390"/>
      <c r="Q368" s="389"/>
      <c r="R368" s="389"/>
      <c r="S368" s="389"/>
      <c r="T368" s="389"/>
      <c r="U368" s="390"/>
      <c r="V368" s="389"/>
      <c r="W368" s="389"/>
      <c r="X368" s="389"/>
      <c r="Y368" s="389"/>
      <c r="Z368" s="937">
        <v>0.78</v>
      </c>
      <c r="AA368" s="389"/>
      <c r="AB368" s="389"/>
      <c r="AC368" s="389"/>
      <c r="AD368" s="389"/>
      <c r="AE368" s="937">
        <v>0.8</v>
      </c>
      <c r="AF368" s="918">
        <v>0.84</v>
      </c>
      <c r="AG368" s="919">
        <v>0.84</v>
      </c>
      <c r="AH368" s="918">
        <v>0.87</v>
      </c>
      <c r="AI368" s="389"/>
      <c r="AJ368" s="937">
        <v>0.84</v>
      </c>
      <c r="AK368" s="918">
        <v>0.86</v>
      </c>
      <c r="AL368" s="919">
        <v>0.79</v>
      </c>
      <c r="AM368" s="918">
        <v>0.83</v>
      </c>
      <c r="AN368" s="389"/>
      <c r="AO368" s="937">
        <v>0.81</v>
      </c>
      <c r="AP368" s="918">
        <v>0.73</v>
      </c>
      <c r="AQ368" s="919">
        <v>0.47</v>
      </c>
      <c r="AR368" s="918" t="s">
        <v>671</v>
      </c>
      <c r="AS368" s="389"/>
      <c r="AT368" s="937">
        <v>0.35</v>
      </c>
      <c r="AU368" s="389"/>
      <c r="AV368" s="389"/>
      <c r="AW368" s="889"/>
      <c r="AX368" s="389"/>
      <c r="AY368" s="390"/>
      <c r="AZ368" s="389"/>
      <c r="BA368" s="389"/>
      <c r="BB368" s="389"/>
      <c r="BC368" s="389"/>
      <c r="BD368" s="390"/>
      <c r="BE368" s="390"/>
      <c r="BF368" s="390"/>
      <c r="BG368" s="390"/>
      <c r="BH368" s="291"/>
    </row>
    <row r="369" spans="1:60" s="395" customFormat="1" hidden="1" outlineLevel="2" x14ac:dyDescent="0.25">
      <c r="A369" s="391" t="s">
        <v>76</v>
      </c>
      <c r="B369" s="768"/>
      <c r="C369" s="393"/>
      <c r="D369" s="393"/>
      <c r="E369" s="393"/>
      <c r="F369" s="393"/>
      <c r="G369" s="392"/>
      <c r="H369" s="392"/>
      <c r="I369" s="392"/>
      <c r="J369" s="392"/>
      <c r="K369" s="393"/>
      <c r="L369" s="392"/>
      <c r="M369" s="392"/>
      <c r="N369" s="392"/>
      <c r="O369" s="392"/>
      <c r="P369" s="393"/>
      <c r="Q369" s="392"/>
      <c r="R369" s="392"/>
      <c r="S369" s="392"/>
      <c r="T369" s="392"/>
      <c r="U369" s="393"/>
      <c r="V369" s="392"/>
      <c r="W369" s="392"/>
      <c r="X369" s="392"/>
      <c r="Y369" s="392"/>
      <c r="Z369" s="938">
        <v>0.87</v>
      </c>
      <c r="AA369" s="392"/>
      <c r="AB369" s="392"/>
      <c r="AC369" s="392"/>
      <c r="AD369" s="392"/>
      <c r="AE369" s="938">
        <v>0.86</v>
      </c>
      <c r="AF369" s="920">
        <v>0.89</v>
      </c>
      <c r="AG369" s="921">
        <v>0.88</v>
      </c>
      <c r="AH369" s="920">
        <v>0.86</v>
      </c>
      <c r="AI369" s="392"/>
      <c r="AJ369" s="938">
        <v>0.87</v>
      </c>
      <c r="AK369" s="920">
        <v>0.92</v>
      </c>
      <c r="AL369" s="921">
        <v>0.89</v>
      </c>
      <c r="AM369" s="920">
        <v>0.87</v>
      </c>
      <c r="AN369" s="392"/>
      <c r="AO369" s="938">
        <v>0.88</v>
      </c>
      <c r="AP369" s="920">
        <v>0.88</v>
      </c>
      <c r="AQ369" s="921">
        <v>0.7</v>
      </c>
      <c r="AR369" s="920" t="s">
        <v>671</v>
      </c>
      <c r="AS369" s="392"/>
      <c r="AT369" s="938">
        <v>0.41</v>
      </c>
      <c r="AU369" s="392"/>
      <c r="AV369" s="392"/>
      <c r="AW369" s="769"/>
      <c r="AX369" s="392"/>
      <c r="AY369" s="393"/>
      <c r="AZ369" s="392"/>
      <c r="BA369" s="392"/>
      <c r="BB369" s="392"/>
      <c r="BC369" s="392"/>
      <c r="BD369" s="393"/>
      <c r="BE369" s="393"/>
      <c r="BF369" s="393"/>
      <c r="BG369" s="393"/>
      <c r="BH369" s="394"/>
    </row>
    <row r="370" spans="1:60" s="44" customFormat="1" hidden="1" outlineLevel="2" x14ac:dyDescent="0.25">
      <c r="A370" s="748"/>
      <c r="B370" s="246"/>
      <c r="C370" s="478"/>
      <c r="D370" s="478"/>
      <c r="E370" s="478"/>
      <c r="F370" s="478"/>
      <c r="G370" s="480"/>
      <c r="H370" s="480"/>
      <c r="I370" s="480"/>
      <c r="J370" s="480"/>
      <c r="K370" s="478"/>
      <c r="L370" s="480"/>
      <c r="M370" s="480"/>
      <c r="N370" s="480"/>
      <c r="O370" s="480"/>
      <c r="P370" s="478"/>
      <c r="Q370" s="480"/>
      <c r="R370" s="480"/>
      <c r="S370" s="480"/>
      <c r="T370" s="480"/>
      <c r="U370" s="478"/>
      <c r="V370" s="480"/>
      <c r="W370" s="480"/>
      <c r="X370" s="480"/>
      <c r="Y370" s="480"/>
      <c r="Z370" s="478"/>
      <c r="AA370" s="480"/>
      <c r="AB370" s="480"/>
      <c r="AC370" s="480"/>
      <c r="AD370" s="480"/>
      <c r="AE370" s="478"/>
      <c r="AF370" s="480"/>
      <c r="AG370" s="480"/>
      <c r="AH370" s="480"/>
      <c r="AI370" s="480"/>
      <c r="AJ370" s="478"/>
      <c r="AK370" s="480"/>
      <c r="AL370" s="480"/>
      <c r="AM370" s="480"/>
      <c r="AN370" s="480"/>
      <c r="AO370" s="478"/>
      <c r="AP370" s="480"/>
      <c r="AQ370" s="480"/>
      <c r="AR370" s="480"/>
      <c r="AS370" s="480"/>
      <c r="AT370" s="478"/>
      <c r="AU370" s="480"/>
      <c r="AV370" s="480"/>
      <c r="AW370" s="708"/>
      <c r="AX370" s="480"/>
      <c r="AY370" s="478"/>
      <c r="AZ370" s="480"/>
      <c r="BA370" s="480"/>
      <c r="BB370" s="480"/>
      <c r="BC370" s="480"/>
      <c r="BD370" s="478"/>
      <c r="BE370" s="478"/>
      <c r="BF370" s="478"/>
      <c r="BG370" s="478"/>
      <c r="BH370" s="473"/>
    </row>
    <row r="371" spans="1:60" s="49" customFormat="1" hidden="1" outlineLevel="2" x14ac:dyDescent="0.25">
      <c r="A371" s="483" t="s">
        <v>77</v>
      </c>
      <c r="B371" s="514"/>
      <c r="C371" s="492"/>
      <c r="D371" s="492"/>
      <c r="E371" s="492"/>
      <c r="F371" s="492"/>
      <c r="G371" s="491"/>
      <c r="H371" s="491"/>
      <c r="I371" s="491"/>
      <c r="J371" s="491"/>
      <c r="K371" s="492"/>
      <c r="L371" s="491"/>
      <c r="M371" s="491"/>
      <c r="N371" s="491"/>
      <c r="O371" s="491"/>
      <c r="P371" s="492"/>
      <c r="Q371" s="491"/>
      <c r="R371" s="491"/>
      <c r="S371" s="491"/>
      <c r="T371" s="491"/>
      <c r="U371" s="492"/>
      <c r="V371" s="491"/>
      <c r="W371" s="491"/>
      <c r="X371" s="491"/>
      <c r="Y371" s="491"/>
      <c r="Z371" s="489">
        <v>10382</v>
      </c>
      <c r="AA371" s="491"/>
      <c r="AB371" s="491"/>
      <c r="AC371" s="491"/>
      <c r="AD371" s="491"/>
      <c r="AE371" s="489">
        <v>10205</v>
      </c>
      <c r="AF371" s="490">
        <v>2516</v>
      </c>
      <c r="AG371" s="497">
        <v>2509</v>
      </c>
      <c r="AH371" s="490">
        <v>2517</v>
      </c>
      <c r="AI371" s="491"/>
      <c r="AJ371" s="489">
        <v>10045</v>
      </c>
      <c r="AK371" s="490">
        <v>2491</v>
      </c>
      <c r="AL371" s="497">
        <v>2484</v>
      </c>
      <c r="AM371" s="490">
        <v>2503</v>
      </c>
      <c r="AN371" s="491"/>
      <c r="AO371" s="489">
        <v>10030</v>
      </c>
      <c r="AP371" s="490">
        <v>2535</v>
      </c>
      <c r="AQ371" s="497">
        <v>2617</v>
      </c>
      <c r="AR371" s="490" t="s">
        <v>671</v>
      </c>
      <c r="AS371" s="491"/>
      <c r="AT371" s="489">
        <v>11114</v>
      </c>
      <c r="AU371" s="491"/>
      <c r="AV371" s="491"/>
      <c r="AW371" s="692"/>
      <c r="AX371" s="491"/>
      <c r="AY371" s="492"/>
      <c r="AZ371" s="491"/>
      <c r="BA371" s="491"/>
      <c r="BB371" s="491"/>
      <c r="BC371" s="491"/>
      <c r="BD371" s="492"/>
      <c r="BE371" s="492"/>
      <c r="BF371" s="492"/>
      <c r="BG371" s="492"/>
      <c r="BH371" s="484"/>
    </row>
    <row r="372" spans="1:60" s="49" customFormat="1" hidden="1" outlineLevel="2" x14ac:dyDescent="0.25">
      <c r="A372" s="218" t="s">
        <v>78</v>
      </c>
      <c r="B372" s="573"/>
      <c r="C372" s="322"/>
      <c r="D372" s="322"/>
      <c r="E372" s="322"/>
      <c r="F372" s="322"/>
      <c r="G372" s="321"/>
      <c r="H372" s="321"/>
      <c r="I372" s="321"/>
      <c r="J372" s="321"/>
      <c r="K372" s="322"/>
      <c r="L372" s="321"/>
      <c r="M372" s="321"/>
      <c r="N372" s="321"/>
      <c r="O372" s="321"/>
      <c r="P372" s="322"/>
      <c r="Q372" s="321"/>
      <c r="R372" s="321"/>
      <c r="S372" s="321"/>
      <c r="T372" s="321"/>
      <c r="U372" s="322"/>
      <c r="V372" s="321"/>
      <c r="W372" s="321"/>
      <c r="X372" s="321"/>
      <c r="Y372" s="321"/>
      <c r="Z372" s="318">
        <v>2600</v>
      </c>
      <c r="AA372" s="321"/>
      <c r="AB372" s="321"/>
      <c r="AC372" s="321"/>
      <c r="AD372" s="321"/>
      <c r="AE372" s="318">
        <v>3022</v>
      </c>
      <c r="AF372" s="319">
        <v>799</v>
      </c>
      <c r="AG372" s="320">
        <v>787</v>
      </c>
      <c r="AH372" s="319">
        <v>793</v>
      </c>
      <c r="AI372" s="321"/>
      <c r="AJ372" s="318">
        <v>3179</v>
      </c>
      <c r="AK372" s="319">
        <v>799</v>
      </c>
      <c r="AL372" s="320">
        <v>787</v>
      </c>
      <c r="AM372" s="319">
        <v>793</v>
      </c>
      <c r="AN372" s="321"/>
      <c r="AO372" s="318">
        <v>3182</v>
      </c>
      <c r="AP372" s="319">
        <v>800</v>
      </c>
      <c r="AQ372" s="320">
        <v>794</v>
      </c>
      <c r="AR372" s="319" t="s">
        <v>671</v>
      </c>
      <c r="AS372" s="321"/>
      <c r="AT372" s="318">
        <v>3207</v>
      </c>
      <c r="AU372" s="321"/>
      <c r="AV372" s="321"/>
      <c r="AW372" s="693"/>
      <c r="AX372" s="321"/>
      <c r="AY372" s="322"/>
      <c r="AZ372" s="321"/>
      <c r="BA372" s="321"/>
      <c r="BB372" s="321"/>
      <c r="BC372" s="321"/>
      <c r="BD372" s="322"/>
      <c r="BE372" s="322"/>
      <c r="BF372" s="322"/>
      <c r="BG372" s="322"/>
      <c r="BH372" s="484"/>
    </row>
    <row r="373" spans="1:60" s="52" customFormat="1" hidden="1" outlineLevel="2" x14ac:dyDescent="0.25">
      <c r="A373" s="501" t="s">
        <v>79</v>
      </c>
      <c r="B373" s="264"/>
      <c r="C373" s="506"/>
      <c r="D373" s="506"/>
      <c r="E373" s="506"/>
      <c r="F373" s="506"/>
      <c r="G373" s="505"/>
      <c r="H373" s="505"/>
      <c r="I373" s="505"/>
      <c r="J373" s="505"/>
      <c r="K373" s="506"/>
      <c r="L373" s="505"/>
      <c r="M373" s="505"/>
      <c r="N373" s="505"/>
      <c r="O373" s="505"/>
      <c r="P373" s="506"/>
      <c r="Q373" s="505"/>
      <c r="R373" s="505"/>
      <c r="S373" s="505"/>
      <c r="T373" s="505"/>
      <c r="U373" s="506"/>
      <c r="V373" s="505"/>
      <c r="W373" s="505"/>
      <c r="X373" s="505"/>
      <c r="Y373" s="505"/>
      <c r="Z373" s="502">
        <v>12982</v>
      </c>
      <c r="AA373" s="505"/>
      <c r="AB373" s="505"/>
      <c r="AC373" s="505"/>
      <c r="AD373" s="505"/>
      <c r="AE373" s="502">
        <v>13227</v>
      </c>
      <c r="AF373" s="503">
        <v>3315</v>
      </c>
      <c r="AG373" s="504">
        <v>3296</v>
      </c>
      <c r="AH373" s="503">
        <v>3310</v>
      </c>
      <c r="AI373" s="505"/>
      <c r="AJ373" s="502">
        <v>13224</v>
      </c>
      <c r="AK373" s="503">
        <v>3290</v>
      </c>
      <c r="AL373" s="504">
        <v>3271</v>
      </c>
      <c r="AM373" s="503">
        <v>3296</v>
      </c>
      <c r="AN373" s="505"/>
      <c r="AO373" s="502">
        <v>13212</v>
      </c>
      <c r="AP373" s="503">
        <v>3335</v>
      </c>
      <c r="AQ373" s="504">
        <v>3411</v>
      </c>
      <c r="AR373" s="503" t="s">
        <v>671</v>
      </c>
      <c r="AS373" s="505"/>
      <c r="AT373" s="502">
        <v>14321</v>
      </c>
      <c r="AU373" s="505"/>
      <c r="AV373" s="505"/>
      <c r="AW373" s="694"/>
      <c r="AX373" s="505"/>
      <c r="AY373" s="506"/>
      <c r="AZ373" s="505"/>
      <c r="BA373" s="505"/>
      <c r="BB373" s="505"/>
      <c r="BC373" s="505"/>
      <c r="BD373" s="506"/>
      <c r="BE373" s="506"/>
      <c r="BF373" s="506"/>
      <c r="BG373" s="506"/>
      <c r="BH373" s="499"/>
    </row>
    <row r="374" spans="1:60" s="44" customFormat="1" hidden="1" outlineLevel="2" x14ac:dyDescent="0.25">
      <c r="A374" s="748"/>
      <c r="B374" s="246"/>
      <c r="C374" s="478"/>
      <c r="D374" s="478"/>
      <c r="E374" s="478"/>
      <c r="F374" s="478"/>
      <c r="G374" s="480"/>
      <c r="H374" s="480"/>
      <c r="I374" s="480"/>
      <c r="J374" s="480"/>
      <c r="K374" s="478"/>
      <c r="L374" s="480"/>
      <c r="M374" s="480"/>
      <c r="N374" s="480"/>
      <c r="O374" s="480"/>
      <c r="P374" s="478"/>
      <c r="Q374" s="480"/>
      <c r="R374" s="480"/>
      <c r="S374" s="480"/>
      <c r="T374" s="480"/>
      <c r="U374" s="478"/>
      <c r="V374" s="480"/>
      <c r="W374" s="480"/>
      <c r="X374" s="480"/>
      <c r="Y374" s="480"/>
      <c r="Z374" s="478"/>
      <c r="AA374" s="480"/>
      <c r="AB374" s="480"/>
      <c r="AC374" s="480"/>
      <c r="AD374" s="480"/>
      <c r="AE374" s="478"/>
      <c r="AF374" s="480"/>
      <c r="AG374" s="480"/>
      <c r="AH374" s="480"/>
      <c r="AI374" s="480"/>
      <c r="AJ374" s="478"/>
      <c r="AK374" s="480"/>
      <c r="AL374" s="480"/>
      <c r="AM374" s="480"/>
      <c r="AN374" s="480"/>
      <c r="AO374" s="478"/>
      <c r="AP374" s="480"/>
      <c r="AQ374" s="480"/>
      <c r="AR374" s="480"/>
      <c r="AS374" s="480"/>
      <c r="AT374" s="478"/>
      <c r="AU374" s="480"/>
      <c r="AV374" s="480"/>
      <c r="AW374" s="708"/>
      <c r="AX374" s="480"/>
      <c r="AY374" s="478"/>
      <c r="AZ374" s="480"/>
      <c r="BA374" s="480"/>
      <c r="BB374" s="480"/>
      <c r="BC374" s="480"/>
      <c r="BD374" s="478"/>
      <c r="BE374" s="478"/>
      <c r="BF374" s="478"/>
      <c r="BG374" s="478"/>
      <c r="BH374" s="473"/>
    </row>
    <row r="375" spans="1:60" s="400" customFormat="1" hidden="1" outlineLevel="2" x14ac:dyDescent="0.25">
      <c r="A375" s="396" t="s">
        <v>80</v>
      </c>
      <c r="B375" s="771"/>
      <c r="C375" s="398"/>
      <c r="D375" s="398"/>
      <c r="E375" s="398"/>
      <c r="F375" s="398"/>
      <c r="G375" s="397"/>
      <c r="H375" s="397"/>
      <c r="I375" s="397"/>
      <c r="J375" s="397"/>
      <c r="K375" s="398"/>
      <c r="L375" s="397"/>
      <c r="M375" s="397"/>
      <c r="N375" s="397"/>
      <c r="O375" s="397"/>
      <c r="P375" s="398"/>
      <c r="Q375" s="397"/>
      <c r="R375" s="397"/>
      <c r="S375" s="397"/>
      <c r="T375" s="397"/>
      <c r="U375" s="398"/>
      <c r="V375" s="397"/>
      <c r="W375" s="397"/>
      <c r="X375" s="397"/>
      <c r="Y375" s="397"/>
      <c r="Z375" s="939">
        <v>305</v>
      </c>
      <c r="AA375" s="397"/>
      <c r="AB375" s="397"/>
      <c r="AC375" s="397"/>
      <c r="AD375" s="397"/>
      <c r="AE375" s="939">
        <v>317</v>
      </c>
      <c r="AF375" s="922">
        <v>344</v>
      </c>
      <c r="AG375" s="923">
        <v>287</v>
      </c>
      <c r="AH375" s="922">
        <v>357</v>
      </c>
      <c r="AI375" s="397"/>
      <c r="AJ375" s="939">
        <v>345</v>
      </c>
      <c r="AK375" s="922">
        <v>360</v>
      </c>
      <c r="AL375" s="923">
        <v>351</v>
      </c>
      <c r="AM375" s="922">
        <v>366</v>
      </c>
      <c r="AN375" s="397"/>
      <c r="AO375" s="939">
        <v>353</v>
      </c>
      <c r="AP375" s="922">
        <v>375</v>
      </c>
      <c r="AQ375" s="923">
        <v>372</v>
      </c>
      <c r="AR375" s="922" t="s">
        <v>671</v>
      </c>
      <c r="AS375" s="397"/>
      <c r="AT375" s="939">
        <v>367</v>
      </c>
      <c r="AU375" s="397"/>
      <c r="AV375" s="397"/>
      <c r="AW375" s="890"/>
      <c r="AX375" s="397"/>
      <c r="AY375" s="398"/>
      <c r="AZ375" s="397"/>
      <c r="BA375" s="397"/>
      <c r="BB375" s="397"/>
      <c r="BC375" s="397"/>
      <c r="BD375" s="398"/>
      <c r="BE375" s="398"/>
      <c r="BF375" s="398"/>
      <c r="BG375" s="398"/>
      <c r="BH375" s="399"/>
    </row>
    <row r="376" spans="1:60" s="400" customFormat="1" hidden="1" outlineLevel="2" x14ac:dyDescent="0.25">
      <c r="A376" s="401" t="s">
        <v>81</v>
      </c>
      <c r="B376" s="772"/>
      <c r="C376" s="403"/>
      <c r="D376" s="403"/>
      <c r="E376" s="403"/>
      <c r="F376" s="403"/>
      <c r="G376" s="402"/>
      <c r="H376" s="402"/>
      <c r="I376" s="402"/>
      <c r="J376" s="402"/>
      <c r="K376" s="403"/>
      <c r="L376" s="402"/>
      <c r="M376" s="402"/>
      <c r="N376" s="402"/>
      <c r="O376" s="402"/>
      <c r="P376" s="403"/>
      <c r="Q376" s="402"/>
      <c r="R376" s="402"/>
      <c r="S376" s="402"/>
      <c r="T376" s="402"/>
      <c r="U376" s="403"/>
      <c r="V376" s="402"/>
      <c r="W376" s="402"/>
      <c r="X376" s="402"/>
      <c r="Y376" s="402"/>
      <c r="Z376" s="940">
        <v>278</v>
      </c>
      <c r="AA376" s="402"/>
      <c r="AB376" s="402"/>
      <c r="AC376" s="402"/>
      <c r="AD376" s="402"/>
      <c r="AE376" s="940">
        <v>289</v>
      </c>
      <c r="AF376" s="924">
        <v>311</v>
      </c>
      <c r="AG376" s="925">
        <v>277</v>
      </c>
      <c r="AH376" s="924">
        <v>324</v>
      </c>
      <c r="AI376" s="402"/>
      <c r="AJ376" s="940">
        <v>297</v>
      </c>
      <c r="AK376" s="924">
        <v>318</v>
      </c>
      <c r="AL376" s="925">
        <v>347</v>
      </c>
      <c r="AM376" s="924">
        <v>350</v>
      </c>
      <c r="AN376" s="402"/>
      <c r="AO376" s="940">
        <v>330</v>
      </c>
      <c r="AP376" s="924">
        <v>326</v>
      </c>
      <c r="AQ376" s="925">
        <v>265</v>
      </c>
      <c r="AR376" s="924" t="s">
        <v>671</v>
      </c>
      <c r="AS376" s="402"/>
      <c r="AT376" s="940">
        <v>312</v>
      </c>
      <c r="AU376" s="402"/>
      <c r="AV376" s="402"/>
      <c r="AW376" s="891"/>
      <c r="AX376" s="402"/>
      <c r="AY376" s="403"/>
      <c r="AZ376" s="402"/>
      <c r="BA376" s="402"/>
      <c r="BB376" s="402"/>
      <c r="BC376" s="402"/>
      <c r="BD376" s="403"/>
      <c r="BE376" s="403"/>
      <c r="BF376" s="403"/>
      <c r="BG376" s="403"/>
      <c r="BH376" s="399"/>
    </row>
    <row r="377" spans="1:60" s="408" customFormat="1" hidden="1" outlineLevel="2" x14ac:dyDescent="0.25">
      <c r="A377" s="404" t="s">
        <v>82</v>
      </c>
      <c r="B377" s="773"/>
      <c r="C377" s="406"/>
      <c r="D377" s="406"/>
      <c r="E377" s="406"/>
      <c r="F377" s="406"/>
      <c r="G377" s="405"/>
      <c r="H377" s="405"/>
      <c r="I377" s="405"/>
      <c r="J377" s="405"/>
      <c r="K377" s="406"/>
      <c r="L377" s="405"/>
      <c r="M377" s="405"/>
      <c r="N377" s="405"/>
      <c r="O377" s="405"/>
      <c r="P377" s="406"/>
      <c r="Q377" s="405"/>
      <c r="R377" s="405"/>
      <c r="S377" s="405"/>
      <c r="T377" s="405"/>
      <c r="U377" s="406"/>
      <c r="V377" s="405"/>
      <c r="W377" s="405"/>
      <c r="X377" s="405"/>
      <c r="Y377" s="405"/>
      <c r="Z377" s="941">
        <v>301</v>
      </c>
      <c r="AA377" s="405"/>
      <c r="AB377" s="405"/>
      <c r="AC377" s="405"/>
      <c r="AD377" s="405"/>
      <c r="AE377" s="941">
        <v>311</v>
      </c>
      <c r="AF377" s="926">
        <v>337</v>
      </c>
      <c r="AG377" s="927">
        <v>331</v>
      </c>
      <c r="AH377" s="926">
        <v>349</v>
      </c>
      <c r="AI377" s="405"/>
      <c r="AJ377" s="941">
        <v>334</v>
      </c>
      <c r="AK377" s="926">
        <v>351</v>
      </c>
      <c r="AL377" s="927">
        <v>337</v>
      </c>
      <c r="AM377" s="926">
        <v>362</v>
      </c>
      <c r="AN377" s="405"/>
      <c r="AO377" s="941">
        <v>348</v>
      </c>
      <c r="AP377" s="926">
        <v>365</v>
      </c>
      <c r="AQ377" s="927">
        <v>355</v>
      </c>
      <c r="AR377" s="926" t="s">
        <v>671</v>
      </c>
      <c r="AS377" s="405"/>
      <c r="AT377" s="941">
        <v>356</v>
      </c>
      <c r="AU377" s="405"/>
      <c r="AV377" s="405"/>
      <c r="AW377" s="892"/>
      <c r="AX377" s="405"/>
      <c r="AY377" s="406"/>
      <c r="AZ377" s="405"/>
      <c r="BA377" s="405"/>
      <c r="BB377" s="405"/>
      <c r="BC377" s="405"/>
      <c r="BD377" s="406"/>
      <c r="BE377" s="406"/>
      <c r="BF377" s="406"/>
      <c r="BG377" s="406"/>
      <c r="BH377" s="407"/>
    </row>
    <row r="378" spans="1:60" s="44" customFormat="1" hidden="1" outlineLevel="1" collapsed="1" x14ac:dyDescent="0.25">
      <c r="A378" s="748"/>
      <c r="B378" s="246"/>
      <c r="C378" s="478"/>
      <c r="D378" s="478"/>
      <c r="E378" s="478"/>
      <c r="F378" s="478"/>
      <c r="G378" s="480"/>
      <c r="H378" s="480"/>
      <c r="I378" s="480"/>
      <c r="J378" s="480"/>
      <c r="K378" s="478"/>
      <c r="L378" s="480"/>
      <c r="M378" s="480"/>
      <c r="N378" s="480"/>
      <c r="O378" s="480"/>
      <c r="P378" s="478"/>
      <c r="Q378" s="480"/>
      <c r="R378" s="480"/>
      <c r="S378" s="480"/>
      <c r="T378" s="480"/>
      <c r="U378" s="478"/>
      <c r="V378" s="480"/>
      <c r="W378" s="480"/>
      <c r="X378" s="480"/>
      <c r="Y378" s="480"/>
      <c r="Z378" s="478"/>
      <c r="AA378" s="480"/>
      <c r="AB378" s="480"/>
      <c r="AC378" s="480"/>
      <c r="AD378" s="480"/>
      <c r="AE378" s="478"/>
      <c r="AF378" s="480"/>
      <c r="AG378" s="480"/>
      <c r="AH378" s="480"/>
      <c r="AI378" s="480"/>
      <c r="AJ378" s="478"/>
      <c r="AK378" s="480"/>
      <c r="AL378" s="480"/>
      <c r="AM378" s="480"/>
      <c r="AN378" s="480"/>
      <c r="AO378" s="478"/>
      <c r="AP378" s="480"/>
      <c r="AQ378" s="480"/>
      <c r="AR378" s="480"/>
      <c r="AS378" s="480"/>
      <c r="AT378" s="478"/>
      <c r="AU378" s="480"/>
      <c r="AV378" s="480"/>
      <c r="AW378" s="708"/>
      <c r="AX378" s="480"/>
      <c r="AY378" s="478"/>
      <c r="AZ378" s="480"/>
      <c r="BA378" s="480"/>
      <c r="BB378" s="480"/>
      <c r="BC378" s="480"/>
      <c r="BD378" s="478"/>
      <c r="BE378" s="478"/>
      <c r="BF378" s="478"/>
      <c r="BG378" s="478"/>
      <c r="BH378" s="473"/>
    </row>
    <row r="379" spans="1:60" s="19" customFormat="1" hidden="1" outlineLevel="1" x14ac:dyDescent="0.25">
      <c r="A379" s="956" t="s">
        <v>832</v>
      </c>
      <c r="B379" s="956"/>
      <c r="C379" s="986"/>
      <c r="D379" s="986"/>
      <c r="E379" s="986"/>
      <c r="F379" s="986"/>
      <c r="G379" s="986"/>
      <c r="H379" s="986"/>
      <c r="I379" s="986"/>
      <c r="J379" s="986"/>
      <c r="K379" s="986"/>
      <c r="L379" s="986"/>
      <c r="M379" s="986"/>
      <c r="N379" s="986"/>
      <c r="O379" s="986"/>
      <c r="P379" s="986"/>
      <c r="Q379" s="986"/>
      <c r="R379" s="986"/>
      <c r="S379" s="986"/>
      <c r="T379" s="986"/>
      <c r="U379" s="986"/>
      <c r="V379" s="986"/>
      <c r="W379" s="986"/>
      <c r="X379" s="986"/>
      <c r="Y379" s="986"/>
      <c r="Z379" s="986"/>
      <c r="AA379" s="986"/>
      <c r="AB379" s="986"/>
      <c r="AC379" s="986"/>
      <c r="AD379" s="986"/>
      <c r="AE379" s="986"/>
      <c r="AF379" s="986"/>
      <c r="AG379" s="986"/>
      <c r="AH379" s="986"/>
      <c r="AI379" s="986"/>
      <c r="AJ379" s="986"/>
      <c r="AK379" s="986"/>
      <c r="AL379" s="986"/>
      <c r="AM379" s="986"/>
      <c r="AN379" s="986"/>
      <c r="AO379" s="986"/>
      <c r="AP379" s="986"/>
      <c r="AQ379" s="986"/>
      <c r="AR379" s="986"/>
      <c r="AS379" s="986"/>
      <c r="AT379" s="986"/>
      <c r="AU379" s="986"/>
      <c r="AV379" s="986"/>
      <c r="AW379" s="987"/>
      <c r="AX379" s="986"/>
      <c r="AY379" s="986"/>
      <c r="AZ379" s="986"/>
      <c r="BA379" s="986"/>
      <c r="BB379" s="986"/>
      <c r="BC379" s="986"/>
      <c r="BD379" s="986"/>
      <c r="BE379" s="986"/>
      <c r="BF379" s="986"/>
      <c r="BG379" s="986"/>
      <c r="BH379" s="730"/>
    </row>
    <row r="380" spans="1:60" s="475" customFormat="1" hidden="1" outlineLevel="2" x14ac:dyDescent="0.25">
      <c r="A380" s="476" t="s">
        <v>21</v>
      </c>
      <c r="B380" s="245"/>
      <c r="C380" s="103"/>
      <c r="D380" s="103"/>
      <c r="E380" s="103"/>
      <c r="F380" s="103"/>
      <c r="G380" s="101"/>
      <c r="H380" s="101"/>
      <c r="I380" s="101"/>
      <c r="J380" s="101"/>
      <c r="K380" s="103"/>
      <c r="L380" s="101"/>
      <c r="M380" s="101"/>
      <c r="N380" s="101"/>
      <c r="O380" s="101"/>
      <c r="P380" s="103"/>
      <c r="Q380" s="101"/>
      <c r="R380" s="101"/>
      <c r="S380" s="101"/>
      <c r="T380" s="101"/>
      <c r="U380" s="103"/>
      <c r="V380" s="101"/>
      <c r="W380" s="101"/>
      <c r="X380" s="101"/>
      <c r="Y380" s="101"/>
      <c r="Z380" s="103"/>
      <c r="AA380" s="101"/>
      <c r="AB380" s="101"/>
      <c r="AC380" s="101"/>
      <c r="AD380" s="101"/>
      <c r="AE380" s="468">
        <f>AE387/Z387-1</f>
        <v>-0.20942265795206971</v>
      </c>
      <c r="AF380" s="101"/>
      <c r="AG380" s="101"/>
      <c r="AH380" s="101"/>
      <c r="AI380" s="101"/>
      <c r="AJ380" s="468">
        <f t="shared" ref="AJ380:AR382" si="553">AJ387/AE387-1</f>
        <v>0.48225973131243549</v>
      </c>
      <c r="AK380" s="471">
        <f t="shared" si="553"/>
        <v>-0.68092386655260906</v>
      </c>
      <c r="AL380" s="481">
        <f t="shared" si="553"/>
        <v>-0.22071129707112969</v>
      </c>
      <c r="AM380" s="471">
        <f t="shared" si="553"/>
        <v>0.48837209302325579</v>
      </c>
      <c r="AN380" s="471">
        <f t="shared" si="553"/>
        <v>1.0222882615156017</v>
      </c>
      <c r="AO380" s="468">
        <f t="shared" si="553"/>
        <v>9.8303509179642035E-2</v>
      </c>
      <c r="AP380" s="471">
        <f t="shared" si="553"/>
        <v>2.7747989276139409</v>
      </c>
      <c r="AQ380" s="481">
        <f t="shared" si="553"/>
        <v>-0.1906040268456376</v>
      </c>
      <c r="AR380" s="471">
        <f t="shared" si="553"/>
        <v>-0.97723214285714288</v>
      </c>
      <c r="AS380" s="471">
        <f t="shared" ref="AS380:AS384" si="554">AS387/AN387-1</f>
        <v>-0.9470977222630419</v>
      </c>
      <c r="AT380" s="468">
        <f t="shared" ref="AT380:AT384" si="555">AT387/AO387-1</f>
        <v>-0.54845535336436735</v>
      </c>
      <c r="AU380" s="101"/>
      <c r="AV380" s="101"/>
      <c r="AW380" s="686"/>
      <c r="AX380" s="101"/>
      <c r="AY380" s="103"/>
      <c r="AZ380" s="101"/>
      <c r="BA380" s="101"/>
      <c r="BB380" s="101"/>
      <c r="BC380" s="101"/>
      <c r="BD380" s="103"/>
      <c r="BE380" s="103"/>
      <c r="BF380" s="103"/>
      <c r="BG380" s="103"/>
      <c r="BH380" s="477"/>
    </row>
    <row r="381" spans="1:60" s="475" customFormat="1" hidden="1" outlineLevel="2" x14ac:dyDescent="0.25">
      <c r="A381" s="476" t="s">
        <v>22</v>
      </c>
      <c r="B381" s="245"/>
      <c r="C381" s="103"/>
      <c r="D381" s="103"/>
      <c r="E381" s="103"/>
      <c r="F381" s="103"/>
      <c r="G381" s="101"/>
      <c r="H381" s="101"/>
      <c r="I381" s="101"/>
      <c r="J381" s="101"/>
      <c r="K381" s="103"/>
      <c r="L381" s="101"/>
      <c r="M381" s="101"/>
      <c r="N381" s="101"/>
      <c r="O381" s="101"/>
      <c r="P381" s="103"/>
      <c r="Q381" s="101"/>
      <c r="R381" s="101"/>
      <c r="S381" s="101"/>
      <c r="T381" s="101"/>
      <c r="U381" s="103"/>
      <c r="V381" s="101"/>
      <c r="W381" s="101"/>
      <c r="X381" s="101"/>
      <c r="Y381" s="101"/>
      <c r="Z381" s="103"/>
      <c r="AA381" s="101"/>
      <c r="AB381" s="101"/>
      <c r="AC381" s="101"/>
      <c r="AD381" s="101"/>
      <c r="AE381" s="468">
        <f>AE388/Z388-1</f>
        <v>-0.15303030303030307</v>
      </c>
      <c r="AF381" s="101"/>
      <c r="AG381" s="101"/>
      <c r="AH381" s="101"/>
      <c r="AI381" s="101"/>
      <c r="AJ381" s="468">
        <f t="shared" si="553"/>
        <v>-1.7889087656529523E-2</v>
      </c>
      <c r="AK381" s="471">
        <f t="shared" si="553"/>
        <v>0.17728531855955687</v>
      </c>
      <c r="AL381" s="481">
        <f t="shared" si="553"/>
        <v>-0.44161358811040341</v>
      </c>
      <c r="AM381" s="471">
        <f t="shared" si="553"/>
        <v>0.11340206185567014</v>
      </c>
      <c r="AN381" s="471">
        <f t="shared" si="553"/>
        <v>0.42154566744730682</v>
      </c>
      <c r="AO381" s="468">
        <f t="shared" si="553"/>
        <v>5.2823315118396996E-2</v>
      </c>
      <c r="AP381" s="471">
        <f t="shared" si="553"/>
        <v>0.20235294117647062</v>
      </c>
      <c r="AQ381" s="481">
        <f t="shared" si="553"/>
        <v>0.62357414448669202</v>
      </c>
      <c r="AR381" s="471">
        <f t="shared" si="553"/>
        <v>-8.564814814814814E-2</v>
      </c>
      <c r="AS381" s="471">
        <f t="shared" si="554"/>
        <v>-0.67874794069192745</v>
      </c>
      <c r="AT381" s="468">
        <f t="shared" si="555"/>
        <v>-0.11880046136101496</v>
      </c>
      <c r="AU381" s="101"/>
      <c r="AV381" s="101"/>
      <c r="AW381" s="686"/>
      <c r="AX381" s="101"/>
      <c r="AY381" s="103"/>
      <c r="AZ381" s="101"/>
      <c r="BA381" s="101"/>
      <c r="BB381" s="101"/>
      <c r="BC381" s="101"/>
      <c r="BD381" s="103"/>
      <c r="BE381" s="103"/>
      <c r="BF381" s="103"/>
      <c r="BG381" s="103"/>
      <c r="BH381" s="477"/>
    </row>
    <row r="382" spans="1:60" s="475" customFormat="1" hidden="1" outlineLevel="2" x14ac:dyDescent="0.25">
      <c r="A382" s="476" t="s">
        <v>23</v>
      </c>
      <c r="B382" s="245"/>
      <c r="C382" s="103"/>
      <c r="D382" s="103"/>
      <c r="E382" s="103"/>
      <c r="F382" s="103"/>
      <c r="G382" s="101"/>
      <c r="H382" s="101"/>
      <c r="I382" s="101"/>
      <c r="J382" s="101"/>
      <c r="K382" s="103"/>
      <c r="L382" s="101"/>
      <c r="M382" s="101"/>
      <c r="N382" s="101"/>
      <c r="O382" s="101"/>
      <c r="P382" s="103"/>
      <c r="Q382" s="101"/>
      <c r="R382" s="101"/>
      <c r="S382" s="101"/>
      <c r="T382" s="101"/>
      <c r="U382" s="103"/>
      <c r="V382" s="101"/>
      <c r="W382" s="101"/>
      <c r="X382" s="101"/>
      <c r="Y382" s="101"/>
      <c r="Z382" s="103"/>
      <c r="AA382" s="101"/>
      <c r="AB382" s="101"/>
      <c r="AC382" s="101"/>
      <c r="AD382" s="101"/>
      <c r="AE382" s="468">
        <f>AE389/Z389-1</f>
        <v>1.4796879203658797E-2</v>
      </c>
      <c r="AF382" s="101"/>
      <c r="AG382" s="101"/>
      <c r="AH382" s="101"/>
      <c r="AI382" s="101"/>
      <c r="AJ382" s="468">
        <f t="shared" si="553"/>
        <v>-0.37963944856839871</v>
      </c>
      <c r="AK382" s="471">
        <f t="shared" si="553"/>
        <v>0.16570327552986508</v>
      </c>
      <c r="AL382" s="481">
        <f t="shared" si="553"/>
        <v>0.15097402597402598</v>
      </c>
      <c r="AM382" s="471">
        <f t="shared" si="553"/>
        <v>0.33214285714285707</v>
      </c>
      <c r="AN382" s="471">
        <f t="shared" si="553"/>
        <v>0.31937984496124039</v>
      </c>
      <c r="AO382" s="468">
        <f t="shared" si="553"/>
        <v>0.24786324786324787</v>
      </c>
      <c r="AP382" s="471">
        <f t="shared" si="553"/>
        <v>1.2512396694214876</v>
      </c>
      <c r="AQ382" s="481">
        <f t="shared" si="553"/>
        <v>0.56840620592383639</v>
      </c>
      <c r="AR382" s="471">
        <f t="shared" si="553"/>
        <v>0.41823056300268102</v>
      </c>
      <c r="AS382" s="471">
        <f t="shared" si="554"/>
        <v>0.20446533490011753</v>
      </c>
      <c r="AT382" s="468">
        <f t="shared" si="555"/>
        <v>0.56061643835616448</v>
      </c>
      <c r="AU382" s="101"/>
      <c r="AV382" s="101"/>
      <c r="AW382" s="686"/>
      <c r="AX382" s="101"/>
      <c r="AY382" s="103"/>
      <c r="AZ382" s="101"/>
      <c r="BA382" s="101"/>
      <c r="BB382" s="101"/>
      <c r="BC382" s="101"/>
      <c r="BD382" s="103"/>
      <c r="BE382" s="103"/>
      <c r="BF382" s="103"/>
      <c r="BG382" s="103"/>
      <c r="BH382" s="477"/>
    </row>
    <row r="383" spans="1:60" s="475" customFormat="1" hidden="1" outlineLevel="2" x14ac:dyDescent="0.25">
      <c r="A383" s="476" t="s">
        <v>24</v>
      </c>
      <c r="B383" s="245"/>
      <c r="C383" s="103"/>
      <c r="D383" s="103"/>
      <c r="E383" s="103"/>
      <c r="F383" s="103"/>
      <c r="G383" s="101"/>
      <c r="H383" s="101"/>
      <c r="I383" s="101"/>
      <c r="J383" s="101"/>
      <c r="K383" s="103"/>
      <c r="L383" s="101"/>
      <c r="M383" s="101"/>
      <c r="N383" s="101"/>
      <c r="O383" s="101"/>
      <c r="P383" s="103"/>
      <c r="Q383" s="101"/>
      <c r="R383" s="101"/>
      <c r="S383" s="101"/>
      <c r="T383" s="101"/>
      <c r="U383" s="103"/>
      <c r="V383" s="101"/>
      <c r="W383" s="101"/>
      <c r="X383" s="101"/>
      <c r="Y383" s="101"/>
      <c r="Z383" s="103"/>
      <c r="AA383" s="101"/>
      <c r="AB383" s="101"/>
      <c r="AC383" s="101"/>
      <c r="AD383" s="101"/>
      <c r="AE383" s="103"/>
      <c r="AF383" s="101"/>
      <c r="AG383" s="101"/>
      <c r="AH383" s="101"/>
      <c r="AI383" s="101"/>
      <c r="AJ383" s="103"/>
      <c r="AK383" s="471">
        <f t="shared" ref="AK383:AR385" si="556">AK390/AF390-1</f>
        <v>-9.9415204678362623E-2</v>
      </c>
      <c r="AL383" s="481">
        <f t="shared" si="556"/>
        <v>-9.3525179856115082E-2</v>
      </c>
      <c r="AM383" s="471">
        <f t="shared" si="556"/>
        <v>8.6206896551724199E-2</v>
      </c>
      <c r="AN383" s="471">
        <f t="shared" si="556"/>
        <v>0.19230769230769229</v>
      </c>
      <c r="AO383" s="468">
        <f t="shared" si="556"/>
        <v>8.9928057553956275E-3</v>
      </c>
      <c r="AP383" s="471">
        <f t="shared" si="556"/>
        <v>0.19480519480519476</v>
      </c>
      <c r="AQ383" s="481">
        <f t="shared" si="556"/>
        <v>-7.1428571428571397E-2</v>
      </c>
      <c r="AR383" s="471">
        <f t="shared" si="556"/>
        <v>-0.34920634920634919</v>
      </c>
      <c r="AS383" s="471">
        <f t="shared" si="554"/>
        <v>-1.2903225806451646E-2</v>
      </c>
      <c r="AT383" s="468">
        <f>AT390/AO390-1</f>
        <v>-4.4563279857397498E-2</v>
      </c>
      <c r="AU383" s="101"/>
      <c r="AV383" s="101"/>
      <c r="AW383" s="686"/>
      <c r="AX383" s="101"/>
      <c r="AY383" s="103"/>
      <c r="AZ383" s="101"/>
      <c r="BA383" s="101"/>
      <c r="BB383" s="101"/>
      <c r="BC383" s="101"/>
      <c r="BD383" s="103"/>
      <c r="BE383" s="103"/>
      <c r="BF383" s="103"/>
      <c r="BG383" s="103"/>
      <c r="BH383" s="477"/>
    </row>
    <row r="384" spans="1:60" s="475" customFormat="1" hidden="1" outlineLevel="2" x14ac:dyDescent="0.25">
      <c r="A384" s="493" t="s">
        <v>25</v>
      </c>
      <c r="B384" s="659"/>
      <c r="C384" s="660"/>
      <c r="D384" s="660"/>
      <c r="E384" s="660"/>
      <c r="F384" s="660"/>
      <c r="G384" s="661"/>
      <c r="H384" s="661"/>
      <c r="I384" s="661"/>
      <c r="J384" s="661"/>
      <c r="K384" s="660"/>
      <c r="L384" s="661"/>
      <c r="M384" s="661"/>
      <c r="N384" s="661"/>
      <c r="O384" s="661"/>
      <c r="P384" s="660"/>
      <c r="Q384" s="661"/>
      <c r="R384" s="661"/>
      <c r="S384" s="661"/>
      <c r="T384" s="661"/>
      <c r="U384" s="660"/>
      <c r="V384" s="661"/>
      <c r="W384" s="661"/>
      <c r="X384" s="661"/>
      <c r="Y384" s="661"/>
      <c r="Z384" s="660"/>
      <c r="AA384" s="661"/>
      <c r="AB384" s="661"/>
      <c r="AC384" s="661"/>
      <c r="AD384" s="661"/>
      <c r="AE384" s="660"/>
      <c r="AF384" s="661"/>
      <c r="AG384" s="661"/>
      <c r="AH384" s="661"/>
      <c r="AI384" s="661"/>
      <c r="AJ384" s="660"/>
      <c r="AK384" s="487">
        <f t="shared" si="556"/>
        <v>-7.6124567474048388E-2</v>
      </c>
      <c r="AL384" s="488">
        <f t="shared" si="556"/>
        <v>-7.3248407643312086E-2</v>
      </c>
      <c r="AM384" s="487">
        <f t="shared" si="556"/>
        <v>-6.1093247588424382E-2</v>
      </c>
      <c r="AN384" s="487">
        <f t="shared" si="556"/>
        <v>0.10163934426229515</v>
      </c>
      <c r="AO384" s="486">
        <f t="shared" si="556"/>
        <v>-2.7071369975389614E-2</v>
      </c>
      <c r="AP384" s="487">
        <f t="shared" si="556"/>
        <v>0.11985018726591767</v>
      </c>
      <c r="AQ384" s="488">
        <f t="shared" si="556"/>
        <v>-3.7800687285223344E-2</v>
      </c>
      <c r="AR384" s="487">
        <f t="shared" si="556"/>
        <v>-0.47945205479452058</v>
      </c>
      <c r="AS384" s="487">
        <f t="shared" si="554"/>
        <v>-0.5535714285714286</v>
      </c>
      <c r="AT384" s="486">
        <f t="shared" si="555"/>
        <v>-0.25716694772344018</v>
      </c>
      <c r="AU384" s="661"/>
      <c r="AV384" s="661"/>
      <c r="AW384" s="696"/>
      <c r="AX384" s="661"/>
      <c r="AY384" s="660"/>
      <c r="AZ384" s="661"/>
      <c r="BA384" s="661"/>
      <c r="BB384" s="661"/>
      <c r="BC384" s="661"/>
      <c r="BD384" s="660"/>
      <c r="BE384" s="660"/>
      <c r="BF384" s="660"/>
      <c r="BG384" s="660"/>
      <c r="BH384" s="477"/>
    </row>
    <row r="385" spans="1:60" s="475" customFormat="1" hidden="1" outlineLevel="2" x14ac:dyDescent="0.25">
      <c r="A385" s="485" t="s">
        <v>26</v>
      </c>
      <c r="B385" s="245"/>
      <c r="C385" s="103"/>
      <c r="D385" s="103"/>
      <c r="E385" s="103"/>
      <c r="F385" s="103"/>
      <c r="G385" s="101"/>
      <c r="H385" s="101"/>
      <c r="I385" s="101"/>
      <c r="J385" s="101"/>
      <c r="K385" s="103"/>
      <c r="L385" s="101"/>
      <c r="M385" s="101"/>
      <c r="N385" s="101"/>
      <c r="O385" s="101"/>
      <c r="P385" s="103"/>
      <c r="Q385" s="101"/>
      <c r="R385" s="101"/>
      <c r="S385" s="101"/>
      <c r="T385" s="101"/>
      <c r="U385" s="103"/>
      <c r="V385" s="101"/>
      <c r="W385" s="101"/>
      <c r="X385" s="101"/>
      <c r="Y385" s="101"/>
      <c r="Z385" s="103"/>
      <c r="AA385" s="101"/>
      <c r="AB385" s="101"/>
      <c r="AC385" s="101"/>
      <c r="AD385" s="101"/>
      <c r="AE385" s="468">
        <f>AE392/Z392-1</f>
        <v>-0.10854947166186357</v>
      </c>
      <c r="AF385" s="101"/>
      <c r="AG385" s="101"/>
      <c r="AH385" s="101"/>
      <c r="AI385" s="101"/>
      <c r="AJ385" s="468">
        <f>AJ392/AE392-1</f>
        <v>0.20510057471264376</v>
      </c>
      <c r="AK385" s="471">
        <f t="shared" si="556"/>
        <v>-0.27301713830211238</v>
      </c>
      <c r="AL385" s="481">
        <f t="shared" si="556"/>
        <v>-0.14605842336934771</v>
      </c>
      <c r="AM385" s="471">
        <f t="shared" si="556"/>
        <v>0.33194444444444438</v>
      </c>
      <c r="AN385" s="471">
        <f t="shared" si="556"/>
        <v>0.52044097381717958</v>
      </c>
      <c r="AO385" s="468">
        <f t="shared" si="556"/>
        <v>0.10551415797317443</v>
      </c>
      <c r="AP385" s="471">
        <f t="shared" si="556"/>
        <v>1.0635964912280702</v>
      </c>
      <c r="AQ385" s="481">
        <f t="shared" si="556"/>
        <v>0.18978444236176184</v>
      </c>
      <c r="AR385" s="471">
        <f t="shared" si="556"/>
        <v>-0.54692387904066742</v>
      </c>
      <c r="AS385" s="471">
        <f t="shared" ref="AS385:AT385" si="557">AS392/AN392-1</f>
        <v>-0.51812688821752273</v>
      </c>
      <c r="AT385" s="468">
        <f t="shared" si="557"/>
        <v>-0.13399838231329197</v>
      </c>
      <c r="AU385" s="101"/>
      <c r="AV385" s="101"/>
      <c r="AW385" s="686"/>
      <c r="AX385" s="101"/>
      <c r="AY385" s="103"/>
      <c r="AZ385" s="101"/>
      <c r="BA385" s="101"/>
      <c r="BB385" s="101"/>
      <c r="BC385" s="101"/>
      <c r="BD385" s="103"/>
      <c r="BE385" s="103"/>
      <c r="BF385" s="103"/>
      <c r="BG385" s="103"/>
      <c r="BH385" s="477"/>
    </row>
    <row r="386" spans="1:60" s="283" customFormat="1" hidden="1" outlineLevel="2" x14ac:dyDescent="0.25">
      <c r="A386" s="226"/>
      <c r="B386" s="514"/>
      <c r="C386" s="492"/>
      <c r="D386" s="492"/>
      <c r="E386" s="492"/>
      <c r="F386" s="492"/>
      <c r="G386" s="491"/>
      <c r="H386" s="491"/>
      <c r="I386" s="491"/>
      <c r="J386" s="491"/>
      <c r="K386" s="492"/>
      <c r="L386" s="491"/>
      <c r="M386" s="491"/>
      <c r="N386" s="491"/>
      <c r="O386" s="491"/>
      <c r="P386" s="492"/>
      <c r="Q386" s="491"/>
      <c r="R386" s="491"/>
      <c r="S386" s="491"/>
      <c r="T386" s="491"/>
      <c r="U386" s="492"/>
      <c r="V386" s="491"/>
      <c r="W386" s="491"/>
      <c r="X386" s="491"/>
      <c r="Y386" s="491"/>
      <c r="Z386" s="492"/>
      <c r="AA386" s="491"/>
      <c r="AB386" s="491"/>
      <c r="AC386" s="491"/>
      <c r="AD386" s="491"/>
      <c r="AE386" s="492"/>
      <c r="AF386" s="491"/>
      <c r="AG386" s="491"/>
      <c r="AH386" s="491"/>
      <c r="AI386" s="491"/>
      <c r="AJ386" s="492"/>
      <c r="AK386" s="491"/>
      <c r="AL386" s="491"/>
      <c r="AM386" s="491"/>
      <c r="AN386" s="491"/>
      <c r="AO386" s="492"/>
      <c r="AP386" s="491"/>
      <c r="AQ386" s="491"/>
      <c r="AR386" s="491"/>
      <c r="AS386" s="491"/>
      <c r="AT386" s="492"/>
      <c r="AU386" s="491"/>
      <c r="AV386" s="491"/>
      <c r="AW386" s="692"/>
      <c r="AX386" s="491"/>
      <c r="AY386" s="492"/>
      <c r="AZ386" s="491"/>
      <c r="BA386" s="491"/>
      <c r="BB386" s="491"/>
      <c r="BC386" s="491"/>
      <c r="BD386" s="492"/>
      <c r="BE386" s="492"/>
      <c r="BF386" s="492"/>
      <c r="BG386" s="492"/>
      <c r="BH386" s="484"/>
    </row>
    <row r="387" spans="1:60" s="49" customFormat="1" hidden="1" outlineLevel="2" x14ac:dyDescent="0.25">
      <c r="A387" s="226" t="s">
        <v>83</v>
      </c>
      <c r="B387" s="514"/>
      <c r="C387" s="492"/>
      <c r="D387" s="492"/>
      <c r="E387" s="492"/>
      <c r="F387" s="492"/>
      <c r="G387" s="491"/>
      <c r="H387" s="491"/>
      <c r="I387" s="491"/>
      <c r="J387" s="491"/>
      <c r="K387" s="492"/>
      <c r="L387" s="491"/>
      <c r="M387" s="491"/>
      <c r="N387" s="491"/>
      <c r="O387" s="491"/>
      <c r="P387" s="492"/>
      <c r="Q387" s="491"/>
      <c r="R387" s="491"/>
      <c r="S387" s="491"/>
      <c r="T387" s="491"/>
      <c r="U387" s="492"/>
      <c r="V387" s="491"/>
      <c r="W387" s="491"/>
      <c r="X387" s="491"/>
      <c r="Y387" s="491"/>
      <c r="Z387" s="492">
        <v>3672</v>
      </c>
      <c r="AA387" s="491"/>
      <c r="AB387" s="491"/>
      <c r="AC387" s="491"/>
      <c r="AD387" s="491"/>
      <c r="AE387" s="492">
        <v>2903</v>
      </c>
      <c r="AF387" s="491">
        <v>1169</v>
      </c>
      <c r="AG387" s="491">
        <v>956</v>
      </c>
      <c r="AH387" s="491">
        <v>1505</v>
      </c>
      <c r="AI387" s="491">
        <f>AJ387-AH387-AG387-AF387</f>
        <v>673</v>
      </c>
      <c r="AJ387" s="492">
        <v>4303</v>
      </c>
      <c r="AK387" s="491">
        <v>373</v>
      </c>
      <c r="AL387" s="491">
        <v>745</v>
      </c>
      <c r="AM387" s="491">
        <v>2240</v>
      </c>
      <c r="AN387" s="491">
        <f>AO387-3365</f>
        <v>1361</v>
      </c>
      <c r="AO387" s="492">
        <v>4726</v>
      </c>
      <c r="AP387" s="491">
        <v>1408</v>
      </c>
      <c r="AQ387" s="491">
        <v>603</v>
      </c>
      <c r="AR387" s="491">
        <v>51</v>
      </c>
      <c r="AS387" s="491">
        <f>AT387-SUM(AP387,AQ387,AR387)</f>
        <v>72</v>
      </c>
      <c r="AT387" s="492">
        <v>2134</v>
      </c>
      <c r="AU387" s="491"/>
      <c r="AV387" s="491"/>
      <c r="AW387" s="692"/>
      <c r="AX387" s="491"/>
      <c r="AY387" s="492"/>
      <c r="AZ387" s="491"/>
      <c r="BA387" s="491"/>
      <c r="BB387" s="491"/>
      <c r="BC387" s="491"/>
      <c r="BD387" s="492"/>
      <c r="BE387" s="492"/>
      <c r="BF387" s="492"/>
      <c r="BG387" s="492"/>
      <c r="BH387" s="484"/>
    </row>
    <row r="388" spans="1:60" s="49" customFormat="1" hidden="1" outlineLevel="2" x14ac:dyDescent="0.25">
      <c r="A388" s="226" t="s">
        <v>84</v>
      </c>
      <c r="B388" s="514"/>
      <c r="C388" s="492"/>
      <c r="D388" s="492"/>
      <c r="E388" s="492"/>
      <c r="F388" s="492"/>
      <c r="G388" s="491"/>
      <c r="H388" s="491"/>
      <c r="I388" s="491"/>
      <c r="J388" s="491"/>
      <c r="K388" s="492"/>
      <c r="L388" s="491"/>
      <c r="M388" s="491"/>
      <c r="N388" s="491"/>
      <c r="O388" s="491"/>
      <c r="P388" s="492"/>
      <c r="Q388" s="491"/>
      <c r="R388" s="491"/>
      <c r="S388" s="491"/>
      <c r="T388" s="491"/>
      <c r="U388" s="492"/>
      <c r="V388" s="491"/>
      <c r="W388" s="491"/>
      <c r="X388" s="491"/>
      <c r="Y388" s="491"/>
      <c r="Z388" s="492">
        <v>1980</v>
      </c>
      <c r="AA388" s="491"/>
      <c r="AB388" s="491"/>
      <c r="AC388" s="491"/>
      <c r="AD388" s="491"/>
      <c r="AE388" s="492">
        <v>1677</v>
      </c>
      <c r="AF388" s="491">
        <v>361</v>
      </c>
      <c r="AG388" s="491">
        <v>471</v>
      </c>
      <c r="AH388" s="491">
        <v>388</v>
      </c>
      <c r="AI388" s="491">
        <f>AJ388-AH388-AG388-AF388</f>
        <v>427</v>
      </c>
      <c r="AJ388" s="492">
        <v>1647</v>
      </c>
      <c r="AK388" s="491">
        <v>425</v>
      </c>
      <c r="AL388" s="491">
        <v>263</v>
      </c>
      <c r="AM388" s="491">
        <v>432</v>
      </c>
      <c r="AN388" s="491">
        <f>AO388-1127</f>
        <v>607</v>
      </c>
      <c r="AO388" s="492">
        <v>1734</v>
      </c>
      <c r="AP388" s="491">
        <v>511</v>
      </c>
      <c r="AQ388" s="491">
        <v>427</v>
      </c>
      <c r="AR388" s="491">
        <v>395</v>
      </c>
      <c r="AS388" s="491">
        <f>AT388-SUM(AP388,AQ388,AR388)</f>
        <v>195</v>
      </c>
      <c r="AT388" s="492">
        <v>1528</v>
      </c>
      <c r="AU388" s="491"/>
      <c r="AV388" s="491"/>
      <c r="AW388" s="692"/>
      <c r="AX388" s="491"/>
      <c r="AY388" s="492"/>
      <c r="AZ388" s="491"/>
      <c r="BA388" s="491"/>
      <c r="BB388" s="491"/>
      <c r="BC388" s="491"/>
      <c r="BD388" s="492"/>
      <c r="BE388" s="492"/>
      <c r="BF388" s="492"/>
      <c r="BG388" s="492"/>
      <c r="BH388" s="484"/>
    </row>
    <row r="389" spans="1:60" s="49" customFormat="1" hidden="1" outlineLevel="2" x14ac:dyDescent="0.25">
      <c r="A389" s="226" t="s">
        <v>46</v>
      </c>
      <c r="B389" s="514"/>
      <c r="C389" s="492"/>
      <c r="D389" s="492"/>
      <c r="E389" s="492"/>
      <c r="F389" s="492"/>
      <c r="G389" s="491"/>
      <c r="H389" s="491"/>
      <c r="I389" s="491"/>
      <c r="J389" s="491"/>
      <c r="K389" s="492"/>
      <c r="L389" s="491"/>
      <c r="M389" s="491"/>
      <c r="N389" s="491"/>
      <c r="O389" s="491"/>
      <c r="P389" s="492"/>
      <c r="Q389" s="491"/>
      <c r="R389" s="491"/>
      <c r="S389" s="491"/>
      <c r="T389" s="491"/>
      <c r="U389" s="492"/>
      <c r="V389" s="491"/>
      <c r="W389" s="491"/>
      <c r="X389" s="491"/>
      <c r="Y389" s="491"/>
      <c r="Z389" s="492">
        <v>3717</v>
      </c>
      <c r="AA389" s="491"/>
      <c r="AB389" s="491"/>
      <c r="AC389" s="491"/>
      <c r="AD389" s="491"/>
      <c r="AE389" s="492">
        <v>3772</v>
      </c>
      <c r="AF389" s="491">
        <v>519</v>
      </c>
      <c r="AG389" s="491">
        <v>616</v>
      </c>
      <c r="AH389" s="491">
        <v>560</v>
      </c>
      <c r="AI389" s="491">
        <f>AJ389-AH389-AG389-AF389</f>
        <v>645</v>
      </c>
      <c r="AJ389" s="492">
        <v>2340</v>
      </c>
      <c r="AK389" s="491">
        <v>605</v>
      </c>
      <c r="AL389" s="491">
        <v>709</v>
      </c>
      <c r="AM389" s="491">
        <v>746</v>
      </c>
      <c r="AN389" s="491">
        <f>AO389-2069</f>
        <v>851</v>
      </c>
      <c r="AO389" s="492">
        <f>4667-AO390-AO391</f>
        <v>2920</v>
      </c>
      <c r="AP389" s="491">
        <v>1362</v>
      </c>
      <c r="AQ389" s="491">
        <v>1112</v>
      </c>
      <c r="AR389" s="491">
        <v>1058</v>
      </c>
      <c r="AS389" s="491">
        <f>AT389-SUM(AP389,AQ389,AR389)</f>
        <v>1025</v>
      </c>
      <c r="AT389" s="492">
        <v>4557</v>
      </c>
      <c r="AU389" s="491"/>
      <c r="AV389" s="491"/>
      <c r="AW389" s="692"/>
      <c r="AX389" s="491"/>
      <c r="AY389" s="492"/>
      <c r="AZ389" s="491"/>
      <c r="BA389" s="491"/>
      <c r="BB389" s="491"/>
      <c r="BC389" s="491"/>
      <c r="BD389" s="492"/>
      <c r="BE389" s="492"/>
      <c r="BF389" s="492"/>
      <c r="BG389" s="492"/>
      <c r="BH389" s="484"/>
    </row>
    <row r="390" spans="1:60" s="49" customFormat="1" hidden="1" outlineLevel="2" x14ac:dyDescent="0.25">
      <c r="A390" s="226" t="s">
        <v>85</v>
      </c>
      <c r="B390" s="514"/>
      <c r="C390" s="492"/>
      <c r="D390" s="492"/>
      <c r="E390" s="492"/>
      <c r="F390" s="492"/>
      <c r="G390" s="491"/>
      <c r="H390" s="491"/>
      <c r="I390" s="491"/>
      <c r="J390" s="491"/>
      <c r="K390" s="492"/>
      <c r="L390" s="491"/>
      <c r="M390" s="491"/>
      <c r="N390" s="491"/>
      <c r="O390" s="491"/>
      <c r="P390" s="492"/>
      <c r="Q390" s="491"/>
      <c r="R390" s="491"/>
      <c r="S390" s="491"/>
      <c r="T390" s="491"/>
      <c r="U390" s="492"/>
      <c r="V390" s="491"/>
      <c r="W390" s="491"/>
      <c r="X390" s="491"/>
      <c r="Y390" s="491"/>
      <c r="Z390" s="492"/>
      <c r="AA390" s="491"/>
      <c r="AB390" s="491"/>
      <c r="AC390" s="491"/>
      <c r="AD390" s="491"/>
      <c r="AE390" s="492"/>
      <c r="AF390" s="491">
        <v>171</v>
      </c>
      <c r="AG390" s="491">
        <v>139</v>
      </c>
      <c r="AH390" s="491">
        <v>116</v>
      </c>
      <c r="AI390" s="491">
        <f>AJ390-AH390-AG390-AF390</f>
        <v>130</v>
      </c>
      <c r="AJ390" s="492">
        <v>556</v>
      </c>
      <c r="AK390" s="491">
        <v>154</v>
      </c>
      <c r="AL390" s="491">
        <v>126</v>
      </c>
      <c r="AM390" s="491">
        <v>126</v>
      </c>
      <c r="AN390" s="491">
        <f>AO390-AM390-AL390-AK390</f>
        <v>155</v>
      </c>
      <c r="AO390" s="492">
        <v>561</v>
      </c>
      <c r="AP390" s="491">
        <v>184</v>
      </c>
      <c r="AQ390" s="491">
        <v>117</v>
      </c>
      <c r="AR390" s="491">
        <v>82</v>
      </c>
      <c r="AS390" s="491">
        <f>AT390-SUM(AP390,AQ390,AR390)</f>
        <v>153</v>
      </c>
      <c r="AT390" s="492">
        <v>536</v>
      </c>
      <c r="AU390" s="491"/>
      <c r="AV390" s="491"/>
      <c r="AW390" s="692"/>
      <c r="AX390" s="491"/>
      <c r="AY390" s="492"/>
      <c r="AZ390" s="491"/>
      <c r="BA390" s="491"/>
      <c r="BB390" s="491"/>
      <c r="BC390" s="491"/>
      <c r="BD390" s="492"/>
      <c r="BE390" s="492"/>
      <c r="BF390" s="492"/>
      <c r="BG390" s="492"/>
      <c r="BH390" s="484"/>
    </row>
    <row r="391" spans="1:60" s="49" customFormat="1" hidden="1" outlineLevel="2" x14ac:dyDescent="0.25">
      <c r="A391" s="538" t="s">
        <v>47</v>
      </c>
      <c r="B391" s="573"/>
      <c r="C391" s="322"/>
      <c r="D391" s="322"/>
      <c r="E391" s="322"/>
      <c r="F391" s="322"/>
      <c r="G391" s="321"/>
      <c r="H391" s="321"/>
      <c r="I391" s="321"/>
      <c r="J391" s="321"/>
      <c r="K391" s="322"/>
      <c r="L391" s="321"/>
      <c r="M391" s="321"/>
      <c r="N391" s="321"/>
      <c r="O391" s="321"/>
      <c r="P391" s="322"/>
      <c r="Q391" s="321"/>
      <c r="R391" s="321"/>
      <c r="S391" s="321"/>
      <c r="T391" s="321"/>
      <c r="U391" s="322"/>
      <c r="V391" s="321"/>
      <c r="W391" s="321"/>
      <c r="X391" s="321"/>
      <c r="Y391" s="321"/>
      <c r="Z391" s="322"/>
      <c r="AA391" s="321"/>
      <c r="AB391" s="321"/>
      <c r="AC391" s="321"/>
      <c r="AD391" s="321"/>
      <c r="AE391" s="322"/>
      <c r="AF391" s="321">
        <v>289</v>
      </c>
      <c r="AG391" s="321">
        <v>314</v>
      </c>
      <c r="AH391" s="321">
        <v>311</v>
      </c>
      <c r="AI391" s="321">
        <f>AJ391-AH391-AG391-AF391</f>
        <v>305</v>
      </c>
      <c r="AJ391" s="322">
        <v>1219</v>
      </c>
      <c r="AK391" s="321">
        <v>267</v>
      </c>
      <c r="AL391" s="321">
        <v>291</v>
      </c>
      <c r="AM391" s="321">
        <v>292</v>
      </c>
      <c r="AN391" s="321">
        <f>AO391-AM391-AL391-AK391</f>
        <v>336</v>
      </c>
      <c r="AO391" s="322">
        <v>1186</v>
      </c>
      <c r="AP391" s="321">
        <v>299</v>
      </c>
      <c r="AQ391" s="321">
        <v>280</v>
      </c>
      <c r="AR391" s="321">
        <v>152</v>
      </c>
      <c r="AS391" s="321">
        <f>AT391-SUM(AP391,AQ391,AR391)</f>
        <v>150</v>
      </c>
      <c r="AT391" s="322">
        <v>881</v>
      </c>
      <c r="AU391" s="321"/>
      <c r="AV391" s="321"/>
      <c r="AW391" s="693"/>
      <c r="AX391" s="321"/>
      <c r="AY391" s="322"/>
      <c r="AZ391" s="321"/>
      <c r="BA391" s="321"/>
      <c r="BB391" s="321"/>
      <c r="BC391" s="321"/>
      <c r="BD391" s="322"/>
      <c r="BE391" s="322"/>
      <c r="BF391" s="322"/>
      <c r="BG391" s="322"/>
      <c r="BH391" s="484"/>
    </row>
    <row r="392" spans="1:60" s="52" customFormat="1" hidden="1" outlineLevel="2" x14ac:dyDescent="0.25">
      <c r="A392" s="501" t="s">
        <v>86</v>
      </c>
      <c r="B392" s="264"/>
      <c r="C392" s="506"/>
      <c r="D392" s="506"/>
      <c r="E392" s="506"/>
      <c r="F392" s="506"/>
      <c r="G392" s="505"/>
      <c r="H392" s="505"/>
      <c r="I392" s="505"/>
      <c r="J392" s="505"/>
      <c r="K392" s="506"/>
      <c r="L392" s="505"/>
      <c r="M392" s="505"/>
      <c r="N392" s="505"/>
      <c r="O392" s="505"/>
      <c r="P392" s="506"/>
      <c r="Q392" s="505"/>
      <c r="R392" s="505"/>
      <c r="S392" s="505"/>
      <c r="T392" s="505"/>
      <c r="U392" s="506"/>
      <c r="V392" s="505"/>
      <c r="W392" s="505"/>
      <c r="X392" s="505"/>
      <c r="Y392" s="505"/>
      <c r="Z392" s="502">
        <f>SUM(Z387:Z389)</f>
        <v>9369</v>
      </c>
      <c r="AA392" s="505"/>
      <c r="AB392" s="505"/>
      <c r="AC392" s="505"/>
      <c r="AD392" s="505"/>
      <c r="AE392" s="502">
        <f>SUM(AE387:AE389)</f>
        <v>8352</v>
      </c>
      <c r="AF392" s="503">
        <f>SUM(AF387:AF391)</f>
        <v>2509</v>
      </c>
      <c r="AG392" s="504">
        <v>2499</v>
      </c>
      <c r="AH392" s="503">
        <v>2880</v>
      </c>
      <c r="AI392" s="503">
        <v>2177</v>
      </c>
      <c r="AJ392" s="502">
        <f>SUM(AJ387:AJ391)</f>
        <v>10065</v>
      </c>
      <c r="AK392" s="503">
        <f>SUM(AK387:AK391)</f>
        <v>1824</v>
      </c>
      <c r="AL392" s="504">
        <f>SUM(AL387:AL391)</f>
        <v>2134</v>
      </c>
      <c r="AM392" s="503">
        <v>3836</v>
      </c>
      <c r="AN392" s="503">
        <f t="shared" ref="AN392:AT392" si="558">SUM(AN387:AN391)</f>
        <v>3310</v>
      </c>
      <c r="AO392" s="502">
        <f t="shared" si="558"/>
        <v>11127</v>
      </c>
      <c r="AP392" s="503">
        <f t="shared" si="558"/>
        <v>3764</v>
      </c>
      <c r="AQ392" s="504">
        <f t="shared" si="558"/>
        <v>2539</v>
      </c>
      <c r="AR392" s="503">
        <f t="shared" si="558"/>
        <v>1738</v>
      </c>
      <c r="AS392" s="503">
        <f t="shared" si="558"/>
        <v>1595</v>
      </c>
      <c r="AT392" s="502">
        <f t="shared" si="558"/>
        <v>9636</v>
      </c>
      <c r="AU392" s="505"/>
      <c r="AV392" s="505"/>
      <c r="AW392" s="694"/>
      <c r="AX392" s="505"/>
      <c r="AY392" s="506"/>
      <c r="AZ392" s="505"/>
      <c r="BA392" s="505"/>
      <c r="BB392" s="505"/>
      <c r="BC392" s="505"/>
      <c r="BD392" s="506"/>
      <c r="BE392" s="506"/>
      <c r="BF392" s="506"/>
      <c r="BG392" s="506"/>
      <c r="BH392" s="499"/>
    </row>
    <row r="393" spans="1:60" s="49" customFormat="1" hidden="1" outlineLevel="2" x14ac:dyDescent="0.25">
      <c r="A393" s="226" t="s">
        <v>34</v>
      </c>
      <c r="B393" s="514"/>
      <c r="C393" s="492"/>
      <c r="D393" s="492"/>
      <c r="E393" s="492"/>
      <c r="F393" s="492"/>
      <c r="G393" s="491"/>
      <c r="H393" s="491"/>
      <c r="I393" s="491"/>
      <c r="J393" s="491"/>
      <c r="K393" s="492"/>
      <c r="L393" s="491"/>
      <c r="M393" s="491"/>
      <c r="N393" s="491"/>
      <c r="O393" s="491"/>
      <c r="P393" s="492"/>
      <c r="Q393" s="491"/>
      <c r="R393" s="491"/>
      <c r="S393" s="491"/>
      <c r="T393" s="491"/>
      <c r="U393" s="492"/>
      <c r="V393" s="491"/>
      <c r="W393" s="491"/>
      <c r="X393" s="491"/>
      <c r="Y393" s="491"/>
      <c r="Z393" s="492">
        <v>-3972</v>
      </c>
      <c r="AA393" s="491"/>
      <c r="AB393" s="491"/>
      <c r="AC393" s="491"/>
      <c r="AD393" s="491"/>
      <c r="AE393" s="492">
        <v>-3718</v>
      </c>
      <c r="AF393" s="491">
        <v>-1026</v>
      </c>
      <c r="AG393" s="491">
        <v>-993</v>
      </c>
      <c r="AH393" s="491">
        <v>-1426</v>
      </c>
      <c r="AI393" s="491">
        <f>AJ393-AH393-AG393-AF393</f>
        <v>-1004</v>
      </c>
      <c r="AJ393" s="492">
        <v>-4449</v>
      </c>
      <c r="AK393" s="491">
        <v>-876</v>
      </c>
      <c r="AL393" s="491">
        <v>-965</v>
      </c>
      <c r="AM393" s="491">
        <v>-2013</v>
      </c>
      <c r="AN393" s="491">
        <f>AO393+3891</f>
        <v>-1296</v>
      </c>
      <c r="AO393" s="492">
        <v>-5187</v>
      </c>
      <c r="AP393" s="491">
        <v>-1793</v>
      </c>
      <c r="AQ393" s="491">
        <v>-1265</v>
      </c>
      <c r="AR393" s="491">
        <v>-777</v>
      </c>
      <c r="AS393" s="491">
        <f>AT393-SUM(AP393,AQ393,AR393)</f>
        <v>-784</v>
      </c>
      <c r="AT393" s="492">
        <v>-4619</v>
      </c>
      <c r="AU393" s="491"/>
      <c r="AV393" s="491"/>
      <c r="AW393" s="692"/>
      <c r="AX393" s="491"/>
      <c r="AY393" s="492"/>
      <c r="AZ393" s="491"/>
      <c r="BA393" s="491"/>
      <c r="BB393" s="491"/>
      <c r="BC393" s="491"/>
      <c r="BD393" s="492"/>
      <c r="BE393" s="492"/>
      <c r="BF393" s="492"/>
      <c r="BG393" s="492"/>
      <c r="BH393" s="484"/>
    </row>
    <row r="394" spans="1:60" s="49" customFormat="1" hidden="1" outlineLevel="2" x14ac:dyDescent="0.25">
      <c r="A394" s="226" t="s">
        <v>35</v>
      </c>
      <c r="B394" s="514"/>
      <c r="C394" s="492"/>
      <c r="D394" s="492"/>
      <c r="E394" s="492"/>
      <c r="F394" s="492"/>
      <c r="G394" s="491"/>
      <c r="H394" s="491"/>
      <c r="I394" s="491"/>
      <c r="J394" s="491"/>
      <c r="K394" s="492"/>
      <c r="L394" s="491"/>
      <c r="M394" s="491"/>
      <c r="N394" s="491"/>
      <c r="O394" s="491"/>
      <c r="P394" s="492"/>
      <c r="Q394" s="491"/>
      <c r="R394" s="491"/>
      <c r="S394" s="491"/>
      <c r="T394" s="491"/>
      <c r="U394" s="492"/>
      <c r="V394" s="491"/>
      <c r="W394" s="491"/>
      <c r="X394" s="491"/>
      <c r="Y394" s="491"/>
      <c r="Z394" s="492">
        <v>-2510</v>
      </c>
      <c r="AA394" s="491"/>
      <c r="AB394" s="491"/>
      <c r="AC394" s="491"/>
      <c r="AD394" s="491"/>
      <c r="AE394" s="492">
        <v>-2156</v>
      </c>
      <c r="AF394" s="491">
        <v>-628</v>
      </c>
      <c r="AG394" s="491">
        <v>-603</v>
      </c>
      <c r="AH394" s="491">
        <v>-722</v>
      </c>
      <c r="AI394" s="491">
        <f>AJ394-AH394-AG394-AF394</f>
        <v>-540</v>
      </c>
      <c r="AJ394" s="492">
        <v>-2493</v>
      </c>
      <c r="AK394" s="491">
        <v>-609</v>
      </c>
      <c r="AL394" s="491">
        <v>-604</v>
      </c>
      <c r="AM394" s="491">
        <v>-994</v>
      </c>
      <c r="AN394" s="491">
        <f>AO394+2220</f>
        <v>-899</v>
      </c>
      <c r="AO394" s="492">
        <v>-3119</v>
      </c>
      <c r="AP394" s="491">
        <v>-986</v>
      </c>
      <c r="AQ394" s="491">
        <v>-771</v>
      </c>
      <c r="AR394" s="491">
        <v>-253</v>
      </c>
      <c r="AS394" s="491">
        <f>AT394-SUM(AP394,AQ394,AR394)</f>
        <v>-359</v>
      </c>
      <c r="AT394" s="492">
        <v>-2369</v>
      </c>
      <c r="AU394" s="491"/>
      <c r="AV394" s="491"/>
      <c r="AW394" s="692"/>
      <c r="AX394" s="491"/>
      <c r="AY394" s="492"/>
      <c r="AZ394" s="491"/>
      <c r="BA394" s="491"/>
      <c r="BB394" s="491"/>
      <c r="BC394" s="491"/>
      <c r="BD394" s="492"/>
      <c r="BE394" s="492"/>
      <c r="BF394" s="492"/>
      <c r="BG394" s="492"/>
      <c r="BH394" s="484"/>
    </row>
    <row r="395" spans="1:60" s="470" customFormat="1" hidden="1" outlineLevel="2" x14ac:dyDescent="0.25">
      <c r="A395" s="483" t="s">
        <v>36</v>
      </c>
      <c r="B395" s="514"/>
      <c r="C395" s="492"/>
      <c r="D395" s="492"/>
      <c r="E395" s="492"/>
      <c r="F395" s="492"/>
      <c r="G395" s="491"/>
      <c r="H395" s="491"/>
      <c r="I395" s="491"/>
      <c r="J395" s="491"/>
      <c r="K395" s="492"/>
      <c r="L395" s="491"/>
      <c r="M395" s="491"/>
      <c r="N395" s="491"/>
      <c r="O395" s="491"/>
      <c r="P395" s="492"/>
      <c r="Q395" s="491"/>
      <c r="R395" s="491"/>
      <c r="S395" s="491"/>
      <c r="T395" s="491"/>
      <c r="U395" s="492"/>
      <c r="V395" s="491"/>
      <c r="W395" s="491"/>
      <c r="X395" s="491"/>
      <c r="Y395" s="491"/>
      <c r="Z395" s="489">
        <v>-120</v>
      </c>
      <c r="AA395" s="491"/>
      <c r="AB395" s="491"/>
      <c r="AC395" s="491"/>
      <c r="AD395" s="491"/>
      <c r="AE395" s="489">
        <v>-115</v>
      </c>
      <c r="AF395" s="490">
        <v>-30</v>
      </c>
      <c r="AG395" s="490">
        <v>-29</v>
      </c>
      <c r="AH395" s="490">
        <v>-31</v>
      </c>
      <c r="AI395" s="490">
        <f>AJ395-AH395-AG395-AF395</f>
        <v>-29</v>
      </c>
      <c r="AJ395" s="489">
        <v>-119</v>
      </c>
      <c r="AK395" s="490">
        <v>-30</v>
      </c>
      <c r="AL395" s="490">
        <v>-31</v>
      </c>
      <c r="AM395" s="490">
        <v>-37</v>
      </c>
      <c r="AN395" s="490">
        <f>AO395+99</f>
        <v>-36</v>
      </c>
      <c r="AO395" s="489">
        <v>-135</v>
      </c>
      <c r="AP395" s="490">
        <v>-37</v>
      </c>
      <c r="AQ395" s="490">
        <v>-37</v>
      </c>
      <c r="AR395" s="490">
        <v>-40</v>
      </c>
      <c r="AS395" s="490">
        <f>AT395-SUM(AP395,AQ395,AR395)</f>
        <v>-32</v>
      </c>
      <c r="AT395" s="489">
        <v>-146</v>
      </c>
      <c r="AU395" s="491"/>
      <c r="AV395" s="491"/>
      <c r="AW395" s="692"/>
      <c r="AX395" s="491"/>
      <c r="AY395" s="492"/>
      <c r="AZ395" s="491"/>
      <c r="BA395" s="491"/>
      <c r="BB395" s="491"/>
      <c r="BC395" s="491"/>
      <c r="BD395" s="492"/>
      <c r="BE395" s="492"/>
      <c r="BF395" s="492"/>
      <c r="BG395" s="492"/>
      <c r="BH395" s="484"/>
    </row>
    <row r="396" spans="1:60" s="49" customFormat="1" hidden="1" outlineLevel="2" x14ac:dyDescent="0.25">
      <c r="A396" s="218" t="s">
        <v>37</v>
      </c>
      <c r="B396" s="573"/>
      <c r="C396" s="322"/>
      <c r="D396" s="322"/>
      <c r="E396" s="322"/>
      <c r="F396" s="322"/>
      <c r="G396" s="321"/>
      <c r="H396" s="321"/>
      <c r="I396" s="321"/>
      <c r="J396" s="321"/>
      <c r="K396" s="322"/>
      <c r="L396" s="321"/>
      <c r="M396" s="321"/>
      <c r="N396" s="321"/>
      <c r="O396" s="321"/>
      <c r="P396" s="322"/>
      <c r="Q396" s="321"/>
      <c r="R396" s="321"/>
      <c r="S396" s="321"/>
      <c r="T396" s="321"/>
      <c r="U396" s="322"/>
      <c r="V396" s="321"/>
      <c r="W396" s="321"/>
      <c r="X396" s="321"/>
      <c r="Y396" s="321"/>
      <c r="Z396" s="322"/>
      <c r="AA396" s="321"/>
      <c r="AB396" s="321"/>
      <c r="AC396" s="321"/>
      <c r="AD396" s="321"/>
      <c r="AE396" s="322"/>
      <c r="AF396" s="321"/>
      <c r="AG396" s="321"/>
      <c r="AH396" s="321"/>
      <c r="AI396" s="321"/>
      <c r="AJ396" s="322"/>
      <c r="AK396" s="321"/>
      <c r="AL396" s="321"/>
      <c r="AM396" s="321"/>
      <c r="AN396" s="321"/>
      <c r="AO396" s="322"/>
      <c r="AP396" s="321"/>
      <c r="AQ396" s="321"/>
      <c r="AR396" s="321"/>
      <c r="AS396" s="319">
        <f>AT396-SUM(AP396,AQ396,AR396)</f>
        <v>-1</v>
      </c>
      <c r="AT396" s="318">
        <v>-1</v>
      </c>
      <c r="AU396" s="321"/>
      <c r="AV396" s="321"/>
      <c r="AW396" s="693"/>
      <c r="AX396" s="321"/>
      <c r="AY396" s="322"/>
      <c r="AZ396" s="321"/>
      <c r="BA396" s="321"/>
      <c r="BB396" s="321"/>
      <c r="BC396" s="321"/>
      <c r="BD396" s="322"/>
      <c r="BE396" s="322"/>
      <c r="BF396" s="322"/>
      <c r="BG396" s="322"/>
      <c r="BH396" s="484"/>
    </row>
    <row r="397" spans="1:60" s="52" customFormat="1" hidden="1" outlineLevel="2" x14ac:dyDescent="0.25">
      <c r="A397" s="501" t="s">
        <v>87</v>
      </c>
      <c r="B397" s="264"/>
      <c r="C397" s="506"/>
      <c r="D397" s="506"/>
      <c r="E397" s="506"/>
      <c r="F397" s="506"/>
      <c r="G397" s="505"/>
      <c r="H397" s="505"/>
      <c r="I397" s="505"/>
      <c r="J397" s="505"/>
      <c r="K397" s="506"/>
      <c r="L397" s="505"/>
      <c r="M397" s="505"/>
      <c r="N397" s="505"/>
      <c r="O397" s="505"/>
      <c r="P397" s="506"/>
      <c r="Q397" s="505"/>
      <c r="R397" s="505"/>
      <c r="S397" s="505"/>
      <c r="T397" s="505"/>
      <c r="U397" s="506"/>
      <c r="V397" s="505"/>
      <c r="W397" s="505"/>
      <c r="X397" s="505"/>
      <c r="Y397" s="505"/>
      <c r="Z397" s="502">
        <f>SUM(Z392:Z396)</f>
        <v>2767</v>
      </c>
      <c r="AA397" s="505"/>
      <c r="AB397" s="505"/>
      <c r="AC397" s="505"/>
      <c r="AD397" s="505"/>
      <c r="AE397" s="502">
        <f t="shared" ref="AE397:AT397" si="559">SUM(AE392:AE396)</f>
        <v>2363</v>
      </c>
      <c r="AF397" s="503">
        <f t="shared" si="559"/>
        <v>825</v>
      </c>
      <c r="AG397" s="504">
        <f t="shared" si="559"/>
        <v>874</v>
      </c>
      <c r="AH397" s="503">
        <f t="shared" si="559"/>
        <v>701</v>
      </c>
      <c r="AI397" s="503">
        <f t="shared" si="559"/>
        <v>604</v>
      </c>
      <c r="AJ397" s="502">
        <f t="shared" si="559"/>
        <v>3004</v>
      </c>
      <c r="AK397" s="503">
        <f t="shared" si="559"/>
        <v>309</v>
      </c>
      <c r="AL397" s="504">
        <f t="shared" si="559"/>
        <v>534</v>
      </c>
      <c r="AM397" s="503">
        <f t="shared" si="559"/>
        <v>792</v>
      </c>
      <c r="AN397" s="503">
        <f t="shared" si="559"/>
        <v>1079</v>
      </c>
      <c r="AO397" s="502">
        <f t="shared" si="559"/>
        <v>2686</v>
      </c>
      <c r="AP397" s="503">
        <f t="shared" si="559"/>
        <v>948</v>
      </c>
      <c r="AQ397" s="504">
        <f t="shared" si="559"/>
        <v>466</v>
      </c>
      <c r="AR397" s="503">
        <f t="shared" si="559"/>
        <v>668</v>
      </c>
      <c r="AS397" s="503">
        <f t="shared" si="559"/>
        <v>419</v>
      </c>
      <c r="AT397" s="502">
        <f t="shared" si="559"/>
        <v>2501</v>
      </c>
      <c r="AU397" s="505"/>
      <c r="AV397" s="505"/>
      <c r="AW397" s="694"/>
      <c r="AX397" s="505"/>
      <c r="AY397" s="506"/>
      <c r="AZ397" s="505"/>
      <c r="BA397" s="505"/>
      <c r="BB397" s="505"/>
      <c r="BC397" s="505"/>
      <c r="BD397" s="506"/>
      <c r="BE397" s="506"/>
      <c r="BF397" s="506"/>
      <c r="BG397" s="506"/>
      <c r="BH397" s="499"/>
    </row>
    <row r="398" spans="1:60" s="470" customFormat="1" hidden="1" outlineLevel="2" x14ac:dyDescent="0.25">
      <c r="A398" s="96" t="s">
        <v>611</v>
      </c>
      <c r="B398" s="514"/>
      <c r="C398" s="492"/>
      <c r="D398" s="492"/>
      <c r="E398" s="492"/>
      <c r="F398" s="492"/>
      <c r="G398" s="491"/>
      <c r="H398" s="491"/>
      <c r="I398" s="491"/>
      <c r="J398" s="491"/>
      <c r="K398" s="492"/>
      <c r="L398" s="491"/>
      <c r="M398" s="491"/>
      <c r="N398" s="491"/>
      <c r="O398" s="491"/>
      <c r="P398" s="492"/>
      <c r="Q398" s="491"/>
      <c r="R398" s="491"/>
      <c r="S398" s="491"/>
      <c r="T398" s="491"/>
      <c r="U398" s="492"/>
      <c r="V398" s="491"/>
      <c r="W398" s="491"/>
      <c r="X398" s="491"/>
      <c r="Y398" s="491"/>
      <c r="Z398" s="492"/>
      <c r="AA398" s="491"/>
      <c r="AB398" s="491"/>
      <c r="AC398" s="491"/>
      <c r="AD398" s="491"/>
      <c r="AE398" s="492"/>
      <c r="AF398" s="491"/>
      <c r="AG398" s="491"/>
      <c r="AH398" s="490">
        <v>0</v>
      </c>
      <c r="AI398" s="491"/>
      <c r="AJ398" s="489">
        <v>0</v>
      </c>
      <c r="AK398" s="490">
        <v>0</v>
      </c>
      <c r="AL398" s="497">
        <f>-34-AM398</f>
        <v>-5</v>
      </c>
      <c r="AM398" s="490">
        <v>-29</v>
      </c>
      <c r="AN398" s="490">
        <f>AO398+34</f>
        <v>7</v>
      </c>
      <c r="AO398" s="489">
        <v>-27</v>
      </c>
      <c r="AP398" s="490">
        <v>-27</v>
      </c>
      <c r="AQ398" s="497">
        <v>-27</v>
      </c>
      <c r="AR398" s="490">
        <v>-27</v>
      </c>
      <c r="AS398" s="490">
        <f>AT398-SUM(AP398,AQ398,AR398)</f>
        <v>-26</v>
      </c>
      <c r="AT398" s="489">
        <v>-107</v>
      </c>
      <c r="AU398" s="491"/>
      <c r="AV398" s="491"/>
      <c r="AW398" s="692"/>
      <c r="AX398" s="491"/>
      <c r="AY398" s="492"/>
      <c r="AZ398" s="491"/>
      <c r="BA398" s="491"/>
      <c r="BB398" s="491"/>
      <c r="BC398" s="491"/>
      <c r="BD398" s="492"/>
      <c r="BE398" s="492"/>
      <c r="BF398" s="492"/>
      <c r="BG398" s="492"/>
      <c r="BH398" s="484"/>
    </row>
    <row r="399" spans="1:60" s="470" customFormat="1" hidden="1" outlineLevel="2" x14ac:dyDescent="0.25">
      <c r="A399" s="96" t="s">
        <v>649</v>
      </c>
      <c r="B399" s="514"/>
      <c r="C399" s="492"/>
      <c r="D399" s="492"/>
      <c r="E399" s="492"/>
      <c r="F399" s="492"/>
      <c r="G399" s="491"/>
      <c r="H399" s="491"/>
      <c r="I399" s="491"/>
      <c r="J399" s="491"/>
      <c r="K399" s="492"/>
      <c r="L399" s="491"/>
      <c r="M399" s="491"/>
      <c r="N399" s="491"/>
      <c r="O399" s="491"/>
      <c r="P399" s="492"/>
      <c r="Q399" s="491"/>
      <c r="R399" s="491"/>
      <c r="S399" s="491"/>
      <c r="T399" s="491"/>
      <c r="U399" s="492"/>
      <c r="V399" s="491"/>
      <c r="W399" s="491"/>
      <c r="X399" s="491"/>
      <c r="Y399" s="491"/>
      <c r="Z399" s="492"/>
      <c r="AA399" s="491"/>
      <c r="AB399" s="491"/>
      <c r="AC399" s="491"/>
      <c r="AD399" s="491"/>
      <c r="AE399" s="492"/>
      <c r="AF399" s="491"/>
      <c r="AG399" s="491"/>
      <c r="AH399" s="490">
        <v>0</v>
      </c>
      <c r="AI399" s="491"/>
      <c r="AJ399" s="489">
        <v>0</v>
      </c>
      <c r="AK399" s="490">
        <v>0</v>
      </c>
      <c r="AL399" s="497">
        <f>-87-AM399</f>
        <v>5</v>
      </c>
      <c r="AM399" s="490">
        <v>-92</v>
      </c>
      <c r="AN399" s="490">
        <f>AO399+87</f>
        <v>-92</v>
      </c>
      <c r="AO399" s="489">
        <v>-179</v>
      </c>
      <c r="AP399" s="490">
        <v>-54</v>
      </c>
      <c r="AQ399" s="497">
        <v>-54</v>
      </c>
      <c r="AR399" s="490">
        <v>-22</v>
      </c>
      <c r="AS399" s="490">
        <f>AT399-SUM(AP399,AQ399,AR399)</f>
        <v>-54</v>
      </c>
      <c r="AT399" s="489">
        <v>-184</v>
      </c>
      <c r="AU399" s="491"/>
      <c r="AV399" s="491"/>
      <c r="AW399" s="692"/>
      <c r="AX399" s="491"/>
      <c r="AY399" s="492"/>
      <c r="AZ399" s="491"/>
      <c r="BA399" s="491"/>
      <c r="BB399" s="491"/>
      <c r="BC399" s="491"/>
      <c r="BD399" s="492"/>
      <c r="BE399" s="492"/>
      <c r="BF399" s="492"/>
      <c r="BG399" s="492"/>
      <c r="BH399" s="484"/>
    </row>
    <row r="400" spans="1:60" s="470" customFormat="1" hidden="1" outlineLevel="2" x14ac:dyDescent="0.25">
      <c r="A400" s="589" t="s">
        <v>604</v>
      </c>
      <c r="B400" s="758"/>
      <c r="C400" s="582"/>
      <c r="D400" s="582"/>
      <c r="E400" s="582"/>
      <c r="F400" s="582"/>
      <c r="G400" s="581"/>
      <c r="H400" s="581"/>
      <c r="I400" s="581"/>
      <c r="J400" s="581"/>
      <c r="K400" s="582"/>
      <c r="L400" s="581"/>
      <c r="M400" s="581"/>
      <c r="N400" s="581"/>
      <c r="O400" s="581"/>
      <c r="P400" s="582"/>
      <c r="Q400" s="581"/>
      <c r="R400" s="581"/>
      <c r="S400" s="581"/>
      <c r="T400" s="581"/>
      <c r="U400" s="582"/>
      <c r="V400" s="581"/>
      <c r="W400" s="581"/>
      <c r="X400" s="581"/>
      <c r="Y400" s="581"/>
      <c r="Z400" s="582"/>
      <c r="AA400" s="581"/>
      <c r="AB400" s="581"/>
      <c r="AC400" s="581"/>
      <c r="AD400" s="581"/>
      <c r="AE400" s="582"/>
      <c r="AF400" s="581"/>
      <c r="AG400" s="581"/>
      <c r="AH400" s="579">
        <v>0</v>
      </c>
      <c r="AI400" s="581"/>
      <c r="AJ400" s="578">
        <v>0</v>
      </c>
      <c r="AK400" s="579">
        <f>SUM(AK398:AK399)</f>
        <v>0</v>
      </c>
      <c r="AL400" s="580">
        <f>SUM(AL398:AL399)</f>
        <v>0</v>
      </c>
      <c r="AM400" s="579">
        <f>SUM(AM398:AM399)</f>
        <v>-121</v>
      </c>
      <c r="AN400" s="579">
        <f>SUM(AN398:AN399)</f>
        <v>-85</v>
      </c>
      <c r="AO400" s="578">
        <f>SUM(AO398:AO399)</f>
        <v>-206</v>
      </c>
      <c r="AP400" s="579">
        <v>-81</v>
      </c>
      <c r="AQ400" s="580">
        <f t="shared" ref="AQ400:AS400" si="560">SUM(AQ398:AQ399)</f>
        <v>-81</v>
      </c>
      <c r="AR400" s="579">
        <f t="shared" si="560"/>
        <v>-49</v>
      </c>
      <c r="AS400" s="579">
        <f t="shared" si="560"/>
        <v>-80</v>
      </c>
      <c r="AT400" s="578">
        <v>-291</v>
      </c>
      <c r="AU400" s="581"/>
      <c r="AV400" s="581"/>
      <c r="AW400" s="759"/>
      <c r="AX400" s="581"/>
      <c r="AY400" s="582"/>
      <c r="AZ400" s="581"/>
      <c r="BA400" s="581"/>
      <c r="BB400" s="581"/>
      <c r="BC400" s="581"/>
      <c r="BD400" s="582"/>
      <c r="BE400" s="582"/>
      <c r="BF400" s="582"/>
      <c r="BG400" s="582"/>
      <c r="BH400" s="484"/>
    </row>
    <row r="401" spans="1:60" s="470" customFormat="1" hidden="1" outlineLevel="2" x14ac:dyDescent="0.25">
      <c r="A401" s="483" t="s">
        <v>112</v>
      </c>
      <c r="B401" s="514"/>
      <c r="C401" s="492"/>
      <c r="D401" s="492"/>
      <c r="E401" s="492"/>
      <c r="F401" s="492"/>
      <c r="G401" s="491"/>
      <c r="H401" s="491"/>
      <c r="I401" s="491"/>
      <c r="J401" s="491"/>
      <c r="K401" s="492"/>
      <c r="L401" s="491"/>
      <c r="M401" s="491"/>
      <c r="N401" s="491"/>
      <c r="O401" s="491"/>
      <c r="P401" s="492"/>
      <c r="Q401" s="491"/>
      <c r="R401" s="491"/>
      <c r="S401" s="491"/>
      <c r="T401" s="491"/>
      <c r="U401" s="492"/>
      <c r="V401" s="491"/>
      <c r="W401" s="491"/>
      <c r="X401" s="491"/>
      <c r="Y401" s="491"/>
      <c r="Z401" s="492"/>
      <c r="AA401" s="491"/>
      <c r="AB401" s="491"/>
      <c r="AC401" s="491"/>
      <c r="AD401" s="491"/>
      <c r="AE401" s="492"/>
      <c r="AF401" s="491"/>
      <c r="AG401" s="491"/>
      <c r="AH401" s="490">
        <v>0</v>
      </c>
      <c r="AI401" s="491"/>
      <c r="AJ401" s="489">
        <v>-8</v>
      </c>
      <c r="AK401" s="490">
        <v>0</v>
      </c>
      <c r="AL401" s="497">
        <f>-170-AM401</f>
        <v>-111</v>
      </c>
      <c r="AM401" s="490">
        <v>-59</v>
      </c>
      <c r="AN401" s="490">
        <f>AO401+170</f>
        <v>-49</v>
      </c>
      <c r="AO401" s="489">
        <v>-219</v>
      </c>
      <c r="AP401" s="490">
        <v>-20</v>
      </c>
      <c r="AQ401" s="497">
        <v>-37</v>
      </c>
      <c r="AR401" s="490">
        <v>-45</v>
      </c>
      <c r="AS401" s="490">
        <f>AT401-SUM(AP401,AQ401,AR401)</f>
        <v>-12</v>
      </c>
      <c r="AT401" s="489">
        <v>-114</v>
      </c>
      <c r="AU401" s="491"/>
      <c r="AV401" s="491"/>
      <c r="AW401" s="692"/>
      <c r="AX401" s="491"/>
      <c r="AY401" s="492"/>
      <c r="AZ401" s="491"/>
      <c r="BA401" s="491"/>
      <c r="BB401" s="491"/>
      <c r="BC401" s="491"/>
      <c r="BD401" s="492"/>
      <c r="BE401" s="492"/>
      <c r="BF401" s="492"/>
      <c r="BG401" s="492"/>
      <c r="BH401" s="484"/>
    </row>
    <row r="402" spans="1:60" s="52" customFormat="1" hidden="1" outlineLevel="2" x14ac:dyDescent="0.25">
      <c r="A402" s="635"/>
      <c r="B402" s="264"/>
      <c r="C402" s="506"/>
      <c r="D402" s="506"/>
      <c r="E402" s="506"/>
      <c r="F402" s="506"/>
      <c r="G402" s="505"/>
      <c r="H402" s="505"/>
      <c r="I402" s="505"/>
      <c r="J402" s="505"/>
      <c r="K402" s="506"/>
      <c r="L402" s="505"/>
      <c r="M402" s="505"/>
      <c r="N402" s="505"/>
      <c r="O402" s="505"/>
      <c r="P402" s="506"/>
      <c r="Q402" s="505"/>
      <c r="R402" s="505"/>
      <c r="S402" s="505"/>
      <c r="T402" s="505"/>
      <c r="U402" s="506"/>
      <c r="V402" s="505"/>
      <c r="W402" s="505"/>
      <c r="X402" s="505"/>
      <c r="Y402" s="505"/>
      <c r="Z402" s="506"/>
      <c r="AA402" s="505"/>
      <c r="AB402" s="505"/>
      <c r="AC402" s="505"/>
      <c r="AD402" s="505"/>
      <c r="AE402" s="506"/>
      <c r="AF402" s="505"/>
      <c r="AG402" s="505"/>
      <c r="AH402" s="505"/>
      <c r="AI402" s="505"/>
      <c r="AJ402" s="506"/>
      <c r="AK402" s="505"/>
      <c r="AL402" s="505"/>
      <c r="AM402" s="505"/>
      <c r="AN402" s="505"/>
      <c r="AO402" s="506"/>
      <c r="AP402" s="505"/>
      <c r="AQ402" s="505"/>
      <c r="AR402" s="505"/>
      <c r="AS402" s="505"/>
      <c r="AT402" s="506"/>
      <c r="AU402" s="505"/>
      <c r="AV402" s="505"/>
      <c r="AW402" s="694"/>
      <c r="AX402" s="505"/>
      <c r="AY402" s="506"/>
      <c r="AZ402" s="505"/>
      <c r="BA402" s="505"/>
      <c r="BB402" s="505"/>
      <c r="BC402" s="505"/>
      <c r="BD402" s="506"/>
      <c r="BE402" s="506"/>
      <c r="BF402" s="506"/>
      <c r="BG402" s="506"/>
      <c r="BH402" s="499"/>
    </row>
    <row r="403" spans="1:60" s="52" customFormat="1" hidden="1" outlineLevel="2" x14ac:dyDescent="0.25">
      <c r="A403" s="168" t="s">
        <v>88</v>
      </c>
      <c r="B403" s="655"/>
      <c r="C403" s="183"/>
      <c r="D403" s="183"/>
      <c r="E403" s="183"/>
      <c r="F403" s="183"/>
      <c r="G403" s="634"/>
      <c r="H403" s="634"/>
      <c r="I403" s="634"/>
      <c r="J403" s="634"/>
      <c r="K403" s="183"/>
      <c r="L403" s="634"/>
      <c r="M403" s="634"/>
      <c r="N403" s="634"/>
      <c r="O403" s="634"/>
      <c r="P403" s="183"/>
      <c r="Q403" s="634"/>
      <c r="R403" s="634"/>
      <c r="S403" s="634"/>
      <c r="T403" s="634"/>
      <c r="U403" s="183"/>
      <c r="V403" s="634"/>
      <c r="W403" s="634"/>
      <c r="X403" s="634"/>
      <c r="Y403" s="634"/>
      <c r="Z403" s="339">
        <f>Z393/-Z392</f>
        <v>0.42395132885046427</v>
      </c>
      <c r="AA403" s="634"/>
      <c r="AB403" s="634"/>
      <c r="AC403" s="634"/>
      <c r="AD403" s="634"/>
      <c r="AE403" s="339">
        <f t="shared" ref="AE403:AR403" si="561">AE393/-AE392</f>
        <v>0.44516283524904215</v>
      </c>
      <c r="AF403" s="340">
        <f t="shared" si="561"/>
        <v>0.40892785970506179</v>
      </c>
      <c r="AG403" s="341">
        <f t="shared" si="561"/>
        <v>0.39735894357743096</v>
      </c>
      <c r="AH403" s="340">
        <f t="shared" si="561"/>
        <v>0.49513888888888891</v>
      </c>
      <c r="AI403" s="340">
        <f t="shared" si="561"/>
        <v>0.46118511713367016</v>
      </c>
      <c r="AJ403" s="339">
        <f t="shared" si="561"/>
        <v>0.44202682563338302</v>
      </c>
      <c r="AK403" s="340">
        <f t="shared" si="561"/>
        <v>0.48026315789473684</v>
      </c>
      <c r="AL403" s="341">
        <f t="shared" si="561"/>
        <v>0.45220243673851923</v>
      </c>
      <c r="AM403" s="340">
        <f t="shared" si="561"/>
        <v>0.52476538060479672</v>
      </c>
      <c r="AN403" s="340">
        <f t="shared" si="561"/>
        <v>0.39154078549848942</v>
      </c>
      <c r="AO403" s="339">
        <f t="shared" si="561"/>
        <v>0.46616338635750876</v>
      </c>
      <c r="AP403" s="340">
        <f t="shared" si="561"/>
        <v>0.4763549415515409</v>
      </c>
      <c r="AQ403" s="341">
        <f t="shared" si="561"/>
        <v>0.49822764868058289</v>
      </c>
      <c r="AR403" s="340">
        <f t="shared" si="561"/>
        <v>0.44706559263521289</v>
      </c>
      <c r="AS403" s="340">
        <f t="shared" ref="AS403:AT403" si="562">AS393/-AS392</f>
        <v>0.49153605015673979</v>
      </c>
      <c r="AT403" s="339">
        <f t="shared" si="562"/>
        <v>0.47934827729348278</v>
      </c>
      <c r="AU403" s="634"/>
      <c r="AV403" s="634"/>
      <c r="AW403" s="691"/>
      <c r="AX403" s="634"/>
      <c r="AY403" s="183"/>
      <c r="AZ403" s="634"/>
      <c r="BA403" s="634"/>
      <c r="BB403" s="634"/>
      <c r="BC403" s="634"/>
      <c r="BD403" s="183"/>
      <c r="BE403" s="183"/>
      <c r="BF403" s="183"/>
      <c r="BG403" s="183"/>
      <c r="BH403" s="499"/>
    </row>
    <row r="404" spans="1:60" s="52" customFormat="1" hidden="1" outlineLevel="2" x14ac:dyDescent="0.25">
      <c r="A404" s="344" t="s">
        <v>89</v>
      </c>
      <c r="B404" s="749"/>
      <c r="C404" s="348"/>
      <c r="D404" s="348"/>
      <c r="E404" s="348"/>
      <c r="F404" s="348"/>
      <c r="G404" s="738"/>
      <c r="H404" s="738"/>
      <c r="I404" s="738"/>
      <c r="J404" s="738"/>
      <c r="K404" s="348"/>
      <c r="L404" s="738"/>
      <c r="M404" s="738"/>
      <c r="N404" s="738"/>
      <c r="O404" s="738"/>
      <c r="P404" s="348"/>
      <c r="Q404" s="738"/>
      <c r="R404" s="738"/>
      <c r="S404" s="738"/>
      <c r="T404" s="738"/>
      <c r="U404" s="348"/>
      <c r="V404" s="738"/>
      <c r="W404" s="738"/>
      <c r="X404" s="738"/>
      <c r="Y404" s="738"/>
      <c r="Z404" s="345">
        <f>Z394/-Z392</f>
        <v>0.26790479240046966</v>
      </c>
      <c r="AA404" s="738"/>
      <c r="AB404" s="738"/>
      <c r="AC404" s="738"/>
      <c r="AD404" s="738"/>
      <c r="AE404" s="345">
        <f t="shared" ref="AE404:AR404" si="563">AE394/-AE392</f>
        <v>0.25814176245210729</v>
      </c>
      <c r="AF404" s="346">
        <f t="shared" si="563"/>
        <v>0.25029892387405339</v>
      </c>
      <c r="AG404" s="347">
        <f t="shared" si="563"/>
        <v>0.24129651860744297</v>
      </c>
      <c r="AH404" s="346">
        <f t="shared" si="563"/>
        <v>0.25069444444444444</v>
      </c>
      <c r="AI404" s="346">
        <f t="shared" si="563"/>
        <v>0.2480477721635278</v>
      </c>
      <c r="AJ404" s="345">
        <f t="shared" si="563"/>
        <v>0.24769001490312967</v>
      </c>
      <c r="AK404" s="346">
        <f t="shared" si="563"/>
        <v>0.33388157894736842</v>
      </c>
      <c r="AL404" s="347">
        <f t="shared" si="563"/>
        <v>0.28303655107778819</v>
      </c>
      <c r="AM404" s="346">
        <f t="shared" si="563"/>
        <v>0.25912408759124089</v>
      </c>
      <c r="AN404" s="346">
        <f t="shared" si="563"/>
        <v>0.27160120845921448</v>
      </c>
      <c r="AO404" s="345">
        <f t="shared" si="563"/>
        <v>0.28030915790419697</v>
      </c>
      <c r="AP404" s="346">
        <f t="shared" si="563"/>
        <v>0.26195536663124336</v>
      </c>
      <c r="AQ404" s="347">
        <f t="shared" si="563"/>
        <v>0.30366285939346199</v>
      </c>
      <c r="AR404" s="346">
        <f t="shared" si="563"/>
        <v>0.14556962025316456</v>
      </c>
      <c r="AS404" s="346">
        <f t="shared" ref="AS404:AT404" si="564">AS394/-AS392</f>
        <v>0.22507836990595612</v>
      </c>
      <c r="AT404" s="345">
        <f t="shared" si="564"/>
        <v>0.24584889995848899</v>
      </c>
      <c r="AU404" s="738"/>
      <c r="AV404" s="738"/>
      <c r="AW404" s="760"/>
      <c r="AX404" s="738"/>
      <c r="AY404" s="348"/>
      <c r="AZ404" s="738"/>
      <c r="BA404" s="738"/>
      <c r="BB404" s="738"/>
      <c r="BC404" s="738"/>
      <c r="BD404" s="348"/>
      <c r="BE404" s="348"/>
      <c r="BF404" s="348"/>
      <c r="BG404" s="348"/>
      <c r="BH404" s="499"/>
    </row>
    <row r="405" spans="1:60" s="52" customFormat="1" hidden="1" outlineLevel="2" x14ac:dyDescent="0.25">
      <c r="A405" s="349" t="s">
        <v>90</v>
      </c>
      <c r="B405" s="750"/>
      <c r="C405" s="354"/>
      <c r="D405" s="354"/>
      <c r="E405" s="354"/>
      <c r="F405" s="354"/>
      <c r="G405" s="353"/>
      <c r="H405" s="353"/>
      <c r="I405" s="353"/>
      <c r="J405" s="353"/>
      <c r="K405" s="354"/>
      <c r="L405" s="353"/>
      <c r="M405" s="353"/>
      <c r="N405" s="353"/>
      <c r="O405" s="353"/>
      <c r="P405" s="354"/>
      <c r="Q405" s="353"/>
      <c r="R405" s="353"/>
      <c r="S405" s="353"/>
      <c r="T405" s="353"/>
      <c r="U405" s="354"/>
      <c r="V405" s="353"/>
      <c r="W405" s="353"/>
      <c r="X405" s="353"/>
      <c r="Y405" s="353"/>
      <c r="Z405" s="350">
        <f>Z397/Z392</f>
        <v>0.29533568150282846</v>
      </c>
      <c r="AA405" s="353"/>
      <c r="AB405" s="353"/>
      <c r="AC405" s="353"/>
      <c r="AD405" s="353"/>
      <c r="AE405" s="350">
        <f t="shared" ref="AE405:AR405" si="565">AE397/AE392</f>
        <v>0.28292624521072796</v>
      </c>
      <c r="AF405" s="351">
        <f t="shared" si="565"/>
        <v>0.32881626145874848</v>
      </c>
      <c r="AG405" s="352">
        <f t="shared" si="565"/>
        <v>0.34973989595838334</v>
      </c>
      <c r="AH405" s="351">
        <f t="shared" si="565"/>
        <v>0.24340277777777777</v>
      </c>
      <c r="AI405" s="351">
        <f t="shared" si="565"/>
        <v>0.27744602664216811</v>
      </c>
      <c r="AJ405" s="350">
        <f t="shared" si="565"/>
        <v>0.29846000993541977</v>
      </c>
      <c r="AK405" s="351">
        <f t="shared" si="565"/>
        <v>0.16940789473684212</v>
      </c>
      <c r="AL405" s="352">
        <f t="shared" si="565"/>
        <v>0.25023430178069356</v>
      </c>
      <c r="AM405" s="351">
        <f t="shared" si="565"/>
        <v>0.20646506777893639</v>
      </c>
      <c r="AN405" s="351">
        <f t="shared" si="565"/>
        <v>0.32598187311178245</v>
      </c>
      <c r="AO405" s="350">
        <f t="shared" si="565"/>
        <v>0.24139480542823763</v>
      </c>
      <c r="AP405" s="351">
        <f t="shared" si="565"/>
        <v>0.25185972369819343</v>
      </c>
      <c r="AQ405" s="352">
        <f t="shared" si="565"/>
        <v>0.18353682552185899</v>
      </c>
      <c r="AR405" s="351">
        <f t="shared" si="565"/>
        <v>0.38434982738780205</v>
      </c>
      <c r="AS405" s="351">
        <f>AS397/AS392</f>
        <v>0.26269592476489029</v>
      </c>
      <c r="AT405" s="350">
        <f>AT397/AT392</f>
        <v>0.25954753009547532</v>
      </c>
      <c r="AU405" s="353"/>
      <c r="AV405" s="353"/>
      <c r="AW405" s="761"/>
      <c r="AX405" s="353"/>
      <c r="AY405" s="354"/>
      <c r="AZ405" s="353"/>
      <c r="BA405" s="353"/>
      <c r="BB405" s="353"/>
      <c r="BC405" s="353"/>
      <c r="BD405" s="354"/>
      <c r="BE405" s="354"/>
      <c r="BF405" s="354"/>
      <c r="BG405" s="354"/>
      <c r="BH405" s="499"/>
    </row>
    <row r="406" spans="1:60" s="44" customFormat="1" hidden="1" outlineLevel="2" x14ac:dyDescent="0.25">
      <c r="A406" s="748"/>
      <c r="B406" s="246"/>
      <c r="C406" s="478"/>
      <c r="D406" s="478"/>
      <c r="E406" s="478"/>
      <c r="F406" s="478"/>
      <c r="G406" s="480"/>
      <c r="H406" s="480"/>
      <c r="I406" s="480"/>
      <c r="J406" s="480"/>
      <c r="K406" s="478"/>
      <c r="L406" s="480"/>
      <c r="M406" s="480"/>
      <c r="N406" s="480"/>
      <c r="O406" s="480"/>
      <c r="P406" s="478"/>
      <c r="Q406" s="480"/>
      <c r="R406" s="480"/>
      <c r="S406" s="480"/>
      <c r="T406" s="480"/>
      <c r="U406" s="478"/>
      <c r="V406" s="480"/>
      <c r="W406" s="480"/>
      <c r="X406" s="480"/>
      <c r="Y406" s="480"/>
      <c r="Z406" s="478"/>
      <c r="AA406" s="480"/>
      <c r="AB406" s="480"/>
      <c r="AC406" s="480"/>
      <c r="AD406" s="480"/>
      <c r="AE406" s="478"/>
      <c r="AF406" s="480"/>
      <c r="AG406" s="480"/>
      <c r="AH406" s="480"/>
      <c r="AI406" s="480"/>
      <c r="AJ406" s="478"/>
      <c r="AK406" s="480"/>
      <c r="AL406" s="480"/>
      <c r="AM406" s="480"/>
      <c r="AN406" s="480"/>
      <c r="AO406" s="478"/>
      <c r="AP406" s="480"/>
      <c r="AQ406" s="480"/>
      <c r="AR406" s="480"/>
      <c r="AS406" s="480"/>
      <c r="AT406" s="478"/>
      <c r="AU406" s="480"/>
      <c r="AV406" s="480"/>
      <c r="AW406" s="708"/>
      <c r="AX406" s="480"/>
      <c r="AY406" s="478"/>
      <c r="AZ406" s="480"/>
      <c r="BA406" s="480"/>
      <c r="BB406" s="480"/>
      <c r="BC406" s="480"/>
      <c r="BD406" s="478"/>
      <c r="BE406" s="478"/>
      <c r="BF406" s="478"/>
      <c r="BG406" s="478"/>
      <c r="BH406" s="473"/>
    </row>
    <row r="407" spans="1:60" s="470" customFormat="1" hidden="1" outlineLevel="2" x14ac:dyDescent="0.25">
      <c r="A407" s="483" t="s">
        <v>597</v>
      </c>
      <c r="B407" s="514"/>
      <c r="C407" s="492"/>
      <c r="D407" s="492"/>
      <c r="E407" s="492"/>
      <c r="F407" s="492"/>
      <c r="G407" s="491"/>
      <c r="H407" s="491"/>
      <c r="I407" s="491"/>
      <c r="J407" s="491"/>
      <c r="K407" s="492"/>
      <c r="L407" s="491"/>
      <c r="M407" s="491"/>
      <c r="N407" s="491"/>
      <c r="O407" s="491"/>
      <c r="P407" s="492"/>
      <c r="Q407" s="491"/>
      <c r="R407" s="491"/>
      <c r="S407" s="491"/>
      <c r="T407" s="491"/>
      <c r="U407" s="492"/>
      <c r="V407" s="491"/>
      <c r="W407" s="491"/>
      <c r="X407" s="491"/>
      <c r="Y407" s="491"/>
      <c r="Z407" s="492"/>
      <c r="AA407" s="491"/>
      <c r="AB407" s="491"/>
      <c r="AC407" s="491"/>
      <c r="AD407" s="491"/>
      <c r="AE407" s="492"/>
      <c r="AF407" s="491"/>
      <c r="AG407" s="497">
        <v>14</v>
      </c>
      <c r="AH407" s="490">
        <v>15</v>
      </c>
      <c r="AI407" s="490">
        <f>AJ407-42</f>
        <v>13</v>
      </c>
      <c r="AJ407" s="489">
        <v>55</v>
      </c>
      <c r="AK407" s="490">
        <v>14</v>
      </c>
      <c r="AL407" s="497">
        <v>16</v>
      </c>
      <c r="AM407" s="490">
        <v>22</v>
      </c>
      <c r="AN407" s="490">
        <f>AO407-53</f>
        <v>21</v>
      </c>
      <c r="AO407" s="489">
        <v>74</v>
      </c>
      <c r="AP407" s="490">
        <v>22</v>
      </c>
      <c r="AQ407" s="497">
        <v>22</v>
      </c>
      <c r="AR407" s="490">
        <v>26</v>
      </c>
      <c r="AS407" s="490">
        <f>AT407-SUM(AP407,AQ407,AR407)</f>
        <v>17</v>
      </c>
      <c r="AT407" s="489">
        <v>87</v>
      </c>
      <c r="AU407" s="491"/>
      <c r="AV407" s="491"/>
      <c r="AW407" s="692"/>
      <c r="AX407" s="491"/>
      <c r="AY407" s="492"/>
      <c r="AZ407" s="491"/>
      <c r="BA407" s="491"/>
      <c r="BB407" s="491"/>
      <c r="BC407" s="491"/>
      <c r="BD407" s="492"/>
      <c r="BE407" s="492"/>
      <c r="BF407" s="492"/>
      <c r="BG407" s="492"/>
      <c r="BH407" s="484"/>
    </row>
    <row r="408" spans="1:60" s="470" customFormat="1" hidden="1" outlineLevel="2" x14ac:dyDescent="0.25">
      <c r="A408" s="483" t="s">
        <v>598</v>
      </c>
      <c r="B408" s="514"/>
      <c r="C408" s="492"/>
      <c r="D408" s="492"/>
      <c r="E408" s="492"/>
      <c r="F408" s="492"/>
      <c r="G408" s="491"/>
      <c r="H408" s="491"/>
      <c r="I408" s="491"/>
      <c r="J408" s="491"/>
      <c r="K408" s="492"/>
      <c r="L408" s="491"/>
      <c r="M408" s="491"/>
      <c r="N408" s="491"/>
      <c r="O408" s="491"/>
      <c r="P408" s="492"/>
      <c r="Q408" s="491"/>
      <c r="R408" s="491"/>
      <c r="S408" s="491"/>
      <c r="T408" s="491"/>
      <c r="U408" s="492"/>
      <c r="V408" s="491"/>
      <c r="W408" s="491"/>
      <c r="X408" s="491"/>
      <c r="Y408" s="491"/>
      <c r="Z408" s="492"/>
      <c r="AA408" s="491"/>
      <c r="AB408" s="491"/>
      <c r="AC408" s="491"/>
      <c r="AD408" s="491"/>
      <c r="AE408" s="492"/>
      <c r="AF408" s="491"/>
      <c r="AG408" s="497">
        <v>15</v>
      </c>
      <c r="AH408" s="490">
        <v>16</v>
      </c>
      <c r="AI408" s="490">
        <f>AJ408-48</f>
        <v>16</v>
      </c>
      <c r="AJ408" s="489">
        <v>64</v>
      </c>
      <c r="AK408" s="490">
        <v>16</v>
      </c>
      <c r="AL408" s="497">
        <v>15</v>
      </c>
      <c r="AM408" s="490">
        <v>15</v>
      </c>
      <c r="AN408" s="490">
        <f>AO408-46</f>
        <v>15</v>
      </c>
      <c r="AO408" s="489">
        <v>61</v>
      </c>
      <c r="AP408" s="490">
        <v>15</v>
      </c>
      <c r="AQ408" s="497">
        <v>15</v>
      </c>
      <c r="AR408" s="490">
        <v>14</v>
      </c>
      <c r="AS408" s="490">
        <f>AT408-SUM(AP408,AQ408,AR408)</f>
        <v>15</v>
      </c>
      <c r="AT408" s="489">
        <v>59</v>
      </c>
      <c r="AU408" s="491"/>
      <c r="AV408" s="491"/>
      <c r="AW408" s="692"/>
      <c r="AX408" s="491"/>
      <c r="AY408" s="492"/>
      <c r="AZ408" s="491"/>
      <c r="BA408" s="491"/>
      <c r="BB408" s="491"/>
      <c r="BC408" s="491"/>
      <c r="BD408" s="492"/>
      <c r="BE408" s="492"/>
      <c r="BF408" s="492"/>
      <c r="BG408" s="492"/>
      <c r="BH408" s="484"/>
    </row>
    <row r="409" spans="1:60" s="498" customFormat="1" hidden="1" outlineLevel="2" x14ac:dyDescent="0.25">
      <c r="A409" s="500" t="s">
        <v>599</v>
      </c>
      <c r="B409" s="516"/>
      <c r="C409" s="511"/>
      <c r="D409" s="511"/>
      <c r="E409" s="511"/>
      <c r="F409" s="511"/>
      <c r="G409" s="510"/>
      <c r="H409" s="510"/>
      <c r="I409" s="510"/>
      <c r="J409" s="510"/>
      <c r="K409" s="511"/>
      <c r="L409" s="510"/>
      <c r="M409" s="510"/>
      <c r="N409" s="510"/>
      <c r="O409" s="510"/>
      <c r="P409" s="511"/>
      <c r="Q409" s="510"/>
      <c r="R409" s="510"/>
      <c r="S409" s="510"/>
      <c r="T409" s="510"/>
      <c r="U409" s="511"/>
      <c r="V409" s="510"/>
      <c r="W409" s="510"/>
      <c r="X409" s="510"/>
      <c r="Y409" s="510"/>
      <c r="Z409" s="511"/>
      <c r="AA409" s="510"/>
      <c r="AB409" s="510"/>
      <c r="AC409" s="510"/>
      <c r="AD409" s="510"/>
      <c r="AE409" s="511"/>
      <c r="AF409" s="508">
        <f t="shared" ref="AF409:AR409" si="566">SUM(AF407:AF408)</f>
        <v>0</v>
      </c>
      <c r="AG409" s="509">
        <f t="shared" si="566"/>
        <v>29</v>
      </c>
      <c r="AH409" s="508">
        <f t="shared" si="566"/>
        <v>31</v>
      </c>
      <c r="AI409" s="508">
        <f t="shared" si="566"/>
        <v>29</v>
      </c>
      <c r="AJ409" s="507">
        <f t="shared" si="566"/>
        <v>119</v>
      </c>
      <c r="AK409" s="508">
        <f t="shared" si="566"/>
        <v>30</v>
      </c>
      <c r="AL409" s="509">
        <f t="shared" si="566"/>
        <v>31</v>
      </c>
      <c r="AM409" s="508">
        <f t="shared" si="566"/>
        <v>37</v>
      </c>
      <c r="AN409" s="508">
        <f t="shared" si="566"/>
        <v>36</v>
      </c>
      <c r="AO409" s="507">
        <f t="shared" si="566"/>
        <v>135</v>
      </c>
      <c r="AP409" s="508">
        <f t="shared" si="566"/>
        <v>37</v>
      </c>
      <c r="AQ409" s="509">
        <f t="shared" si="566"/>
        <v>37</v>
      </c>
      <c r="AR409" s="508">
        <f t="shared" si="566"/>
        <v>40</v>
      </c>
      <c r="AS409" s="508">
        <f>SUM(AS407:AS408)</f>
        <v>32</v>
      </c>
      <c r="AT409" s="507">
        <f>SUM(AT407:AT408)</f>
        <v>146</v>
      </c>
      <c r="AU409" s="510"/>
      <c r="AV409" s="510"/>
      <c r="AW409" s="701"/>
      <c r="AX409" s="510"/>
      <c r="AY409" s="511"/>
      <c r="AZ409" s="510"/>
      <c r="BA409" s="510"/>
      <c r="BB409" s="510"/>
      <c r="BC409" s="510"/>
      <c r="BD409" s="511"/>
      <c r="BE409" s="511"/>
      <c r="BF409" s="511"/>
      <c r="BG409" s="511"/>
      <c r="BH409" s="499"/>
    </row>
    <row r="410" spans="1:60" s="469" customFormat="1" hidden="1" outlineLevel="2" x14ac:dyDescent="0.25">
      <c r="A410" s="748"/>
      <c r="B410" s="246"/>
      <c r="C410" s="478"/>
      <c r="D410" s="478"/>
      <c r="E410" s="478"/>
      <c r="F410" s="478"/>
      <c r="G410" s="480"/>
      <c r="H410" s="480"/>
      <c r="I410" s="480"/>
      <c r="J410" s="480"/>
      <c r="K410" s="478"/>
      <c r="L410" s="480"/>
      <c r="M410" s="480"/>
      <c r="N410" s="480"/>
      <c r="O410" s="480"/>
      <c r="P410" s="478"/>
      <c r="Q410" s="480"/>
      <c r="R410" s="480"/>
      <c r="S410" s="480"/>
      <c r="T410" s="480"/>
      <c r="U410" s="478"/>
      <c r="V410" s="480"/>
      <c r="W410" s="480"/>
      <c r="X410" s="480"/>
      <c r="Y410" s="480"/>
      <c r="Z410" s="478"/>
      <c r="AA410" s="480"/>
      <c r="AB410" s="480"/>
      <c r="AC410" s="480"/>
      <c r="AD410" s="480"/>
      <c r="AE410" s="478"/>
      <c r="AF410" s="480"/>
      <c r="AG410" s="480"/>
      <c r="AH410" s="480"/>
      <c r="AI410" s="480"/>
      <c r="AJ410" s="478"/>
      <c r="AK410" s="480"/>
      <c r="AL410" s="480"/>
      <c r="AM410" s="480"/>
      <c r="AN410" s="480"/>
      <c r="AO410" s="478"/>
      <c r="AP410" s="480"/>
      <c r="AQ410" s="480"/>
      <c r="AR410" s="480"/>
      <c r="AS410" s="480"/>
      <c r="AT410" s="478"/>
      <c r="AU410" s="480"/>
      <c r="AV410" s="480"/>
      <c r="AW410" s="708"/>
      <c r="AX410" s="480"/>
      <c r="AY410" s="478"/>
      <c r="AZ410" s="480"/>
      <c r="BA410" s="480"/>
      <c r="BB410" s="480"/>
      <c r="BC410" s="480"/>
      <c r="BD410" s="478"/>
      <c r="BE410" s="478"/>
      <c r="BF410" s="478"/>
      <c r="BG410" s="478"/>
      <c r="BH410" s="473"/>
    </row>
    <row r="411" spans="1:60" s="52" customFormat="1" hidden="1" outlineLevel="2" x14ac:dyDescent="0.25">
      <c r="A411" s="501" t="s">
        <v>91</v>
      </c>
      <c r="B411" s="764"/>
      <c r="C411" s="111"/>
      <c r="D411" s="111"/>
      <c r="E411" s="111"/>
      <c r="F411" s="111"/>
      <c r="G411" s="114"/>
      <c r="H411" s="114"/>
      <c r="I411" s="114"/>
      <c r="J411" s="114"/>
      <c r="K411" s="111"/>
      <c r="L411" s="114"/>
      <c r="M411" s="114"/>
      <c r="N411" s="114"/>
      <c r="O411" s="114"/>
      <c r="P411" s="111"/>
      <c r="Q411" s="114"/>
      <c r="R411" s="114"/>
      <c r="S411" s="114"/>
      <c r="T411" s="114"/>
      <c r="U411" s="111"/>
      <c r="V411" s="114"/>
      <c r="W411" s="114"/>
      <c r="X411" s="114"/>
      <c r="Y411" s="114"/>
      <c r="Z411" s="111"/>
      <c r="AA411" s="114"/>
      <c r="AB411" s="114"/>
      <c r="AC411" s="114"/>
      <c r="AD411" s="114"/>
      <c r="AE411" s="111"/>
      <c r="AF411" s="499">
        <v>22</v>
      </c>
      <c r="AG411" s="194">
        <v>52</v>
      </c>
      <c r="AH411" s="499">
        <v>72</v>
      </c>
      <c r="AI411" s="499">
        <f>AJ411</f>
        <v>96</v>
      </c>
      <c r="AJ411" s="51">
        <v>96</v>
      </c>
      <c r="AK411" s="499">
        <v>20</v>
      </c>
      <c r="AL411" s="194">
        <v>39</v>
      </c>
      <c r="AM411" s="499">
        <v>61</v>
      </c>
      <c r="AN411" s="499">
        <f>AO411</f>
        <v>88</v>
      </c>
      <c r="AO411" s="51">
        <v>88</v>
      </c>
      <c r="AP411" s="499">
        <v>19</v>
      </c>
      <c r="AQ411" s="194">
        <v>40</v>
      </c>
      <c r="AR411" s="499">
        <v>61</v>
      </c>
      <c r="AS411" s="499">
        <f>AT411</f>
        <v>77</v>
      </c>
      <c r="AT411" s="51">
        <v>77</v>
      </c>
      <c r="AU411" s="114"/>
      <c r="AV411" s="114"/>
      <c r="AW411" s="765"/>
      <c r="AX411" s="114"/>
      <c r="AY411" s="111"/>
      <c r="AZ411" s="114"/>
      <c r="BA411" s="114"/>
      <c r="BB411" s="114"/>
      <c r="BC411" s="114"/>
      <c r="BD411" s="111"/>
      <c r="BE411" s="111"/>
      <c r="BF411" s="111"/>
      <c r="BG411" s="111"/>
      <c r="BH411" s="499"/>
    </row>
    <row r="412" spans="1:60" s="52" customFormat="1" hidden="1" outlineLevel="2" collapsed="1" x14ac:dyDescent="0.25">
      <c r="A412" s="501" t="s">
        <v>92</v>
      </c>
      <c r="B412" s="764"/>
      <c r="C412" s="111"/>
      <c r="D412" s="111"/>
      <c r="E412" s="111"/>
      <c r="F412" s="111"/>
      <c r="G412" s="114"/>
      <c r="H412" s="114"/>
      <c r="I412" s="114"/>
      <c r="J412" s="114"/>
      <c r="K412" s="111"/>
      <c r="L412" s="114"/>
      <c r="M412" s="114"/>
      <c r="N412" s="114"/>
      <c r="O412" s="114"/>
      <c r="P412" s="111"/>
      <c r="Q412" s="114"/>
      <c r="R412" s="114"/>
      <c r="S412" s="114"/>
      <c r="T412" s="114"/>
      <c r="U412" s="111"/>
      <c r="V412" s="114"/>
      <c r="W412" s="114"/>
      <c r="X412" s="114"/>
      <c r="Y412" s="114"/>
      <c r="Z412" s="111"/>
      <c r="AA412" s="114"/>
      <c r="AB412" s="114"/>
      <c r="AC412" s="114"/>
      <c r="AD412" s="114"/>
      <c r="AE412" s="111"/>
      <c r="AF412" s="499">
        <f>AF411</f>
        <v>22</v>
      </c>
      <c r="AG412" s="194">
        <f>AG411-AF411</f>
        <v>30</v>
      </c>
      <c r="AH412" s="499">
        <f>AH411-AG411</f>
        <v>20</v>
      </c>
      <c r="AI412" s="499">
        <f>AI411-AH411</f>
        <v>24</v>
      </c>
      <c r="AJ412" s="51">
        <v>96</v>
      </c>
      <c r="AK412" s="499">
        <f>AK411</f>
        <v>20</v>
      </c>
      <c r="AL412" s="194">
        <f>AL411-AK411</f>
        <v>19</v>
      </c>
      <c r="AM412" s="499">
        <f>AM411-AL411</f>
        <v>22</v>
      </c>
      <c r="AN412" s="499">
        <f>AN411-AM411</f>
        <v>27</v>
      </c>
      <c r="AO412" s="51">
        <v>88</v>
      </c>
      <c r="AP412" s="499">
        <f>AP411</f>
        <v>19</v>
      </c>
      <c r="AQ412" s="194">
        <f>AQ411-AP411</f>
        <v>21</v>
      </c>
      <c r="AR412" s="499">
        <f>AR411-AQ411</f>
        <v>21</v>
      </c>
      <c r="AS412" s="499">
        <f>AS411-AR411</f>
        <v>16</v>
      </c>
      <c r="AT412" s="51">
        <f>+AT411</f>
        <v>77</v>
      </c>
      <c r="AU412" s="114"/>
      <c r="AV412" s="114"/>
      <c r="AW412" s="765"/>
      <c r="AX412" s="114"/>
      <c r="AY412" s="111"/>
      <c r="AZ412" s="114"/>
      <c r="BA412" s="114"/>
      <c r="BB412" s="114"/>
      <c r="BC412" s="114"/>
      <c r="BD412" s="111"/>
      <c r="BE412" s="111"/>
      <c r="BF412" s="111"/>
      <c r="BG412" s="111"/>
      <c r="BH412" s="499"/>
    </row>
    <row r="413" spans="1:60" s="498" customFormat="1" hidden="1" outlineLevel="1" collapsed="1" x14ac:dyDescent="0.25">
      <c r="A413" s="635"/>
      <c r="B413" s="764"/>
      <c r="C413" s="111"/>
      <c r="D413" s="111"/>
      <c r="E413" s="111"/>
      <c r="F413" s="111"/>
      <c r="G413" s="114"/>
      <c r="H413" s="114"/>
      <c r="I413" s="114"/>
      <c r="J413" s="114"/>
      <c r="K413" s="111"/>
      <c r="L413" s="114"/>
      <c r="M413" s="114"/>
      <c r="N413" s="114"/>
      <c r="O413" s="114"/>
      <c r="P413" s="111"/>
      <c r="Q413" s="114"/>
      <c r="R413" s="114"/>
      <c r="S413" s="114"/>
      <c r="T413" s="114"/>
      <c r="U413" s="111"/>
      <c r="V413" s="114"/>
      <c r="W413" s="114"/>
      <c r="X413" s="114"/>
      <c r="Y413" s="114"/>
      <c r="Z413" s="111"/>
      <c r="AA413" s="114"/>
      <c r="AB413" s="114"/>
      <c r="AC413" s="114"/>
      <c r="AD413" s="114"/>
      <c r="AE413" s="111"/>
      <c r="AF413" s="114"/>
      <c r="AG413" s="114"/>
      <c r="AH413" s="114"/>
      <c r="AI413" s="114"/>
      <c r="AJ413" s="111"/>
      <c r="AK413" s="114"/>
      <c r="AL413" s="114"/>
      <c r="AM413" s="114"/>
      <c r="AN413" s="114"/>
      <c r="AO413" s="111"/>
      <c r="AP413" s="114"/>
      <c r="AQ413" s="114"/>
      <c r="AR413" s="114"/>
      <c r="AS413" s="114"/>
      <c r="AT413" s="111"/>
      <c r="AU413" s="114"/>
      <c r="AV413" s="114"/>
      <c r="AW413" s="765"/>
      <c r="AX413" s="114"/>
      <c r="AY413" s="111"/>
      <c r="AZ413" s="114"/>
      <c r="BA413" s="114"/>
      <c r="BB413" s="114"/>
      <c r="BC413" s="114"/>
      <c r="BD413" s="111"/>
      <c r="BE413" s="111"/>
      <c r="BF413" s="111"/>
      <c r="BG413" s="111"/>
      <c r="BH413" s="499"/>
    </row>
    <row r="414" spans="1:60" s="19" customFormat="1" hidden="1" outlineLevel="1" x14ac:dyDescent="0.25">
      <c r="A414" s="956" t="s">
        <v>833</v>
      </c>
      <c r="B414" s="956"/>
      <c r="C414" s="986"/>
      <c r="D414" s="986"/>
      <c r="E414" s="986"/>
      <c r="F414" s="986"/>
      <c r="G414" s="986"/>
      <c r="H414" s="986"/>
      <c r="I414" s="986"/>
      <c r="J414" s="986"/>
      <c r="K414" s="986"/>
      <c r="L414" s="986"/>
      <c r="M414" s="986"/>
      <c r="N414" s="986"/>
      <c r="O414" s="986"/>
      <c r="P414" s="986"/>
      <c r="Q414" s="986"/>
      <c r="R414" s="986"/>
      <c r="S414" s="986"/>
      <c r="T414" s="986"/>
      <c r="U414" s="986"/>
      <c r="V414" s="986"/>
      <c r="W414" s="986"/>
      <c r="X414" s="986"/>
      <c r="Y414" s="986"/>
      <c r="Z414" s="986"/>
      <c r="AA414" s="986"/>
      <c r="AB414" s="986"/>
      <c r="AC414" s="986"/>
      <c r="AD414" s="986"/>
      <c r="AE414" s="986"/>
      <c r="AF414" s="986"/>
      <c r="AG414" s="986"/>
      <c r="AH414" s="986"/>
      <c r="AI414" s="986"/>
      <c r="AJ414" s="986"/>
      <c r="AK414" s="986"/>
      <c r="AL414" s="986"/>
      <c r="AM414" s="986"/>
      <c r="AN414" s="986"/>
      <c r="AO414" s="986"/>
      <c r="AP414" s="986"/>
      <c r="AQ414" s="986"/>
      <c r="AR414" s="986"/>
      <c r="AS414" s="986"/>
      <c r="AT414" s="986"/>
      <c r="AU414" s="986"/>
      <c r="AV414" s="986"/>
      <c r="AW414" s="987"/>
      <c r="AX414" s="986"/>
      <c r="AY414" s="986"/>
      <c r="AZ414" s="986"/>
      <c r="BA414" s="986"/>
      <c r="BB414" s="986"/>
      <c r="BC414" s="986"/>
      <c r="BD414" s="986"/>
      <c r="BE414" s="986"/>
      <c r="BF414" s="986"/>
      <c r="BG414" s="986"/>
      <c r="BH414" s="730"/>
    </row>
    <row r="415" spans="1:60" s="470" customFormat="1" hidden="1" outlineLevel="2" x14ac:dyDescent="0.25">
      <c r="A415" s="96" t="s">
        <v>637</v>
      </c>
      <c r="B415" s="234"/>
      <c r="C415" s="104"/>
      <c r="D415" s="104"/>
      <c r="E415" s="104"/>
      <c r="F415" s="104"/>
      <c r="G415" s="113"/>
      <c r="H415" s="113"/>
      <c r="I415" s="113"/>
      <c r="J415" s="113"/>
      <c r="K415" s="104"/>
      <c r="L415" s="113"/>
      <c r="M415" s="113"/>
      <c r="N415" s="113"/>
      <c r="O415" s="113"/>
      <c r="P415" s="104"/>
      <c r="Q415" s="113"/>
      <c r="R415" s="113"/>
      <c r="S415" s="113"/>
      <c r="T415" s="113"/>
      <c r="U415" s="104"/>
      <c r="V415" s="113"/>
      <c r="W415" s="113"/>
      <c r="X415" s="113"/>
      <c r="Y415" s="113"/>
      <c r="Z415" s="104"/>
      <c r="AA415" s="113"/>
      <c r="AB415" s="113"/>
      <c r="AC415" s="113"/>
      <c r="AD415" s="113"/>
      <c r="AE415" s="104"/>
      <c r="AF415" s="113"/>
      <c r="AG415" s="113"/>
      <c r="AH415" s="113"/>
      <c r="AI415" s="113"/>
      <c r="AJ415" s="104"/>
      <c r="AK415" s="484">
        <v>1038</v>
      </c>
      <c r="AL415" s="191">
        <v>1066</v>
      </c>
      <c r="AM415" s="484">
        <v>1728</v>
      </c>
      <c r="AN415" s="484">
        <f>AO415-3840</f>
        <v>1429</v>
      </c>
      <c r="AO415" s="39">
        <v>5269</v>
      </c>
      <c r="AP415" s="484">
        <v>1981</v>
      </c>
      <c r="AQ415" s="191">
        <v>1264</v>
      </c>
      <c r="AR415" s="484">
        <v>904</v>
      </c>
      <c r="AS415" s="113"/>
      <c r="AT415" s="104"/>
      <c r="AU415" s="113"/>
      <c r="AV415" s="113"/>
      <c r="AW415" s="699"/>
      <c r="AX415" s="113"/>
      <c r="AY415" s="104"/>
      <c r="AZ415" s="113"/>
      <c r="BA415" s="113"/>
      <c r="BB415" s="113"/>
      <c r="BC415" s="113"/>
      <c r="BD415" s="104"/>
      <c r="BE415" s="104"/>
      <c r="BF415" s="104"/>
      <c r="BG415" s="104"/>
      <c r="BH415" s="484"/>
    </row>
    <row r="416" spans="1:60" s="470" customFormat="1" hidden="1" outlineLevel="2" x14ac:dyDescent="0.25">
      <c r="A416" s="363" t="s">
        <v>640</v>
      </c>
      <c r="B416" s="536"/>
      <c r="C416" s="230"/>
      <c r="D416" s="230"/>
      <c r="E416" s="230"/>
      <c r="F416" s="230"/>
      <c r="G416" s="215"/>
      <c r="H416" s="215"/>
      <c r="I416" s="215"/>
      <c r="J416" s="215"/>
      <c r="K416" s="230"/>
      <c r="L416" s="215"/>
      <c r="M416" s="215"/>
      <c r="N416" s="215"/>
      <c r="O416" s="215"/>
      <c r="P416" s="230"/>
      <c r="Q416" s="215"/>
      <c r="R416" s="215"/>
      <c r="S416" s="215"/>
      <c r="T416" s="215"/>
      <c r="U416" s="230"/>
      <c r="V416" s="215"/>
      <c r="W416" s="215"/>
      <c r="X416" s="215"/>
      <c r="Y416" s="215"/>
      <c r="Z416" s="230"/>
      <c r="AA416" s="215"/>
      <c r="AB416" s="215"/>
      <c r="AC416" s="215"/>
      <c r="AD416" s="215"/>
      <c r="AE416" s="230"/>
      <c r="AF416" s="215"/>
      <c r="AG416" s="215"/>
      <c r="AH416" s="215"/>
      <c r="AI416" s="215"/>
      <c r="AJ416" s="230"/>
      <c r="AK416" s="220">
        <v>87</v>
      </c>
      <c r="AL416" s="221">
        <v>125</v>
      </c>
      <c r="AM416" s="220">
        <v>345</v>
      </c>
      <c r="AN416" s="220">
        <f>AO416-551</f>
        <v>230</v>
      </c>
      <c r="AO416" s="219">
        <v>781</v>
      </c>
      <c r="AP416" s="220">
        <v>185</v>
      </c>
      <c r="AQ416" s="221">
        <v>162</v>
      </c>
      <c r="AR416" s="220">
        <v>39</v>
      </c>
      <c r="AS416" s="215"/>
      <c r="AT416" s="230"/>
      <c r="AU416" s="215"/>
      <c r="AV416" s="215"/>
      <c r="AW416" s="774"/>
      <c r="AX416" s="215"/>
      <c r="AY416" s="230"/>
      <c r="AZ416" s="215"/>
      <c r="BA416" s="215"/>
      <c r="BB416" s="215"/>
      <c r="BC416" s="215"/>
      <c r="BD416" s="230"/>
      <c r="BE416" s="230"/>
      <c r="BF416" s="230"/>
      <c r="BG416" s="230"/>
      <c r="BH416" s="484"/>
    </row>
    <row r="417" spans="1:60" s="470" customFormat="1" hidden="1" outlineLevel="2" x14ac:dyDescent="0.25">
      <c r="A417" s="483" t="s">
        <v>699</v>
      </c>
      <c r="B417" s="234"/>
      <c r="C417" s="104"/>
      <c r="D417" s="104"/>
      <c r="E417" s="104"/>
      <c r="F417" s="104"/>
      <c r="G417" s="113"/>
      <c r="H417" s="113"/>
      <c r="I417" s="113"/>
      <c r="J417" s="113"/>
      <c r="K417" s="104"/>
      <c r="L417" s="113"/>
      <c r="M417" s="113"/>
      <c r="N417" s="113"/>
      <c r="O417" s="113"/>
      <c r="P417" s="104"/>
      <c r="Q417" s="113"/>
      <c r="R417" s="113"/>
      <c r="S417" s="113"/>
      <c r="T417" s="113"/>
      <c r="U417" s="104"/>
      <c r="V417" s="113"/>
      <c r="W417" s="113"/>
      <c r="X417" s="113"/>
      <c r="Y417" s="113"/>
      <c r="Z417" s="104"/>
      <c r="AA417" s="113"/>
      <c r="AB417" s="113"/>
      <c r="AC417" s="113"/>
      <c r="AD417" s="113"/>
      <c r="AE417" s="104"/>
      <c r="AF417" s="113"/>
      <c r="AG417" s="113"/>
      <c r="AH417" s="113"/>
      <c r="AI417" s="113"/>
      <c r="AJ417" s="104"/>
      <c r="AK417" s="484">
        <f>SUM(AK415:AK416)</f>
        <v>1125</v>
      </c>
      <c r="AL417" s="191">
        <f t="shared" ref="AL417:AR417" si="567">SUM(AL415:AL416)</f>
        <v>1191</v>
      </c>
      <c r="AM417" s="484">
        <f t="shared" si="567"/>
        <v>2073</v>
      </c>
      <c r="AN417" s="484">
        <f t="shared" si="567"/>
        <v>1659</v>
      </c>
      <c r="AO417" s="39">
        <f t="shared" si="567"/>
        <v>6050</v>
      </c>
      <c r="AP417" s="484">
        <f t="shared" si="567"/>
        <v>2166</v>
      </c>
      <c r="AQ417" s="191">
        <f t="shared" si="567"/>
        <v>1426</v>
      </c>
      <c r="AR417" s="484">
        <f t="shared" si="567"/>
        <v>943</v>
      </c>
      <c r="AS417" s="484">
        <f>AT417-SUM(AP417,AQ417,AR417)</f>
        <v>1136</v>
      </c>
      <c r="AT417" s="39">
        <v>5671</v>
      </c>
      <c r="AU417" s="113"/>
      <c r="AV417" s="113"/>
      <c r="AW417" s="699"/>
      <c r="AX417" s="113"/>
      <c r="AY417" s="104"/>
      <c r="AZ417" s="113"/>
      <c r="BA417" s="113"/>
      <c r="BB417" s="113"/>
      <c r="BC417" s="113"/>
      <c r="BD417" s="104"/>
      <c r="BE417" s="104"/>
      <c r="BF417" s="104"/>
      <c r="BG417" s="104"/>
      <c r="BH417" s="484"/>
    </row>
    <row r="418" spans="1:60" s="470" customFormat="1" hidden="1" outlineLevel="2" x14ac:dyDescent="0.25">
      <c r="A418" s="483" t="s">
        <v>638</v>
      </c>
      <c r="B418" s="234"/>
      <c r="C418" s="104"/>
      <c r="D418" s="104"/>
      <c r="E418" s="104"/>
      <c r="F418" s="104"/>
      <c r="G418" s="113"/>
      <c r="H418" s="113"/>
      <c r="I418" s="113"/>
      <c r="J418" s="113"/>
      <c r="K418" s="104"/>
      <c r="L418" s="113"/>
      <c r="M418" s="113"/>
      <c r="N418" s="113"/>
      <c r="O418" s="113"/>
      <c r="P418" s="104"/>
      <c r="Q418" s="113"/>
      <c r="R418" s="113"/>
      <c r="S418" s="113"/>
      <c r="T418" s="113"/>
      <c r="U418" s="104"/>
      <c r="V418" s="113"/>
      <c r="W418" s="113"/>
      <c r="X418" s="113"/>
      <c r="Y418" s="113"/>
      <c r="Z418" s="104"/>
      <c r="AA418" s="113"/>
      <c r="AB418" s="113"/>
      <c r="AC418" s="113"/>
      <c r="AD418" s="113"/>
      <c r="AE418" s="104"/>
      <c r="AF418" s="113"/>
      <c r="AG418" s="113"/>
      <c r="AH418" s="113"/>
      <c r="AI418" s="113"/>
      <c r="AJ418" s="104"/>
      <c r="AK418" s="484">
        <v>413</v>
      </c>
      <c r="AL418" s="191">
        <v>550</v>
      </c>
      <c r="AM418" s="484">
        <v>889</v>
      </c>
      <c r="AN418" s="484">
        <f>AO418-1878</f>
        <v>1078</v>
      </c>
      <c r="AO418" s="39">
        <v>2956</v>
      </c>
      <c r="AP418" s="484">
        <v>973</v>
      </c>
      <c r="AQ418" s="191">
        <v>714</v>
      </c>
      <c r="AR418" s="484">
        <v>516</v>
      </c>
      <c r="AS418" s="484">
        <f>AT418-SUM(AP418,AQ418,AR418)</f>
        <v>406</v>
      </c>
      <c r="AT418" s="39">
        <v>2609</v>
      </c>
      <c r="AU418" s="113"/>
      <c r="AV418" s="113"/>
      <c r="AW418" s="699"/>
      <c r="AX418" s="113"/>
      <c r="AY418" s="104"/>
      <c r="AZ418" s="113"/>
      <c r="BA418" s="113"/>
      <c r="BB418" s="113"/>
      <c r="BC418" s="113"/>
      <c r="BD418" s="104"/>
      <c r="BE418" s="104"/>
      <c r="BF418" s="104"/>
      <c r="BG418" s="104"/>
      <c r="BH418" s="484"/>
    </row>
    <row r="419" spans="1:60" s="470" customFormat="1" hidden="1" outlineLevel="2" x14ac:dyDescent="0.25">
      <c r="A419" s="483" t="s">
        <v>639</v>
      </c>
      <c r="B419" s="234"/>
      <c r="C419" s="104"/>
      <c r="D419" s="104"/>
      <c r="E419" s="104"/>
      <c r="F419" s="104"/>
      <c r="G419" s="113"/>
      <c r="H419" s="113"/>
      <c r="I419" s="113"/>
      <c r="J419" s="113"/>
      <c r="K419" s="104"/>
      <c r="L419" s="113"/>
      <c r="M419" s="113"/>
      <c r="N419" s="113"/>
      <c r="O419" s="113"/>
      <c r="P419" s="104"/>
      <c r="Q419" s="113"/>
      <c r="R419" s="113"/>
      <c r="S419" s="113"/>
      <c r="T419" s="113"/>
      <c r="U419" s="104"/>
      <c r="V419" s="113"/>
      <c r="W419" s="113"/>
      <c r="X419" s="113"/>
      <c r="Y419" s="113"/>
      <c r="Z419" s="104"/>
      <c r="AA419" s="113"/>
      <c r="AB419" s="113"/>
      <c r="AC419" s="113"/>
      <c r="AD419" s="113"/>
      <c r="AE419" s="104"/>
      <c r="AF419" s="113"/>
      <c r="AG419" s="113"/>
      <c r="AH419" s="113"/>
      <c r="AI419" s="113"/>
      <c r="AJ419" s="104"/>
      <c r="AK419" s="484">
        <v>286</v>
      </c>
      <c r="AL419" s="191">
        <v>393</v>
      </c>
      <c r="AM419" s="484">
        <v>874</v>
      </c>
      <c r="AN419" s="484">
        <f>AO419-1548</f>
        <v>573</v>
      </c>
      <c r="AO419" s="39">
        <v>2121</v>
      </c>
      <c r="AP419" s="484">
        <v>625</v>
      </c>
      <c r="AQ419" s="191">
        <v>399</v>
      </c>
      <c r="AR419" s="484">
        <v>279</v>
      </c>
      <c r="AS419" s="484">
        <f>AT419-SUM(AP419,AQ419,AR419)</f>
        <v>53</v>
      </c>
      <c r="AT419" s="39">
        <v>1356</v>
      </c>
      <c r="AU419" s="113"/>
      <c r="AV419" s="113"/>
      <c r="AW419" s="699"/>
      <c r="AX419" s="113"/>
      <c r="AY419" s="104"/>
      <c r="AZ419" s="113"/>
      <c r="BA419" s="113"/>
      <c r="BB419" s="113"/>
      <c r="BC419" s="113"/>
      <c r="BD419" s="104"/>
      <c r="BE419" s="104"/>
      <c r="BF419" s="104"/>
      <c r="BG419" s="104"/>
      <c r="BH419" s="484"/>
    </row>
    <row r="420" spans="1:60" s="498" customFormat="1" hidden="1" outlineLevel="2" x14ac:dyDescent="0.25">
      <c r="A420" s="500" t="s">
        <v>587</v>
      </c>
      <c r="B420" s="762"/>
      <c r="C420" s="106"/>
      <c r="D420" s="106"/>
      <c r="E420" s="106"/>
      <c r="F420" s="106"/>
      <c r="G420" s="105"/>
      <c r="H420" s="105"/>
      <c r="I420" s="105"/>
      <c r="J420" s="105"/>
      <c r="K420" s="106"/>
      <c r="L420" s="105"/>
      <c r="M420" s="105"/>
      <c r="N420" s="105"/>
      <c r="O420" s="105"/>
      <c r="P420" s="106"/>
      <c r="Q420" s="105"/>
      <c r="R420" s="105"/>
      <c r="S420" s="105"/>
      <c r="T420" s="105"/>
      <c r="U420" s="106"/>
      <c r="V420" s="105"/>
      <c r="W420" s="105"/>
      <c r="X420" s="105"/>
      <c r="Y420" s="105"/>
      <c r="Z420" s="106"/>
      <c r="AA420" s="105"/>
      <c r="AB420" s="105"/>
      <c r="AC420" s="105"/>
      <c r="AD420" s="105"/>
      <c r="AE420" s="106"/>
      <c r="AF420" s="105"/>
      <c r="AG420" s="105"/>
      <c r="AH420" s="105"/>
      <c r="AI420" s="105"/>
      <c r="AJ420" s="106"/>
      <c r="AK420" s="61">
        <f>SUM(AK417:AK419)</f>
        <v>1824</v>
      </c>
      <c r="AL420" s="192">
        <f t="shared" ref="AL420:AT420" si="568">SUM(AL417:AL419)</f>
        <v>2134</v>
      </c>
      <c r="AM420" s="61">
        <f t="shared" si="568"/>
        <v>3836</v>
      </c>
      <c r="AN420" s="61">
        <f t="shared" si="568"/>
        <v>3310</v>
      </c>
      <c r="AO420" s="53">
        <f t="shared" si="568"/>
        <v>11127</v>
      </c>
      <c r="AP420" s="61">
        <f t="shared" si="568"/>
        <v>3764</v>
      </c>
      <c r="AQ420" s="192">
        <f t="shared" si="568"/>
        <v>2539</v>
      </c>
      <c r="AR420" s="61">
        <f t="shared" si="568"/>
        <v>1738</v>
      </c>
      <c r="AS420" s="61">
        <f t="shared" si="568"/>
        <v>1595</v>
      </c>
      <c r="AT420" s="53">
        <f t="shared" si="568"/>
        <v>9636</v>
      </c>
      <c r="AU420" s="105"/>
      <c r="AV420" s="105"/>
      <c r="AW420" s="763"/>
      <c r="AX420" s="105"/>
      <c r="AY420" s="106"/>
      <c r="AZ420" s="105"/>
      <c r="BA420" s="105"/>
      <c r="BB420" s="105"/>
      <c r="BC420" s="105"/>
      <c r="BD420" s="106"/>
      <c r="BE420" s="106"/>
      <c r="BF420" s="106"/>
      <c r="BG420" s="106"/>
      <c r="BH420" s="499"/>
    </row>
    <row r="421" spans="1:60" s="44" customFormat="1" hidden="1" outlineLevel="1" collapsed="1" x14ac:dyDescent="0.25">
      <c r="A421" s="748"/>
      <c r="B421" s="246"/>
      <c r="C421" s="478"/>
      <c r="D421" s="478"/>
      <c r="E421" s="478"/>
      <c r="F421" s="478"/>
      <c r="G421" s="480"/>
      <c r="H421" s="480"/>
      <c r="I421" s="480"/>
      <c r="J421" s="480"/>
      <c r="K421" s="478"/>
      <c r="L421" s="480"/>
      <c r="M421" s="480"/>
      <c r="N421" s="480"/>
      <c r="O421" s="480"/>
      <c r="P421" s="478"/>
      <c r="Q421" s="480"/>
      <c r="R421" s="480"/>
      <c r="S421" s="480"/>
      <c r="T421" s="480"/>
      <c r="U421" s="478"/>
      <c r="V421" s="480"/>
      <c r="W421" s="480"/>
      <c r="X421" s="480"/>
      <c r="Y421" s="480"/>
      <c r="Z421" s="478"/>
      <c r="AA421" s="480"/>
      <c r="AB421" s="480"/>
      <c r="AC421" s="480"/>
      <c r="AD421" s="480"/>
      <c r="AE421" s="478"/>
      <c r="AF421" s="480"/>
      <c r="AG421" s="480"/>
      <c r="AH421" s="480"/>
      <c r="AI421" s="480"/>
      <c r="AJ421" s="478"/>
      <c r="AK421" s="480"/>
      <c r="AL421" s="480"/>
      <c r="AM421" s="480"/>
      <c r="AN421" s="480"/>
      <c r="AO421" s="478"/>
      <c r="AP421" s="480"/>
      <c r="AQ421" s="480"/>
      <c r="AR421" s="480"/>
      <c r="AS421" s="480"/>
      <c r="AT421" s="478"/>
      <c r="AU421" s="480"/>
      <c r="AV421" s="480"/>
      <c r="AW421" s="708"/>
      <c r="AX421" s="480"/>
      <c r="AY421" s="478"/>
      <c r="AZ421" s="480"/>
      <c r="BA421" s="480"/>
      <c r="BB421" s="480"/>
      <c r="BC421" s="480"/>
      <c r="BD421" s="478"/>
      <c r="BE421" s="478"/>
      <c r="BF421" s="478"/>
      <c r="BG421" s="478"/>
      <c r="BH421" s="473"/>
    </row>
    <row r="422" spans="1:60" s="19" customFormat="1" hidden="1" outlineLevel="1" x14ac:dyDescent="0.25">
      <c r="A422" s="956" t="s">
        <v>834</v>
      </c>
      <c r="B422" s="956"/>
      <c r="C422" s="986"/>
      <c r="D422" s="986"/>
      <c r="E422" s="986"/>
      <c r="F422" s="986"/>
      <c r="G422" s="986"/>
      <c r="H422" s="986"/>
      <c r="I422" s="986"/>
      <c r="J422" s="986"/>
      <c r="K422" s="986"/>
      <c r="L422" s="986"/>
      <c r="M422" s="986"/>
      <c r="N422" s="986"/>
      <c r="O422" s="986"/>
      <c r="P422" s="986"/>
      <c r="Q422" s="986"/>
      <c r="R422" s="986"/>
      <c r="S422" s="986"/>
      <c r="T422" s="986"/>
      <c r="U422" s="986"/>
      <c r="V422" s="986"/>
      <c r="W422" s="986"/>
      <c r="X422" s="986"/>
      <c r="Y422" s="986"/>
      <c r="Z422" s="986"/>
      <c r="AA422" s="986"/>
      <c r="AB422" s="986"/>
      <c r="AC422" s="986"/>
      <c r="AD422" s="986"/>
      <c r="AE422" s="986"/>
      <c r="AF422" s="986"/>
      <c r="AG422" s="986"/>
      <c r="AH422" s="986"/>
      <c r="AI422" s="986"/>
      <c r="AJ422" s="986"/>
      <c r="AK422" s="986"/>
      <c r="AL422" s="986"/>
      <c r="AM422" s="986"/>
      <c r="AN422" s="986"/>
      <c r="AO422" s="986"/>
      <c r="AP422" s="988" t="s">
        <v>701</v>
      </c>
      <c r="AQ422" s="988" t="s">
        <v>701</v>
      </c>
      <c r="AR422" s="988"/>
      <c r="AS422" s="988"/>
      <c r="AT422" s="986"/>
      <c r="AU422" s="988"/>
      <c r="AV422" s="988"/>
      <c r="AW422" s="989"/>
      <c r="AX422" s="986"/>
      <c r="AY422" s="986"/>
      <c r="AZ422" s="986"/>
      <c r="BA422" s="986"/>
      <c r="BB422" s="986"/>
      <c r="BC422" s="986"/>
      <c r="BD422" s="986"/>
      <c r="BE422" s="986"/>
      <c r="BF422" s="986"/>
      <c r="BG422" s="986"/>
      <c r="BH422" s="730"/>
    </row>
    <row r="423" spans="1:60" s="475" customFormat="1" hidden="1" outlineLevel="2" x14ac:dyDescent="0.25">
      <c r="A423" s="476" t="s">
        <v>27</v>
      </c>
      <c r="B423" s="245"/>
      <c r="C423" s="103"/>
      <c r="D423" s="103"/>
      <c r="E423" s="103"/>
      <c r="F423" s="103"/>
      <c r="G423" s="101"/>
      <c r="H423" s="101"/>
      <c r="I423" s="101"/>
      <c r="J423" s="101"/>
      <c r="K423" s="103"/>
      <c r="L423" s="101"/>
      <c r="M423" s="101"/>
      <c r="N423" s="101"/>
      <c r="O423" s="101"/>
      <c r="P423" s="103"/>
      <c r="Q423" s="101"/>
      <c r="R423" s="101"/>
      <c r="S423" s="101"/>
      <c r="T423" s="101"/>
      <c r="U423" s="103"/>
      <c r="V423" s="101"/>
      <c r="W423" s="101"/>
      <c r="X423" s="101"/>
      <c r="Y423" s="101"/>
      <c r="Z423" s="103"/>
      <c r="AA423" s="101"/>
      <c r="AB423" s="101"/>
      <c r="AC423" s="101"/>
      <c r="AD423" s="101"/>
      <c r="AE423" s="468">
        <f>AE427/Z427-1</f>
        <v>-2.1647307286166817E-2</v>
      </c>
      <c r="AF423" s="101"/>
      <c r="AG423" s="101"/>
      <c r="AH423" s="101"/>
      <c r="AI423" s="101"/>
      <c r="AJ423" s="468">
        <f t="shared" ref="AJ423:AS424" si="569">AJ427/AE427-1</f>
        <v>3.6157582298974589E-2</v>
      </c>
      <c r="AK423" s="471">
        <f t="shared" si="569"/>
        <v>-3.1372549019607843E-2</v>
      </c>
      <c r="AL423" s="481">
        <f t="shared" si="569"/>
        <v>-3.9301310043668103E-2</v>
      </c>
      <c r="AM423" s="471">
        <f t="shared" si="569"/>
        <v>3.1638297872340422</v>
      </c>
      <c r="AN423" s="471">
        <f t="shared" si="569"/>
        <v>2.3692946058091287</v>
      </c>
      <c r="AO423" s="468">
        <f t="shared" si="569"/>
        <v>1.4427083333333335</v>
      </c>
      <c r="AP423" s="471">
        <f t="shared" si="569"/>
        <v>2.1720647773279351</v>
      </c>
      <c r="AQ423" s="481">
        <f t="shared" si="569"/>
        <v>2.1568181818181817</v>
      </c>
      <c r="AR423" s="471">
        <f t="shared" si="569"/>
        <v>-0.43893714869698519</v>
      </c>
      <c r="AS423" s="471">
        <f t="shared" si="569"/>
        <v>-0.18472906403940892</v>
      </c>
      <c r="AT423" s="468">
        <f t="shared" ref="AT423:AT424" si="570">AT427/AO427-1</f>
        <v>0.15415778251599144</v>
      </c>
      <c r="AU423" s="101"/>
      <c r="AV423" s="101"/>
      <c r="AW423" s="686"/>
      <c r="AX423" s="101"/>
      <c r="AY423" s="103"/>
      <c r="AZ423" s="101"/>
      <c r="BA423" s="101"/>
      <c r="BB423" s="101"/>
      <c r="BC423" s="101"/>
      <c r="BD423" s="103"/>
      <c r="BE423" s="103"/>
      <c r="BF423" s="103"/>
      <c r="BG423" s="103"/>
      <c r="BH423" s="477"/>
    </row>
    <row r="424" spans="1:60" s="475" customFormat="1" hidden="1" outlineLevel="2" x14ac:dyDescent="0.25">
      <c r="A424" s="658" t="s">
        <v>28</v>
      </c>
      <c r="B424" s="659"/>
      <c r="C424" s="660"/>
      <c r="D424" s="660"/>
      <c r="E424" s="660"/>
      <c r="F424" s="660"/>
      <c r="G424" s="661"/>
      <c r="H424" s="661"/>
      <c r="I424" s="661"/>
      <c r="J424" s="661"/>
      <c r="K424" s="660"/>
      <c r="L424" s="661"/>
      <c r="M424" s="661"/>
      <c r="N424" s="661"/>
      <c r="O424" s="661"/>
      <c r="P424" s="660"/>
      <c r="Q424" s="661"/>
      <c r="R424" s="661"/>
      <c r="S424" s="661"/>
      <c r="T424" s="661"/>
      <c r="U424" s="660"/>
      <c r="V424" s="661"/>
      <c r="W424" s="661"/>
      <c r="X424" s="661"/>
      <c r="Y424" s="661"/>
      <c r="Z424" s="660"/>
      <c r="AA424" s="661"/>
      <c r="AB424" s="661"/>
      <c r="AC424" s="661"/>
      <c r="AD424" s="661"/>
      <c r="AE424" s="660">
        <f>AE428/Z428-1</f>
        <v>-0.13456090651558072</v>
      </c>
      <c r="AF424" s="661"/>
      <c r="AG424" s="661"/>
      <c r="AH424" s="661"/>
      <c r="AI424" s="661"/>
      <c r="AJ424" s="660">
        <f t="shared" si="569"/>
        <v>0.22258592471358418</v>
      </c>
      <c r="AK424" s="661">
        <f t="shared" si="569"/>
        <v>7.1258907363420665E-3</v>
      </c>
      <c r="AL424" s="661">
        <f t="shared" si="569"/>
        <v>0.38069705093833783</v>
      </c>
      <c r="AM424" s="661">
        <f t="shared" si="569"/>
        <v>4.3249299719887953</v>
      </c>
      <c r="AN424" s="661">
        <f t="shared" si="569"/>
        <v>4.259475218658892</v>
      </c>
      <c r="AO424" s="660">
        <f t="shared" si="569"/>
        <v>2.1184738955823295</v>
      </c>
      <c r="AP424" s="661">
        <f t="shared" si="569"/>
        <v>3.7311320754716979</v>
      </c>
      <c r="AQ424" s="661">
        <f t="shared" si="569"/>
        <v>3.7689320388349516</v>
      </c>
      <c r="AR424" s="661">
        <f t="shared" si="569"/>
        <v>0.409784324039979</v>
      </c>
      <c r="AS424" s="661">
        <f t="shared" si="569"/>
        <v>0.83037694013303764</v>
      </c>
      <c r="AT424" s="660">
        <f t="shared" si="570"/>
        <v>1.2416827645417472</v>
      </c>
      <c r="AU424" s="661"/>
      <c r="AV424" s="661"/>
      <c r="AW424" s="696"/>
      <c r="AX424" s="661"/>
      <c r="AY424" s="660"/>
      <c r="AZ424" s="661"/>
      <c r="BA424" s="661"/>
      <c r="BB424" s="661"/>
      <c r="BC424" s="661"/>
      <c r="BD424" s="660"/>
      <c r="BE424" s="660"/>
      <c r="BF424" s="660"/>
      <c r="BG424" s="660"/>
      <c r="BH424" s="477"/>
    </row>
    <row r="425" spans="1:60" s="475" customFormat="1" hidden="1" outlineLevel="2" x14ac:dyDescent="0.25">
      <c r="A425" s="485" t="s">
        <v>29</v>
      </c>
      <c r="B425" s="245"/>
      <c r="C425" s="103"/>
      <c r="D425" s="103"/>
      <c r="E425" s="103"/>
      <c r="F425" s="103"/>
      <c r="G425" s="101"/>
      <c r="H425" s="101"/>
      <c r="I425" s="101"/>
      <c r="J425" s="101"/>
      <c r="K425" s="103"/>
      <c r="L425" s="101"/>
      <c r="M425" s="101"/>
      <c r="N425" s="101"/>
      <c r="O425" s="101"/>
      <c r="P425" s="103"/>
      <c r="Q425" s="101"/>
      <c r="R425" s="101"/>
      <c r="S425" s="101"/>
      <c r="T425" s="101"/>
      <c r="U425" s="103"/>
      <c r="V425" s="101"/>
      <c r="W425" s="101"/>
      <c r="X425" s="101"/>
      <c r="Y425" s="101"/>
      <c r="Z425" s="103"/>
      <c r="AA425" s="101"/>
      <c r="AB425" s="101"/>
      <c r="AC425" s="101"/>
      <c r="AD425" s="101"/>
      <c r="AE425" s="468">
        <f>AE430/Z430-1</f>
        <v>-6.9872958257713225E-2</v>
      </c>
      <c r="AF425" s="101"/>
      <c r="AG425" s="101"/>
      <c r="AH425" s="101"/>
      <c r="AI425" s="101"/>
      <c r="AJ425" s="468">
        <f t="shared" ref="AJ425:AS425" si="571">AJ430/AE430-1</f>
        <v>0.11024390243902449</v>
      </c>
      <c r="AK425" s="471">
        <f t="shared" si="571"/>
        <v>-1.3963480128893702E-2</v>
      </c>
      <c r="AL425" s="481">
        <f t="shared" si="571"/>
        <v>0.14921780986762934</v>
      </c>
      <c r="AM425" s="471">
        <f t="shared" si="571"/>
        <v>3.6650544135429266</v>
      </c>
      <c r="AN425" s="471">
        <f t="shared" si="571"/>
        <v>3.1551515151515153</v>
      </c>
      <c r="AO425" s="468">
        <f t="shared" si="571"/>
        <v>1.7384299941417694</v>
      </c>
      <c r="AP425" s="471">
        <f t="shared" si="571"/>
        <v>3.3431372549019605</v>
      </c>
      <c r="AQ425" s="481">
        <f t="shared" si="571"/>
        <v>3.3172774869109949</v>
      </c>
      <c r="AR425" s="471">
        <f t="shared" si="571"/>
        <v>2.8771384136858424E-2</v>
      </c>
      <c r="AS425" s="471">
        <f t="shared" si="571"/>
        <v>0.41569428238039663</v>
      </c>
      <c r="AT425" s="468">
        <f>AT430/AO430-1</f>
        <v>0.81484650764787681</v>
      </c>
      <c r="AU425" s="101"/>
      <c r="AV425" s="101"/>
      <c r="AW425" s="686"/>
      <c r="AX425" s="101"/>
      <c r="AY425" s="103"/>
      <c r="AZ425" s="101"/>
      <c r="BA425" s="101"/>
      <c r="BB425" s="101"/>
      <c r="BC425" s="101"/>
      <c r="BD425" s="103"/>
      <c r="BE425" s="103"/>
      <c r="BF425" s="103"/>
      <c r="BG425" s="103"/>
      <c r="BH425" s="477"/>
    </row>
    <row r="426" spans="1:60" s="470" customFormat="1" hidden="1" outlineLevel="2" x14ac:dyDescent="0.25">
      <c r="A426" s="226"/>
      <c r="B426" s="514"/>
      <c r="C426" s="492"/>
      <c r="D426" s="492"/>
      <c r="E426" s="492"/>
      <c r="F426" s="492"/>
      <c r="G426" s="491"/>
      <c r="H426" s="491"/>
      <c r="I426" s="491"/>
      <c r="J426" s="491"/>
      <c r="K426" s="492"/>
      <c r="L426" s="491"/>
      <c r="M426" s="491"/>
      <c r="N426" s="491"/>
      <c r="O426" s="491"/>
      <c r="P426" s="492"/>
      <c r="Q426" s="491"/>
      <c r="R426" s="491"/>
      <c r="S426" s="491"/>
      <c r="T426" s="491"/>
      <c r="U426" s="492"/>
      <c r="V426" s="491"/>
      <c r="W426" s="491"/>
      <c r="X426" s="491"/>
      <c r="Y426" s="491"/>
      <c r="Z426" s="492"/>
      <c r="AA426" s="491"/>
      <c r="AB426" s="491"/>
      <c r="AC426" s="491"/>
      <c r="AD426" s="491"/>
      <c r="AE426" s="492"/>
      <c r="AF426" s="491"/>
      <c r="AG426" s="491"/>
      <c r="AH426" s="491"/>
      <c r="AI426" s="491"/>
      <c r="AJ426" s="492"/>
      <c r="AK426" s="491"/>
      <c r="AL426" s="491"/>
      <c r="AM426" s="491"/>
      <c r="AN426" s="491"/>
      <c r="AO426" s="492"/>
      <c r="AP426" s="491"/>
      <c r="AQ426" s="491"/>
      <c r="AR426" s="491"/>
      <c r="AS426" s="491"/>
      <c r="AT426" s="492"/>
      <c r="AU426" s="491"/>
      <c r="AV426" s="491"/>
      <c r="AW426" s="692"/>
      <c r="AX426" s="491"/>
      <c r="AY426" s="492"/>
      <c r="AZ426" s="491"/>
      <c r="BA426" s="491"/>
      <c r="BB426" s="491"/>
      <c r="BC426" s="491"/>
      <c r="BD426" s="492"/>
      <c r="BE426" s="492"/>
      <c r="BF426" s="492"/>
      <c r="BG426" s="492"/>
      <c r="BH426" s="484"/>
    </row>
    <row r="427" spans="1:60" s="49" customFormat="1" hidden="1" outlineLevel="2" x14ac:dyDescent="0.25">
      <c r="A427" s="226" t="s">
        <v>93</v>
      </c>
      <c r="B427" s="514"/>
      <c r="C427" s="492"/>
      <c r="D427" s="492"/>
      <c r="E427" s="492"/>
      <c r="F427" s="492"/>
      <c r="G427" s="491"/>
      <c r="H427" s="491"/>
      <c r="I427" s="491"/>
      <c r="J427" s="491"/>
      <c r="K427" s="492"/>
      <c r="L427" s="491"/>
      <c r="M427" s="491"/>
      <c r="N427" s="491"/>
      <c r="O427" s="491"/>
      <c r="P427" s="492"/>
      <c r="Q427" s="491"/>
      <c r="R427" s="491"/>
      <c r="S427" s="491"/>
      <c r="T427" s="491"/>
      <c r="U427" s="492"/>
      <c r="V427" s="491"/>
      <c r="W427" s="491"/>
      <c r="X427" s="491"/>
      <c r="Y427" s="491"/>
      <c r="Z427" s="492">
        <v>1894</v>
      </c>
      <c r="AA427" s="491"/>
      <c r="AB427" s="491"/>
      <c r="AC427" s="491"/>
      <c r="AD427" s="491"/>
      <c r="AE427" s="492">
        <v>1853</v>
      </c>
      <c r="AF427" s="491">
        <v>510</v>
      </c>
      <c r="AG427" s="491">
        <v>458</v>
      </c>
      <c r="AH427" s="491">
        <v>470</v>
      </c>
      <c r="AI427" s="491">
        <f>AJ427-AH427-AG427-AF427</f>
        <v>482</v>
      </c>
      <c r="AJ427" s="492">
        <v>1920</v>
      </c>
      <c r="AK427" s="491">
        <v>494</v>
      </c>
      <c r="AL427" s="491">
        <v>440</v>
      </c>
      <c r="AM427" s="491">
        <v>1957</v>
      </c>
      <c r="AN427" s="491">
        <f>AO427-3066</f>
        <v>1624</v>
      </c>
      <c r="AO427" s="492">
        <v>4690</v>
      </c>
      <c r="AP427" s="491">
        <v>1567</v>
      </c>
      <c r="AQ427" s="491">
        <v>1389</v>
      </c>
      <c r="AR427" s="491">
        <v>1098</v>
      </c>
      <c r="AS427" s="491">
        <f>AT427-4089</f>
        <v>1324</v>
      </c>
      <c r="AT427" s="492">
        <v>5413</v>
      </c>
      <c r="AU427" s="491"/>
      <c r="AV427" s="491"/>
      <c r="AW427" s="692"/>
      <c r="AX427" s="491"/>
      <c r="AY427" s="492"/>
      <c r="AZ427" s="491"/>
      <c r="BA427" s="491"/>
      <c r="BB427" s="491"/>
      <c r="BC427" s="491"/>
      <c r="BD427" s="492"/>
      <c r="BE427" s="492"/>
      <c r="BF427" s="492"/>
      <c r="BG427" s="492"/>
      <c r="BH427" s="484"/>
    </row>
    <row r="428" spans="1:60" s="49" customFormat="1" hidden="1" outlineLevel="2" x14ac:dyDescent="0.25">
      <c r="A428" s="226" t="s">
        <v>94</v>
      </c>
      <c r="B428" s="514"/>
      <c r="C428" s="492"/>
      <c r="D428" s="492"/>
      <c r="E428" s="492"/>
      <c r="F428" s="492"/>
      <c r="G428" s="491"/>
      <c r="H428" s="491"/>
      <c r="I428" s="491"/>
      <c r="J428" s="491"/>
      <c r="K428" s="492"/>
      <c r="L428" s="491"/>
      <c r="M428" s="491"/>
      <c r="N428" s="491"/>
      <c r="O428" s="491"/>
      <c r="P428" s="492"/>
      <c r="Q428" s="491"/>
      <c r="R428" s="491"/>
      <c r="S428" s="491"/>
      <c r="T428" s="491"/>
      <c r="U428" s="492"/>
      <c r="V428" s="491"/>
      <c r="W428" s="491"/>
      <c r="X428" s="491"/>
      <c r="Y428" s="491"/>
      <c r="Z428" s="492">
        <v>1412</v>
      </c>
      <c r="AA428" s="491"/>
      <c r="AB428" s="491"/>
      <c r="AC428" s="491"/>
      <c r="AD428" s="491"/>
      <c r="AE428" s="492">
        <v>1222</v>
      </c>
      <c r="AF428" s="491">
        <v>421</v>
      </c>
      <c r="AG428" s="491">
        <v>373</v>
      </c>
      <c r="AH428" s="491">
        <v>357</v>
      </c>
      <c r="AI428" s="491">
        <f>AJ428-AH428-AG428-AF428</f>
        <v>343</v>
      </c>
      <c r="AJ428" s="492">
        <v>1494</v>
      </c>
      <c r="AK428" s="491">
        <v>424</v>
      </c>
      <c r="AL428" s="491">
        <v>515</v>
      </c>
      <c r="AM428" s="491">
        <v>1901</v>
      </c>
      <c r="AN428" s="491">
        <f>AO428-2855</f>
        <v>1804</v>
      </c>
      <c r="AO428" s="492">
        <v>4659</v>
      </c>
      <c r="AP428" s="491">
        <v>2006</v>
      </c>
      <c r="AQ428" s="491">
        <v>2456</v>
      </c>
      <c r="AR428" s="491">
        <v>2680</v>
      </c>
      <c r="AS428" s="491">
        <f>AT428-AR428-AQ428-AP428</f>
        <v>3302</v>
      </c>
      <c r="AT428" s="492">
        <v>10444</v>
      </c>
      <c r="AU428" s="491"/>
      <c r="AV428" s="491"/>
      <c r="AW428" s="692"/>
      <c r="AX428" s="491"/>
      <c r="AY428" s="492"/>
      <c r="AZ428" s="491"/>
      <c r="BA428" s="491"/>
      <c r="BB428" s="491"/>
      <c r="BC428" s="491"/>
      <c r="BD428" s="492"/>
      <c r="BE428" s="492"/>
      <c r="BF428" s="492"/>
      <c r="BG428" s="492"/>
      <c r="BH428" s="484"/>
    </row>
    <row r="429" spans="1:60" s="470" customFormat="1" hidden="1" outlineLevel="2" x14ac:dyDescent="0.25">
      <c r="A429" s="226" t="s">
        <v>622</v>
      </c>
      <c r="B429" s="514"/>
      <c r="C429" s="492"/>
      <c r="D429" s="492"/>
      <c r="E429" s="492"/>
      <c r="F429" s="492"/>
      <c r="G429" s="491"/>
      <c r="H429" s="491"/>
      <c r="I429" s="491"/>
      <c r="J429" s="491"/>
      <c r="K429" s="492"/>
      <c r="L429" s="491"/>
      <c r="M429" s="491"/>
      <c r="N429" s="491"/>
      <c r="O429" s="491"/>
      <c r="P429" s="492"/>
      <c r="Q429" s="491"/>
      <c r="R429" s="491"/>
      <c r="S429" s="491"/>
      <c r="T429" s="491"/>
      <c r="U429" s="492"/>
      <c r="V429" s="491"/>
      <c r="W429" s="491"/>
      <c r="X429" s="491"/>
      <c r="Y429" s="491"/>
      <c r="Z429" s="492"/>
      <c r="AA429" s="491"/>
      <c r="AB429" s="491"/>
      <c r="AC429" s="491"/>
      <c r="AD429" s="491"/>
      <c r="AE429" s="492"/>
      <c r="AF429" s="491"/>
      <c r="AG429" s="491"/>
      <c r="AH429" s="491"/>
      <c r="AI429" s="491"/>
      <c r="AJ429" s="492"/>
      <c r="AK429" s="491"/>
      <c r="AL429" s="491"/>
      <c r="AM429" s="491"/>
      <c r="AN429" s="491"/>
      <c r="AO429" s="492"/>
      <c r="AP429" s="491">
        <v>414</v>
      </c>
      <c r="AQ429" s="491">
        <v>278</v>
      </c>
      <c r="AR429" s="491">
        <v>191</v>
      </c>
      <c r="AS429" s="491">
        <f>AT429-883</f>
        <v>227</v>
      </c>
      <c r="AT429" s="492">
        <v>1110</v>
      </c>
      <c r="AU429" s="491"/>
      <c r="AV429" s="491"/>
      <c r="AW429" s="692"/>
      <c r="AX429" s="491"/>
      <c r="AY429" s="492"/>
      <c r="AZ429" s="491"/>
      <c r="BA429" s="491"/>
      <c r="BB429" s="491"/>
      <c r="BC429" s="491"/>
      <c r="BD429" s="492"/>
      <c r="BE429" s="492"/>
      <c r="BF429" s="492"/>
      <c r="BG429" s="492"/>
      <c r="BH429" s="484"/>
    </row>
    <row r="430" spans="1:60" s="52" customFormat="1" hidden="1" outlineLevel="2" x14ac:dyDescent="0.25">
      <c r="A430" s="500" t="s">
        <v>95</v>
      </c>
      <c r="B430" s="516"/>
      <c r="C430" s="511"/>
      <c r="D430" s="511"/>
      <c r="E430" s="511"/>
      <c r="F430" s="511"/>
      <c r="G430" s="510"/>
      <c r="H430" s="510"/>
      <c r="I430" s="510"/>
      <c r="J430" s="510"/>
      <c r="K430" s="511"/>
      <c r="L430" s="510"/>
      <c r="M430" s="510"/>
      <c r="N430" s="510"/>
      <c r="O430" s="510"/>
      <c r="P430" s="511"/>
      <c r="Q430" s="510"/>
      <c r="R430" s="510"/>
      <c r="S430" s="510"/>
      <c r="T430" s="510"/>
      <c r="U430" s="511"/>
      <c r="V430" s="510"/>
      <c r="W430" s="510"/>
      <c r="X430" s="510"/>
      <c r="Y430" s="510"/>
      <c r="Z430" s="507">
        <f t="shared" ref="Z430:AT430" si="572">SUM(Z427:Z429)</f>
        <v>3306</v>
      </c>
      <c r="AA430" s="508">
        <f t="shared" si="572"/>
        <v>0</v>
      </c>
      <c r="AB430" s="509">
        <f t="shared" si="572"/>
        <v>0</v>
      </c>
      <c r="AC430" s="508">
        <f t="shared" si="572"/>
        <v>0</v>
      </c>
      <c r="AD430" s="508">
        <f t="shared" si="572"/>
        <v>0</v>
      </c>
      <c r="AE430" s="507">
        <f t="shared" si="572"/>
        <v>3075</v>
      </c>
      <c r="AF430" s="508">
        <f t="shared" si="572"/>
        <v>931</v>
      </c>
      <c r="AG430" s="509">
        <f t="shared" si="572"/>
        <v>831</v>
      </c>
      <c r="AH430" s="508">
        <f t="shared" si="572"/>
        <v>827</v>
      </c>
      <c r="AI430" s="508">
        <f t="shared" si="572"/>
        <v>825</v>
      </c>
      <c r="AJ430" s="507">
        <f t="shared" si="572"/>
        <v>3414</v>
      </c>
      <c r="AK430" s="508">
        <f t="shared" si="572"/>
        <v>918</v>
      </c>
      <c r="AL430" s="509">
        <f t="shared" si="572"/>
        <v>955</v>
      </c>
      <c r="AM430" s="508">
        <f t="shared" si="572"/>
        <v>3858</v>
      </c>
      <c r="AN430" s="508">
        <f t="shared" si="572"/>
        <v>3428</v>
      </c>
      <c r="AO430" s="507">
        <f t="shared" si="572"/>
        <v>9349</v>
      </c>
      <c r="AP430" s="508">
        <f t="shared" si="572"/>
        <v>3987</v>
      </c>
      <c r="AQ430" s="509">
        <f t="shared" si="572"/>
        <v>4123</v>
      </c>
      <c r="AR430" s="508">
        <f t="shared" si="572"/>
        <v>3969</v>
      </c>
      <c r="AS430" s="508">
        <f t="shared" si="572"/>
        <v>4853</v>
      </c>
      <c r="AT430" s="507">
        <f t="shared" si="572"/>
        <v>16967</v>
      </c>
      <c r="AU430" s="510"/>
      <c r="AV430" s="510"/>
      <c r="AW430" s="701"/>
      <c r="AX430" s="510"/>
      <c r="AY430" s="511"/>
      <c r="AZ430" s="510"/>
      <c r="BA430" s="510"/>
      <c r="BB430" s="510"/>
      <c r="BC430" s="510"/>
      <c r="BD430" s="511"/>
      <c r="BE430" s="511"/>
      <c r="BF430" s="511"/>
      <c r="BG430" s="511"/>
      <c r="BH430" s="499"/>
    </row>
    <row r="431" spans="1:60" s="49" customFormat="1" hidden="1" outlineLevel="2" x14ac:dyDescent="0.25">
      <c r="A431" s="226" t="s">
        <v>34</v>
      </c>
      <c r="B431" s="514"/>
      <c r="C431" s="492"/>
      <c r="D431" s="492"/>
      <c r="E431" s="492"/>
      <c r="F431" s="492"/>
      <c r="G431" s="491"/>
      <c r="H431" s="491"/>
      <c r="I431" s="491"/>
      <c r="J431" s="491"/>
      <c r="K431" s="492"/>
      <c r="L431" s="491"/>
      <c r="M431" s="491"/>
      <c r="N431" s="491"/>
      <c r="O431" s="491"/>
      <c r="P431" s="492"/>
      <c r="Q431" s="491"/>
      <c r="R431" s="491"/>
      <c r="S431" s="491"/>
      <c r="T431" s="491"/>
      <c r="U431" s="492"/>
      <c r="V431" s="491"/>
      <c r="W431" s="491"/>
      <c r="X431" s="491"/>
      <c r="Y431" s="491"/>
      <c r="Z431" s="492">
        <v>-2195</v>
      </c>
      <c r="AA431" s="491"/>
      <c r="AB431" s="491"/>
      <c r="AC431" s="491"/>
      <c r="AD431" s="491"/>
      <c r="AE431" s="492">
        <v>-1983</v>
      </c>
      <c r="AF431" s="491">
        <v>-588</v>
      </c>
      <c r="AG431" s="491">
        <v>-547</v>
      </c>
      <c r="AH431" s="491">
        <v>-622</v>
      </c>
      <c r="AI431" s="491">
        <f>AJ431-AH431-AG431-AF431</f>
        <v>-627</v>
      </c>
      <c r="AJ431" s="492">
        <v>-2384</v>
      </c>
      <c r="AK431" s="491">
        <v>-655</v>
      </c>
      <c r="AL431" s="491">
        <v>-947</v>
      </c>
      <c r="AM431" s="491">
        <v>-3562</v>
      </c>
      <c r="AN431" s="491">
        <f>AO431+5311</f>
        <v>-3186</v>
      </c>
      <c r="AO431" s="492">
        <v>-8497</v>
      </c>
      <c r="AP431" s="491">
        <v>-3529</v>
      </c>
      <c r="AQ431" s="491">
        <v>-3747</v>
      </c>
      <c r="AR431" s="491">
        <v>-3565</v>
      </c>
      <c r="AS431" s="491">
        <f>AT431--10878</f>
        <v>-4194</v>
      </c>
      <c r="AT431" s="492">
        <v>-15072</v>
      </c>
      <c r="AU431" s="491"/>
      <c r="AV431" s="491"/>
      <c r="AW431" s="692"/>
      <c r="AX431" s="491"/>
      <c r="AY431" s="492"/>
      <c r="AZ431" s="491"/>
      <c r="BA431" s="491"/>
      <c r="BB431" s="491"/>
      <c r="BC431" s="491"/>
      <c r="BD431" s="492"/>
      <c r="BE431" s="492"/>
      <c r="BF431" s="492"/>
      <c r="BG431" s="492"/>
      <c r="BH431" s="484"/>
    </row>
    <row r="432" spans="1:60" s="49" customFormat="1" hidden="1" outlineLevel="2" x14ac:dyDescent="0.25">
      <c r="A432" s="226" t="s">
        <v>35</v>
      </c>
      <c r="B432" s="514"/>
      <c r="C432" s="492"/>
      <c r="D432" s="492"/>
      <c r="E432" s="492"/>
      <c r="F432" s="492"/>
      <c r="G432" s="491"/>
      <c r="H432" s="491"/>
      <c r="I432" s="491"/>
      <c r="J432" s="491"/>
      <c r="K432" s="492"/>
      <c r="L432" s="491"/>
      <c r="M432" s="491"/>
      <c r="N432" s="491"/>
      <c r="O432" s="491"/>
      <c r="P432" s="492"/>
      <c r="Q432" s="491"/>
      <c r="R432" s="491"/>
      <c r="S432" s="491"/>
      <c r="T432" s="491"/>
      <c r="U432" s="492"/>
      <c r="V432" s="491"/>
      <c r="W432" s="491"/>
      <c r="X432" s="491"/>
      <c r="Y432" s="491"/>
      <c r="Z432" s="492">
        <v>-882</v>
      </c>
      <c r="AA432" s="491"/>
      <c r="AB432" s="491"/>
      <c r="AC432" s="491"/>
      <c r="AD432" s="491"/>
      <c r="AE432" s="492">
        <v>-861</v>
      </c>
      <c r="AF432" s="491">
        <v>-233</v>
      </c>
      <c r="AG432" s="491">
        <v>-275</v>
      </c>
      <c r="AH432" s="491">
        <v>-205</v>
      </c>
      <c r="AI432" s="491">
        <f>AJ432-AH432-AG432-AF432</f>
        <v>-290</v>
      </c>
      <c r="AJ432" s="492">
        <v>-1003</v>
      </c>
      <c r="AK432" s="491">
        <v>-254</v>
      </c>
      <c r="AL432" s="491">
        <v>-202</v>
      </c>
      <c r="AM432" s="491">
        <v>-747</v>
      </c>
      <c r="AN432" s="491">
        <f>AO432+1239</f>
        <v>-869</v>
      </c>
      <c r="AO432" s="492">
        <v>-2108</v>
      </c>
      <c r="AP432" s="491">
        <v>-1093</v>
      </c>
      <c r="AQ432" s="491">
        <v>-1059</v>
      </c>
      <c r="AR432" s="491">
        <v>-985</v>
      </c>
      <c r="AS432" s="491">
        <f>AT432--3148</f>
        <v>-1053</v>
      </c>
      <c r="AT432" s="492">
        <v>-4201</v>
      </c>
      <c r="AU432" s="491"/>
      <c r="AV432" s="491"/>
      <c r="AW432" s="692"/>
      <c r="AX432" s="491"/>
      <c r="AY432" s="492"/>
      <c r="AZ432" s="491"/>
      <c r="BA432" s="491"/>
      <c r="BB432" s="491"/>
      <c r="BC432" s="491"/>
      <c r="BD432" s="492"/>
      <c r="BE432" s="492"/>
      <c r="BF432" s="492"/>
      <c r="BG432" s="492"/>
      <c r="BH432" s="484"/>
    </row>
    <row r="433" spans="1:60" s="470" customFormat="1" hidden="1" outlineLevel="2" x14ac:dyDescent="0.25">
      <c r="A433" s="483" t="s">
        <v>36</v>
      </c>
      <c r="B433" s="514"/>
      <c r="C433" s="492"/>
      <c r="D433" s="492"/>
      <c r="E433" s="492"/>
      <c r="F433" s="492"/>
      <c r="G433" s="491"/>
      <c r="H433" s="491"/>
      <c r="I433" s="491"/>
      <c r="J433" s="491"/>
      <c r="K433" s="492"/>
      <c r="L433" s="491"/>
      <c r="M433" s="491"/>
      <c r="N433" s="491"/>
      <c r="O433" s="491"/>
      <c r="P433" s="492"/>
      <c r="Q433" s="491"/>
      <c r="R433" s="491"/>
      <c r="S433" s="491"/>
      <c r="T433" s="491"/>
      <c r="U433" s="492"/>
      <c r="V433" s="491"/>
      <c r="W433" s="491"/>
      <c r="X433" s="491"/>
      <c r="Y433" s="491"/>
      <c r="Z433" s="489">
        <v>-85</v>
      </c>
      <c r="AA433" s="491"/>
      <c r="AB433" s="491"/>
      <c r="AC433" s="491"/>
      <c r="AD433" s="491"/>
      <c r="AE433" s="489">
        <v>-94</v>
      </c>
      <c r="AF433" s="490">
        <v>-43</v>
      </c>
      <c r="AG433" s="490">
        <v>-28</v>
      </c>
      <c r="AH433" s="490">
        <v>-49</v>
      </c>
      <c r="AI433" s="490">
        <f>AJ433-AH433-AG433-AF433</f>
        <v>-65</v>
      </c>
      <c r="AJ433" s="489">
        <v>-185</v>
      </c>
      <c r="AK433" s="490">
        <v>-54</v>
      </c>
      <c r="AL433" s="490">
        <v>-58</v>
      </c>
      <c r="AM433" s="490">
        <v>-109</v>
      </c>
      <c r="AN433" s="490">
        <f>AO433+223</f>
        <v>-95</v>
      </c>
      <c r="AO433" s="489">
        <v>-318</v>
      </c>
      <c r="AP433" s="490">
        <v>-100</v>
      </c>
      <c r="AQ433" s="490">
        <v>-99</v>
      </c>
      <c r="AR433" s="490">
        <v>-107</v>
      </c>
      <c r="AS433" s="490">
        <f>AT433--308</f>
        <v>-152</v>
      </c>
      <c r="AT433" s="489">
        <v>-460</v>
      </c>
      <c r="AU433" s="491"/>
      <c r="AV433" s="491"/>
      <c r="AW433" s="692"/>
      <c r="AX433" s="491"/>
      <c r="AY433" s="492"/>
      <c r="AZ433" s="491"/>
      <c r="BA433" s="491"/>
      <c r="BB433" s="491"/>
      <c r="BC433" s="491"/>
      <c r="BD433" s="492"/>
      <c r="BE433" s="492"/>
      <c r="BF433" s="492"/>
      <c r="BG433" s="492"/>
      <c r="BH433" s="484"/>
    </row>
    <row r="434" spans="1:60" s="49" customFormat="1" hidden="1" outlineLevel="2" x14ac:dyDescent="0.25">
      <c r="A434" s="538" t="s">
        <v>37</v>
      </c>
      <c r="B434" s="573"/>
      <c r="C434" s="322"/>
      <c r="D434" s="322"/>
      <c r="E434" s="322"/>
      <c r="F434" s="322"/>
      <c r="G434" s="321"/>
      <c r="H434" s="321"/>
      <c r="I434" s="321"/>
      <c r="J434" s="321"/>
      <c r="K434" s="322"/>
      <c r="L434" s="321"/>
      <c r="M434" s="321"/>
      <c r="N434" s="321"/>
      <c r="O434" s="321"/>
      <c r="P434" s="322"/>
      <c r="Q434" s="321"/>
      <c r="R434" s="321"/>
      <c r="S434" s="321"/>
      <c r="T434" s="321"/>
      <c r="U434" s="322"/>
      <c r="V434" s="321"/>
      <c r="W434" s="321"/>
      <c r="X434" s="321"/>
      <c r="Y434" s="321"/>
      <c r="Z434" s="322">
        <v>-182</v>
      </c>
      <c r="AA434" s="321"/>
      <c r="AB434" s="321"/>
      <c r="AC434" s="321"/>
      <c r="AD434" s="321"/>
      <c r="AE434" s="322">
        <v>-421</v>
      </c>
      <c r="AF434" s="321">
        <v>-109</v>
      </c>
      <c r="AG434" s="321">
        <v>-169</v>
      </c>
      <c r="AH434" s="321">
        <v>-119</v>
      </c>
      <c r="AI434" s="321">
        <f>AJ434-AH434-AG434-AF434</f>
        <v>-183</v>
      </c>
      <c r="AJ434" s="322">
        <v>-580</v>
      </c>
      <c r="AK434" s="321">
        <v>-91</v>
      </c>
      <c r="AL434" s="321">
        <v>-141</v>
      </c>
      <c r="AM434" s="321">
        <v>7</v>
      </c>
      <c r="AN434" s="321">
        <f>AO434+222</f>
        <v>-18</v>
      </c>
      <c r="AO434" s="322">
        <v>-240</v>
      </c>
      <c r="AP434" s="321">
        <v>42</v>
      </c>
      <c r="AQ434" s="321">
        <v>-30</v>
      </c>
      <c r="AR434" s="321">
        <v>-18</v>
      </c>
      <c r="AS434" s="321">
        <f>AT434--6</f>
        <v>-34</v>
      </c>
      <c r="AT434" s="322">
        <v>-40</v>
      </c>
      <c r="AU434" s="321"/>
      <c r="AV434" s="321"/>
      <c r="AW434" s="693"/>
      <c r="AX434" s="321"/>
      <c r="AY434" s="322"/>
      <c r="AZ434" s="321"/>
      <c r="BA434" s="321"/>
      <c r="BB434" s="321"/>
      <c r="BC434" s="321"/>
      <c r="BD434" s="322"/>
      <c r="BE434" s="322"/>
      <c r="BF434" s="322"/>
      <c r="BG434" s="322"/>
      <c r="BH434" s="484"/>
    </row>
    <row r="435" spans="1:60" s="52" customFormat="1" hidden="1" outlineLevel="2" x14ac:dyDescent="0.25">
      <c r="A435" s="501" t="s">
        <v>96</v>
      </c>
      <c r="B435" s="264"/>
      <c r="C435" s="506"/>
      <c r="D435" s="506"/>
      <c r="E435" s="506"/>
      <c r="F435" s="506"/>
      <c r="G435" s="505"/>
      <c r="H435" s="505"/>
      <c r="I435" s="505"/>
      <c r="J435" s="505"/>
      <c r="K435" s="506"/>
      <c r="L435" s="505"/>
      <c r="M435" s="505"/>
      <c r="N435" s="505"/>
      <c r="O435" s="505"/>
      <c r="P435" s="506"/>
      <c r="Q435" s="505"/>
      <c r="R435" s="505"/>
      <c r="S435" s="505"/>
      <c r="T435" s="505"/>
      <c r="U435" s="506"/>
      <c r="V435" s="505"/>
      <c r="W435" s="505"/>
      <c r="X435" s="505"/>
      <c r="Y435" s="505"/>
      <c r="Z435" s="502">
        <f>SUM(Z430:Z434)</f>
        <v>-38</v>
      </c>
      <c r="AA435" s="505"/>
      <c r="AB435" s="505"/>
      <c r="AC435" s="505"/>
      <c r="AD435" s="505"/>
      <c r="AE435" s="502">
        <f>SUM(AE430:AE434)</f>
        <v>-284</v>
      </c>
      <c r="AF435" s="503">
        <f>SUM(AF430:AF434)</f>
        <v>-42</v>
      </c>
      <c r="AG435" s="504">
        <v>-188</v>
      </c>
      <c r="AH435" s="503">
        <v>-168</v>
      </c>
      <c r="AI435" s="503">
        <v>-340</v>
      </c>
      <c r="AJ435" s="502">
        <f>SUM(AJ430:AJ434)</f>
        <v>-738</v>
      </c>
      <c r="AK435" s="503">
        <f>SUM(AK430:AK434)</f>
        <v>-136</v>
      </c>
      <c r="AL435" s="504">
        <f>SUM(AL430:AL434)</f>
        <v>-393</v>
      </c>
      <c r="AM435" s="503">
        <v>-553</v>
      </c>
      <c r="AN435" s="503">
        <f t="shared" ref="AN435:AT435" si="573">SUM(AN430:AN434)</f>
        <v>-740</v>
      </c>
      <c r="AO435" s="502">
        <f t="shared" si="573"/>
        <v>-1814</v>
      </c>
      <c r="AP435" s="503">
        <f t="shared" si="573"/>
        <v>-693</v>
      </c>
      <c r="AQ435" s="504">
        <f t="shared" si="573"/>
        <v>-812</v>
      </c>
      <c r="AR435" s="503">
        <f t="shared" si="573"/>
        <v>-706</v>
      </c>
      <c r="AS435" s="503">
        <f t="shared" si="573"/>
        <v>-580</v>
      </c>
      <c r="AT435" s="502">
        <f t="shared" si="573"/>
        <v>-2806</v>
      </c>
      <c r="AU435" s="505"/>
      <c r="AV435" s="505"/>
      <c r="AW435" s="694"/>
      <c r="AX435" s="505"/>
      <c r="AY435" s="506"/>
      <c r="AZ435" s="505"/>
      <c r="BA435" s="505"/>
      <c r="BB435" s="505"/>
      <c r="BC435" s="505"/>
      <c r="BD435" s="506"/>
      <c r="BE435" s="506"/>
      <c r="BF435" s="506"/>
      <c r="BG435" s="506"/>
      <c r="BH435" s="499"/>
    </row>
    <row r="436" spans="1:60" s="470" customFormat="1" hidden="1" outlineLevel="2" x14ac:dyDescent="0.25">
      <c r="A436" s="96" t="s">
        <v>611</v>
      </c>
      <c r="B436" s="514"/>
      <c r="C436" s="492"/>
      <c r="D436" s="492"/>
      <c r="E436" s="492"/>
      <c r="F436" s="492"/>
      <c r="G436" s="491"/>
      <c r="H436" s="491"/>
      <c r="I436" s="491"/>
      <c r="J436" s="491"/>
      <c r="K436" s="492"/>
      <c r="L436" s="491"/>
      <c r="M436" s="491"/>
      <c r="N436" s="491"/>
      <c r="O436" s="491"/>
      <c r="P436" s="492"/>
      <c r="Q436" s="491"/>
      <c r="R436" s="491"/>
      <c r="S436" s="491"/>
      <c r="T436" s="491"/>
      <c r="U436" s="492"/>
      <c r="V436" s="491"/>
      <c r="W436" s="491"/>
      <c r="X436" s="491"/>
      <c r="Y436" s="491"/>
      <c r="Z436" s="492"/>
      <c r="AA436" s="491"/>
      <c r="AB436" s="491"/>
      <c r="AC436" s="491"/>
      <c r="AD436" s="491"/>
      <c r="AE436" s="492"/>
      <c r="AF436" s="491"/>
      <c r="AG436" s="491"/>
      <c r="AH436" s="491"/>
      <c r="AI436" s="491"/>
      <c r="AJ436" s="489">
        <v>0</v>
      </c>
      <c r="AK436" s="490">
        <v>0</v>
      </c>
      <c r="AL436" s="497">
        <f>-373-AM436</f>
        <v>-50</v>
      </c>
      <c r="AM436" s="490">
        <v>-323</v>
      </c>
      <c r="AN436" s="490">
        <f>AO436+373</f>
        <v>-314</v>
      </c>
      <c r="AO436" s="489">
        <v>-687</v>
      </c>
      <c r="AP436" s="490">
        <v>-304</v>
      </c>
      <c r="AQ436" s="497">
        <v>-316</v>
      </c>
      <c r="AR436" s="490">
        <v>-305</v>
      </c>
      <c r="AS436" s="490">
        <f>AT436-SUM(AP436,AQ436,AR436)</f>
        <v>-271</v>
      </c>
      <c r="AT436" s="489">
        <v>-1196</v>
      </c>
      <c r="AU436" s="491"/>
      <c r="AV436" s="491"/>
      <c r="AW436" s="692"/>
      <c r="AX436" s="491"/>
      <c r="AY436" s="492"/>
      <c r="AZ436" s="491"/>
      <c r="BA436" s="491"/>
      <c r="BB436" s="491"/>
      <c r="BC436" s="491"/>
      <c r="BD436" s="492"/>
      <c r="BE436" s="492"/>
      <c r="BF436" s="492"/>
      <c r="BG436" s="492"/>
      <c r="BH436" s="484"/>
    </row>
    <row r="437" spans="1:60" s="470" customFormat="1" hidden="1" outlineLevel="2" x14ac:dyDescent="0.25">
      <c r="A437" s="96" t="s">
        <v>615</v>
      </c>
      <c r="B437" s="514"/>
      <c r="C437" s="492"/>
      <c r="D437" s="492"/>
      <c r="E437" s="492"/>
      <c r="F437" s="492"/>
      <c r="G437" s="491"/>
      <c r="H437" s="491"/>
      <c r="I437" s="491"/>
      <c r="J437" s="491"/>
      <c r="K437" s="492"/>
      <c r="L437" s="491"/>
      <c r="M437" s="491"/>
      <c r="N437" s="491"/>
      <c r="O437" s="491"/>
      <c r="P437" s="492"/>
      <c r="Q437" s="491"/>
      <c r="R437" s="491"/>
      <c r="S437" s="491"/>
      <c r="T437" s="491"/>
      <c r="U437" s="492"/>
      <c r="V437" s="491"/>
      <c r="W437" s="491"/>
      <c r="X437" s="491"/>
      <c r="Y437" s="491"/>
      <c r="Z437" s="492"/>
      <c r="AA437" s="491"/>
      <c r="AB437" s="491"/>
      <c r="AC437" s="491"/>
      <c r="AD437" s="491"/>
      <c r="AE437" s="492"/>
      <c r="AF437" s="491"/>
      <c r="AG437" s="491"/>
      <c r="AH437" s="491"/>
      <c r="AI437" s="491"/>
      <c r="AJ437" s="489">
        <v>0</v>
      </c>
      <c r="AK437" s="490">
        <v>0</v>
      </c>
      <c r="AL437" s="497">
        <f>-1-AM437</f>
        <v>-5</v>
      </c>
      <c r="AM437" s="490">
        <v>4</v>
      </c>
      <c r="AN437" s="490">
        <f>AO437+1</f>
        <v>-13</v>
      </c>
      <c r="AO437" s="489">
        <v>-14</v>
      </c>
      <c r="AP437" s="490">
        <v>-5</v>
      </c>
      <c r="AQ437" s="497">
        <v>-5</v>
      </c>
      <c r="AR437" s="490">
        <v>-7</v>
      </c>
      <c r="AS437" s="490">
        <f>AT437--15</f>
        <v>-5</v>
      </c>
      <c r="AT437" s="489">
        <v>-20</v>
      </c>
      <c r="AU437" s="491"/>
      <c r="AV437" s="491"/>
      <c r="AW437" s="692"/>
      <c r="AX437" s="491"/>
      <c r="AY437" s="492"/>
      <c r="AZ437" s="491"/>
      <c r="BA437" s="491"/>
      <c r="BB437" s="491"/>
      <c r="BC437" s="491"/>
      <c r="BD437" s="492"/>
      <c r="BE437" s="492"/>
      <c r="BF437" s="492"/>
      <c r="BG437" s="492"/>
      <c r="BH437" s="484"/>
    </row>
    <row r="438" spans="1:60" s="470" customFormat="1" hidden="1" outlineLevel="2" x14ac:dyDescent="0.25">
      <c r="A438" s="96" t="s">
        <v>616</v>
      </c>
      <c r="B438" s="514"/>
      <c r="C438" s="492"/>
      <c r="D438" s="492"/>
      <c r="E438" s="492"/>
      <c r="F438" s="492"/>
      <c r="G438" s="491"/>
      <c r="H438" s="491"/>
      <c r="I438" s="491"/>
      <c r="J438" s="491"/>
      <c r="K438" s="492"/>
      <c r="L438" s="491"/>
      <c r="M438" s="491"/>
      <c r="N438" s="491"/>
      <c r="O438" s="491"/>
      <c r="P438" s="492"/>
      <c r="Q438" s="491"/>
      <c r="R438" s="491"/>
      <c r="S438" s="491"/>
      <c r="T438" s="491"/>
      <c r="U438" s="492"/>
      <c r="V438" s="491"/>
      <c r="W438" s="491"/>
      <c r="X438" s="491"/>
      <c r="Y438" s="491"/>
      <c r="Z438" s="492"/>
      <c r="AA438" s="491"/>
      <c r="AB438" s="491"/>
      <c r="AC438" s="491"/>
      <c r="AD438" s="491"/>
      <c r="AE438" s="492"/>
      <c r="AF438" s="491"/>
      <c r="AG438" s="491"/>
      <c r="AH438" s="491"/>
      <c r="AI438" s="491"/>
      <c r="AJ438" s="489">
        <v>0</v>
      </c>
      <c r="AK438" s="490">
        <v>0</v>
      </c>
      <c r="AL438" s="497">
        <f>-15-AM438</f>
        <v>0</v>
      </c>
      <c r="AM438" s="490">
        <v>-15</v>
      </c>
      <c r="AN438" s="490">
        <f>AO438+15</f>
        <v>15</v>
      </c>
      <c r="AO438" s="489">
        <v>0</v>
      </c>
      <c r="AP438" s="490">
        <v>-8</v>
      </c>
      <c r="AQ438" s="497">
        <v>-8</v>
      </c>
      <c r="AR438" s="490">
        <v>-5</v>
      </c>
      <c r="AS438" s="490">
        <f>AT438--23</f>
        <v>-3</v>
      </c>
      <c r="AT438" s="489">
        <v>-26</v>
      </c>
      <c r="AU438" s="491"/>
      <c r="AV438" s="491"/>
      <c r="AW438" s="692"/>
      <c r="AX438" s="491"/>
      <c r="AY438" s="492"/>
      <c r="AZ438" s="491"/>
      <c r="BA438" s="491"/>
      <c r="BB438" s="491"/>
      <c r="BC438" s="491"/>
      <c r="BD438" s="492"/>
      <c r="BE438" s="492"/>
      <c r="BF438" s="492"/>
      <c r="BG438" s="492"/>
      <c r="BH438" s="484"/>
    </row>
    <row r="439" spans="1:60" s="470" customFormat="1" hidden="1" outlineLevel="2" x14ac:dyDescent="0.25">
      <c r="A439" s="589" t="s">
        <v>604</v>
      </c>
      <c r="B439" s="758"/>
      <c r="C439" s="582"/>
      <c r="D439" s="582"/>
      <c r="E439" s="582"/>
      <c r="F439" s="582"/>
      <c r="G439" s="581"/>
      <c r="H439" s="581"/>
      <c r="I439" s="581"/>
      <c r="J439" s="581"/>
      <c r="K439" s="582"/>
      <c r="L439" s="581"/>
      <c r="M439" s="581"/>
      <c r="N439" s="581"/>
      <c r="O439" s="581"/>
      <c r="P439" s="582"/>
      <c r="Q439" s="581"/>
      <c r="R439" s="581"/>
      <c r="S439" s="581"/>
      <c r="T439" s="581"/>
      <c r="U439" s="582"/>
      <c r="V439" s="581"/>
      <c r="W439" s="581"/>
      <c r="X439" s="581"/>
      <c r="Y439" s="581"/>
      <c r="Z439" s="582"/>
      <c r="AA439" s="581"/>
      <c r="AB439" s="581"/>
      <c r="AC439" s="581"/>
      <c r="AD439" s="581"/>
      <c r="AE439" s="582"/>
      <c r="AF439" s="581"/>
      <c r="AG439" s="581"/>
      <c r="AH439" s="581"/>
      <c r="AI439" s="581"/>
      <c r="AJ439" s="578">
        <v>0</v>
      </c>
      <c r="AK439" s="579">
        <f>SUM(AK436:AK438)</f>
        <v>0</v>
      </c>
      <c r="AL439" s="580">
        <f>SUM(AL436:AL438)</f>
        <v>-55</v>
      </c>
      <c r="AM439" s="579">
        <f>SUM(AM436:AM438)</f>
        <v>-334</v>
      </c>
      <c r="AN439" s="579">
        <f>SUM(AN436:AN438)</f>
        <v>-312</v>
      </c>
      <c r="AO439" s="578">
        <f>SUM(AO436:AO438)</f>
        <v>-701</v>
      </c>
      <c r="AP439" s="579">
        <v>-317</v>
      </c>
      <c r="AQ439" s="580">
        <f t="shared" ref="AQ439:AS439" si="574">SUM(AQ436:AQ438)</f>
        <v>-329</v>
      </c>
      <c r="AR439" s="579">
        <f t="shared" si="574"/>
        <v>-317</v>
      </c>
      <c r="AS439" s="579">
        <f t="shared" si="574"/>
        <v>-279</v>
      </c>
      <c r="AT439" s="578">
        <v>-1242</v>
      </c>
      <c r="AU439" s="581"/>
      <c r="AV439" s="581"/>
      <c r="AW439" s="759"/>
      <c r="AX439" s="581"/>
      <c r="AY439" s="582"/>
      <c r="AZ439" s="581"/>
      <c r="BA439" s="581"/>
      <c r="BB439" s="581"/>
      <c r="BC439" s="581"/>
      <c r="BD439" s="582"/>
      <c r="BE439" s="582"/>
      <c r="BF439" s="582"/>
      <c r="BG439" s="582"/>
      <c r="BH439" s="484"/>
    </row>
    <row r="440" spans="1:60" s="470" customFormat="1" hidden="1" outlineLevel="2" x14ac:dyDescent="0.25">
      <c r="A440" s="483" t="s">
        <v>112</v>
      </c>
      <c r="B440" s="514"/>
      <c r="C440" s="492"/>
      <c r="D440" s="492"/>
      <c r="E440" s="492"/>
      <c r="F440" s="492"/>
      <c r="G440" s="491"/>
      <c r="H440" s="491"/>
      <c r="I440" s="491"/>
      <c r="J440" s="491"/>
      <c r="K440" s="492"/>
      <c r="L440" s="491"/>
      <c r="M440" s="491"/>
      <c r="N440" s="491"/>
      <c r="O440" s="491"/>
      <c r="P440" s="492"/>
      <c r="Q440" s="491"/>
      <c r="R440" s="491"/>
      <c r="S440" s="491"/>
      <c r="T440" s="491"/>
      <c r="U440" s="492"/>
      <c r="V440" s="491"/>
      <c r="W440" s="491"/>
      <c r="X440" s="491"/>
      <c r="Y440" s="491"/>
      <c r="Z440" s="492"/>
      <c r="AA440" s="491"/>
      <c r="AB440" s="491"/>
      <c r="AC440" s="491"/>
      <c r="AD440" s="491"/>
      <c r="AE440" s="492"/>
      <c r="AF440" s="491"/>
      <c r="AG440" s="491"/>
      <c r="AH440" s="491"/>
      <c r="AI440" s="491"/>
      <c r="AJ440" s="489">
        <v>0</v>
      </c>
      <c r="AK440" s="490">
        <v>0</v>
      </c>
      <c r="AL440" s="497">
        <f>-244-AM440</f>
        <v>-138</v>
      </c>
      <c r="AM440" s="490">
        <v>-106</v>
      </c>
      <c r="AN440" s="490">
        <f>AO440+244</f>
        <v>-212</v>
      </c>
      <c r="AO440" s="489">
        <v>-456</v>
      </c>
      <c r="AP440" s="490">
        <v>-103</v>
      </c>
      <c r="AQ440" s="497">
        <v>-69</v>
      </c>
      <c r="AR440" s="490">
        <v>-4988</v>
      </c>
      <c r="AS440" s="490">
        <f>AT440-SUM(AP440,AQ440,AR440)</f>
        <v>-69</v>
      </c>
      <c r="AT440" s="489">
        <v>-5229</v>
      </c>
      <c r="AU440" s="491"/>
      <c r="AV440" s="491"/>
      <c r="AW440" s="692"/>
      <c r="AX440" s="491"/>
      <c r="AY440" s="492"/>
      <c r="AZ440" s="491"/>
      <c r="BA440" s="491"/>
      <c r="BB440" s="491"/>
      <c r="BC440" s="491"/>
      <c r="BD440" s="492"/>
      <c r="BE440" s="492"/>
      <c r="BF440" s="492"/>
      <c r="BG440" s="492"/>
      <c r="BH440" s="484"/>
    </row>
    <row r="441" spans="1:60" s="470" customFormat="1" hidden="1" outlineLevel="2" x14ac:dyDescent="0.25">
      <c r="A441" s="483" t="s">
        <v>116</v>
      </c>
      <c r="B441" s="514"/>
      <c r="C441" s="492"/>
      <c r="D441" s="492"/>
      <c r="E441" s="492"/>
      <c r="F441" s="492"/>
      <c r="G441" s="491"/>
      <c r="H441" s="491"/>
      <c r="I441" s="491"/>
      <c r="J441" s="491"/>
      <c r="K441" s="492"/>
      <c r="L441" s="491"/>
      <c r="M441" s="491"/>
      <c r="N441" s="491"/>
      <c r="O441" s="491"/>
      <c r="P441" s="492"/>
      <c r="Q441" s="491"/>
      <c r="R441" s="491"/>
      <c r="S441" s="491"/>
      <c r="T441" s="491"/>
      <c r="U441" s="492"/>
      <c r="V441" s="491"/>
      <c r="W441" s="491"/>
      <c r="X441" s="491"/>
      <c r="Y441" s="491"/>
      <c r="Z441" s="492"/>
      <c r="AA441" s="491"/>
      <c r="AB441" s="491"/>
      <c r="AC441" s="491"/>
      <c r="AD441" s="491"/>
      <c r="AE441" s="492"/>
      <c r="AF441" s="491"/>
      <c r="AG441" s="491"/>
      <c r="AH441" s="491"/>
      <c r="AI441" s="491"/>
      <c r="AJ441" s="489">
        <v>-157</v>
      </c>
      <c r="AK441" s="490">
        <v>0</v>
      </c>
      <c r="AL441" s="497">
        <f>-353-AM441</f>
        <v>-353</v>
      </c>
      <c r="AM441" s="490">
        <v>0</v>
      </c>
      <c r="AN441" s="490">
        <f>AO441+353</f>
        <v>-1</v>
      </c>
      <c r="AO441" s="489">
        <v>-354</v>
      </c>
      <c r="AP441" s="490">
        <v>0</v>
      </c>
      <c r="AQ441" s="497">
        <v>0</v>
      </c>
      <c r="AR441" s="491"/>
      <c r="AS441" s="491"/>
      <c r="AT441" s="492"/>
      <c r="AU441" s="491"/>
      <c r="AV441" s="491"/>
      <c r="AW441" s="692"/>
      <c r="AX441" s="491"/>
      <c r="AY441" s="492"/>
      <c r="AZ441" s="491"/>
      <c r="BA441" s="491"/>
      <c r="BB441" s="491"/>
      <c r="BC441" s="491"/>
      <c r="BD441" s="492"/>
      <c r="BE441" s="492"/>
      <c r="BF441" s="492"/>
      <c r="BG441" s="492"/>
      <c r="BH441" s="484"/>
    </row>
    <row r="442" spans="1:60" s="470" customFormat="1" hidden="1" outlineLevel="2" x14ac:dyDescent="0.25">
      <c r="A442" s="483" t="s">
        <v>624</v>
      </c>
      <c r="B442" s="514"/>
      <c r="C442" s="492"/>
      <c r="D442" s="492"/>
      <c r="E442" s="492"/>
      <c r="F442" s="492"/>
      <c r="G442" s="491"/>
      <c r="H442" s="491"/>
      <c r="I442" s="491"/>
      <c r="J442" s="491"/>
      <c r="K442" s="492"/>
      <c r="L442" s="491"/>
      <c r="M442" s="491"/>
      <c r="N442" s="491"/>
      <c r="O442" s="491"/>
      <c r="P442" s="492"/>
      <c r="Q442" s="491"/>
      <c r="R442" s="491"/>
      <c r="S442" s="491"/>
      <c r="T442" s="491"/>
      <c r="U442" s="492"/>
      <c r="V442" s="491"/>
      <c r="W442" s="491"/>
      <c r="X442" s="491"/>
      <c r="Y442" s="491"/>
      <c r="Z442" s="492"/>
      <c r="AA442" s="491"/>
      <c r="AB442" s="491"/>
      <c r="AC442" s="491"/>
      <c r="AD442" s="491"/>
      <c r="AE442" s="492"/>
      <c r="AF442" s="491"/>
      <c r="AG442" s="491"/>
      <c r="AH442" s="491"/>
      <c r="AI442" s="491"/>
      <c r="AJ442" s="489">
        <v>0</v>
      </c>
      <c r="AK442" s="490">
        <v>0</v>
      </c>
      <c r="AL442" s="497">
        <f>4794-AM442</f>
        <v>4917</v>
      </c>
      <c r="AM442" s="490">
        <v>-123</v>
      </c>
      <c r="AN442" s="490">
        <f>AO442-4794</f>
        <v>28</v>
      </c>
      <c r="AO442" s="489">
        <v>4822</v>
      </c>
      <c r="AP442" s="490">
        <v>0</v>
      </c>
      <c r="AQ442" s="497">
        <v>0</v>
      </c>
      <c r="AR442" s="490">
        <v>0</v>
      </c>
      <c r="AS442" s="491"/>
      <c r="AT442" s="492"/>
      <c r="AU442" s="491"/>
      <c r="AV442" s="491"/>
      <c r="AW442" s="692"/>
      <c r="AX442" s="491"/>
      <c r="AY442" s="492"/>
      <c r="AZ442" s="491"/>
      <c r="BA442" s="491"/>
      <c r="BB442" s="491"/>
      <c r="BC442" s="491"/>
      <c r="BD442" s="492"/>
      <c r="BE442" s="492"/>
      <c r="BF442" s="492"/>
      <c r="BG442" s="492"/>
      <c r="BH442" s="484"/>
    </row>
    <row r="443" spans="1:60" s="52" customFormat="1" hidden="1" outlineLevel="2" x14ac:dyDescent="0.25">
      <c r="A443" s="635"/>
      <c r="B443" s="264"/>
      <c r="C443" s="506"/>
      <c r="D443" s="506"/>
      <c r="E443" s="506"/>
      <c r="F443" s="506"/>
      <c r="G443" s="505"/>
      <c r="H443" s="505"/>
      <c r="I443" s="505"/>
      <c r="J443" s="505"/>
      <c r="K443" s="506"/>
      <c r="L443" s="505"/>
      <c r="M443" s="505"/>
      <c r="N443" s="505"/>
      <c r="O443" s="505"/>
      <c r="P443" s="506"/>
      <c r="Q443" s="505"/>
      <c r="R443" s="505"/>
      <c r="S443" s="505"/>
      <c r="T443" s="505"/>
      <c r="U443" s="506"/>
      <c r="V443" s="505"/>
      <c r="W443" s="505"/>
      <c r="X443" s="505"/>
      <c r="Y443" s="505"/>
      <c r="Z443" s="506"/>
      <c r="AA443" s="505"/>
      <c r="AB443" s="505"/>
      <c r="AC443" s="505"/>
      <c r="AD443" s="505"/>
      <c r="AE443" s="506"/>
      <c r="AF443" s="505"/>
      <c r="AG443" s="505"/>
      <c r="AH443" s="505"/>
      <c r="AI443" s="505"/>
      <c r="AJ443" s="506"/>
      <c r="AK443" s="505"/>
      <c r="AL443" s="505"/>
      <c r="AM443" s="505"/>
      <c r="AN443" s="505"/>
      <c r="AO443" s="506"/>
      <c r="AP443" s="505"/>
      <c r="AQ443" s="505"/>
      <c r="AR443" s="505"/>
      <c r="AS443" s="505"/>
      <c r="AT443" s="506"/>
      <c r="AU443" s="505"/>
      <c r="AV443" s="505"/>
      <c r="AW443" s="694"/>
      <c r="AX443" s="505"/>
      <c r="AY443" s="506"/>
      <c r="AZ443" s="505"/>
      <c r="BA443" s="505"/>
      <c r="BB443" s="505"/>
      <c r="BC443" s="505"/>
      <c r="BD443" s="506"/>
      <c r="BE443" s="506"/>
      <c r="BF443" s="506"/>
      <c r="BG443" s="506"/>
      <c r="BH443" s="499"/>
    </row>
    <row r="444" spans="1:60" s="343" customFormat="1" hidden="1" outlineLevel="2" x14ac:dyDescent="0.25">
      <c r="A444" s="168" t="s">
        <v>97</v>
      </c>
      <c r="B444" s="655"/>
      <c r="C444" s="183"/>
      <c r="D444" s="183"/>
      <c r="E444" s="183"/>
      <c r="F444" s="183"/>
      <c r="G444" s="634"/>
      <c r="H444" s="634"/>
      <c r="I444" s="634"/>
      <c r="J444" s="634"/>
      <c r="K444" s="183"/>
      <c r="L444" s="634"/>
      <c r="M444" s="634"/>
      <c r="N444" s="634"/>
      <c r="O444" s="634"/>
      <c r="P444" s="183"/>
      <c r="Q444" s="634"/>
      <c r="R444" s="634"/>
      <c r="S444" s="634"/>
      <c r="T444" s="634"/>
      <c r="U444" s="183"/>
      <c r="V444" s="634"/>
      <c r="W444" s="634"/>
      <c r="X444" s="634"/>
      <c r="Y444" s="634"/>
      <c r="Z444" s="339">
        <f>Z431/-Z430</f>
        <v>0.66394434361766486</v>
      </c>
      <c r="AA444" s="634"/>
      <c r="AB444" s="634"/>
      <c r="AC444" s="634"/>
      <c r="AD444" s="634"/>
      <c r="AE444" s="339">
        <f t="shared" ref="AE444:AR444" si="575">AE431/-AE430</f>
        <v>0.64487804878048782</v>
      </c>
      <c r="AF444" s="340">
        <f t="shared" si="575"/>
        <v>0.63157894736842102</v>
      </c>
      <c r="AG444" s="341">
        <f t="shared" si="575"/>
        <v>0.6582430806257521</v>
      </c>
      <c r="AH444" s="340">
        <f t="shared" si="575"/>
        <v>0.75211608222490933</v>
      </c>
      <c r="AI444" s="340">
        <f t="shared" si="575"/>
        <v>0.76</v>
      </c>
      <c r="AJ444" s="339">
        <f t="shared" si="575"/>
        <v>0.69830111306385467</v>
      </c>
      <c r="AK444" s="340">
        <f t="shared" si="575"/>
        <v>0.71350762527233114</v>
      </c>
      <c r="AL444" s="341">
        <f t="shared" si="575"/>
        <v>0.9916230366492147</v>
      </c>
      <c r="AM444" s="341">
        <f t="shared" si="575"/>
        <v>0.92327630896837742</v>
      </c>
      <c r="AN444" s="340">
        <f t="shared" si="575"/>
        <v>0.92940490081680283</v>
      </c>
      <c r="AO444" s="339">
        <f t="shared" si="575"/>
        <v>0.90886725853032413</v>
      </c>
      <c r="AP444" s="340">
        <f>AP431/-AP430</f>
        <v>0.88512666165036369</v>
      </c>
      <c r="AQ444" s="341">
        <f t="shared" si="575"/>
        <v>0.908804268736357</v>
      </c>
      <c r="AR444" s="341">
        <f t="shared" si="575"/>
        <v>0.89821113630637439</v>
      </c>
      <c r="AS444" s="340">
        <f t="shared" ref="AS444:AT444" si="576">AS431/-AS430</f>
        <v>0.86420770657325363</v>
      </c>
      <c r="AT444" s="339">
        <f t="shared" si="576"/>
        <v>0.88831260682501323</v>
      </c>
      <c r="AU444" s="634"/>
      <c r="AV444" s="634"/>
      <c r="AW444" s="691"/>
      <c r="AX444" s="634"/>
      <c r="AY444" s="183"/>
      <c r="AZ444" s="634"/>
      <c r="BA444" s="634"/>
      <c r="BB444" s="634"/>
      <c r="BC444" s="634"/>
      <c r="BD444" s="183"/>
      <c r="BE444" s="183"/>
      <c r="BF444" s="183"/>
      <c r="BG444" s="183"/>
      <c r="BH444" s="342"/>
    </row>
    <row r="445" spans="1:60" s="343" customFormat="1" hidden="1" outlineLevel="2" x14ac:dyDescent="0.25">
      <c r="A445" s="344" t="s">
        <v>98</v>
      </c>
      <c r="B445" s="749"/>
      <c r="C445" s="348"/>
      <c r="D445" s="348"/>
      <c r="E445" s="348"/>
      <c r="F445" s="348"/>
      <c r="G445" s="738"/>
      <c r="H445" s="738"/>
      <c r="I445" s="738"/>
      <c r="J445" s="738"/>
      <c r="K445" s="348"/>
      <c r="L445" s="738"/>
      <c r="M445" s="738"/>
      <c r="N445" s="738"/>
      <c r="O445" s="738"/>
      <c r="P445" s="348"/>
      <c r="Q445" s="738"/>
      <c r="R445" s="738"/>
      <c r="S445" s="738"/>
      <c r="T445" s="738"/>
      <c r="U445" s="348"/>
      <c r="V445" s="738"/>
      <c r="W445" s="738"/>
      <c r="X445" s="738"/>
      <c r="Y445" s="738"/>
      <c r="Z445" s="345">
        <f>Z432/-Z430</f>
        <v>0.26678765880217786</v>
      </c>
      <c r="AA445" s="738"/>
      <c r="AB445" s="738"/>
      <c r="AC445" s="738"/>
      <c r="AD445" s="738"/>
      <c r="AE445" s="345">
        <f t="shared" ref="AE445:AR445" si="577">AE432/-AE430</f>
        <v>0.28000000000000003</v>
      </c>
      <c r="AF445" s="346">
        <f t="shared" si="577"/>
        <v>0.2502685284640172</v>
      </c>
      <c r="AG445" s="347">
        <f t="shared" si="577"/>
        <v>0.33092659446450062</v>
      </c>
      <c r="AH445" s="346">
        <f t="shared" si="577"/>
        <v>0.2478839177750907</v>
      </c>
      <c r="AI445" s="346">
        <f t="shared" si="577"/>
        <v>0.3515151515151515</v>
      </c>
      <c r="AJ445" s="345">
        <f t="shared" si="577"/>
        <v>0.29379027533684826</v>
      </c>
      <c r="AK445" s="346">
        <f t="shared" si="577"/>
        <v>0.27668845315904139</v>
      </c>
      <c r="AL445" s="347">
        <f t="shared" si="577"/>
        <v>0.21151832460732983</v>
      </c>
      <c r="AM445" s="347">
        <f t="shared" si="577"/>
        <v>0.19362363919129083</v>
      </c>
      <c r="AN445" s="346">
        <f t="shared" si="577"/>
        <v>0.25350058343057175</v>
      </c>
      <c r="AO445" s="345">
        <f t="shared" si="577"/>
        <v>0.22547866081933896</v>
      </c>
      <c r="AP445" s="346">
        <f t="shared" si="577"/>
        <v>0.27414095811387007</v>
      </c>
      <c r="AQ445" s="347">
        <f t="shared" si="577"/>
        <v>0.25685180693669657</v>
      </c>
      <c r="AR445" s="347">
        <f t="shared" si="577"/>
        <v>0.24817334341143865</v>
      </c>
      <c r="AS445" s="346">
        <f t="shared" ref="AS445:AT445" si="578">AS432/-AS430</f>
        <v>0.21697918813105296</v>
      </c>
      <c r="AT445" s="345">
        <f t="shared" si="578"/>
        <v>0.24759827901220016</v>
      </c>
      <c r="AU445" s="738"/>
      <c r="AV445" s="738"/>
      <c r="AW445" s="760"/>
      <c r="AX445" s="738"/>
      <c r="AY445" s="348"/>
      <c r="AZ445" s="738"/>
      <c r="BA445" s="738"/>
      <c r="BB445" s="738"/>
      <c r="BC445" s="738"/>
      <c r="BD445" s="348"/>
      <c r="BE445" s="348"/>
      <c r="BF445" s="348"/>
      <c r="BG445" s="348"/>
      <c r="BH445" s="342"/>
    </row>
    <row r="446" spans="1:60" s="355" customFormat="1" hidden="1" outlineLevel="2" x14ac:dyDescent="0.25">
      <c r="A446" s="349" t="s">
        <v>99</v>
      </c>
      <c r="B446" s="750"/>
      <c r="C446" s="354"/>
      <c r="D446" s="354"/>
      <c r="E446" s="354"/>
      <c r="F446" s="354"/>
      <c r="G446" s="353"/>
      <c r="H446" s="353"/>
      <c r="I446" s="353"/>
      <c r="J446" s="353"/>
      <c r="K446" s="354"/>
      <c r="L446" s="353"/>
      <c r="M446" s="353"/>
      <c r="N446" s="353"/>
      <c r="O446" s="353"/>
      <c r="P446" s="354"/>
      <c r="Q446" s="353"/>
      <c r="R446" s="353"/>
      <c r="S446" s="353"/>
      <c r="T446" s="353"/>
      <c r="U446" s="354"/>
      <c r="V446" s="353"/>
      <c r="W446" s="353"/>
      <c r="X446" s="353"/>
      <c r="Y446" s="353"/>
      <c r="Z446" s="350">
        <f>Z435/Z430</f>
        <v>-1.1494252873563218E-2</v>
      </c>
      <c r="AA446" s="353"/>
      <c r="AB446" s="353"/>
      <c r="AC446" s="353"/>
      <c r="AD446" s="353"/>
      <c r="AE446" s="350">
        <f t="shared" ref="AE446:AR446" si="579">AE435/AE430</f>
        <v>-9.2357723577235776E-2</v>
      </c>
      <c r="AF446" s="351">
        <f t="shared" si="579"/>
        <v>-4.5112781954887216E-2</v>
      </c>
      <c r="AG446" s="352">
        <f t="shared" si="579"/>
        <v>-0.22623345367027678</v>
      </c>
      <c r="AH446" s="351">
        <f t="shared" si="579"/>
        <v>-0.20314389359129384</v>
      </c>
      <c r="AI446" s="351">
        <f t="shared" si="579"/>
        <v>-0.41212121212121211</v>
      </c>
      <c r="AJ446" s="350">
        <f t="shared" si="579"/>
        <v>-0.21616871704745166</v>
      </c>
      <c r="AK446" s="351">
        <f t="shared" si="579"/>
        <v>-0.14814814814814814</v>
      </c>
      <c r="AL446" s="352">
        <f t="shared" si="579"/>
        <v>-0.41151832460732984</v>
      </c>
      <c r="AM446" s="351">
        <f t="shared" si="579"/>
        <v>-0.14333851736651115</v>
      </c>
      <c r="AN446" s="351">
        <f t="shared" si="579"/>
        <v>-0.21586931155192532</v>
      </c>
      <c r="AO446" s="350">
        <f t="shared" si="579"/>
        <v>-0.19403144721360574</v>
      </c>
      <c r="AP446" s="351">
        <f t="shared" si="579"/>
        <v>-0.17381489841986456</v>
      </c>
      <c r="AQ446" s="352">
        <f t="shared" si="579"/>
        <v>-0.19694397283531409</v>
      </c>
      <c r="AR446" s="351">
        <f t="shared" si="579"/>
        <v>-0.17787855883093978</v>
      </c>
      <c r="AS446" s="351">
        <f>AS435/AS430</f>
        <v>-0.1195137028642077</v>
      </c>
      <c r="AT446" s="350">
        <f>AT435/AT430</f>
        <v>-0.16537985501267166</v>
      </c>
      <c r="AU446" s="353"/>
      <c r="AV446" s="353"/>
      <c r="AW446" s="761"/>
      <c r="AX446" s="353"/>
      <c r="AY446" s="354"/>
      <c r="AZ446" s="353"/>
      <c r="BA446" s="353"/>
      <c r="BB446" s="353"/>
      <c r="BC446" s="353"/>
      <c r="BD446" s="354"/>
      <c r="BE446" s="354"/>
      <c r="BF446" s="354"/>
      <c r="BG446" s="354"/>
      <c r="BH446" s="303"/>
    </row>
    <row r="447" spans="1:60" s="44" customFormat="1" hidden="1" outlineLevel="2" x14ac:dyDescent="0.25">
      <c r="A447" s="748"/>
      <c r="B447" s="246"/>
      <c r="C447" s="478"/>
      <c r="D447" s="478"/>
      <c r="E447" s="478"/>
      <c r="F447" s="478"/>
      <c r="G447" s="480"/>
      <c r="H447" s="480"/>
      <c r="I447" s="480"/>
      <c r="J447" s="480"/>
      <c r="K447" s="478"/>
      <c r="L447" s="480"/>
      <c r="M447" s="480"/>
      <c r="N447" s="480"/>
      <c r="O447" s="480"/>
      <c r="P447" s="478"/>
      <c r="Q447" s="480"/>
      <c r="R447" s="480"/>
      <c r="S447" s="480"/>
      <c r="T447" s="480"/>
      <c r="U447" s="478"/>
      <c r="V447" s="480"/>
      <c r="W447" s="480"/>
      <c r="X447" s="480"/>
      <c r="Y447" s="480"/>
      <c r="Z447" s="478"/>
      <c r="AA447" s="480"/>
      <c r="AB447" s="480"/>
      <c r="AC447" s="480"/>
      <c r="AD447" s="480"/>
      <c r="AE447" s="478"/>
      <c r="AF447" s="480"/>
      <c r="AG447" s="480"/>
      <c r="AH447" s="480"/>
      <c r="AI447" s="480"/>
      <c r="AJ447" s="478"/>
      <c r="AK447" s="480"/>
      <c r="AL447" s="480"/>
      <c r="AM447" s="480"/>
      <c r="AN447" s="480"/>
      <c r="AO447" s="478"/>
      <c r="AP447" s="480"/>
      <c r="AQ447" s="480"/>
      <c r="AR447" s="480"/>
      <c r="AS447" s="480"/>
      <c r="AT447" s="478"/>
      <c r="AU447" s="480"/>
      <c r="AV447" s="480"/>
      <c r="AW447" s="708"/>
      <c r="AX447" s="480"/>
      <c r="AY447" s="478"/>
      <c r="AZ447" s="480"/>
      <c r="BA447" s="480"/>
      <c r="BB447" s="480"/>
      <c r="BC447" s="480"/>
      <c r="BD447" s="478"/>
      <c r="BE447" s="478"/>
      <c r="BF447" s="478"/>
      <c r="BG447" s="478"/>
      <c r="BH447" s="473"/>
    </row>
    <row r="448" spans="1:60" s="470" customFormat="1" hidden="1" outlineLevel="2" x14ac:dyDescent="0.25">
      <c r="A448" s="483" t="s">
        <v>600</v>
      </c>
      <c r="B448" s="514"/>
      <c r="C448" s="492"/>
      <c r="D448" s="492"/>
      <c r="E448" s="492"/>
      <c r="F448" s="492"/>
      <c r="G448" s="491"/>
      <c r="H448" s="491"/>
      <c r="I448" s="491"/>
      <c r="J448" s="491"/>
      <c r="K448" s="492"/>
      <c r="L448" s="491"/>
      <c r="M448" s="491"/>
      <c r="N448" s="491"/>
      <c r="O448" s="491"/>
      <c r="P448" s="492"/>
      <c r="Q448" s="491"/>
      <c r="R448" s="491"/>
      <c r="S448" s="491"/>
      <c r="T448" s="491"/>
      <c r="U448" s="492"/>
      <c r="V448" s="491"/>
      <c r="W448" s="491"/>
      <c r="X448" s="491"/>
      <c r="Y448" s="491"/>
      <c r="Z448" s="492"/>
      <c r="AA448" s="491"/>
      <c r="AB448" s="491"/>
      <c r="AC448" s="491"/>
      <c r="AD448" s="491"/>
      <c r="AE448" s="492"/>
      <c r="AF448" s="491"/>
      <c r="AG448" s="497">
        <v>27</v>
      </c>
      <c r="AH448" s="490">
        <v>26</v>
      </c>
      <c r="AI448" s="490">
        <f>AJ448-75</f>
        <v>31</v>
      </c>
      <c r="AJ448" s="489">
        <v>106</v>
      </c>
      <c r="AK448" s="490">
        <v>32</v>
      </c>
      <c r="AL448" s="497">
        <v>35</v>
      </c>
      <c r="AM448" s="490">
        <v>86</v>
      </c>
      <c r="AN448" s="490">
        <f>AO448-155</f>
        <v>52</v>
      </c>
      <c r="AO448" s="489">
        <v>207</v>
      </c>
      <c r="AP448" s="490">
        <v>70</v>
      </c>
      <c r="AQ448" s="497">
        <v>72</v>
      </c>
      <c r="AR448" s="490">
        <v>80</v>
      </c>
      <c r="AS448" s="490">
        <f>AT448-224</f>
        <v>124</v>
      </c>
      <c r="AT448" s="489">
        <v>348</v>
      </c>
      <c r="AU448" s="491"/>
      <c r="AV448" s="491"/>
      <c r="AW448" s="692"/>
      <c r="AX448" s="491"/>
      <c r="AY448" s="492"/>
      <c r="AZ448" s="491"/>
      <c r="BA448" s="491"/>
      <c r="BB448" s="491"/>
      <c r="BC448" s="491"/>
      <c r="BD448" s="492"/>
      <c r="BE448" s="492"/>
      <c r="BF448" s="492"/>
      <c r="BG448" s="492"/>
      <c r="BH448" s="484"/>
    </row>
    <row r="449" spans="1:60" s="470" customFormat="1" hidden="1" outlineLevel="2" x14ac:dyDescent="0.25">
      <c r="A449" s="483" t="s">
        <v>601</v>
      </c>
      <c r="B449" s="514"/>
      <c r="C449" s="492"/>
      <c r="D449" s="492"/>
      <c r="E449" s="492"/>
      <c r="F449" s="492"/>
      <c r="G449" s="491"/>
      <c r="H449" s="491"/>
      <c r="I449" s="491"/>
      <c r="J449" s="491"/>
      <c r="K449" s="492"/>
      <c r="L449" s="491"/>
      <c r="M449" s="491"/>
      <c r="N449" s="491"/>
      <c r="O449" s="491"/>
      <c r="P449" s="492"/>
      <c r="Q449" s="491"/>
      <c r="R449" s="491"/>
      <c r="S449" s="491"/>
      <c r="T449" s="491"/>
      <c r="U449" s="492"/>
      <c r="V449" s="491"/>
      <c r="W449" s="491"/>
      <c r="X449" s="491"/>
      <c r="Y449" s="491"/>
      <c r="Z449" s="492"/>
      <c r="AA449" s="491"/>
      <c r="AB449" s="491"/>
      <c r="AC449" s="491"/>
      <c r="AD449" s="491"/>
      <c r="AE449" s="492"/>
      <c r="AF449" s="491"/>
      <c r="AG449" s="497">
        <v>1</v>
      </c>
      <c r="AH449" s="490">
        <v>23</v>
      </c>
      <c r="AI449" s="490">
        <f>AJ449-45</f>
        <v>34</v>
      </c>
      <c r="AJ449" s="489">
        <v>79</v>
      </c>
      <c r="AK449" s="490">
        <v>22</v>
      </c>
      <c r="AL449" s="497">
        <v>23</v>
      </c>
      <c r="AM449" s="490">
        <v>23</v>
      </c>
      <c r="AN449" s="490">
        <f>AO449-68</f>
        <v>43</v>
      </c>
      <c r="AO449" s="489">
        <v>111</v>
      </c>
      <c r="AP449" s="490">
        <v>30</v>
      </c>
      <c r="AQ449" s="497">
        <v>27</v>
      </c>
      <c r="AR449" s="490">
        <v>27</v>
      </c>
      <c r="AS449" s="490">
        <f>AT449-SUM(AP449,AQ449,AR449)</f>
        <v>28</v>
      </c>
      <c r="AT449" s="489">
        <v>112</v>
      </c>
      <c r="AU449" s="491"/>
      <c r="AV449" s="491"/>
      <c r="AW449" s="692"/>
      <c r="AX449" s="491"/>
      <c r="AY449" s="492"/>
      <c r="AZ449" s="491"/>
      <c r="BA449" s="491"/>
      <c r="BB449" s="491"/>
      <c r="BC449" s="491"/>
      <c r="BD449" s="492"/>
      <c r="BE449" s="492"/>
      <c r="BF449" s="492"/>
      <c r="BG449" s="492"/>
      <c r="BH449" s="484"/>
    </row>
    <row r="450" spans="1:60" s="498" customFormat="1" hidden="1" outlineLevel="2" x14ac:dyDescent="0.25">
      <c r="A450" s="500" t="s">
        <v>602</v>
      </c>
      <c r="B450" s="516"/>
      <c r="C450" s="511"/>
      <c r="D450" s="511"/>
      <c r="E450" s="511"/>
      <c r="F450" s="511"/>
      <c r="G450" s="510"/>
      <c r="H450" s="510"/>
      <c r="I450" s="510"/>
      <c r="J450" s="510"/>
      <c r="K450" s="511"/>
      <c r="L450" s="510"/>
      <c r="M450" s="510"/>
      <c r="N450" s="510"/>
      <c r="O450" s="510"/>
      <c r="P450" s="511"/>
      <c r="Q450" s="510"/>
      <c r="R450" s="510"/>
      <c r="S450" s="510"/>
      <c r="T450" s="510"/>
      <c r="U450" s="511"/>
      <c r="V450" s="510"/>
      <c r="W450" s="510"/>
      <c r="X450" s="510"/>
      <c r="Y450" s="510"/>
      <c r="Z450" s="511"/>
      <c r="AA450" s="510"/>
      <c r="AB450" s="510"/>
      <c r="AC450" s="510"/>
      <c r="AD450" s="510"/>
      <c r="AE450" s="511"/>
      <c r="AF450" s="508">
        <f t="shared" ref="AF450:AR450" si="580">SUM(AF448:AF449)</f>
        <v>0</v>
      </c>
      <c r="AG450" s="509">
        <f t="shared" si="580"/>
        <v>28</v>
      </c>
      <c r="AH450" s="508">
        <f t="shared" si="580"/>
        <v>49</v>
      </c>
      <c r="AI450" s="508">
        <f t="shared" si="580"/>
        <v>65</v>
      </c>
      <c r="AJ450" s="507">
        <f t="shared" si="580"/>
        <v>185</v>
      </c>
      <c r="AK450" s="508">
        <f t="shared" si="580"/>
        <v>54</v>
      </c>
      <c r="AL450" s="509">
        <f t="shared" si="580"/>
        <v>58</v>
      </c>
      <c r="AM450" s="508">
        <f t="shared" si="580"/>
        <v>109</v>
      </c>
      <c r="AN450" s="508">
        <f t="shared" si="580"/>
        <v>95</v>
      </c>
      <c r="AO450" s="507">
        <f t="shared" si="580"/>
        <v>318</v>
      </c>
      <c r="AP450" s="508">
        <f t="shared" si="580"/>
        <v>100</v>
      </c>
      <c r="AQ450" s="509">
        <f t="shared" si="580"/>
        <v>99</v>
      </c>
      <c r="AR450" s="508">
        <f t="shared" si="580"/>
        <v>107</v>
      </c>
      <c r="AS450" s="508">
        <f>SUM(AS448:AS449)</f>
        <v>152</v>
      </c>
      <c r="AT450" s="507">
        <f>SUM(AT448:AT449)</f>
        <v>460</v>
      </c>
      <c r="AU450" s="510"/>
      <c r="AV450" s="510"/>
      <c r="AW450" s="701"/>
      <c r="AX450" s="510"/>
      <c r="AY450" s="511"/>
      <c r="AZ450" s="510"/>
      <c r="BA450" s="510"/>
      <c r="BB450" s="510"/>
      <c r="BC450" s="510"/>
      <c r="BD450" s="511"/>
      <c r="BE450" s="511"/>
      <c r="BF450" s="511"/>
      <c r="BG450" s="511"/>
      <c r="BH450" s="499"/>
    </row>
    <row r="451" spans="1:60" s="469" customFormat="1" hidden="1" outlineLevel="2" x14ac:dyDescent="0.25">
      <c r="A451" s="748"/>
      <c r="B451" s="246"/>
      <c r="C451" s="478"/>
      <c r="D451" s="478"/>
      <c r="E451" s="478"/>
      <c r="F451" s="478"/>
      <c r="G451" s="480"/>
      <c r="H451" s="480"/>
      <c r="I451" s="480"/>
      <c r="J451" s="480"/>
      <c r="K451" s="478"/>
      <c r="L451" s="480"/>
      <c r="M451" s="480"/>
      <c r="N451" s="480"/>
      <c r="O451" s="480"/>
      <c r="P451" s="478"/>
      <c r="Q451" s="480"/>
      <c r="R451" s="480"/>
      <c r="S451" s="480"/>
      <c r="T451" s="480"/>
      <c r="U451" s="478"/>
      <c r="V451" s="480"/>
      <c r="W451" s="480"/>
      <c r="X451" s="480"/>
      <c r="Y451" s="480"/>
      <c r="Z451" s="478"/>
      <c r="AA451" s="480"/>
      <c r="AB451" s="480"/>
      <c r="AC451" s="480"/>
      <c r="AD451" s="480"/>
      <c r="AE451" s="478"/>
      <c r="AF451" s="480"/>
      <c r="AG451" s="480"/>
      <c r="AH451" s="480"/>
      <c r="AI451" s="480"/>
      <c r="AJ451" s="478"/>
      <c r="AK451" s="480"/>
      <c r="AL451" s="480"/>
      <c r="AM451" s="480"/>
      <c r="AN451" s="480"/>
      <c r="AO451" s="478"/>
      <c r="AP451" s="480"/>
      <c r="AQ451" s="480"/>
      <c r="AR451" s="480"/>
      <c r="AS451" s="480"/>
      <c r="AT451" s="478"/>
      <c r="AU451" s="480"/>
      <c r="AV451" s="480"/>
      <c r="AW451" s="708"/>
      <c r="AX451" s="480"/>
      <c r="AY451" s="478"/>
      <c r="AZ451" s="480"/>
      <c r="BA451" s="480"/>
      <c r="BB451" s="480"/>
      <c r="BC451" s="480"/>
      <c r="BD451" s="478"/>
      <c r="BE451" s="478"/>
      <c r="BF451" s="478"/>
      <c r="BG451" s="478"/>
      <c r="BH451" s="473"/>
    </row>
    <row r="452" spans="1:60" s="52" customFormat="1" hidden="1" outlineLevel="2" x14ac:dyDescent="0.25">
      <c r="A452" s="501" t="s">
        <v>100</v>
      </c>
      <c r="B452" s="764"/>
      <c r="C452" s="111"/>
      <c r="D452" s="111"/>
      <c r="E452" s="111"/>
      <c r="F452" s="111"/>
      <c r="G452" s="114"/>
      <c r="H452" s="114"/>
      <c r="I452" s="114"/>
      <c r="J452" s="114"/>
      <c r="K452" s="111"/>
      <c r="L452" s="114"/>
      <c r="M452" s="114"/>
      <c r="N452" s="114"/>
      <c r="O452" s="114"/>
      <c r="P452" s="111"/>
      <c r="Q452" s="114"/>
      <c r="R452" s="114"/>
      <c r="S452" s="114"/>
      <c r="T452" s="114"/>
      <c r="U452" s="111"/>
      <c r="V452" s="114"/>
      <c r="W452" s="114"/>
      <c r="X452" s="114"/>
      <c r="Y452" s="114"/>
      <c r="Z452" s="111"/>
      <c r="AA452" s="114"/>
      <c r="AB452" s="114"/>
      <c r="AC452" s="114"/>
      <c r="AD452" s="114"/>
      <c r="AE452" s="111"/>
      <c r="AF452" s="499">
        <v>34</v>
      </c>
      <c r="AG452" s="194">
        <v>81</v>
      </c>
      <c r="AH452" s="499">
        <v>85</v>
      </c>
      <c r="AI452" s="499">
        <f>AJ452</f>
        <v>107</v>
      </c>
      <c r="AJ452" s="51">
        <v>107</v>
      </c>
      <c r="AK452" s="499">
        <v>24</v>
      </c>
      <c r="AL452" s="194">
        <v>83</v>
      </c>
      <c r="AM452" s="499">
        <v>137</v>
      </c>
      <c r="AN452" s="499">
        <f>AO452</f>
        <v>258</v>
      </c>
      <c r="AO452" s="51">
        <v>258</v>
      </c>
      <c r="AP452" s="499">
        <v>109</v>
      </c>
      <c r="AQ452" s="194">
        <v>299</v>
      </c>
      <c r="AR452" s="499">
        <v>407</v>
      </c>
      <c r="AS452" s="499">
        <f>AT452</f>
        <v>594</v>
      </c>
      <c r="AT452" s="51">
        <v>594</v>
      </c>
      <c r="AU452" s="114"/>
      <c r="AV452" s="114"/>
      <c r="AW452" s="765"/>
      <c r="AX452" s="114"/>
      <c r="AY452" s="111"/>
      <c r="AZ452" s="114"/>
      <c r="BA452" s="114"/>
      <c r="BB452" s="114"/>
      <c r="BC452" s="114"/>
      <c r="BD452" s="111"/>
      <c r="BE452" s="111"/>
      <c r="BF452" s="111"/>
      <c r="BG452" s="111"/>
      <c r="BH452" s="499"/>
    </row>
    <row r="453" spans="1:60" s="52" customFormat="1" hidden="1" outlineLevel="2" collapsed="1" x14ac:dyDescent="0.25">
      <c r="A453" s="501" t="s">
        <v>101</v>
      </c>
      <c r="B453" s="764"/>
      <c r="C453" s="111"/>
      <c r="D453" s="111"/>
      <c r="E453" s="111"/>
      <c r="F453" s="111"/>
      <c r="G453" s="114"/>
      <c r="H453" s="114"/>
      <c r="I453" s="114"/>
      <c r="J453" s="114"/>
      <c r="K453" s="111"/>
      <c r="L453" s="114"/>
      <c r="M453" s="114"/>
      <c r="N453" s="114"/>
      <c r="O453" s="114"/>
      <c r="P453" s="111"/>
      <c r="Q453" s="114"/>
      <c r="R453" s="114"/>
      <c r="S453" s="114"/>
      <c r="T453" s="114"/>
      <c r="U453" s="111"/>
      <c r="V453" s="114"/>
      <c r="W453" s="114"/>
      <c r="X453" s="114"/>
      <c r="Y453" s="114"/>
      <c r="Z453" s="111"/>
      <c r="AA453" s="114"/>
      <c r="AB453" s="114"/>
      <c r="AC453" s="114"/>
      <c r="AD453" s="114"/>
      <c r="AE453" s="111"/>
      <c r="AF453" s="499">
        <f>AF452</f>
        <v>34</v>
      </c>
      <c r="AG453" s="194">
        <f>AG452-AF452</f>
        <v>47</v>
      </c>
      <c r="AH453" s="499">
        <f>AH452-AG452</f>
        <v>4</v>
      </c>
      <c r="AI453" s="499">
        <f>AI452-AH452</f>
        <v>22</v>
      </c>
      <c r="AJ453" s="51">
        <v>107</v>
      </c>
      <c r="AK453" s="499">
        <f>AK452</f>
        <v>24</v>
      </c>
      <c r="AL453" s="194">
        <f>AL452-AK452</f>
        <v>59</v>
      </c>
      <c r="AM453" s="499">
        <f>AM452-AL452</f>
        <v>54</v>
      </c>
      <c r="AN453" s="499">
        <f>AN452-AM452</f>
        <v>121</v>
      </c>
      <c r="AO453" s="51">
        <v>258</v>
      </c>
      <c r="AP453" s="499">
        <f>AP452</f>
        <v>109</v>
      </c>
      <c r="AQ453" s="194">
        <f>AQ452-AP452</f>
        <v>190</v>
      </c>
      <c r="AR453" s="499">
        <f>AR452-AQ452</f>
        <v>108</v>
      </c>
      <c r="AS453" s="499">
        <f>AS452-AR452</f>
        <v>187</v>
      </c>
      <c r="AT453" s="51">
        <f>+AT452</f>
        <v>594</v>
      </c>
      <c r="AU453" s="114"/>
      <c r="AV453" s="114"/>
      <c r="AW453" s="765"/>
      <c r="AX453" s="114"/>
      <c r="AY453" s="111"/>
      <c r="AZ453" s="114"/>
      <c r="BA453" s="114"/>
      <c r="BB453" s="114"/>
      <c r="BC453" s="114"/>
      <c r="BD453" s="111"/>
      <c r="BE453" s="111"/>
      <c r="BF453" s="111"/>
      <c r="BG453" s="111"/>
      <c r="BH453" s="499"/>
    </row>
    <row r="454" spans="1:60" s="498" customFormat="1" hidden="1" outlineLevel="1" collapsed="1" x14ac:dyDescent="0.25">
      <c r="A454" s="635"/>
      <c r="B454" s="764"/>
      <c r="C454" s="111"/>
      <c r="D454" s="111"/>
      <c r="E454" s="111"/>
      <c r="F454" s="111"/>
      <c r="G454" s="114"/>
      <c r="H454" s="114"/>
      <c r="I454" s="114"/>
      <c r="J454" s="114"/>
      <c r="K454" s="111"/>
      <c r="L454" s="114"/>
      <c r="M454" s="114"/>
      <c r="N454" s="114"/>
      <c r="O454" s="114"/>
      <c r="P454" s="111"/>
      <c r="Q454" s="114"/>
      <c r="R454" s="114"/>
      <c r="S454" s="114"/>
      <c r="T454" s="114"/>
      <c r="U454" s="111"/>
      <c r="V454" s="114"/>
      <c r="W454" s="114"/>
      <c r="X454" s="114"/>
      <c r="Y454" s="114"/>
      <c r="Z454" s="111"/>
      <c r="AA454" s="114"/>
      <c r="AB454" s="114"/>
      <c r="AC454" s="114"/>
      <c r="AD454" s="114"/>
      <c r="AE454" s="111"/>
      <c r="AF454" s="114"/>
      <c r="AG454" s="114"/>
      <c r="AH454" s="114"/>
      <c r="AI454" s="114"/>
      <c r="AJ454" s="111"/>
      <c r="AK454" s="114"/>
      <c r="AL454" s="114"/>
      <c r="AM454" s="114"/>
      <c r="AN454" s="114"/>
      <c r="AO454" s="111"/>
      <c r="AP454" s="114"/>
      <c r="AQ454" s="114"/>
      <c r="AR454" s="114"/>
      <c r="AS454" s="114"/>
      <c r="AT454" s="111"/>
      <c r="AU454" s="114"/>
      <c r="AV454" s="114"/>
      <c r="AW454" s="765"/>
      <c r="AX454" s="114"/>
      <c r="AY454" s="111"/>
      <c r="AZ454" s="114"/>
      <c r="BA454" s="114"/>
      <c r="BB454" s="114"/>
      <c r="BC454" s="114"/>
      <c r="BD454" s="111"/>
      <c r="BE454" s="111"/>
      <c r="BF454" s="111"/>
      <c r="BG454" s="111"/>
      <c r="BH454" s="499"/>
    </row>
    <row r="455" spans="1:60" s="19" customFormat="1" hidden="1" outlineLevel="1" x14ac:dyDescent="0.25">
      <c r="A455" s="956" t="s">
        <v>835</v>
      </c>
      <c r="B455" s="956"/>
      <c r="C455" s="986"/>
      <c r="D455" s="986"/>
      <c r="E455" s="986"/>
      <c r="F455" s="986"/>
      <c r="G455" s="986"/>
      <c r="H455" s="986"/>
      <c r="I455" s="986"/>
      <c r="J455" s="986"/>
      <c r="K455" s="986"/>
      <c r="L455" s="986"/>
      <c r="M455" s="986"/>
      <c r="N455" s="986"/>
      <c r="O455" s="986"/>
      <c r="P455" s="986"/>
      <c r="Q455" s="986"/>
      <c r="R455" s="986"/>
      <c r="S455" s="986"/>
      <c r="T455" s="986"/>
      <c r="U455" s="986"/>
      <c r="V455" s="986"/>
      <c r="W455" s="986"/>
      <c r="X455" s="986"/>
      <c r="Y455" s="986"/>
      <c r="Z455" s="986"/>
      <c r="AA455" s="986"/>
      <c r="AB455" s="986"/>
      <c r="AC455" s="986"/>
      <c r="AD455" s="986"/>
      <c r="AE455" s="986"/>
      <c r="AF455" s="986"/>
      <c r="AG455" s="986"/>
      <c r="AH455" s="986"/>
      <c r="AI455" s="986"/>
      <c r="AJ455" s="986"/>
      <c r="AK455" s="986"/>
      <c r="AL455" s="986"/>
      <c r="AM455" s="986"/>
      <c r="AN455" s="986"/>
      <c r="AO455" s="986"/>
      <c r="AP455" s="988" t="s">
        <v>701</v>
      </c>
      <c r="AQ455" s="988" t="s">
        <v>701</v>
      </c>
      <c r="AR455" s="988"/>
      <c r="AS455" s="988"/>
      <c r="AT455" s="988"/>
      <c r="AU455" s="988"/>
      <c r="AV455" s="988"/>
      <c r="AW455" s="989"/>
      <c r="AX455" s="986"/>
      <c r="AY455" s="986"/>
      <c r="AZ455" s="986"/>
      <c r="BA455" s="986"/>
      <c r="BB455" s="986"/>
      <c r="BC455" s="986"/>
      <c r="BD455" s="986"/>
      <c r="BE455" s="986"/>
      <c r="BF455" s="986"/>
      <c r="BG455" s="986"/>
      <c r="BH455" s="730"/>
    </row>
    <row r="456" spans="1:60" s="49" customFormat="1" hidden="1" outlineLevel="1" x14ac:dyDescent="0.25">
      <c r="A456" s="483" t="s">
        <v>44</v>
      </c>
      <c r="B456" s="514"/>
      <c r="C456" s="492"/>
      <c r="D456" s="492"/>
      <c r="E456" s="492"/>
      <c r="F456" s="492"/>
      <c r="G456" s="491"/>
      <c r="H456" s="491"/>
      <c r="I456" s="491"/>
      <c r="J456" s="491"/>
      <c r="K456" s="492"/>
      <c r="L456" s="491"/>
      <c r="M456" s="491"/>
      <c r="N456" s="491"/>
      <c r="O456" s="491"/>
      <c r="P456" s="492"/>
      <c r="Q456" s="491"/>
      <c r="R456" s="491"/>
      <c r="S456" s="491"/>
      <c r="T456" s="491"/>
      <c r="U456" s="492"/>
      <c r="V456" s="491"/>
      <c r="W456" s="491"/>
      <c r="X456" s="491"/>
      <c r="Y456" s="491"/>
      <c r="Z456" s="489">
        <v>1299</v>
      </c>
      <c r="AA456" s="491"/>
      <c r="AB456" s="491"/>
      <c r="AC456" s="491"/>
      <c r="AD456" s="491"/>
      <c r="AE456" s="489">
        <v>1335</v>
      </c>
      <c r="AF456" s="490">
        <v>338</v>
      </c>
      <c r="AG456" s="497">
        <v>354</v>
      </c>
      <c r="AH456" s="490">
        <v>351</v>
      </c>
      <c r="AI456" s="490">
        <f t="shared" ref="AI456:AI462" si="581">AJ456-AH456-AG456-AF456</f>
        <v>329</v>
      </c>
      <c r="AJ456" s="489">
        <v>1372</v>
      </c>
      <c r="AK456" s="490">
        <v>323</v>
      </c>
      <c r="AL456" s="497">
        <v>335</v>
      </c>
      <c r="AM456" s="490">
        <v>993</v>
      </c>
      <c r="AN456" s="490">
        <f>AO456-1728</f>
        <v>1012</v>
      </c>
      <c r="AO456" s="489">
        <v>2740</v>
      </c>
      <c r="AP456" s="490">
        <v>953</v>
      </c>
      <c r="AQ456" s="497">
        <v>957</v>
      </c>
      <c r="AR456" s="490">
        <v>848</v>
      </c>
      <c r="AS456" s="490">
        <f>AT456-2783</f>
        <v>890</v>
      </c>
      <c r="AT456" s="489">
        <v>3673</v>
      </c>
      <c r="AU456" s="491"/>
      <c r="AV456" s="491"/>
      <c r="AW456" s="692"/>
      <c r="AX456" s="491"/>
      <c r="AY456" s="492"/>
      <c r="AZ456" s="491"/>
      <c r="BA456" s="491"/>
      <c r="BB456" s="491"/>
      <c r="BC456" s="491"/>
      <c r="BD456" s="492"/>
      <c r="BE456" s="492"/>
      <c r="BF456" s="492"/>
      <c r="BG456" s="492"/>
      <c r="BH456" s="484"/>
    </row>
    <row r="457" spans="1:60" s="49" customFormat="1" hidden="1" outlineLevel="1" x14ac:dyDescent="0.25">
      <c r="A457" s="483" t="s">
        <v>45</v>
      </c>
      <c r="B457" s="514"/>
      <c r="C457" s="492"/>
      <c r="D457" s="492"/>
      <c r="E457" s="492"/>
      <c r="F457" s="492"/>
      <c r="G457" s="491"/>
      <c r="H457" s="491"/>
      <c r="I457" s="491"/>
      <c r="J457" s="491"/>
      <c r="K457" s="492"/>
      <c r="L457" s="491"/>
      <c r="M457" s="491"/>
      <c r="N457" s="491"/>
      <c r="O457" s="491"/>
      <c r="P457" s="492"/>
      <c r="Q457" s="491"/>
      <c r="R457" s="491"/>
      <c r="S457" s="491"/>
      <c r="T457" s="491"/>
      <c r="U457" s="492"/>
      <c r="V457" s="491"/>
      <c r="W457" s="491"/>
      <c r="X457" s="491"/>
      <c r="Y457" s="491"/>
      <c r="Z457" s="489">
        <v>1441</v>
      </c>
      <c r="AA457" s="491"/>
      <c r="AB457" s="491"/>
      <c r="AC457" s="491"/>
      <c r="AD457" s="491"/>
      <c r="AE457" s="489">
        <v>1293</v>
      </c>
      <c r="AF457" s="490">
        <v>411</v>
      </c>
      <c r="AG457" s="497">
        <v>301</v>
      </c>
      <c r="AH457" s="490">
        <v>310</v>
      </c>
      <c r="AI457" s="490">
        <f t="shared" si="581"/>
        <v>289</v>
      </c>
      <c r="AJ457" s="489">
        <v>1311</v>
      </c>
      <c r="AK457" s="490">
        <v>417</v>
      </c>
      <c r="AL457" s="497">
        <v>357</v>
      </c>
      <c r="AM457" s="490">
        <v>1489</v>
      </c>
      <c r="AN457" s="490">
        <f>AO457-2360</f>
        <v>1174</v>
      </c>
      <c r="AO457" s="489">
        <v>3534</v>
      </c>
      <c r="AP457" s="490">
        <v>1367</v>
      </c>
      <c r="AQ457" s="497">
        <v>1081</v>
      </c>
      <c r="AR457" s="490">
        <v>786</v>
      </c>
      <c r="AS457" s="490">
        <f>AT457-3244</f>
        <v>1233</v>
      </c>
      <c r="AT457" s="489">
        <v>4477</v>
      </c>
      <c r="AU457" s="491"/>
      <c r="AV457" s="491"/>
      <c r="AW457" s="692"/>
      <c r="AX457" s="491"/>
      <c r="AY457" s="492"/>
      <c r="AZ457" s="491"/>
      <c r="BA457" s="491"/>
      <c r="BB457" s="491"/>
      <c r="BC457" s="491"/>
      <c r="BD457" s="492"/>
      <c r="BE457" s="492"/>
      <c r="BF457" s="492"/>
      <c r="BG457" s="492"/>
      <c r="BH457" s="484"/>
    </row>
    <row r="458" spans="1:60" s="49" customFormat="1" hidden="1" outlineLevel="1" x14ac:dyDescent="0.25">
      <c r="A458" s="483" t="s">
        <v>102</v>
      </c>
      <c r="B458" s="514"/>
      <c r="C458" s="492"/>
      <c r="D458" s="492"/>
      <c r="E458" s="492"/>
      <c r="F458" s="492"/>
      <c r="G458" s="491"/>
      <c r="H458" s="491"/>
      <c r="I458" s="491"/>
      <c r="J458" s="491"/>
      <c r="K458" s="492"/>
      <c r="L458" s="491"/>
      <c r="M458" s="491"/>
      <c r="N458" s="491"/>
      <c r="O458" s="491"/>
      <c r="P458" s="492"/>
      <c r="Q458" s="491"/>
      <c r="R458" s="491"/>
      <c r="S458" s="491"/>
      <c r="T458" s="491"/>
      <c r="U458" s="492"/>
      <c r="V458" s="491"/>
      <c r="W458" s="491"/>
      <c r="X458" s="491"/>
      <c r="Y458" s="491"/>
      <c r="Z458" s="489">
        <v>566</v>
      </c>
      <c r="AA458" s="491"/>
      <c r="AB458" s="491"/>
      <c r="AC458" s="491"/>
      <c r="AD458" s="491"/>
      <c r="AE458" s="489">
        <v>447</v>
      </c>
      <c r="AF458" s="491"/>
      <c r="AG458" s="491"/>
      <c r="AH458" s="491"/>
      <c r="AI458" s="490">
        <f t="shared" si="581"/>
        <v>168</v>
      </c>
      <c r="AJ458" s="489">
        <v>168</v>
      </c>
      <c r="AK458" s="491"/>
      <c r="AL458" s="491"/>
      <c r="AM458" s="491"/>
      <c r="AN458" s="491"/>
      <c r="AO458" s="489">
        <v>2244</v>
      </c>
      <c r="AP458" s="490">
        <v>1326</v>
      </c>
      <c r="AQ458" s="497">
        <v>1796</v>
      </c>
      <c r="AR458" s="490">
        <v>2129</v>
      </c>
      <c r="AS458" s="490">
        <f>AT458-SUM(AP458,AQ458,AR458)</f>
        <v>2394</v>
      </c>
      <c r="AT458" s="489">
        <v>7645</v>
      </c>
      <c r="AU458" s="491"/>
      <c r="AV458" s="491"/>
      <c r="AW458" s="692"/>
      <c r="AX458" s="491"/>
      <c r="AY458" s="492"/>
      <c r="AZ458" s="491"/>
      <c r="BA458" s="491"/>
      <c r="BB458" s="491"/>
      <c r="BC458" s="491"/>
      <c r="BD458" s="492"/>
      <c r="BE458" s="492"/>
      <c r="BF458" s="492"/>
      <c r="BG458" s="492"/>
      <c r="BH458" s="484"/>
    </row>
    <row r="459" spans="1:60" s="49" customFormat="1" hidden="1" outlineLevel="1" x14ac:dyDescent="0.25">
      <c r="A459" s="483" t="s">
        <v>103</v>
      </c>
      <c r="B459" s="514"/>
      <c r="C459" s="492"/>
      <c r="D459" s="492"/>
      <c r="E459" s="492"/>
      <c r="F459" s="492"/>
      <c r="G459" s="491"/>
      <c r="H459" s="491"/>
      <c r="I459" s="491"/>
      <c r="J459" s="491"/>
      <c r="K459" s="492"/>
      <c r="L459" s="491"/>
      <c r="M459" s="491"/>
      <c r="N459" s="491"/>
      <c r="O459" s="491"/>
      <c r="P459" s="492"/>
      <c r="Q459" s="491"/>
      <c r="R459" s="491"/>
      <c r="S459" s="491"/>
      <c r="T459" s="491"/>
      <c r="U459" s="492"/>
      <c r="V459" s="491"/>
      <c r="W459" s="491"/>
      <c r="X459" s="491"/>
      <c r="Y459" s="491"/>
      <c r="Z459" s="492"/>
      <c r="AA459" s="491"/>
      <c r="AB459" s="491"/>
      <c r="AC459" s="491"/>
      <c r="AD459" s="491"/>
      <c r="AE459" s="492"/>
      <c r="AF459" s="490">
        <v>25</v>
      </c>
      <c r="AG459" s="497">
        <v>28</v>
      </c>
      <c r="AH459" s="490">
        <v>22</v>
      </c>
      <c r="AI459" s="490">
        <f t="shared" si="581"/>
        <v>30</v>
      </c>
      <c r="AJ459" s="489">
        <v>105</v>
      </c>
      <c r="AK459" s="490">
        <v>34</v>
      </c>
      <c r="AL459" s="497">
        <v>24</v>
      </c>
      <c r="AM459" s="490">
        <v>218</v>
      </c>
      <c r="AN459" s="490">
        <f>AO459-275</f>
        <v>129</v>
      </c>
      <c r="AO459" s="489">
        <v>404</v>
      </c>
      <c r="AP459" s="490">
        <v>203</v>
      </c>
      <c r="AQ459" s="497">
        <v>163</v>
      </c>
      <c r="AR459" s="490">
        <v>116</v>
      </c>
      <c r="AS459" s="490">
        <f>AT459-SUM(AP459,AQ459,AR459)</f>
        <v>263</v>
      </c>
      <c r="AT459" s="489">
        <v>745</v>
      </c>
      <c r="AU459" s="491"/>
      <c r="AV459" s="491"/>
      <c r="AW459" s="692"/>
      <c r="AX459" s="491"/>
      <c r="AY459" s="492"/>
      <c r="AZ459" s="491"/>
      <c r="BA459" s="491"/>
      <c r="BB459" s="491"/>
      <c r="BC459" s="491"/>
      <c r="BD459" s="492"/>
      <c r="BE459" s="492"/>
      <c r="BF459" s="492"/>
      <c r="BG459" s="492"/>
      <c r="BH459" s="484"/>
    </row>
    <row r="460" spans="1:60" s="49" customFormat="1" hidden="1" outlineLevel="1" x14ac:dyDescent="0.25">
      <c r="A460" s="483" t="s">
        <v>85</v>
      </c>
      <c r="B460" s="514"/>
      <c r="C460" s="492"/>
      <c r="D460" s="492"/>
      <c r="E460" s="492"/>
      <c r="F460" s="492"/>
      <c r="G460" s="491"/>
      <c r="H460" s="491"/>
      <c r="I460" s="491"/>
      <c r="J460" s="491"/>
      <c r="K460" s="492"/>
      <c r="L460" s="491"/>
      <c r="M460" s="491"/>
      <c r="N460" s="491"/>
      <c r="O460" s="491"/>
      <c r="P460" s="492"/>
      <c r="Q460" s="491"/>
      <c r="R460" s="491"/>
      <c r="S460" s="491"/>
      <c r="T460" s="491"/>
      <c r="U460" s="492"/>
      <c r="V460" s="491"/>
      <c r="W460" s="491"/>
      <c r="X460" s="491"/>
      <c r="Y460" s="491"/>
      <c r="Z460" s="492"/>
      <c r="AA460" s="491"/>
      <c r="AB460" s="491"/>
      <c r="AC460" s="491"/>
      <c r="AD460" s="491"/>
      <c r="AE460" s="492"/>
      <c r="AF460" s="490">
        <v>18</v>
      </c>
      <c r="AG460" s="497">
        <v>19</v>
      </c>
      <c r="AH460" s="490">
        <v>18</v>
      </c>
      <c r="AI460" s="490">
        <f t="shared" si="581"/>
        <v>15</v>
      </c>
      <c r="AJ460" s="489">
        <v>70</v>
      </c>
      <c r="AK460" s="490">
        <v>15</v>
      </c>
      <c r="AL460" s="497">
        <v>12</v>
      </c>
      <c r="AM460" s="490">
        <v>12</v>
      </c>
      <c r="AN460" s="490">
        <f>AO460-40</f>
        <v>11</v>
      </c>
      <c r="AO460" s="489">
        <v>51</v>
      </c>
      <c r="AP460" s="490">
        <v>8</v>
      </c>
      <c r="AQ460" s="497">
        <v>8</v>
      </c>
      <c r="AR460" s="490">
        <v>8</v>
      </c>
      <c r="AS460" s="490">
        <f>AT460-SUM(AP460,AQ460,AR460)</f>
        <v>8</v>
      </c>
      <c r="AT460" s="489">
        <v>32</v>
      </c>
      <c r="AU460" s="491"/>
      <c r="AV460" s="491"/>
      <c r="AW460" s="692"/>
      <c r="AX460" s="491"/>
      <c r="AY460" s="492"/>
      <c r="AZ460" s="491"/>
      <c r="BA460" s="491"/>
      <c r="BB460" s="491"/>
      <c r="BC460" s="491"/>
      <c r="BD460" s="492"/>
      <c r="BE460" s="492"/>
      <c r="BF460" s="492"/>
      <c r="BG460" s="492"/>
      <c r="BH460" s="484"/>
    </row>
    <row r="461" spans="1:60" s="49" customFormat="1" hidden="1" outlineLevel="1" x14ac:dyDescent="0.25">
      <c r="A461" s="483" t="s">
        <v>84</v>
      </c>
      <c r="B461" s="514"/>
      <c r="C461" s="492"/>
      <c r="D461" s="492"/>
      <c r="E461" s="492"/>
      <c r="F461" s="492"/>
      <c r="G461" s="491"/>
      <c r="H461" s="491"/>
      <c r="I461" s="491"/>
      <c r="J461" s="491"/>
      <c r="K461" s="492"/>
      <c r="L461" s="491"/>
      <c r="M461" s="491"/>
      <c r="N461" s="491"/>
      <c r="O461" s="491"/>
      <c r="P461" s="492"/>
      <c r="Q461" s="491"/>
      <c r="R461" s="491"/>
      <c r="S461" s="491"/>
      <c r="T461" s="491"/>
      <c r="U461" s="492"/>
      <c r="V461" s="491"/>
      <c r="W461" s="491"/>
      <c r="X461" s="491"/>
      <c r="Y461" s="491"/>
      <c r="Z461" s="492"/>
      <c r="AA461" s="491"/>
      <c r="AB461" s="491"/>
      <c r="AC461" s="491"/>
      <c r="AD461" s="491"/>
      <c r="AE461" s="492"/>
      <c r="AF461" s="490">
        <v>30</v>
      </c>
      <c r="AG461" s="497">
        <v>24</v>
      </c>
      <c r="AH461" s="490">
        <v>29</v>
      </c>
      <c r="AI461" s="490">
        <f t="shared" si="581"/>
        <v>20</v>
      </c>
      <c r="AJ461" s="489">
        <v>103</v>
      </c>
      <c r="AK461" s="490">
        <v>28</v>
      </c>
      <c r="AL461" s="497">
        <v>21</v>
      </c>
      <c r="AM461" s="490">
        <v>24</v>
      </c>
      <c r="AN461" s="490">
        <f>AO461-AM461-AL461-AK461</f>
        <v>24</v>
      </c>
      <c r="AO461" s="489">
        <v>97</v>
      </c>
      <c r="AP461" s="490">
        <v>27</v>
      </c>
      <c r="AQ461" s="497">
        <v>19</v>
      </c>
      <c r="AR461" s="490">
        <v>21</v>
      </c>
      <c r="AS461" s="490">
        <f>AT461-SUM(AP461,AQ461,AR461)</f>
        <v>17</v>
      </c>
      <c r="AT461" s="489">
        <v>84</v>
      </c>
      <c r="AU461" s="491"/>
      <c r="AV461" s="491"/>
      <c r="AW461" s="692"/>
      <c r="AX461" s="491"/>
      <c r="AY461" s="492"/>
      <c r="AZ461" s="491"/>
      <c r="BA461" s="491"/>
      <c r="BB461" s="491"/>
      <c r="BC461" s="491"/>
      <c r="BD461" s="492"/>
      <c r="BE461" s="492"/>
      <c r="BF461" s="492"/>
      <c r="BG461" s="492"/>
      <c r="BH461" s="484"/>
    </row>
    <row r="462" spans="1:60" s="49" customFormat="1" hidden="1" outlineLevel="1" x14ac:dyDescent="0.25">
      <c r="A462" s="218" t="s">
        <v>47</v>
      </c>
      <c r="B462" s="573"/>
      <c r="C462" s="322"/>
      <c r="D462" s="322"/>
      <c r="E462" s="322"/>
      <c r="F462" s="322"/>
      <c r="G462" s="321"/>
      <c r="H462" s="321"/>
      <c r="I462" s="321"/>
      <c r="J462" s="321"/>
      <c r="K462" s="322"/>
      <c r="L462" s="321"/>
      <c r="M462" s="321"/>
      <c r="N462" s="321"/>
      <c r="O462" s="321"/>
      <c r="P462" s="322"/>
      <c r="Q462" s="321"/>
      <c r="R462" s="321"/>
      <c r="S462" s="321"/>
      <c r="T462" s="321"/>
      <c r="U462" s="322"/>
      <c r="V462" s="321"/>
      <c r="W462" s="321"/>
      <c r="X462" s="321"/>
      <c r="Y462" s="321"/>
      <c r="Z462" s="322"/>
      <c r="AA462" s="321"/>
      <c r="AB462" s="321"/>
      <c r="AC462" s="321"/>
      <c r="AD462" s="321"/>
      <c r="AE462" s="322"/>
      <c r="AF462" s="319">
        <v>109</v>
      </c>
      <c r="AG462" s="320">
        <v>105</v>
      </c>
      <c r="AH462" s="319">
        <v>97</v>
      </c>
      <c r="AI462" s="319">
        <f t="shared" si="581"/>
        <v>-26</v>
      </c>
      <c r="AJ462" s="318">
        <v>285</v>
      </c>
      <c r="AK462" s="319">
        <v>101</v>
      </c>
      <c r="AL462" s="320">
        <v>206</v>
      </c>
      <c r="AM462" s="319">
        <v>1122</v>
      </c>
      <c r="AN462" s="319">
        <f>+AN463-SUM(AN456:AN461)</f>
        <v>1078</v>
      </c>
      <c r="AO462" s="318">
        <v>279</v>
      </c>
      <c r="AP462" s="319">
        <v>103</v>
      </c>
      <c r="AQ462" s="320">
        <v>99</v>
      </c>
      <c r="AR462" s="319">
        <v>61</v>
      </c>
      <c r="AS462" s="319">
        <f>AT462-SUM(AP462,AQ462,AR462)</f>
        <v>48</v>
      </c>
      <c r="AT462" s="318">
        <v>311</v>
      </c>
      <c r="AU462" s="321"/>
      <c r="AV462" s="321"/>
      <c r="AW462" s="693"/>
      <c r="AX462" s="321"/>
      <c r="AY462" s="322"/>
      <c r="AZ462" s="321"/>
      <c r="BA462" s="321"/>
      <c r="BB462" s="321"/>
      <c r="BC462" s="321"/>
      <c r="BD462" s="322"/>
      <c r="BE462" s="322"/>
      <c r="BF462" s="322"/>
      <c r="BG462" s="322"/>
      <c r="BH462" s="484"/>
    </row>
    <row r="463" spans="1:60" s="52" customFormat="1" hidden="1" outlineLevel="1" x14ac:dyDescent="0.25">
      <c r="A463" s="501" t="s">
        <v>95</v>
      </c>
      <c r="B463" s="264"/>
      <c r="C463" s="506"/>
      <c r="D463" s="506"/>
      <c r="E463" s="506"/>
      <c r="F463" s="506"/>
      <c r="G463" s="505"/>
      <c r="H463" s="505"/>
      <c r="I463" s="505"/>
      <c r="J463" s="505"/>
      <c r="K463" s="506"/>
      <c r="L463" s="505"/>
      <c r="M463" s="505"/>
      <c r="N463" s="505"/>
      <c r="O463" s="505"/>
      <c r="P463" s="506"/>
      <c r="Q463" s="505"/>
      <c r="R463" s="505"/>
      <c r="S463" s="505"/>
      <c r="T463" s="505"/>
      <c r="U463" s="506"/>
      <c r="V463" s="505"/>
      <c r="W463" s="505"/>
      <c r="X463" s="505"/>
      <c r="Y463" s="505"/>
      <c r="Z463" s="502">
        <f>SUM(Z456:Z458)</f>
        <v>3306</v>
      </c>
      <c r="AA463" s="505"/>
      <c r="AB463" s="505"/>
      <c r="AC463" s="505"/>
      <c r="AD463" s="505"/>
      <c r="AE463" s="502">
        <f>SUM(AE456:AE458)</f>
        <v>3075</v>
      </c>
      <c r="AF463" s="503">
        <f t="shared" ref="AF463:AM463" si="582">SUM(AF456:AF462)</f>
        <v>931</v>
      </c>
      <c r="AG463" s="504">
        <f t="shared" si="582"/>
        <v>831</v>
      </c>
      <c r="AH463" s="503">
        <f t="shared" si="582"/>
        <v>827</v>
      </c>
      <c r="AI463" s="503">
        <f t="shared" si="582"/>
        <v>825</v>
      </c>
      <c r="AJ463" s="502">
        <f t="shared" si="582"/>
        <v>3414</v>
      </c>
      <c r="AK463" s="503">
        <f t="shared" si="582"/>
        <v>918</v>
      </c>
      <c r="AL463" s="504">
        <f t="shared" si="582"/>
        <v>955</v>
      </c>
      <c r="AM463" s="503">
        <f t="shared" si="582"/>
        <v>3858</v>
      </c>
      <c r="AN463" s="503">
        <v>3428</v>
      </c>
      <c r="AO463" s="502">
        <f t="shared" ref="AO463:AT463" si="583">SUM(AO456:AO462)</f>
        <v>9349</v>
      </c>
      <c r="AP463" s="503">
        <f t="shared" si="583"/>
        <v>3987</v>
      </c>
      <c r="AQ463" s="504">
        <f t="shared" si="583"/>
        <v>4123</v>
      </c>
      <c r="AR463" s="503">
        <f t="shared" si="583"/>
        <v>3969</v>
      </c>
      <c r="AS463" s="503">
        <f t="shared" si="583"/>
        <v>4853</v>
      </c>
      <c r="AT463" s="502">
        <f t="shared" si="583"/>
        <v>16967</v>
      </c>
      <c r="AU463" s="505"/>
      <c r="AV463" s="505"/>
      <c r="AW463" s="694"/>
      <c r="AX463" s="505"/>
      <c r="AY463" s="506"/>
      <c r="AZ463" s="505"/>
      <c r="BA463" s="505"/>
      <c r="BB463" s="505"/>
      <c r="BC463" s="505"/>
      <c r="BD463" s="506"/>
      <c r="BE463" s="506"/>
      <c r="BF463" s="506"/>
      <c r="BG463" s="506"/>
      <c r="BH463" s="499"/>
    </row>
    <row r="464" spans="1:60" s="40" customFormat="1" hidden="1" outlineLevel="1" x14ac:dyDescent="0.25">
      <c r="A464" s="657"/>
      <c r="B464" s="653"/>
      <c r="C464" s="964"/>
      <c r="D464" s="964"/>
      <c r="E464" s="964"/>
      <c r="F464" s="964"/>
      <c r="G464" s="965"/>
      <c r="H464" s="965"/>
      <c r="I464" s="965"/>
      <c r="J464" s="965"/>
      <c r="K464" s="964"/>
      <c r="L464" s="965"/>
      <c r="M464" s="965"/>
      <c r="N464" s="965"/>
      <c r="O464" s="965"/>
      <c r="P464" s="964"/>
      <c r="Q464" s="965"/>
      <c r="R464" s="965"/>
      <c r="S464" s="965"/>
      <c r="T464" s="965"/>
      <c r="U464" s="964"/>
      <c r="V464" s="965"/>
      <c r="W464" s="965"/>
      <c r="X464" s="965"/>
      <c r="Y464" s="965"/>
      <c r="Z464" s="964"/>
      <c r="AA464" s="965"/>
      <c r="AB464" s="965"/>
      <c r="AC464" s="965"/>
      <c r="AD464" s="965"/>
      <c r="AE464" s="964"/>
      <c r="AF464" s="965"/>
      <c r="AG464" s="965"/>
      <c r="AH464" s="965"/>
      <c r="AI464" s="965"/>
      <c r="AJ464" s="964"/>
      <c r="AK464" s="965"/>
      <c r="AL464" s="965"/>
      <c r="AM464" s="965"/>
      <c r="AN464" s="965"/>
      <c r="AO464" s="964"/>
      <c r="AP464" s="965"/>
      <c r="AQ464" s="965"/>
      <c r="AR464" s="965"/>
      <c r="AS464" s="965"/>
      <c r="AT464" s="964"/>
      <c r="AU464" s="965"/>
      <c r="AV464" s="965"/>
      <c r="AW464" s="976"/>
      <c r="AX464" s="965"/>
      <c r="AY464" s="964"/>
      <c r="AZ464" s="965"/>
      <c r="BA464" s="965"/>
      <c r="BB464" s="965"/>
      <c r="BC464" s="965"/>
      <c r="BD464" s="964"/>
      <c r="BE464" s="964"/>
      <c r="BF464" s="964"/>
      <c r="BG464" s="964"/>
      <c r="BH464" s="728"/>
    </row>
    <row r="465" spans="1:60" s="470" customFormat="1" hidden="1" outlineLevel="1" x14ac:dyDescent="0.25">
      <c r="A465" s="96" t="s">
        <v>641</v>
      </c>
      <c r="B465" s="514"/>
      <c r="C465" s="492"/>
      <c r="D465" s="492"/>
      <c r="E465" s="492"/>
      <c r="F465" s="492"/>
      <c r="G465" s="491"/>
      <c r="H465" s="491"/>
      <c r="I465" s="491"/>
      <c r="J465" s="491"/>
      <c r="K465" s="492"/>
      <c r="L465" s="491"/>
      <c r="M465" s="491"/>
      <c r="N465" s="491"/>
      <c r="O465" s="491"/>
      <c r="P465" s="492"/>
      <c r="Q465" s="491"/>
      <c r="R465" s="491"/>
      <c r="S465" s="491"/>
      <c r="T465" s="491"/>
      <c r="U465" s="492"/>
      <c r="V465" s="491"/>
      <c r="W465" s="491"/>
      <c r="X465" s="491"/>
      <c r="Y465" s="491"/>
      <c r="Z465" s="492"/>
      <c r="AA465" s="491"/>
      <c r="AB465" s="491"/>
      <c r="AC465" s="491"/>
      <c r="AD465" s="491"/>
      <c r="AE465" s="492"/>
      <c r="AF465" s="491"/>
      <c r="AG465" s="491"/>
      <c r="AH465" s="491"/>
      <c r="AI465" s="491"/>
      <c r="AJ465" s="492"/>
      <c r="AK465" s="490">
        <v>225</v>
      </c>
      <c r="AL465" s="497">
        <v>294</v>
      </c>
      <c r="AM465" s="490">
        <v>1533</v>
      </c>
      <c r="AN465" s="490">
        <f>AO465-2078</f>
        <v>1593</v>
      </c>
      <c r="AO465" s="489">
        <v>3671</v>
      </c>
      <c r="AP465" s="490">
        <v>2160</v>
      </c>
      <c r="AQ465" s="497">
        <v>2408</v>
      </c>
      <c r="AR465" s="490">
        <v>2494</v>
      </c>
      <c r="AS465" s="491"/>
      <c r="AT465" s="492"/>
      <c r="AU465" s="491"/>
      <c r="AV465" s="491"/>
      <c r="AW465" s="692"/>
      <c r="AX465" s="491"/>
      <c r="AY465" s="492"/>
      <c r="AZ465" s="491"/>
      <c r="BA465" s="491"/>
      <c r="BB465" s="491"/>
      <c r="BC465" s="491"/>
      <c r="BD465" s="492"/>
      <c r="BE465" s="492"/>
      <c r="BF465" s="492"/>
      <c r="BG465" s="492"/>
      <c r="BH465" s="484"/>
    </row>
    <row r="466" spans="1:60" s="470" customFormat="1" hidden="1" outlineLevel="1" x14ac:dyDescent="0.25">
      <c r="A466" s="363" t="s">
        <v>644</v>
      </c>
      <c r="B466" s="573"/>
      <c r="C466" s="322"/>
      <c r="D466" s="322"/>
      <c r="E466" s="322"/>
      <c r="F466" s="322"/>
      <c r="G466" s="321"/>
      <c r="H466" s="321"/>
      <c r="I466" s="321"/>
      <c r="J466" s="321"/>
      <c r="K466" s="322"/>
      <c r="L466" s="321"/>
      <c r="M466" s="321"/>
      <c r="N466" s="321"/>
      <c r="O466" s="321"/>
      <c r="P466" s="322"/>
      <c r="Q466" s="321"/>
      <c r="R466" s="321"/>
      <c r="S466" s="321"/>
      <c r="T466" s="321"/>
      <c r="U466" s="322"/>
      <c r="V466" s="321"/>
      <c r="W466" s="321"/>
      <c r="X466" s="321"/>
      <c r="Y466" s="321"/>
      <c r="Z466" s="322"/>
      <c r="AA466" s="321"/>
      <c r="AB466" s="321"/>
      <c r="AC466" s="321"/>
      <c r="AD466" s="321"/>
      <c r="AE466" s="322"/>
      <c r="AF466" s="321"/>
      <c r="AG466" s="321"/>
      <c r="AH466" s="321"/>
      <c r="AI466" s="321"/>
      <c r="AJ466" s="322"/>
      <c r="AK466" s="319">
        <v>370</v>
      </c>
      <c r="AL466" s="320">
        <v>379</v>
      </c>
      <c r="AM466" s="319">
        <v>665</v>
      </c>
      <c r="AN466" s="319">
        <f>AO466-1431</f>
        <v>620</v>
      </c>
      <c r="AO466" s="318">
        <v>2051</v>
      </c>
      <c r="AP466" s="319">
        <v>634</v>
      </c>
      <c r="AQ466" s="320">
        <v>622</v>
      </c>
      <c r="AR466" s="319">
        <v>431</v>
      </c>
      <c r="AS466" s="321"/>
      <c r="AT466" s="322"/>
      <c r="AU466" s="321"/>
      <c r="AV466" s="321"/>
      <c r="AW466" s="693"/>
      <c r="AX466" s="321"/>
      <c r="AY466" s="322"/>
      <c r="AZ466" s="321"/>
      <c r="BA466" s="321"/>
      <c r="BB466" s="321"/>
      <c r="BC466" s="321"/>
      <c r="BD466" s="322"/>
      <c r="BE466" s="322"/>
      <c r="BF466" s="322"/>
      <c r="BG466" s="322"/>
      <c r="BH466" s="484"/>
    </row>
    <row r="467" spans="1:60" s="470" customFormat="1" hidden="1" outlineLevel="1" x14ac:dyDescent="0.25">
      <c r="A467" s="483" t="s">
        <v>700</v>
      </c>
      <c r="B467" s="514"/>
      <c r="C467" s="492"/>
      <c r="D467" s="492"/>
      <c r="E467" s="492"/>
      <c r="F467" s="492"/>
      <c r="G467" s="491"/>
      <c r="H467" s="491"/>
      <c r="I467" s="491"/>
      <c r="J467" s="491"/>
      <c r="K467" s="492"/>
      <c r="L467" s="491"/>
      <c r="M467" s="491"/>
      <c r="N467" s="491"/>
      <c r="O467" s="491"/>
      <c r="P467" s="492"/>
      <c r="Q467" s="491"/>
      <c r="R467" s="491"/>
      <c r="S467" s="491"/>
      <c r="T467" s="491"/>
      <c r="U467" s="492"/>
      <c r="V467" s="491"/>
      <c r="W467" s="491"/>
      <c r="X467" s="491"/>
      <c r="Y467" s="491"/>
      <c r="Z467" s="492"/>
      <c r="AA467" s="491"/>
      <c r="AB467" s="491"/>
      <c r="AC467" s="491"/>
      <c r="AD467" s="491"/>
      <c r="AE467" s="492"/>
      <c r="AF467" s="491"/>
      <c r="AG467" s="491"/>
      <c r="AH467" s="491"/>
      <c r="AI467" s="491"/>
      <c r="AJ467" s="492"/>
      <c r="AK467" s="490">
        <f>SUM(AK465:AK466)</f>
        <v>595</v>
      </c>
      <c r="AL467" s="497">
        <f t="shared" ref="AL467:AR467" si="584">SUM(AL465:AL466)</f>
        <v>673</v>
      </c>
      <c r="AM467" s="490">
        <f t="shared" si="584"/>
        <v>2198</v>
      </c>
      <c r="AN467" s="490">
        <f t="shared" si="584"/>
        <v>2213</v>
      </c>
      <c r="AO467" s="489">
        <f t="shared" si="584"/>
        <v>5722</v>
      </c>
      <c r="AP467" s="490">
        <f t="shared" si="584"/>
        <v>2794</v>
      </c>
      <c r="AQ467" s="497">
        <f t="shared" si="584"/>
        <v>3030</v>
      </c>
      <c r="AR467" s="490">
        <f t="shared" si="584"/>
        <v>2925</v>
      </c>
      <c r="AS467" s="490">
        <f>AT467-7062-1722</f>
        <v>3714</v>
      </c>
      <c r="AT467" s="489">
        <v>12498</v>
      </c>
      <c r="AU467" s="491"/>
      <c r="AV467" s="491"/>
      <c r="AW467" s="692"/>
      <c r="AX467" s="491"/>
      <c r="AY467" s="492"/>
      <c r="AZ467" s="491"/>
      <c r="BA467" s="491"/>
      <c r="BB467" s="491"/>
      <c r="BC467" s="491"/>
      <c r="BD467" s="492"/>
      <c r="BE467" s="492"/>
      <c r="BF467" s="492"/>
      <c r="BG467" s="492"/>
      <c r="BH467" s="484"/>
    </row>
    <row r="468" spans="1:60" s="470" customFormat="1" hidden="1" outlineLevel="1" x14ac:dyDescent="0.25">
      <c r="A468" s="483" t="s">
        <v>642</v>
      </c>
      <c r="B468" s="514"/>
      <c r="C468" s="492"/>
      <c r="D468" s="492"/>
      <c r="E468" s="492"/>
      <c r="F468" s="492"/>
      <c r="G468" s="491"/>
      <c r="H468" s="491"/>
      <c r="I468" s="491"/>
      <c r="J468" s="491"/>
      <c r="K468" s="492"/>
      <c r="L468" s="491"/>
      <c r="M468" s="491"/>
      <c r="N468" s="491"/>
      <c r="O468" s="491"/>
      <c r="P468" s="492"/>
      <c r="Q468" s="491"/>
      <c r="R468" s="491"/>
      <c r="S468" s="491"/>
      <c r="T468" s="491"/>
      <c r="U468" s="492"/>
      <c r="V468" s="491"/>
      <c r="W468" s="491"/>
      <c r="X468" s="491"/>
      <c r="Y468" s="491"/>
      <c r="Z468" s="492"/>
      <c r="AA468" s="491"/>
      <c r="AB468" s="491"/>
      <c r="AC468" s="491"/>
      <c r="AD468" s="491"/>
      <c r="AE468" s="492"/>
      <c r="AF468" s="491"/>
      <c r="AG468" s="491"/>
      <c r="AH468" s="491"/>
      <c r="AI468" s="491"/>
      <c r="AJ468" s="492"/>
      <c r="AK468" s="490">
        <v>189</v>
      </c>
      <c r="AL468" s="497">
        <v>147</v>
      </c>
      <c r="AM468" s="490">
        <v>473</v>
      </c>
      <c r="AN468" s="490">
        <f>AO468-846</f>
        <v>414</v>
      </c>
      <c r="AO468" s="489">
        <v>1260</v>
      </c>
      <c r="AP468" s="490">
        <v>486</v>
      </c>
      <c r="AQ468" s="497">
        <v>436</v>
      </c>
      <c r="AR468" s="490">
        <v>585</v>
      </c>
      <c r="AS468" s="490">
        <f>AT468-SUM(AP468,AQ468,AR468)</f>
        <v>509</v>
      </c>
      <c r="AT468" s="489">
        <v>2016</v>
      </c>
      <c r="AU468" s="491"/>
      <c r="AV468" s="491"/>
      <c r="AW468" s="692"/>
      <c r="AX468" s="491"/>
      <c r="AY468" s="492"/>
      <c r="AZ468" s="491"/>
      <c r="BA468" s="491"/>
      <c r="BB468" s="491"/>
      <c r="BC468" s="491"/>
      <c r="BD468" s="492"/>
      <c r="BE468" s="492"/>
      <c r="BF468" s="492"/>
      <c r="BG468" s="492"/>
      <c r="BH468" s="484"/>
    </row>
    <row r="469" spans="1:60" s="470" customFormat="1" hidden="1" outlineLevel="1" x14ac:dyDescent="0.25">
      <c r="A469" s="483" t="s">
        <v>643</v>
      </c>
      <c r="B469" s="514"/>
      <c r="C469" s="492"/>
      <c r="D469" s="492"/>
      <c r="E469" s="492"/>
      <c r="F469" s="492"/>
      <c r="G469" s="491"/>
      <c r="H469" s="491"/>
      <c r="I469" s="491"/>
      <c r="J469" s="491"/>
      <c r="K469" s="492"/>
      <c r="L469" s="491"/>
      <c r="M469" s="491"/>
      <c r="N469" s="491"/>
      <c r="O469" s="491"/>
      <c r="P469" s="492"/>
      <c r="Q469" s="491"/>
      <c r="R469" s="491"/>
      <c r="S469" s="491"/>
      <c r="T469" s="491"/>
      <c r="U469" s="492"/>
      <c r="V469" s="491"/>
      <c r="W469" s="491"/>
      <c r="X469" s="491"/>
      <c r="Y469" s="491"/>
      <c r="Z469" s="492"/>
      <c r="AA469" s="491"/>
      <c r="AB469" s="491"/>
      <c r="AC469" s="491"/>
      <c r="AD469" s="491"/>
      <c r="AE469" s="492"/>
      <c r="AF469" s="491"/>
      <c r="AG469" s="491"/>
      <c r="AH469" s="491"/>
      <c r="AI469" s="491"/>
      <c r="AJ469" s="492"/>
      <c r="AK469" s="490">
        <v>134</v>
      </c>
      <c r="AL469" s="497">
        <v>135</v>
      </c>
      <c r="AM469" s="490">
        <v>1187</v>
      </c>
      <c r="AN469" s="490">
        <f>AO469-1566</f>
        <v>801</v>
      </c>
      <c r="AO469" s="489">
        <v>2367</v>
      </c>
      <c r="AP469" s="490">
        <v>707</v>
      </c>
      <c r="AQ469" s="497">
        <v>657</v>
      </c>
      <c r="AR469" s="490">
        <v>459</v>
      </c>
      <c r="AS469" s="490">
        <f>AT469-SUM(AP469,AQ469,AR469)</f>
        <v>630</v>
      </c>
      <c r="AT469" s="489">
        <v>2453</v>
      </c>
      <c r="AU469" s="491"/>
      <c r="AV469" s="491"/>
      <c r="AW469" s="692"/>
      <c r="AX469" s="491"/>
      <c r="AY469" s="492"/>
      <c r="AZ469" s="491"/>
      <c r="BA469" s="491"/>
      <c r="BB469" s="491"/>
      <c r="BC469" s="491"/>
      <c r="BD469" s="492"/>
      <c r="BE469" s="492"/>
      <c r="BF469" s="492"/>
      <c r="BG469" s="492"/>
      <c r="BH469" s="484"/>
    </row>
    <row r="470" spans="1:60" s="498" customFormat="1" hidden="1" outlineLevel="1" x14ac:dyDescent="0.25">
      <c r="A470" s="500" t="s">
        <v>588</v>
      </c>
      <c r="B470" s="516"/>
      <c r="C470" s="511"/>
      <c r="D470" s="511"/>
      <c r="E470" s="511"/>
      <c r="F470" s="511"/>
      <c r="G470" s="510"/>
      <c r="H470" s="510"/>
      <c r="I470" s="510"/>
      <c r="J470" s="510"/>
      <c r="K470" s="511"/>
      <c r="L470" s="510"/>
      <c r="M470" s="510"/>
      <c r="N470" s="510"/>
      <c r="O470" s="510"/>
      <c r="P470" s="511"/>
      <c r="Q470" s="510"/>
      <c r="R470" s="510"/>
      <c r="S470" s="510"/>
      <c r="T470" s="510"/>
      <c r="U470" s="511"/>
      <c r="V470" s="510"/>
      <c r="W470" s="510"/>
      <c r="X470" s="510"/>
      <c r="Y470" s="510"/>
      <c r="Z470" s="511"/>
      <c r="AA470" s="510"/>
      <c r="AB470" s="510"/>
      <c r="AC470" s="510"/>
      <c r="AD470" s="510"/>
      <c r="AE470" s="511"/>
      <c r="AF470" s="510"/>
      <c r="AG470" s="510"/>
      <c r="AH470" s="510"/>
      <c r="AI470" s="510"/>
      <c r="AJ470" s="511"/>
      <c r="AK470" s="508">
        <f>SUM(AK467:AK469)</f>
        <v>918</v>
      </c>
      <c r="AL470" s="509">
        <f t="shared" ref="AL470:AT470" si="585">SUM(AL467:AL469)</f>
        <v>955</v>
      </c>
      <c r="AM470" s="508">
        <f t="shared" si="585"/>
        <v>3858</v>
      </c>
      <c r="AN470" s="508">
        <f t="shared" si="585"/>
        <v>3428</v>
      </c>
      <c r="AO470" s="507">
        <f t="shared" si="585"/>
        <v>9349</v>
      </c>
      <c r="AP470" s="508">
        <f t="shared" si="585"/>
        <v>3987</v>
      </c>
      <c r="AQ470" s="509">
        <f t="shared" si="585"/>
        <v>4123</v>
      </c>
      <c r="AR470" s="508">
        <f t="shared" si="585"/>
        <v>3969</v>
      </c>
      <c r="AS470" s="508">
        <f t="shared" si="585"/>
        <v>4853</v>
      </c>
      <c r="AT470" s="507">
        <f t="shared" si="585"/>
        <v>16967</v>
      </c>
      <c r="AU470" s="510"/>
      <c r="AV470" s="510"/>
      <c r="AW470" s="701"/>
      <c r="AX470" s="510"/>
      <c r="AY470" s="511"/>
      <c r="AZ470" s="510"/>
      <c r="BA470" s="510"/>
      <c r="BB470" s="510"/>
      <c r="BC470" s="510"/>
      <c r="BD470" s="511"/>
      <c r="BE470" s="511"/>
      <c r="BF470" s="511"/>
      <c r="BG470" s="511"/>
      <c r="BH470" s="499"/>
    </row>
    <row r="471" spans="1:60" s="44" customFormat="1" hidden="1" outlineLevel="1" x14ac:dyDescent="0.25">
      <c r="A471" s="748"/>
      <c r="B471" s="246"/>
      <c r="C471" s="478"/>
      <c r="D471" s="478"/>
      <c r="E471" s="478"/>
      <c r="F471" s="478"/>
      <c r="G471" s="480"/>
      <c r="H471" s="480"/>
      <c r="I471" s="480"/>
      <c r="J471" s="480"/>
      <c r="K471" s="478"/>
      <c r="L471" s="480"/>
      <c r="M471" s="480"/>
      <c r="N471" s="480"/>
      <c r="O471" s="480"/>
      <c r="P471" s="478"/>
      <c r="Q471" s="480"/>
      <c r="R471" s="480"/>
      <c r="S471" s="480"/>
      <c r="T471" s="480"/>
      <c r="U471" s="478"/>
      <c r="V471" s="480"/>
      <c r="W471" s="480"/>
      <c r="X471" s="480"/>
      <c r="Y471" s="480"/>
      <c r="Z471" s="478"/>
      <c r="AA471" s="480"/>
      <c r="AB471" s="480"/>
      <c r="AC471" s="480"/>
      <c r="AD471" s="480"/>
      <c r="AE471" s="478"/>
      <c r="AF471" s="480"/>
      <c r="AG471" s="480"/>
      <c r="AH471" s="480"/>
      <c r="AI471" s="480"/>
      <c r="AJ471" s="478"/>
      <c r="AK471" s="480"/>
      <c r="AL471" s="480"/>
      <c r="AM471" s="480"/>
      <c r="AN471" s="480"/>
      <c r="AO471" s="478"/>
      <c r="AP471" s="480"/>
      <c r="AQ471" s="480"/>
      <c r="AR471" s="480"/>
      <c r="AS471" s="480"/>
      <c r="AT471" s="478"/>
      <c r="AU471" s="480"/>
      <c r="AV471" s="480"/>
      <c r="AW471" s="708"/>
      <c r="AX471" s="480"/>
      <c r="AY471" s="478"/>
      <c r="AZ471" s="480"/>
      <c r="BA471" s="480"/>
      <c r="BB471" s="480"/>
      <c r="BC471" s="480"/>
      <c r="BD471" s="478"/>
      <c r="BE471" s="478"/>
      <c r="BF471" s="478"/>
      <c r="BG471" s="478"/>
      <c r="BH471" s="473"/>
    </row>
    <row r="472" spans="1:60" s="49" customFormat="1" hidden="1" outlineLevel="1" x14ac:dyDescent="0.25">
      <c r="A472" s="483" t="s">
        <v>104</v>
      </c>
      <c r="B472" s="514"/>
      <c r="C472" s="492"/>
      <c r="D472" s="492"/>
      <c r="E472" s="492"/>
      <c r="F472" s="492"/>
      <c r="G472" s="491"/>
      <c r="H472" s="491"/>
      <c r="I472" s="491"/>
      <c r="J472" s="491"/>
      <c r="K472" s="492"/>
      <c r="L472" s="491"/>
      <c r="M472" s="491"/>
      <c r="N472" s="491"/>
      <c r="O472" s="491"/>
      <c r="P472" s="492"/>
      <c r="Q472" s="491"/>
      <c r="R472" s="491"/>
      <c r="S472" s="491"/>
      <c r="T472" s="491"/>
      <c r="U472" s="492"/>
      <c r="V472" s="491"/>
      <c r="W472" s="491"/>
      <c r="X472" s="491"/>
      <c r="Y472" s="491"/>
      <c r="Z472" s="489">
        <v>234</v>
      </c>
      <c r="AA472" s="491"/>
      <c r="AB472" s="491"/>
      <c r="AC472" s="491"/>
      <c r="AD472" s="491"/>
      <c r="AE472" s="489">
        <v>233</v>
      </c>
      <c r="AF472" s="490">
        <v>108</v>
      </c>
      <c r="AG472" s="497">
        <v>49</v>
      </c>
      <c r="AH472" s="490">
        <v>98</v>
      </c>
      <c r="AI472" s="490">
        <f>AJ472-AH472-AG472-AF472</f>
        <v>56</v>
      </c>
      <c r="AJ472" s="489">
        <v>311</v>
      </c>
      <c r="AK472" s="490">
        <v>137</v>
      </c>
      <c r="AL472" s="497">
        <v>91</v>
      </c>
      <c r="AM472" s="490">
        <v>202</v>
      </c>
      <c r="AN472" s="490">
        <f>AO472-452</f>
        <v>218</v>
      </c>
      <c r="AO472" s="489">
        <v>670</v>
      </c>
      <c r="AP472" s="490">
        <v>370</v>
      </c>
      <c r="AQ472" s="497">
        <v>247</v>
      </c>
      <c r="AR472" s="490">
        <v>223</v>
      </c>
      <c r="AS472" s="490">
        <f>AT472-825</f>
        <v>47</v>
      </c>
      <c r="AT472" s="489">
        <v>872</v>
      </c>
      <c r="AU472" s="491"/>
      <c r="AV472" s="491"/>
      <c r="AW472" s="692"/>
      <c r="AX472" s="491"/>
      <c r="AY472" s="492"/>
      <c r="AZ472" s="491"/>
      <c r="BA472" s="491"/>
      <c r="BB472" s="491"/>
      <c r="BC472" s="491"/>
      <c r="BD472" s="492"/>
      <c r="BE472" s="492"/>
      <c r="BF472" s="492"/>
      <c r="BG472" s="492"/>
      <c r="BH472" s="484"/>
    </row>
    <row r="473" spans="1:60" s="49" customFormat="1" hidden="1" outlineLevel="1" x14ac:dyDescent="0.25">
      <c r="A473" s="483" t="s">
        <v>105</v>
      </c>
      <c r="B473" s="514"/>
      <c r="C473" s="492"/>
      <c r="D473" s="492"/>
      <c r="E473" s="492"/>
      <c r="F473" s="492"/>
      <c r="G473" s="491"/>
      <c r="H473" s="491"/>
      <c r="I473" s="491"/>
      <c r="J473" s="491"/>
      <c r="K473" s="492"/>
      <c r="L473" s="491"/>
      <c r="M473" s="491"/>
      <c r="N473" s="491"/>
      <c r="O473" s="491"/>
      <c r="P473" s="492"/>
      <c r="Q473" s="491"/>
      <c r="R473" s="491"/>
      <c r="S473" s="491"/>
      <c r="T473" s="491"/>
      <c r="U473" s="492"/>
      <c r="V473" s="491"/>
      <c r="W473" s="491"/>
      <c r="X473" s="491"/>
      <c r="Y473" s="491"/>
      <c r="Z473" s="489">
        <v>-90</v>
      </c>
      <c r="AA473" s="491"/>
      <c r="AB473" s="491"/>
      <c r="AC473" s="491"/>
      <c r="AD473" s="491"/>
      <c r="AE473" s="489">
        <v>-96</v>
      </c>
      <c r="AF473" s="490">
        <v>-41</v>
      </c>
      <c r="AG473" s="497">
        <v>-68</v>
      </c>
      <c r="AH473" s="490">
        <v>-147</v>
      </c>
      <c r="AI473" s="490">
        <f>AJ473-AH473-AG473-AF473</f>
        <v>-213</v>
      </c>
      <c r="AJ473" s="489">
        <v>-469</v>
      </c>
      <c r="AK473" s="490">
        <v>-182</v>
      </c>
      <c r="AL473" s="497">
        <v>-343</v>
      </c>
      <c r="AM473" s="490">
        <v>-762</v>
      </c>
      <c r="AN473" s="490">
        <f>AO473+1304</f>
        <v>-940</v>
      </c>
      <c r="AO473" s="489">
        <v>-2244</v>
      </c>
      <c r="AP473" s="490">
        <v>-1062</v>
      </c>
      <c r="AQ473" s="497">
        <v>-894</v>
      </c>
      <c r="AR473" s="490">
        <v>-801</v>
      </c>
      <c r="AS473" s="490">
        <f>AT473-SUM(AP473,AQ473,AR473)</f>
        <v>-537</v>
      </c>
      <c r="AT473" s="489">
        <v>-3294</v>
      </c>
      <c r="AU473" s="491"/>
      <c r="AV473" s="491"/>
      <c r="AW473" s="692"/>
      <c r="AX473" s="491"/>
      <c r="AY473" s="492"/>
      <c r="AZ473" s="491"/>
      <c r="BA473" s="491"/>
      <c r="BB473" s="491"/>
      <c r="BC473" s="491"/>
      <c r="BD473" s="492"/>
      <c r="BE473" s="492"/>
      <c r="BF473" s="492"/>
      <c r="BG473" s="492"/>
      <c r="BH473" s="484"/>
    </row>
    <row r="474" spans="1:60" s="470" customFormat="1" hidden="1" outlineLevel="1" x14ac:dyDescent="0.25">
      <c r="A474" s="483" t="s">
        <v>292</v>
      </c>
      <c r="B474" s="514"/>
      <c r="C474" s="492"/>
      <c r="D474" s="492"/>
      <c r="E474" s="492"/>
      <c r="F474" s="492"/>
      <c r="G474" s="491"/>
      <c r="H474" s="491"/>
      <c r="I474" s="491"/>
      <c r="J474" s="491"/>
      <c r="K474" s="492"/>
      <c r="L474" s="491"/>
      <c r="M474" s="491"/>
      <c r="N474" s="491"/>
      <c r="O474" s="491"/>
      <c r="P474" s="492"/>
      <c r="Q474" s="491"/>
      <c r="R474" s="491"/>
      <c r="S474" s="491"/>
      <c r="T474" s="491"/>
      <c r="U474" s="492"/>
      <c r="V474" s="491"/>
      <c r="W474" s="491"/>
      <c r="X474" s="491"/>
      <c r="Y474" s="491"/>
      <c r="Z474" s="492"/>
      <c r="AA474" s="491"/>
      <c r="AB474" s="491"/>
      <c r="AC474" s="491"/>
      <c r="AD474" s="491"/>
      <c r="AE474" s="492"/>
      <c r="AF474" s="491"/>
      <c r="AG474" s="491"/>
      <c r="AH474" s="491"/>
      <c r="AI474" s="491"/>
      <c r="AJ474" s="492"/>
      <c r="AK474" s="491"/>
      <c r="AL474" s="491"/>
      <c r="AM474" s="491"/>
      <c r="AN474" s="491"/>
      <c r="AO474" s="492"/>
      <c r="AP474" s="490">
        <v>-43</v>
      </c>
      <c r="AQ474" s="497">
        <v>-135</v>
      </c>
      <c r="AR474" s="490">
        <v>-110</v>
      </c>
      <c r="AS474" s="490">
        <f>AT474-SUM(AP474,AQ474,AR474)</f>
        <v>-56</v>
      </c>
      <c r="AT474" s="489">
        <v>-344</v>
      </c>
      <c r="AU474" s="491"/>
      <c r="AV474" s="491"/>
      <c r="AW474" s="692"/>
      <c r="AX474" s="491"/>
      <c r="AY474" s="492"/>
      <c r="AZ474" s="491"/>
      <c r="BA474" s="491"/>
      <c r="BB474" s="491"/>
      <c r="BC474" s="491"/>
      <c r="BD474" s="492"/>
      <c r="BE474" s="492"/>
      <c r="BF474" s="492"/>
      <c r="BG474" s="492"/>
      <c r="BH474" s="484"/>
    </row>
    <row r="475" spans="1:60" s="49" customFormat="1" hidden="1" outlineLevel="1" x14ac:dyDescent="0.25">
      <c r="A475" s="218" t="s">
        <v>37</v>
      </c>
      <c r="B475" s="573"/>
      <c r="C475" s="322"/>
      <c r="D475" s="322"/>
      <c r="E475" s="322"/>
      <c r="F475" s="322"/>
      <c r="G475" s="321"/>
      <c r="H475" s="321"/>
      <c r="I475" s="321"/>
      <c r="J475" s="321"/>
      <c r="K475" s="322"/>
      <c r="L475" s="321"/>
      <c r="M475" s="321"/>
      <c r="N475" s="321"/>
      <c r="O475" s="321"/>
      <c r="P475" s="322"/>
      <c r="Q475" s="321"/>
      <c r="R475" s="321"/>
      <c r="S475" s="321"/>
      <c r="T475" s="321"/>
      <c r="U475" s="322"/>
      <c r="V475" s="321"/>
      <c r="W475" s="321"/>
      <c r="X475" s="321"/>
      <c r="Y475" s="321"/>
      <c r="Z475" s="318">
        <v>-182</v>
      </c>
      <c r="AA475" s="321"/>
      <c r="AB475" s="321"/>
      <c r="AC475" s="321"/>
      <c r="AD475" s="321"/>
      <c r="AE475" s="318">
        <v>-421</v>
      </c>
      <c r="AF475" s="319">
        <v>-109</v>
      </c>
      <c r="AG475" s="320">
        <v>-169</v>
      </c>
      <c r="AH475" s="319">
        <v>-119</v>
      </c>
      <c r="AI475" s="319">
        <f>AJ475-AH475-AG475-AF475</f>
        <v>-183</v>
      </c>
      <c r="AJ475" s="318">
        <v>-580</v>
      </c>
      <c r="AK475" s="319">
        <v>-91</v>
      </c>
      <c r="AL475" s="320">
        <v>-141</v>
      </c>
      <c r="AM475" s="319">
        <v>7</v>
      </c>
      <c r="AN475" s="319">
        <f>AO475+222</f>
        <v>-18</v>
      </c>
      <c r="AO475" s="318">
        <v>-240</v>
      </c>
      <c r="AP475" s="319">
        <v>42</v>
      </c>
      <c r="AQ475" s="320">
        <v>-30</v>
      </c>
      <c r="AR475" s="319">
        <v>-18</v>
      </c>
      <c r="AS475" s="319">
        <f>AT475-SUM(AP475,AQ475,AR475)</f>
        <v>-34</v>
      </c>
      <c r="AT475" s="318">
        <v>-40</v>
      </c>
      <c r="AU475" s="321"/>
      <c r="AV475" s="321"/>
      <c r="AW475" s="693"/>
      <c r="AX475" s="321"/>
      <c r="AY475" s="322"/>
      <c r="AZ475" s="321"/>
      <c r="BA475" s="321"/>
      <c r="BB475" s="321"/>
      <c r="BC475" s="321"/>
      <c r="BD475" s="322"/>
      <c r="BE475" s="322"/>
      <c r="BF475" s="322"/>
      <c r="BG475" s="322"/>
      <c r="BH475" s="484"/>
    </row>
    <row r="476" spans="1:60" s="52" customFormat="1" hidden="1" outlineLevel="1" x14ac:dyDescent="0.25">
      <c r="A476" s="501" t="s">
        <v>96</v>
      </c>
      <c r="B476" s="264"/>
      <c r="C476" s="506"/>
      <c r="D476" s="506"/>
      <c r="E476" s="506"/>
      <c r="F476" s="506"/>
      <c r="G476" s="505"/>
      <c r="H476" s="505"/>
      <c r="I476" s="505"/>
      <c r="J476" s="505"/>
      <c r="K476" s="506"/>
      <c r="L476" s="505"/>
      <c r="M476" s="505"/>
      <c r="N476" s="505"/>
      <c r="O476" s="505"/>
      <c r="P476" s="506"/>
      <c r="Q476" s="505"/>
      <c r="R476" s="505"/>
      <c r="S476" s="505"/>
      <c r="T476" s="505"/>
      <c r="U476" s="506"/>
      <c r="V476" s="505"/>
      <c r="W476" s="505"/>
      <c r="X476" s="505"/>
      <c r="Y476" s="505"/>
      <c r="Z476" s="502">
        <f>SUM(Z472:Z475)</f>
        <v>-38</v>
      </c>
      <c r="AA476" s="505"/>
      <c r="AB476" s="505"/>
      <c r="AC476" s="505"/>
      <c r="AD476" s="505"/>
      <c r="AE476" s="502">
        <f t="shared" ref="AE476:AO476" si="586">SUM(AE472:AE475)</f>
        <v>-284</v>
      </c>
      <c r="AF476" s="503">
        <f t="shared" si="586"/>
        <v>-42</v>
      </c>
      <c r="AG476" s="504">
        <f t="shared" si="586"/>
        <v>-188</v>
      </c>
      <c r="AH476" s="503">
        <f t="shared" si="586"/>
        <v>-168</v>
      </c>
      <c r="AI476" s="503">
        <f t="shared" si="586"/>
        <v>-340</v>
      </c>
      <c r="AJ476" s="502">
        <f t="shared" si="586"/>
        <v>-738</v>
      </c>
      <c r="AK476" s="503">
        <f t="shared" si="586"/>
        <v>-136</v>
      </c>
      <c r="AL476" s="504">
        <f t="shared" si="586"/>
        <v>-393</v>
      </c>
      <c r="AM476" s="503">
        <f t="shared" si="586"/>
        <v>-553</v>
      </c>
      <c r="AN476" s="503">
        <f t="shared" si="586"/>
        <v>-740</v>
      </c>
      <c r="AO476" s="502">
        <f t="shared" si="586"/>
        <v>-1814</v>
      </c>
      <c r="AP476" s="503">
        <v>-693</v>
      </c>
      <c r="AQ476" s="504">
        <f t="shared" ref="AQ476:AT476" si="587">SUM(AQ472:AQ475)</f>
        <v>-812</v>
      </c>
      <c r="AR476" s="503">
        <f t="shared" si="587"/>
        <v>-706</v>
      </c>
      <c r="AS476" s="503">
        <f t="shared" si="587"/>
        <v>-580</v>
      </c>
      <c r="AT476" s="502">
        <f t="shared" si="587"/>
        <v>-2806</v>
      </c>
      <c r="AU476" s="505"/>
      <c r="AV476" s="505"/>
      <c r="AW476" s="694"/>
      <c r="AX476" s="505"/>
      <c r="AY476" s="506"/>
      <c r="AZ476" s="505"/>
      <c r="BA476" s="505"/>
      <c r="BB476" s="505"/>
      <c r="BC476" s="505"/>
      <c r="BD476" s="506"/>
      <c r="BE476" s="506"/>
      <c r="BF476" s="506"/>
      <c r="BG476" s="506"/>
      <c r="BH476" s="499"/>
    </row>
    <row r="477" spans="1:60" s="44" customFormat="1" collapsed="1" x14ac:dyDescent="0.25">
      <c r="A477" s="748"/>
      <c r="B477" s="246"/>
      <c r="C477" s="478"/>
      <c r="D477" s="478"/>
      <c r="E477" s="478"/>
      <c r="F477" s="478"/>
      <c r="G477" s="480"/>
      <c r="H477" s="480"/>
      <c r="I477" s="480"/>
      <c r="J477" s="480"/>
      <c r="K477" s="478"/>
      <c r="L477" s="480"/>
      <c r="M477" s="480"/>
      <c r="N477" s="480"/>
      <c r="O477" s="480"/>
      <c r="P477" s="478"/>
      <c r="Q477" s="480"/>
      <c r="R477" s="480"/>
      <c r="S477" s="480"/>
      <c r="T477" s="480"/>
      <c r="U477" s="478"/>
      <c r="V477" s="480"/>
      <c r="W477" s="480"/>
      <c r="X477" s="480"/>
      <c r="Y477" s="480"/>
      <c r="Z477" s="478"/>
      <c r="AA477" s="480"/>
      <c r="AB477" s="480"/>
      <c r="AC477" s="480"/>
      <c r="AD477" s="480"/>
      <c r="AE477" s="478"/>
      <c r="AF477" s="480"/>
      <c r="AG477" s="480"/>
      <c r="AH477" s="480"/>
      <c r="AI477" s="480"/>
      <c r="AJ477" s="478"/>
      <c r="AK477" s="480"/>
      <c r="AL477" s="480"/>
      <c r="AM477" s="480"/>
      <c r="AN477" s="480"/>
      <c r="AO477" s="478"/>
      <c r="AP477" s="480"/>
      <c r="AQ477" s="480"/>
      <c r="AR477" s="480"/>
      <c r="AS477" s="480"/>
      <c r="AT477" s="478"/>
      <c r="AU477" s="480"/>
      <c r="AV477" s="480"/>
      <c r="AW477" s="708"/>
      <c r="AX477" s="480"/>
      <c r="AY477" s="478"/>
      <c r="AZ477" s="480"/>
      <c r="BA477" s="480"/>
      <c r="BB477" s="480"/>
      <c r="BC477" s="480"/>
      <c r="BD477" s="478"/>
      <c r="BE477" s="478"/>
      <c r="BF477" s="478"/>
      <c r="BG477" s="478"/>
      <c r="BH477" s="473"/>
    </row>
    <row r="478" spans="1:60" s="19" customFormat="1" x14ac:dyDescent="0.25">
      <c r="A478" s="956" t="s">
        <v>106</v>
      </c>
      <c r="B478" s="956"/>
      <c r="C478" s="986"/>
      <c r="D478" s="986"/>
      <c r="E478" s="986"/>
      <c r="F478" s="986"/>
      <c r="G478" s="986"/>
      <c r="H478" s="986"/>
      <c r="I478" s="986"/>
      <c r="J478" s="986"/>
      <c r="K478" s="986"/>
      <c r="L478" s="986"/>
      <c r="M478" s="986"/>
      <c r="N478" s="986"/>
      <c r="O478" s="986"/>
      <c r="P478" s="986"/>
      <c r="Q478" s="986"/>
      <c r="R478" s="986"/>
      <c r="S478" s="986"/>
      <c r="T478" s="986"/>
      <c r="U478" s="986"/>
      <c r="V478" s="986"/>
      <c r="W478" s="986"/>
      <c r="X478" s="986"/>
      <c r="Y478" s="986"/>
      <c r="Z478" s="986"/>
      <c r="AA478" s="986"/>
      <c r="AB478" s="986"/>
      <c r="AC478" s="986"/>
      <c r="AD478" s="986"/>
      <c r="AE478" s="986"/>
      <c r="AF478" s="986"/>
      <c r="AG478" s="986"/>
      <c r="AH478" s="986"/>
      <c r="AI478" s="986"/>
      <c r="AJ478" s="986"/>
      <c r="AK478" s="986"/>
      <c r="AL478" s="986"/>
      <c r="AM478" s="986"/>
      <c r="AN478" s="986"/>
      <c r="AO478" s="986"/>
      <c r="AP478" s="986"/>
      <c r="AQ478" s="986"/>
      <c r="AR478" s="986"/>
      <c r="AS478" s="986"/>
      <c r="AT478" s="986"/>
      <c r="AU478" s="986"/>
      <c r="AV478" s="986"/>
      <c r="AW478" s="987"/>
      <c r="AX478" s="986"/>
      <c r="AY478" s="986"/>
      <c r="AZ478" s="986"/>
      <c r="BA478" s="986"/>
      <c r="BB478" s="986"/>
      <c r="BC478" s="986"/>
      <c r="BD478" s="986"/>
      <c r="BE478" s="986"/>
      <c r="BF478" s="986"/>
      <c r="BG478" s="986"/>
      <c r="BH478" s="730"/>
    </row>
    <row r="479" spans="1:60" s="470" customFormat="1" x14ac:dyDescent="0.25">
      <c r="A479" s="205" t="s">
        <v>868</v>
      </c>
      <c r="B479" s="514"/>
      <c r="C479" s="492"/>
      <c r="D479" s="492"/>
      <c r="E479" s="492"/>
      <c r="F479" s="492"/>
      <c r="G479" s="491"/>
      <c r="H479" s="491"/>
      <c r="I479" s="491"/>
      <c r="J479" s="491"/>
      <c r="K479" s="492"/>
      <c r="L479" s="491"/>
      <c r="M479" s="491"/>
      <c r="N479" s="491"/>
      <c r="O479" s="491"/>
      <c r="P479" s="492"/>
      <c r="Q479" s="491"/>
      <c r="R479" s="491"/>
      <c r="S479" s="491"/>
      <c r="T479" s="491"/>
      <c r="U479" s="492"/>
      <c r="V479" s="491"/>
      <c r="W479" s="491"/>
      <c r="X479" s="491"/>
      <c r="Y479" s="491"/>
      <c r="Z479" s="492"/>
      <c r="AA479" s="491"/>
      <c r="AB479" s="491"/>
      <c r="AC479" s="491"/>
      <c r="AD479" s="491"/>
      <c r="AE479" s="492"/>
      <c r="AF479" s="491"/>
      <c r="AG479" s="491"/>
      <c r="AH479" s="491"/>
      <c r="AI479" s="491"/>
      <c r="AJ479" s="492"/>
      <c r="AK479" s="491"/>
      <c r="AL479" s="491"/>
      <c r="AM479" s="491"/>
      <c r="AN479" s="491"/>
      <c r="AO479" s="492"/>
      <c r="AP479" s="490">
        <f>AP142+AP206</f>
        <v>13002</v>
      </c>
      <c r="AQ479" s="490">
        <f>AQ142+AQ206</f>
        <v>11906</v>
      </c>
      <c r="AR479" s="490">
        <f>AR142+AR206</f>
        <v>7897</v>
      </c>
      <c r="AS479" s="490">
        <f>AS142+AS206</f>
        <v>10938</v>
      </c>
      <c r="AT479" s="489">
        <f>SUM(AP479,AQ479,AR479,AS479)</f>
        <v>43743</v>
      </c>
      <c r="AU479" s="490">
        <f>AU142+AU206</f>
        <v>11846</v>
      </c>
      <c r="AV479" s="490">
        <f>AV142+AV206</f>
        <v>9849</v>
      </c>
      <c r="AW479" s="687">
        <f>AW142+AW206</f>
        <v>11279</v>
      </c>
      <c r="AX479" s="490">
        <f>AX142+AX206</f>
        <v>13387.61143155</v>
      </c>
      <c r="AY479" s="489">
        <f>SUM(AU479,AV479,AW479,AX479)</f>
        <v>46361.611431550002</v>
      </c>
      <c r="AZ479" s="490">
        <f>AZ142+AZ206</f>
        <v>12823.23284353216</v>
      </c>
      <c r="BA479" s="490">
        <f>BA142+BA206</f>
        <v>13468.170421858413</v>
      </c>
      <c r="BB479" s="490">
        <f>BB142+BB206</f>
        <v>14815.012553540499</v>
      </c>
      <c r="BC479" s="490">
        <f>BC142+BC206</f>
        <v>15782.229312356758</v>
      </c>
      <c r="BD479" s="489">
        <f>SUM(AZ479,BA479,BB479,BC479)</f>
        <v>56888.645131287827</v>
      </c>
      <c r="BE479" s="489">
        <f>BE142+BE206</f>
        <v>60615.40619563793</v>
      </c>
      <c r="BF479" s="489">
        <f>BF142+BF206</f>
        <v>64934.919578948473</v>
      </c>
      <c r="BG479" s="489">
        <f>BG142+BG206</f>
        <v>70530.310044717829</v>
      </c>
      <c r="BH479" s="484"/>
    </row>
    <row r="480" spans="1:60" s="470" customFormat="1" x14ac:dyDescent="0.25">
      <c r="A480" s="592" t="s">
        <v>613</v>
      </c>
      <c r="B480" s="514"/>
      <c r="C480" s="492"/>
      <c r="D480" s="492"/>
      <c r="E480" s="492"/>
      <c r="F480" s="492"/>
      <c r="G480" s="491"/>
      <c r="H480" s="491"/>
      <c r="I480" s="491"/>
      <c r="J480" s="491"/>
      <c r="K480" s="492"/>
      <c r="L480" s="491"/>
      <c r="M480" s="491"/>
      <c r="N480" s="491"/>
      <c r="O480" s="491"/>
      <c r="P480" s="492"/>
      <c r="Q480" s="491"/>
      <c r="R480" s="491"/>
      <c r="S480" s="491"/>
      <c r="T480" s="491"/>
      <c r="U480" s="492"/>
      <c r="V480" s="491"/>
      <c r="W480" s="491"/>
      <c r="X480" s="491"/>
      <c r="Y480" s="491"/>
      <c r="Z480" s="492"/>
      <c r="AA480" s="491"/>
      <c r="AB480" s="491"/>
      <c r="AC480" s="491"/>
      <c r="AD480" s="491"/>
      <c r="AE480" s="492"/>
      <c r="AF480" s="491"/>
      <c r="AG480" s="491"/>
      <c r="AH480" s="491"/>
      <c r="AI480" s="491"/>
      <c r="AJ480" s="492"/>
      <c r="AK480" s="491"/>
      <c r="AL480" s="491"/>
      <c r="AM480" s="491"/>
      <c r="AN480" s="491"/>
      <c r="AO480" s="492"/>
      <c r="AP480" s="490">
        <f t="shared" ref="AP480:AR480" si="588">-AP543</f>
        <v>206</v>
      </c>
      <c r="AQ480" s="490">
        <f t="shared" si="588"/>
        <v>217</v>
      </c>
      <c r="AR480" s="490">
        <f t="shared" si="588"/>
        <v>190</v>
      </c>
      <c r="AS480" s="490">
        <f t="shared" ref="AS480:AX480" si="589">-AS543</f>
        <v>288</v>
      </c>
      <c r="AT480" s="489">
        <f t="shared" si="589"/>
        <v>899</v>
      </c>
      <c r="AU480" s="490">
        <f>-AU543</f>
        <v>167</v>
      </c>
      <c r="AV480" s="490">
        <f>-AV543</f>
        <v>154</v>
      </c>
      <c r="AW480" s="687">
        <f>-AW543</f>
        <v>166</v>
      </c>
      <c r="AX480" s="490">
        <f t="shared" si="589"/>
        <v>215</v>
      </c>
      <c r="AY480" s="489">
        <f>SUM(AU480,AV480,AW480,AX480)</f>
        <v>702</v>
      </c>
      <c r="AZ480" s="490">
        <f>-AZ543</f>
        <v>215</v>
      </c>
      <c r="BA480" s="490">
        <f>-BA543</f>
        <v>215</v>
      </c>
      <c r="BB480" s="490">
        <f>-BB543</f>
        <v>215</v>
      </c>
      <c r="BC480" s="490">
        <f>-BC543</f>
        <v>215</v>
      </c>
      <c r="BD480" s="489">
        <f>SUM(AZ480,BA480,BB480,BC480)</f>
        <v>860</v>
      </c>
      <c r="BE480" s="489">
        <f>-BE543</f>
        <v>860</v>
      </c>
      <c r="BF480" s="489">
        <f>-BF543</f>
        <v>860</v>
      </c>
      <c r="BG480" s="489">
        <f>-BG543</f>
        <v>860</v>
      </c>
      <c r="BH480" s="484"/>
    </row>
    <row r="481" spans="1:60" s="470" customFormat="1" x14ac:dyDescent="0.25">
      <c r="A481" s="592" t="s">
        <v>900</v>
      </c>
      <c r="B481" s="514"/>
      <c r="C481" s="492"/>
      <c r="D481" s="492"/>
      <c r="E481" s="492"/>
      <c r="F481" s="492"/>
      <c r="G481" s="491"/>
      <c r="H481" s="491"/>
      <c r="I481" s="491"/>
      <c r="J481" s="491"/>
      <c r="K481" s="492"/>
      <c r="L481" s="491"/>
      <c r="M481" s="491"/>
      <c r="N481" s="491"/>
      <c r="O481" s="491"/>
      <c r="P481" s="492"/>
      <c r="Q481" s="491"/>
      <c r="R481" s="491"/>
      <c r="S481" s="491"/>
      <c r="T481" s="491"/>
      <c r="U481" s="492"/>
      <c r="V481" s="491"/>
      <c r="W481" s="491"/>
      <c r="X481" s="491"/>
      <c r="Y481" s="491"/>
      <c r="Z481" s="492"/>
      <c r="AA481" s="491"/>
      <c r="AB481" s="491"/>
      <c r="AC481" s="491"/>
      <c r="AD481" s="491"/>
      <c r="AE481" s="492"/>
      <c r="AF481" s="491"/>
      <c r="AG481" s="491"/>
      <c r="AH481" s="491"/>
      <c r="AI481" s="491"/>
      <c r="AJ481" s="492"/>
      <c r="AK481" s="491"/>
      <c r="AL481" s="491"/>
      <c r="AM481" s="491"/>
      <c r="AN481" s="491"/>
      <c r="AO481" s="492"/>
      <c r="AP481" s="668">
        <f t="shared" ref="AP481:AX481" si="590">AP140</f>
        <v>-174</v>
      </c>
      <c r="AQ481" s="668">
        <f t="shared" si="590"/>
        <v>-186</v>
      </c>
      <c r="AR481" s="668">
        <f t="shared" si="590"/>
        <v>-191</v>
      </c>
      <c r="AS481" s="668">
        <f t="shared" si="590"/>
        <v>-211</v>
      </c>
      <c r="AT481" s="489">
        <f t="shared" si="590"/>
        <v>-762</v>
      </c>
      <c r="AU481" s="668">
        <f t="shared" si="590"/>
        <v>-238</v>
      </c>
      <c r="AV481" s="668">
        <f t="shared" si="590"/>
        <v>-221</v>
      </c>
      <c r="AW481" s="697">
        <f t="shared" si="590"/>
        <v>-212</v>
      </c>
      <c r="AX481" s="490">
        <f t="shared" si="590"/>
        <v>-200</v>
      </c>
      <c r="AY481" s="489">
        <f>SUM(AU481,AV481,AW481,AX481)</f>
        <v>-871</v>
      </c>
      <c r="AZ481" s="490">
        <f>AZ140</f>
        <v>-200</v>
      </c>
      <c r="BA481" s="490">
        <f>BA140</f>
        <v>-200</v>
      </c>
      <c r="BB481" s="490">
        <f>BB140</f>
        <v>-200</v>
      </c>
      <c r="BC481" s="490">
        <f>BC140</f>
        <v>-200</v>
      </c>
      <c r="BD481" s="489">
        <f>SUM(AZ481,BA481,BB481,BC481)</f>
        <v>-800</v>
      </c>
      <c r="BE481" s="489">
        <f>BE140</f>
        <v>-800</v>
      </c>
      <c r="BF481" s="489">
        <f>BF140</f>
        <v>-800</v>
      </c>
      <c r="BG481" s="489">
        <f>BG140</f>
        <v>-800</v>
      </c>
      <c r="BH481" s="484"/>
    </row>
    <row r="482" spans="1:60" s="470" customFormat="1" x14ac:dyDescent="0.25">
      <c r="A482" s="218" t="s">
        <v>855</v>
      </c>
      <c r="B482" s="573"/>
      <c r="C482" s="322"/>
      <c r="D482" s="322"/>
      <c r="E482" s="322"/>
      <c r="F482" s="322"/>
      <c r="G482" s="321"/>
      <c r="H482" s="321"/>
      <c r="I482" s="321"/>
      <c r="J482" s="321"/>
      <c r="K482" s="322"/>
      <c r="L482" s="321"/>
      <c r="M482" s="321"/>
      <c r="N482" s="321"/>
      <c r="O482" s="321"/>
      <c r="P482" s="322"/>
      <c r="Q482" s="321"/>
      <c r="R482" s="321"/>
      <c r="S482" s="321"/>
      <c r="T482" s="321"/>
      <c r="U482" s="322"/>
      <c r="V482" s="321"/>
      <c r="W482" s="321"/>
      <c r="X482" s="321"/>
      <c r="Y482" s="321"/>
      <c r="Z482" s="322"/>
      <c r="AA482" s="321"/>
      <c r="AB482" s="321"/>
      <c r="AC482" s="321"/>
      <c r="AD482" s="321"/>
      <c r="AE482" s="322"/>
      <c r="AF482" s="321"/>
      <c r="AG482" s="321"/>
      <c r="AH482" s="321"/>
      <c r="AI482" s="321"/>
      <c r="AJ482" s="322"/>
      <c r="AK482" s="321"/>
      <c r="AL482" s="321"/>
      <c r="AM482" s="321"/>
      <c r="AN482" s="321"/>
      <c r="AO482" s="322"/>
      <c r="AP482" s="319">
        <f>AP483-AP479-AP480-AP481</f>
        <v>-18</v>
      </c>
      <c r="AQ482" s="319">
        <f t="shared" ref="AQ482:AT482" si="591">AQ483-AQ479-AQ480-AQ481</f>
        <v>-19</v>
      </c>
      <c r="AR482" s="319">
        <f t="shared" si="591"/>
        <v>0</v>
      </c>
      <c r="AS482" s="319">
        <f t="shared" si="591"/>
        <v>-2</v>
      </c>
      <c r="AT482" s="318">
        <f t="shared" si="591"/>
        <v>0</v>
      </c>
      <c r="AU482" s="321"/>
      <c r="AV482" s="321"/>
      <c r="AW482" s="693"/>
      <c r="AX482" s="321"/>
      <c r="AY482" s="322"/>
      <c r="AZ482" s="321"/>
      <c r="BA482" s="321"/>
      <c r="BB482" s="321"/>
      <c r="BC482" s="321"/>
      <c r="BD482" s="322"/>
      <c r="BE482" s="322"/>
      <c r="BF482" s="322"/>
      <c r="BG482" s="322"/>
      <c r="BH482" s="484"/>
    </row>
    <row r="483" spans="1:60" s="498" customFormat="1" x14ac:dyDescent="0.25">
      <c r="A483" s="501" t="s">
        <v>856</v>
      </c>
      <c r="B483" s="264"/>
      <c r="C483" s="506"/>
      <c r="D483" s="506"/>
      <c r="E483" s="506"/>
      <c r="F483" s="506"/>
      <c r="G483" s="505"/>
      <c r="H483" s="505"/>
      <c r="I483" s="505"/>
      <c r="J483" s="505"/>
      <c r="K483" s="506"/>
      <c r="L483" s="505"/>
      <c r="M483" s="505"/>
      <c r="N483" s="505"/>
      <c r="O483" s="505"/>
      <c r="P483" s="506"/>
      <c r="Q483" s="505"/>
      <c r="R483" s="505"/>
      <c r="S483" s="505"/>
      <c r="T483" s="505"/>
      <c r="U483" s="506"/>
      <c r="V483" s="505"/>
      <c r="W483" s="505"/>
      <c r="X483" s="505"/>
      <c r="Y483" s="505"/>
      <c r="Z483" s="506"/>
      <c r="AA483" s="505"/>
      <c r="AB483" s="505"/>
      <c r="AC483" s="505"/>
      <c r="AD483" s="505"/>
      <c r="AE483" s="506"/>
      <c r="AF483" s="505"/>
      <c r="AG483" s="505"/>
      <c r="AH483" s="505"/>
      <c r="AI483" s="505"/>
      <c r="AJ483" s="506"/>
      <c r="AK483" s="505"/>
      <c r="AL483" s="505"/>
      <c r="AM483" s="505"/>
      <c r="AN483" s="505"/>
      <c r="AO483" s="506"/>
      <c r="AP483" s="503">
        <f t="shared" ref="AP483:AR483" si="592">-(AP718+AP719)</f>
        <v>13016</v>
      </c>
      <c r="AQ483" s="503">
        <f t="shared" si="592"/>
        <v>11918</v>
      </c>
      <c r="AR483" s="503">
        <f t="shared" si="592"/>
        <v>7896</v>
      </c>
      <c r="AS483" s="503">
        <f>-(AS718+AS719)</f>
        <v>11013</v>
      </c>
      <c r="AT483" s="502">
        <f>-(AT718+AT719)</f>
        <v>43880</v>
      </c>
      <c r="AU483" s="503">
        <f>-(AU718+AU719)</f>
        <v>11775</v>
      </c>
      <c r="AV483" s="503">
        <f>-(AV718+AV719)</f>
        <v>9782</v>
      </c>
      <c r="AW483" s="689">
        <f>-(AW718+AW719)</f>
        <v>11233</v>
      </c>
      <c r="AX483" s="503">
        <f t="shared" ref="AX483:BG483" si="593">SUM(AX479:AX482)</f>
        <v>13402.61143155</v>
      </c>
      <c r="AY483" s="502">
        <f t="shared" si="593"/>
        <v>46192.611431550002</v>
      </c>
      <c r="AZ483" s="503">
        <f t="shared" si="593"/>
        <v>12838.23284353216</v>
      </c>
      <c r="BA483" s="503">
        <f t="shared" si="593"/>
        <v>13483.170421858413</v>
      </c>
      <c r="BB483" s="503">
        <f t="shared" si="593"/>
        <v>14830.012553540499</v>
      </c>
      <c r="BC483" s="503">
        <f t="shared" si="593"/>
        <v>15797.229312356758</v>
      </c>
      <c r="BD483" s="502">
        <f t="shared" si="593"/>
        <v>56948.645131287827</v>
      </c>
      <c r="BE483" s="502">
        <f t="shared" si="593"/>
        <v>60675.40619563793</v>
      </c>
      <c r="BF483" s="502">
        <f t="shared" si="593"/>
        <v>64994.919578948466</v>
      </c>
      <c r="BG483" s="502">
        <f t="shared" si="593"/>
        <v>70590.310044717829</v>
      </c>
      <c r="BH483" s="499"/>
    </row>
    <row r="484" spans="1:60" s="470" customFormat="1" x14ac:dyDescent="0.25">
      <c r="A484" s="314"/>
      <c r="B484" s="514"/>
      <c r="C484" s="492"/>
      <c r="D484" s="492"/>
      <c r="E484" s="492"/>
      <c r="F484" s="492"/>
      <c r="G484" s="491"/>
      <c r="H484" s="491"/>
      <c r="I484" s="491"/>
      <c r="J484" s="491"/>
      <c r="K484" s="492"/>
      <c r="L484" s="491"/>
      <c r="M484" s="491"/>
      <c r="N484" s="491"/>
      <c r="O484" s="491"/>
      <c r="P484" s="492"/>
      <c r="Q484" s="491"/>
      <c r="R484" s="491"/>
      <c r="S484" s="491"/>
      <c r="T484" s="491"/>
      <c r="U484" s="492"/>
      <c r="V484" s="491"/>
      <c r="W484" s="491"/>
      <c r="X484" s="491"/>
      <c r="Y484" s="491"/>
      <c r="Z484" s="492"/>
      <c r="AA484" s="491"/>
      <c r="AB484" s="491"/>
      <c r="AC484" s="491"/>
      <c r="AD484" s="491"/>
      <c r="AE484" s="492"/>
      <c r="AF484" s="491"/>
      <c r="AG484" s="491"/>
      <c r="AH484" s="491"/>
      <c r="AI484" s="491"/>
      <c r="AJ484" s="492"/>
      <c r="AK484" s="491"/>
      <c r="AL484" s="491"/>
      <c r="AM484" s="491"/>
      <c r="AN484" s="491"/>
      <c r="AO484" s="492"/>
      <c r="AP484" s="491"/>
      <c r="AQ484" s="491"/>
      <c r="AR484" s="491"/>
      <c r="AS484" s="491"/>
      <c r="AT484" s="492"/>
      <c r="AU484" s="491"/>
      <c r="AV484" s="491"/>
      <c r="AW484" s="692"/>
      <c r="AX484" s="491"/>
      <c r="AY484" s="492"/>
      <c r="AZ484" s="491"/>
      <c r="BA484" s="491"/>
      <c r="BB484" s="491"/>
      <c r="BC484" s="491"/>
      <c r="BD484" s="492"/>
      <c r="BE484" s="492"/>
      <c r="BF484" s="492"/>
      <c r="BG484" s="492"/>
      <c r="BH484" s="484"/>
    </row>
    <row r="485" spans="1:60" s="470" customFormat="1" x14ac:dyDescent="0.25">
      <c r="A485" s="314" t="s">
        <v>857</v>
      </c>
      <c r="B485" s="514"/>
      <c r="C485" s="492"/>
      <c r="D485" s="492"/>
      <c r="E485" s="492"/>
      <c r="F485" s="492"/>
      <c r="G485" s="491"/>
      <c r="H485" s="491"/>
      <c r="I485" s="491"/>
      <c r="J485" s="491"/>
      <c r="K485" s="492"/>
      <c r="L485" s="491"/>
      <c r="M485" s="491"/>
      <c r="N485" s="491"/>
      <c r="O485" s="491"/>
      <c r="P485" s="492"/>
      <c r="Q485" s="491"/>
      <c r="R485" s="491"/>
      <c r="S485" s="491"/>
      <c r="T485" s="491"/>
      <c r="U485" s="492"/>
      <c r="V485" s="491"/>
      <c r="W485" s="491"/>
      <c r="X485" s="491"/>
      <c r="Y485" s="491"/>
      <c r="Z485" s="492"/>
      <c r="AA485" s="491"/>
      <c r="AB485" s="491"/>
      <c r="AC485" s="491"/>
      <c r="AD485" s="491"/>
      <c r="AE485" s="492"/>
      <c r="AF485" s="491"/>
      <c r="AG485" s="491"/>
      <c r="AH485" s="491"/>
      <c r="AI485" s="491"/>
      <c r="AJ485" s="492"/>
      <c r="AK485" s="491"/>
      <c r="AL485" s="491"/>
      <c r="AM485" s="491"/>
      <c r="AN485" s="491"/>
      <c r="AO485" s="492"/>
      <c r="AP485" s="491">
        <f t="shared" ref="AP485:BG485" si="594">AP143+AP207</f>
        <v>3503</v>
      </c>
      <c r="AQ485" s="491">
        <f t="shared" si="594"/>
        <v>3251</v>
      </c>
      <c r="AR485" s="491">
        <f t="shared" si="594"/>
        <v>2328</v>
      </c>
      <c r="AS485" s="491">
        <f t="shared" si="594"/>
        <v>2644</v>
      </c>
      <c r="AT485" s="492">
        <f t="shared" si="594"/>
        <v>11726</v>
      </c>
      <c r="AU485" s="491">
        <f t="shared" si="594"/>
        <v>2731</v>
      </c>
      <c r="AV485" s="491">
        <f t="shared" si="594"/>
        <v>2958</v>
      </c>
      <c r="AW485" s="692">
        <f t="shared" si="594"/>
        <v>3003</v>
      </c>
      <c r="AX485" s="490">
        <f t="shared" si="594"/>
        <v>3078.8886306250001</v>
      </c>
      <c r="AY485" s="489">
        <f t="shared" si="594"/>
        <v>11770.888630625001</v>
      </c>
      <c r="AZ485" s="490">
        <f t="shared" si="594"/>
        <v>3139.90210848384</v>
      </c>
      <c r="BA485" s="490">
        <f t="shared" si="594"/>
        <v>3234.1918174289722</v>
      </c>
      <c r="BB485" s="490">
        <f t="shared" si="594"/>
        <v>3628.0518274338415</v>
      </c>
      <c r="BC485" s="490">
        <f t="shared" si="594"/>
        <v>3815.1210967968705</v>
      </c>
      <c r="BD485" s="489">
        <f t="shared" si="594"/>
        <v>13817.266850143524</v>
      </c>
      <c r="BE485" s="489">
        <f t="shared" si="594"/>
        <v>15118.555294173229</v>
      </c>
      <c r="BF485" s="489">
        <f t="shared" si="594"/>
        <v>16566.87479285707</v>
      </c>
      <c r="BG485" s="489">
        <f t="shared" si="594"/>
        <v>19106.890774298095</v>
      </c>
      <c r="BH485" s="484"/>
    </row>
    <row r="486" spans="1:60" s="470" customFormat="1" x14ac:dyDescent="0.25">
      <c r="A486" s="226" t="s">
        <v>858</v>
      </c>
      <c r="B486" s="514"/>
      <c r="C486" s="492"/>
      <c r="D486" s="492"/>
      <c r="E486" s="492"/>
      <c r="F486" s="492"/>
      <c r="G486" s="491"/>
      <c r="H486" s="491"/>
      <c r="I486" s="491"/>
      <c r="J486" s="491"/>
      <c r="K486" s="492"/>
      <c r="L486" s="491"/>
      <c r="M486" s="491"/>
      <c r="N486" s="491"/>
      <c r="O486" s="491"/>
      <c r="P486" s="492"/>
      <c r="Q486" s="491"/>
      <c r="R486" s="491"/>
      <c r="S486" s="491"/>
      <c r="T486" s="491"/>
      <c r="U486" s="492"/>
      <c r="V486" s="491"/>
      <c r="W486" s="491"/>
      <c r="X486" s="491"/>
      <c r="Y486" s="491"/>
      <c r="Z486" s="492"/>
      <c r="AA486" s="491"/>
      <c r="AB486" s="491"/>
      <c r="AC486" s="491"/>
      <c r="AD486" s="491"/>
      <c r="AE486" s="492"/>
      <c r="AF486" s="491"/>
      <c r="AG486" s="491"/>
      <c r="AH486" s="491"/>
      <c r="AI486" s="491"/>
      <c r="AJ486" s="492"/>
      <c r="AK486" s="491"/>
      <c r="AL486" s="491"/>
      <c r="AM486" s="491"/>
      <c r="AN486" s="491"/>
      <c r="AO486" s="492"/>
      <c r="AP486" s="491">
        <f>-AP525</f>
        <v>206</v>
      </c>
      <c r="AQ486" s="491">
        <f t="shared" ref="AQ486:AT486" si="595">-AQ525</f>
        <v>142</v>
      </c>
      <c r="AR486" s="491">
        <f>-AR525</f>
        <v>127</v>
      </c>
      <c r="AS486" s="491">
        <f t="shared" si="595"/>
        <v>168</v>
      </c>
      <c r="AT486" s="492">
        <f t="shared" si="595"/>
        <v>643</v>
      </c>
      <c r="AU486" s="491">
        <f t="shared" ref="AU486:AV486" si="596">-AU525</f>
        <v>186</v>
      </c>
      <c r="AV486" s="491">
        <f t="shared" si="596"/>
        <v>155</v>
      </c>
      <c r="AW486" s="692">
        <f t="shared" ref="AW486" si="597">-AW525</f>
        <v>165</v>
      </c>
      <c r="AX486" s="490">
        <f>-AX525</f>
        <v>200</v>
      </c>
      <c r="AY486" s="489">
        <f t="shared" ref="AY486:BG486" si="598">-AY525</f>
        <v>706</v>
      </c>
      <c r="AZ486" s="490">
        <f t="shared" si="598"/>
        <v>200</v>
      </c>
      <c r="BA486" s="490">
        <f t="shared" si="598"/>
        <v>200</v>
      </c>
      <c r="BB486" s="490">
        <f t="shared" si="598"/>
        <v>200</v>
      </c>
      <c r="BC486" s="490">
        <f t="shared" si="598"/>
        <v>200</v>
      </c>
      <c r="BD486" s="489">
        <f t="shared" si="598"/>
        <v>800</v>
      </c>
      <c r="BE486" s="489">
        <f t="shared" si="598"/>
        <v>800</v>
      </c>
      <c r="BF486" s="489">
        <f t="shared" si="598"/>
        <v>800</v>
      </c>
      <c r="BG486" s="489">
        <f t="shared" si="598"/>
        <v>800</v>
      </c>
      <c r="BH486" s="484"/>
    </row>
    <row r="487" spans="1:60" s="470" customFormat="1" x14ac:dyDescent="0.25">
      <c r="A487" s="218" t="s">
        <v>859</v>
      </c>
      <c r="B487" s="573"/>
      <c r="C487" s="322"/>
      <c r="D487" s="322"/>
      <c r="E487" s="322"/>
      <c r="F487" s="322"/>
      <c r="G487" s="321"/>
      <c r="H487" s="321"/>
      <c r="I487" s="321"/>
      <c r="J487" s="321"/>
      <c r="K487" s="322"/>
      <c r="L487" s="321"/>
      <c r="M487" s="321"/>
      <c r="N487" s="321"/>
      <c r="O487" s="321"/>
      <c r="P487" s="322"/>
      <c r="Q487" s="321"/>
      <c r="R487" s="321"/>
      <c r="S487" s="321"/>
      <c r="T487" s="321"/>
      <c r="U487" s="322"/>
      <c r="V487" s="321"/>
      <c r="W487" s="321"/>
      <c r="X487" s="321"/>
      <c r="Y487" s="321"/>
      <c r="Z487" s="322"/>
      <c r="AA487" s="321"/>
      <c r="AB487" s="321"/>
      <c r="AC487" s="321"/>
      <c r="AD487" s="321"/>
      <c r="AE487" s="322"/>
      <c r="AF487" s="321"/>
      <c r="AG487" s="321"/>
      <c r="AH487" s="321"/>
      <c r="AI487" s="321"/>
      <c r="AJ487" s="322"/>
      <c r="AK487" s="321"/>
      <c r="AL487" s="321"/>
      <c r="AM487" s="321"/>
      <c r="AN487" s="321"/>
      <c r="AO487" s="322"/>
      <c r="AP487" s="319">
        <f>AP488-AP485-AP486</f>
        <v>-6</v>
      </c>
      <c r="AQ487" s="319">
        <f t="shared" ref="AQ487:AT487" si="599">AQ488-AQ485-AQ486</f>
        <v>-5</v>
      </c>
      <c r="AR487" s="319">
        <f t="shared" si="599"/>
        <v>0</v>
      </c>
      <c r="AS487" s="319">
        <f t="shared" si="599"/>
        <v>0</v>
      </c>
      <c r="AT487" s="318">
        <f t="shared" si="599"/>
        <v>0</v>
      </c>
      <c r="AU487" s="321"/>
      <c r="AV487" s="321"/>
      <c r="AW487" s="693"/>
      <c r="AX487" s="321"/>
      <c r="AY487" s="322"/>
      <c r="AZ487" s="321"/>
      <c r="BA487" s="321"/>
      <c r="BB487" s="321"/>
      <c r="BC487" s="321"/>
      <c r="BD487" s="322"/>
      <c r="BE487" s="322"/>
      <c r="BF487" s="322"/>
      <c r="BG487" s="322"/>
      <c r="BH487" s="484"/>
    </row>
    <row r="488" spans="1:60" s="498" customFormat="1" x14ac:dyDescent="0.25">
      <c r="A488" s="501" t="s">
        <v>860</v>
      </c>
      <c r="B488" s="264"/>
      <c r="C488" s="506"/>
      <c r="D488" s="506"/>
      <c r="E488" s="506"/>
      <c r="F488" s="506"/>
      <c r="G488" s="505"/>
      <c r="H488" s="505"/>
      <c r="I488" s="505"/>
      <c r="J488" s="505"/>
      <c r="K488" s="506"/>
      <c r="L488" s="505"/>
      <c r="M488" s="505"/>
      <c r="N488" s="505"/>
      <c r="O488" s="505"/>
      <c r="P488" s="506"/>
      <c r="Q488" s="505"/>
      <c r="R488" s="505"/>
      <c r="S488" s="505"/>
      <c r="T488" s="505"/>
      <c r="U488" s="506"/>
      <c r="V488" s="505"/>
      <c r="W488" s="505"/>
      <c r="X488" s="505"/>
      <c r="Y488" s="505"/>
      <c r="Z488" s="506"/>
      <c r="AA488" s="505"/>
      <c r="AB488" s="505"/>
      <c r="AC488" s="505"/>
      <c r="AD488" s="505"/>
      <c r="AE488" s="506"/>
      <c r="AF488" s="505"/>
      <c r="AG488" s="505"/>
      <c r="AH488" s="505"/>
      <c r="AI488" s="505"/>
      <c r="AJ488" s="506"/>
      <c r="AK488" s="505"/>
      <c r="AL488" s="505"/>
      <c r="AM488" s="505"/>
      <c r="AN488" s="505"/>
      <c r="AO488" s="506"/>
      <c r="AP488" s="503">
        <f t="shared" ref="AP488:AT488" si="600">-AP720</f>
        <v>3703</v>
      </c>
      <c r="AQ488" s="503">
        <f t="shared" si="600"/>
        <v>3388</v>
      </c>
      <c r="AR488" s="503">
        <f t="shared" si="600"/>
        <v>2455</v>
      </c>
      <c r="AS488" s="503">
        <f t="shared" si="600"/>
        <v>2812</v>
      </c>
      <c r="AT488" s="502">
        <f t="shared" si="600"/>
        <v>12369</v>
      </c>
      <c r="AU488" s="503">
        <f t="shared" ref="AU488:AV488" si="601">-AU720</f>
        <v>2917</v>
      </c>
      <c r="AV488" s="503">
        <f t="shared" si="601"/>
        <v>3113</v>
      </c>
      <c r="AW488" s="689">
        <f t="shared" ref="AW488" si="602">-AW720</f>
        <v>3168</v>
      </c>
      <c r="AX488" s="503">
        <f t="shared" ref="AX488:BG488" si="603">SUM(AX485:AX487)</f>
        <v>3278.8886306250001</v>
      </c>
      <c r="AY488" s="502">
        <f t="shared" si="603"/>
        <v>12476.888630625001</v>
      </c>
      <c r="AZ488" s="503">
        <f t="shared" si="603"/>
        <v>3339.90210848384</v>
      </c>
      <c r="BA488" s="503">
        <f t="shared" si="603"/>
        <v>3434.1918174289722</v>
      </c>
      <c r="BB488" s="503">
        <f t="shared" si="603"/>
        <v>3828.0518274338415</v>
      </c>
      <c r="BC488" s="503">
        <f t="shared" si="603"/>
        <v>4015.1210967968705</v>
      </c>
      <c r="BD488" s="502">
        <f t="shared" si="603"/>
        <v>14617.266850143524</v>
      </c>
      <c r="BE488" s="502">
        <f t="shared" si="603"/>
        <v>15918.555294173229</v>
      </c>
      <c r="BF488" s="502">
        <f t="shared" si="603"/>
        <v>17366.87479285707</v>
      </c>
      <c r="BG488" s="502">
        <f t="shared" si="603"/>
        <v>19906.890774298095</v>
      </c>
      <c r="BH488" s="499"/>
    </row>
    <row r="489" spans="1:60" s="470" customFormat="1" x14ac:dyDescent="0.25">
      <c r="A489" s="314"/>
      <c r="B489" s="514"/>
      <c r="C489" s="492"/>
      <c r="D489" s="492"/>
      <c r="E489" s="492"/>
      <c r="F489" s="492"/>
      <c r="G489" s="491"/>
      <c r="H489" s="491"/>
      <c r="I489" s="491"/>
      <c r="J489" s="491"/>
      <c r="K489" s="492"/>
      <c r="L489" s="491"/>
      <c r="M489" s="491"/>
      <c r="N489" s="491"/>
      <c r="O489" s="491"/>
      <c r="P489" s="492"/>
      <c r="Q489" s="491"/>
      <c r="R489" s="491"/>
      <c r="S489" s="491"/>
      <c r="T489" s="491"/>
      <c r="U489" s="492"/>
      <c r="V489" s="491"/>
      <c r="W489" s="491"/>
      <c r="X489" s="491"/>
      <c r="Y489" s="491"/>
      <c r="Z489" s="492"/>
      <c r="AA489" s="491"/>
      <c r="AB489" s="491"/>
      <c r="AC489" s="491"/>
      <c r="AD489" s="491"/>
      <c r="AE489" s="492"/>
      <c r="AF489" s="491"/>
      <c r="AG489" s="491"/>
      <c r="AH489" s="491"/>
      <c r="AI489" s="491"/>
      <c r="AJ489" s="492"/>
      <c r="AK489" s="491"/>
      <c r="AL489" s="491"/>
      <c r="AM489" s="491"/>
      <c r="AN489" s="491"/>
      <c r="AO489" s="492"/>
      <c r="AP489" s="491"/>
      <c r="AQ489" s="491"/>
      <c r="AR489" s="491"/>
      <c r="AS489" s="491"/>
      <c r="AT489" s="492"/>
      <c r="AU489" s="491"/>
      <c r="AV489" s="491"/>
      <c r="AW489" s="692"/>
      <c r="AX489" s="491"/>
      <c r="AY489" s="492"/>
      <c r="AZ489" s="491"/>
      <c r="BA489" s="491"/>
      <c r="BB489" s="491"/>
      <c r="BC489" s="491"/>
      <c r="BD489" s="492"/>
      <c r="BE489" s="492"/>
      <c r="BF489" s="492"/>
      <c r="BG489" s="492"/>
      <c r="BH489" s="484"/>
    </row>
    <row r="490" spans="1:60" s="470" customFormat="1" x14ac:dyDescent="0.25">
      <c r="A490" s="205" t="s">
        <v>861</v>
      </c>
      <c r="B490" s="514"/>
      <c r="C490" s="492"/>
      <c r="D490" s="492"/>
      <c r="E490" s="492"/>
      <c r="F490" s="492"/>
      <c r="G490" s="491"/>
      <c r="H490" s="491"/>
      <c r="I490" s="491"/>
      <c r="J490" s="491"/>
      <c r="K490" s="492"/>
      <c r="L490" s="491"/>
      <c r="M490" s="491"/>
      <c r="N490" s="491"/>
      <c r="O490" s="491"/>
      <c r="P490" s="492"/>
      <c r="Q490" s="491"/>
      <c r="R490" s="491"/>
      <c r="S490" s="491"/>
      <c r="T490" s="491"/>
      <c r="U490" s="492"/>
      <c r="V490" s="491"/>
      <c r="W490" s="491"/>
      <c r="X490" s="491"/>
      <c r="Y490" s="491"/>
      <c r="Z490" s="492"/>
      <c r="AA490" s="491"/>
      <c r="AB490" s="491"/>
      <c r="AC490" s="491"/>
      <c r="AD490" s="491"/>
      <c r="AE490" s="492"/>
      <c r="AF490" s="491"/>
      <c r="AG490" s="491"/>
      <c r="AH490" s="491"/>
      <c r="AI490" s="491"/>
      <c r="AJ490" s="492"/>
      <c r="AK490" s="491"/>
      <c r="AL490" s="491"/>
      <c r="AM490" s="491"/>
      <c r="AN490" s="491"/>
      <c r="AO490" s="492"/>
      <c r="AP490" s="490">
        <f t="shared" ref="AP490:BG490" si="604">AP144+AP208</f>
        <v>782</v>
      </c>
      <c r="AQ490" s="490">
        <f t="shared" si="604"/>
        <v>790</v>
      </c>
      <c r="AR490" s="490">
        <f t="shared" si="604"/>
        <v>839</v>
      </c>
      <c r="AS490" s="490">
        <f t="shared" si="604"/>
        <v>839</v>
      </c>
      <c r="AT490" s="489">
        <f t="shared" si="604"/>
        <v>3250</v>
      </c>
      <c r="AU490" s="490">
        <f t="shared" si="604"/>
        <v>805</v>
      </c>
      <c r="AV490" s="490">
        <f t="shared" si="604"/>
        <v>779</v>
      </c>
      <c r="AW490" s="687">
        <f t="shared" si="604"/>
        <v>785</v>
      </c>
      <c r="AX490" s="490">
        <f t="shared" si="604"/>
        <v>805</v>
      </c>
      <c r="AY490" s="489">
        <f t="shared" si="604"/>
        <v>3174</v>
      </c>
      <c r="AZ490" s="490">
        <f t="shared" si="604"/>
        <v>805</v>
      </c>
      <c r="BA490" s="490">
        <f t="shared" si="604"/>
        <v>805</v>
      </c>
      <c r="BB490" s="490">
        <f t="shared" si="604"/>
        <v>805</v>
      </c>
      <c r="BC490" s="490">
        <f t="shared" si="604"/>
        <v>805</v>
      </c>
      <c r="BD490" s="489">
        <f t="shared" si="604"/>
        <v>3220</v>
      </c>
      <c r="BE490" s="489">
        <f t="shared" si="604"/>
        <v>3120</v>
      </c>
      <c r="BF490" s="489">
        <f t="shared" si="604"/>
        <v>3120</v>
      </c>
      <c r="BG490" s="489">
        <f t="shared" si="604"/>
        <v>3120</v>
      </c>
      <c r="BH490" s="484"/>
    </row>
    <row r="491" spans="1:60" s="470" customFormat="1" x14ac:dyDescent="0.25">
      <c r="A491" s="483" t="s">
        <v>869</v>
      </c>
      <c r="B491" s="514"/>
      <c r="C491" s="492"/>
      <c r="D491" s="492"/>
      <c r="E491" s="492"/>
      <c r="F491" s="492"/>
      <c r="G491" s="491"/>
      <c r="H491" s="491"/>
      <c r="I491" s="491"/>
      <c r="J491" s="491"/>
      <c r="K491" s="492"/>
      <c r="L491" s="491"/>
      <c r="M491" s="491"/>
      <c r="N491" s="491"/>
      <c r="O491" s="491"/>
      <c r="P491" s="492"/>
      <c r="Q491" s="491"/>
      <c r="R491" s="491"/>
      <c r="S491" s="491"/>
      <c r="T491" s="491"/>
      <c r="U491" s="492"/>
      <c r="V491" s="491"/>
      <c r="W491" s="491"/>
      <c r="X491" s="491"/>
      <c r="Y491" s="491"/>
      <c r="Z491" s="492"/>
      <c r="AA491" s="491"/>
      <c r="AB491" s="491"/>
      <c r="AC491" s="491"/>
      <c r="AD491" s="491"/>
      <c r="AE491" s="492"/>
      <c r="AF491" s="491"/>
      <c r="AG491" s="491"/>
      <c r="AH491" s="491"/>
      <c r="AI491" s="491"/>
      <c r="AJ491" s="492"/>
      <c r="AK491" s="491"/>
      <c r="AL491" s="491"/>
      <c r="AM491" s="491"/>
      <c r="AN491" s="491"/>
      <c r="AO491" s="492"/>
      <c r="AP491" s="490">
        <f>-AP542</f>
        <v>486</v>
      </c>
      <c r="AQ491" s="490">
        <f t="shared" ref="AQ491:AS491" si="605">-AQ542</f>
        <v>498</v>
      </c>
      <c r="AR491" s="490">
        <f t="shared" si="605"/>
        <v>486</v>
      </c>
      <c r="AS491" s="490">
        <f t="shared" si="605"/>
        <v>451</v>
      </c>
      <c r="AT491" s="489">
        <f t="shared" ref="AT491:BG491" si="606">-AT542</f>
        <v>1921</v>
      </c>
      <c r="AU491" s="490">
        <f t="shared" ref="AU491:AV491" si="607">-AU542</f>
        <v>447</v>
      </c>
      <c r="AV491" s="490">
        <f t="shared" si="607"/>
        <v>447</v>
      </c>
      <c r="AW491" s="687">
        <f t="shared" ref="AW491" si="608">-AW542</f>
        <v>434</v>
      </c>
      <c r="AX491" s="490">
        <f t="shared" si="606"/>
        <v>475</v>
      </c>
      <c r="AY491" s="489">
        <f>-AY542</f>
        <v>1803</v>
      </c>
      <c r="AZ491" s="490">
        <f t="shared" si="606"/>
        <v>475</v>
      </c>
      <c r="BA491" s="490">
        <f t="shared" si="606"/>
        <v>475</v>
      </c>
      <c r="BB491" s="490">
        <f t="shared" si="606"/>
        <v>475</v>
      </c>
      <c r="BC491" s="490">
        <f t="shared" si="606"/>
        <v>475</v>
      </c>
      <c r="BD491" s="489">
        <f t="shared" si="606"/>
        <v>1900</v>
      </c>
      <c r="BE491" s="489">
        <f t="shared" si="606"/>
        <v>1900</v>
      </c>
      <c r="BF491" s="489">
        <f t="shared" si="606"/>
        <v>1900</v>
      </c>
      <c r="BG491" s="489">
        <f t="shared" si="606"/>
        <v>1900</v>
      </c>
      <c r="BH491" s="484"/>
    </row>
    <row r="492" spans="1:60" s="470" customFormat="1" x14ac:dyDescent="0.25">
      <c r="A492" s="483" t="s">
        <v>862</v>
      </c>
      <c r="B492" s="514"/>
      <c r="C492" s="492"/>
      <c r="D492" s="492"/>
      <c r="E492" s="492"/>
      <c r="F492" s="492"/>
      <c r="G492" s="491"/>
      <c r="H492" s="491"/>
      <c r="I492" s="491"/>
      <c r="J492" s="491"/>
      <c r="K492" s="492"/>
      <c r="L492" s="491"/>
      <c r="M492" s="491"/>
      <c r="N492" s="491"/>
      <c r="O492" s="491"/>
      <c r="P492" s="492"/>
      <c r="Q492" s="491"/>
      <c r="R492" s="491"/>
      <c r="S492" s="491"/>
      <c r="T492" s="491"/>
      <c r="U492" s="492"/>
      <c r="V492" s="491"/>
      <c r="W492" s="491"/>
      <c r="X492" s="491"/>
      <c r="Y492" s="491"/>
      <c r="Z492" s="492"/>
      <c r="AA492" s="491"/>
      <c r="AB492" s="491"/>
      <c r="AC492" s="491"/>
      <c r="AD492" s="491"/>
      <c r="AE492" s="492"/>
      <c r="AF492" s="491"/>
      <c r="AG492" s="491"/>
      <c r="AH492" s="491"/>
      <c r="AI492" s="491"/>
      <c r="AJ492" s="492"/>
      <c r="AK492" s="491"/>
      <c r="AL492" s="491"/>
      <c r="AM492" s="491"/>
      <c r="AN492" s="491"/>
      <c r="AO492" s="492"/>
      <c r="AP492" s="490">
        <f>-AP526</f>
        <v>31</v>
      </c>
      <c r="AQ492" s="490">
        <f t="shared" ref="AQ492:AS492" si="609">-AQ526</f>
        <v>46</v>
      </c>
      <c r="AR492" s="490">
        <f t="shared" si="609"/>
        <v>52</v>
      </c>
      <c r="AS492" s="490">
        <f t="shared" si="609"/>
        <v>45</v>
      </c>
      <c r="AT492" s="489">
        <f t="shared" ref="AT492:BG492" si="610">-AT526</f>
        <v>174</v>
      </c>
      <c r="AU492" s="490">
        <f t="shared" ref="AU492:AV492" si="611">-AU526</f>
        <v>46</v>
      </c>
      <c r="AV492" s="490">
        <f t="shared" si="611"/>
        <v>46</v>
      </c>
      <c r="AW492" s="687">
        <f t="shared" ref="AW492" si="612">-AW526</f>
        <v>47</v>
      </c>
      <c r="AX492" s="490">
        <f t="shared" si="610"/>
        <v>50</v>
      </c>
      <c r="AY492" s="489">
        <f t="shared" si="610"/>
        <v>189</v>
      </c>
      <c r="AZ492" s="490">
        <f t="shared" si="610"/>
        <v>50</v>
      </c>
      <c r="BA492" s="490">
        <f t="shared" si="610"/>
        <v>50</v>
      </c>
      <c r="BB492" s="490">
        <f t="shared" si="610"/>
        <v>50</v>
      </c>
      <c r="BC492" s="490">
        <f t="shared" si="610"/>
        <v>50</v>
      </c>
      <c r="BD492" s="489">
        <f t="shared" si="610"/>
        <v>200</v>
      </c>
      <c r="BE492" s="489">
        <f t="shared" si="610"/>
        <v>200</v>
      </c>
      <c r="BF492" s="489">
        <f t="shared" si="610"/>
        <v>200</v>
      </c>
      <c r="BG492" s="489">
        <f t="shared" si="610"/>
        <v>200</v>
      </c>
      <c r="BH492" s="484"/>
    </row>
    <row r="493" spans="1:60" s="470" customFormat="1" x14ac:dyDescent="0.25">
      <c r="A493" s="538" t="s">
        <v>863</v>
      </c>
      <c r="B493" s="573"/>
      <c r="C493" s="322"/>
      <c r="D493" s="322"/>
      <c r="E493" s="322"/>
      <c r="F493" s="322"/>
      <c r="G493" s="321"/>
      <c r="H493" s="321"/>
      <c r="I493" s="321"/>
      <c r="J493" s="321"/>
      <c r="K493" s="322"/>
      <c r="L493" s="321"/>
      <c r="M493" s="321"/>
      <c r="N493" s="321"/>
      <c r="O493" s="321"/>
      <c r="P493" s="322"/>
      <c r="Q493" s="321"/>
      <c r="R493" s="321"/>
      <c r="S493" s="321"/>
      <c r="T493" s="321"/>
      <c r="U493" s="322"/>
      <c r="V493" s="321"/>
      <c r="W493" s="321"/>
      <c r="X493" s="321"/>
      <c r="Y493" s="321"/>
      <c r="Z493" s="322"/>
      <c r="AA493" s="321"/>
      <c r="AB493" s="321"/>
      <c r="AC493" s="321"/>
      <c r="AD493" s="321"/>
      <c r="AE493" s="322"/>
      <c r="AF493" s="321"/>
      <c r="AG493" s="321"/>
      <c r="AH493" s="321"/>
      <c r="AI493" s="321"/>
      <c r="AJ493" s="322"/>
      <c r="AK493" s="321"/>
      <c r="AL493" s="321"/>
      <c r="AM493" s="321"/>
      <c r="AN493" s="321"/>
      <c r="AO493" s="322"/>
      <c r="AP493" s="321">
        <f>AP494-AP492-AP491-AP490</f>
        <v>-1</v>
      </c>
      <c r="AQ493" s="321">
        <f t="shared" ref="AQ493:AT493" si="613">AQ494-AQ492-AQ491-AQ490</f>
        <v>-1</v>
      </c>
      <c r="AR493" s="321">
        <f t="shared" si="613"/>
        <v>0</v>
      </c>
      <c r="AS493" s="321">
        <f t="shared" si="613"/>
        <v>0</v>
      </c>
      <c r="AT493" s="322">
        <f t="shared" si="613"/>
        <v>0</v>
      </c>
      <c r="AU493" s="321"/>
      <c r="AV493" s="321"/>
      <c r="AW493" s="693"/>
      <c r="AX493" s="321"/>
      <c r="AY493" s="322"/>
      <c r="AZ493" s="321"/>
      <c r="BA493" s="321"/>
      <c r="BB493" s="321"/>
      <c r="BC493" s="321"/>
      <c r="BD493" s="322"/>
      <c r="BE493" s="322"/>
      <c r="BF493" s="322"/>
      <c r="BG493" s="322"/>
      <c r="BH493" s="484"/>
    </row>
    <row r="494" spans="1:60" s="498" customFormat="1" x14ac:dyDescent="0.25">
      <c r="A494" s="501" t="s">
        <v>864</v>
      </c>
      <c r="B494" s="264"/>
      <c r="C494" s="506"/>
      <c r="D494" s="506"/>
      <c r="E494" s="506"/>
      <c r="F494" s="506"/>
      <c r="G494" s="505"/>
      <c r="H494" s="505"/>
      <c r="I494" s="505"/>
      <c r="J494" s="505"/>
      <c r="K494" s="506"/>
      <c r="L494" s="505"/>
      <c r="M494" s="505"/>
      <c r="N494" s="505"/>
      <c r="O494" s="505"/>
      <c r="P494" s="506"/>
      <c r="Q494" s="505"/>
      <c r="R494" s="505"/>
      <c r="S494" s="505"/>
      <c r="T494" s="505"/>
      <c r="U494" s="506"/>
      <c r="V494" s="505"/>
      <c r="W494" s="505"/>
      <c r="X494" s="505"/>
      <c r="Y494" s="505"/>
      <c r="Z494" s="506"/>
      <c r="AA494" s="505"/>
      <c r="AB494" s="505"/>
      <c r="AC494" s="505"/>
      <c r="AD494" s="505"/>
      <c r="AE494" s="506"/>
      <c r="AF494" s="505"/>
      <c r="AG494" s="505"/>
      <c r="AH494" s="505"/>
      <c r="AI494" s="505"/>
      <c r="AJ494" s="506"/>
      <c r="AK494" s="505"/>
      <c r="AL494" s="505"/>
      <c r="AM494" s="505"/>
      <c r="AN494" s="505"/>
      <c r="AO494" s="506"/>
      <c r="AP494" s="503">
        <f t="shared" ref="AP494:AT494" si="614">-AP721</f>
        <v>1298</v>
      </c>
      <c r="AQ494" s="503">
        <f t="shared" si="614"/>
        <v>1333</v>
      </c>
      <c r="AR494" s="503">
        <f t="shared" si="614"/>
        <v>1377</v>
      </c>
      <c r="AS494" s="503">
        <f t="shared" si="614"/>
        <v>1335</v>
      </c>
      <c r="AT494" s="502">
        <f t="shared" si="614"/>
        <v>5345</v>
      </c>
      <c r="AU494" s="503">
        <f>SUM(AU490:AU493)</f>
        <v>1298</v>
      </c>
      <c r="AV494" s="503">
        <f>SUM(AV490:AV493)</f>
        <v>1272</v>
      </c>
      <c r="AW494" s="689">
        <f>SUM(AW490:AW493)</f>
        <v>1266</v>
      </c>
      <c r="AX494" s="503">
        <f t="shared" ref="AX494:BG494" si="615">SUM(AX490:AX493)</f>
        <v>1330</v>
      </c>
      <c r="AY494" s="502">
        <f t="shared" si="615"/>
        <v>5166</v>
      </c>
      <c r="AZ494" s="503">
        <f t="shared" si="615"/>
        <v>1330</v>
      </c>
      <c r="BA494" s="503">
        <f t="shared" si="615"/>
        <v>1330</v>
      </c>
      <c r="BB494" s="503">
        <f t="shared" si="615"/>
        <v>1330</v>
      </c>
      <c r="BC494" s="503">
        <f t="shared" si="615"/>
        <v>1330</v>
      </c>
      <c r="BD494" s="502">
        <f t="shared" si="615"/>
        <v>5320</v>
      </c>
      <c r="BE494" s="502">
        <f t="shared" si="615"/>
        <v>5220</v>
      </c>
      <c r="BF494" s="502">
        <f t="shared" si="615"/>
        <v>5220</v>
      </c>
      <c r="BG494" s="502">
        <f t="shared" si="615"/>
        <v>5220</v>
      </c>
      <c r="BH494" s="499"/>
    </row>
    <row r="495" spans="1:60" s="470" customFormat="1" x14ac:dyDescent="0.25">
      <c r="A495" s="314"/>
      <c r="B495" s="514"/>
      <c r="C495" s="492"/>
      <c r="D495" s="492"/>
      <c r="E495" s="492"/>
      <c r="F495" s="492"/>
      <c r="G495" s="491"/>
      <c r="H495" s="491"/>
      <c r="I495" s="491"/>
      <c r="J495" s="491"/>
      <c r="K495" s="492"/>
      <c r="L495" s="491"/>
      <c r="M495" s="491"/>
      <c r="N495" s="491"/>
      <c r="O495" s="491"/>
      <c r="P495" s="492"/>
      <c r="Q495" s="491"/>
      <c r="R495" s="491"/>
      <c r="S495" s="491"/>
      <c r="T495" s="491"/>
      <c r="U495" s="492"/>
      <c r="V495" s="491"/>
      <c r="W495" s="491"/>
      <c r="X495" s="491"/>
      <c r="Y495" s="491"/>
      <c r="Z495" s="492"/>
      <c r="AA495" s="491"/>
      <c r="AB495" s="491"/>
      <c r="AC495" s="491"/>
      <c r="AD495" s="491"/>
      <c r="AE495" s="492"/>
      <c r="AF495" s="491"/>
      <c r="AG495" s="491"/>
      <c r="AH495" s="491"/>
      <c r="AI495" s="491"/>
      <c r="AJ495" s="492"/>
      <c r="AK495" s="491"/>
      <c r="AL495" s="491"/>
      <c r="AM495" s="491"/>
      <c r="AN495" s="491"/>
      <c r="AO495" s="492"/>
      <c r="AP495" s="491"/>
      <c r="AQ495" s="491"/>
      <c r="AR495" s="491"/>
      <c r="AS495" s="491"/>
      <c r="AT495" s="492"/>
      <c r="AU495" s="491"/>
      <c r="AV495" s="491"/>
      <c r="AW495" s="692"/>
      <c r="AX495" s="491"/>
      <c r="AY495" s="492"/>
      <c r="AZ495" s="491"/>
      <c r="BA495" s="491"/>
      <c r="BB495" s="491"/>
      <c r="BC495" s="491"/>
      <c r="BD495" s="492"/>
      <c r="BE495" s="492"/>
      <c r="BF495" s="492"/>
      <c r="BG495" s="492"/>
      <c r="BH495" s="484"/>
    </row>
    <row r="496" spans="1:60" s="470" customFormat="1" x14ac:dyDescent="0.25">
      <c r="A496" s="314" t="s">
        <v>865</v>
      </c>
      <c r="B496" s="514"/>
      <c r="C496" s="492"/>
      <c r="D496" s="492"/>
      <c r="E496" s="492"/>
      <c r="F496" s="492"/>
      <c r="G496" s="491"/>
      <c r="H496" s="491"/>
      <c r="I496" s="491"/>
      <c r="J496" s="491"/>
      <c r="K496" s="492"/>
      <c r="L496" s="491"/>
      <c r="M496" s="491"/>
      <c r="N496" s="491"/>
      <c r="O496" s="491"/>
      <c r="P496" s="492"/>
      <c r="Q496" s="491"/>
      <c r="R496" s="491"/>
      <c r="S496" s="491"/>
      <c r="T496" s="491"/>
      <c r="U496" s="492"/>
      <c r="V496" s="491"/>
      <c r="W496" s="491"/>
      <c r="X496" s="491"/>
      <c r="Y496" s="491"/>
      <c r="Z496" s="492"/>
      <c r="AA496" s="491"/>
      <c r="AB496" s="491"/>
      <c r="AC496" s="491"/>
      <c r="AD496" s="491"/>
      <c r="AE496" s="492"/>
      <c r="AF496" s="491"/>
      <c r="AG496" s="491"/>
      <c r="AH496" s="491"/>
      <c r="AI496" s="491"/>
      <c r="AJ496" s="492"/>
      <c r="AK496" s="491"/>
      <c r="AL496" s="491"/>
      <c r="AM496" s="491"/>
      <c r="AN496" s="491"/>
      <c r="AO496" s="492"/>
      <c r="AP496" s="491">
        <f t="shared" ref="AP496:BG496" si="616">-AP145-AP209</f>
        <v>232</v>
      </c>
      <c r="AQ496" s="491">
        <f t="shared" si="616"/>
        <v>143</v>
      </c>
      <c r="AR496" s="491">
        <f t="shared" si="616"/>
        <v>193</v>
      </c>
      <c r="AS496" s="491">
        <f t="shared" si="616"/>
        <v>109</v>
      </c>
      <c r="AT496" s="492">
        <f t="shared" si="616"/>
        <v>677</v>
      </c>
      <c r="AU496" s="491">
        <f t="shared" si="616"/>
        <v>227</v>
      </c>
      <c r="AV496" s="491">
        <f t="shared" si="616"/>
        <v>217</v>
      </c>
      <c r="AW496" s="692">
        <f t="shared" si="616"/>
        <v>215</v>
      </c>
      <c r="AX496" s="490">
        <f t="shared" si="616"/>
        <v>194</v>
      </c>
      <c r="AY496" s="489">
        <f t="shared" si="616"/>
        <v>853</v>
      </c>
      <c r="AZ496" s="490">
        <f t="shared" si="616"/>
        <v>194</v>
      </c>
      <c r="BA496" s="490">
        <f t="shared" si="616"/>
        <v>194</v>
      </c>
      <c r="BB496" s="490">
        <f t="shared" si="616"/>
        <v>194</v>
      </c>
      <c r="BC496" s="490">
        <f t="shared" si="616"/>
        <v>194</v>
      </c>
      <c r="BD496" s="489">
        <f t="shared" si="616"/>
        <v>776</v>
      </c>
      <c r="BE496" s="489">
        <f t="shared" si="616"/>
        <v>776</v>
      </c>
      <c r="BF496" s="489">
        <f t="shared" si="616"/>
        <v>776</v>
      </c>
      <c r="BG496" s="489">
        <f t="shared" si="616"/>
        <v>776</v>
      </c>
      <c r="BH496" s="484"/>
    </row>
    <row r="497" spans="1:60" s="470" customFormat="1" x14ac:dyDescent="0.25">
      <c r="A497" s="538" t="s">
        <v>614</v>
      </c>
      <c r="B497" s="573"/>
      <c r="C497" s="322"/>
      <c r="D497" s="322"/>
      <c r="E497" s="322"/>
      <c r="F497" s="322"/>
      <c r="G497" s="321"/>
      <c r="H497" s="321"/>
      <c r="I497" s="321"/>
      <c r="J497" s="321"/>
      <c r="K497" s="322"/>
      <c r="L497" s="321"/>
      <c r="M497" s="321"/>
      <c r="N497" s="321"/>
      <c r="O497" s="321"/>
      <c r="P497" s="322"/>
      <c r="Q497" s="321"/>
      <c r="R497" s="321"/>
      <c r="S497" s="321"/>
      <c r="T497" s="321"/>
      <c r="U497" s="322"/>
      <c r="V497" s="321"/>
      <c r="W497" s="321"/>
      <c r="X497" s="321"/>
      <c r="Y497" s="321"/>
      <c r="Z497" s="322"/>
      <c r="AA497" s="321"/>
      <c r="AB497" s="321"/>
      <c r="AC497" s="321"/>
      <c r="AD497" s="321"/>
      <c r="AE497" s="322"/>
      <c r="AF497" s="321"/>
      <c r="AG497" s="321"/>
      <c r="AH497" s="321"/>
      <c r="AI497" s="321"/>
      <c r="AJ497" s="322"/>
      <c r="AK497" s="321"/>
      <c r="AL497" s="321"/>
      <c r="AM497" s="321"/>
      <c r="AN497" s="321"/>
      <c r="AO497" s="322"/>
      <c r="AP497" s="321">
        <f>AP544</f>
        <v>-8</v>
      </c>
      <c r="AQ497" s="321">
        <f t="shared" ref="AQ497:AT497" si="617">AQ544</f>
        <v>-8</v>
      </c>
      <c r="AR497" s="321">
        <f t="shared" si="617"/>
        <v>-7</v>
      </c>
      <c r="AS497" s="321">
        <f t="shared" si="617"/>
        <v>-3</v>
      </c>
      <c r="AT497" s="322">
        <f t="shared" si="617"/>
        <v>-26</v>
      </c>
      <c r="AU497" s="321">
        <f>AU544</f>
        <v>-3</v>
      </c>
      <c r="AV497" s="321">
        <f>AV544</f>
        <v>-4</v>
      </c>
      <c r="AW497" s="693">
        <f>AW544</f>
        <v>-4</v>
      </c>
      <c r="AX497" s="319">
        <f t="shared" ref="AX497:BG497" si="618">AX544</f>
        <v>-8</v>
      </c>
      <c r="AY497" s="318">
        <f t="shared" si="618"/>
        <v>-19</v>
      </c>
      <c r="AZ497" s="319">
        <f t="shared" si="618"/>
        <v>-8</v>
      </c>
      <c r="BA497" s="319">
        <f t="shared" si="618"/>
        <v>-8</v>
      </c>
      <c r="BB497" s="319">
        <f t="shared" si="618"/>
        <v>-8</v>
      </c>
      <c r="BC497" s="319">
        <f t="shared" si="618"/>
        <v>-8</v>
      </c>
      <c r="BD497" s="318">
        <f t="shared" si="618"/>
        <v>-32</v>
      </c>
      <c r="BE497" s="318">
        <f t="shared" si="618"/>
        <v>-32</v>
      </c>
      <c r="BF497" s="318">
        <f t="shared" si="618"/>
        <v>-32</v>
      </c>
      <c r="BG497" s="318">
        <f t="shared" si="618"/>
        <v>-32</v>
      </c>
      <c r="BH497" s="484"/>
    </row>
    <row r="498" spans="1:60" s="498" customFormat="1" x14ac:dyDescent="0.25">
      <c r="A498" s="635" t="s">
        <v>866</v>
      </c>
      <c r="B498" s="264"/>
      <c r="C498" s="506"/>
      <c r="D498" s="506"/>
      <c r="E498" s="506"/>
      <c r="F498" s="506"/>
      <c r="G498" s="505"/>
      <c r="H498" s="505"/>
      <c r="I498" s="505"/>
      <c r="J498" s="505"/>
      <c r="K498" s="506"/>
      <c r="L498" s="505"/>
      <c r="M498" s="505"/>
      <c r="N498" s="505"/>
      <c r="O498" s="505"/>
      <c r="P498" s="506"/>
      <c r="Q498" s="505"/>
      <c r="R498" s="505"/>
      <c r="S498" s="505"/>
      <c r="T498" s="505"/>
      <c r="U498" s="506"/>
      <c r="V498" s="505"/>
      <c r="W498" s="505"/>
      <c r="X498" s="505"/>
      <c r="Y498" s="505"/>
      <c r="Z498" s="506"/>
      <c r="AA498" s="505"/>
      <c r="AB498" s="505"/>
      <c r="AC498" s="505"/>
      <c r="AD498" s="505"/>
      <c r="AE498" s="506"/>
      <c r="AF498" s="505"/>
      <c r="AG498" s="505"/>
      <c r="AH498" s="505"/>
      <c r="AI498" s="505"/>
      <c r="AJ498" s="506"/>
      <c r="AK498" s="505"/>
      <c r="AL498" s="505"/>
      <c r="AM498" s="505"/>
      <c r="AN498" s="505"/>
      <c r="AO498" s="506"/>
      <c r="AP498" s="505">
        <f t="shared" ref="AP498:AT498" si="619">AP726</f>
        <v>224</v>
      </c>
      <c r="AQ498" s="505">
        <f t="shared" si="619"/>
        <v>135</v>
      </c>
      <c r="AR498" s="505">
        <f t="shared" si="619"/>
        <v>186</v>
      </c>
      <c r="AS498" s="505">
        <f t="shared" si="619"/>
        <v>106</v>
      </c>
      <c r="AT498" s="506">
        <f t="shared" si="619"/>
        <v>651</v>
      </c>
      <c r="AU498" s="505">
        <f>AU726</f>
        <v>224</v>
      </c>
      <c r="AV498" s="505">
        <f>AV726</f>
        <v>213</v>
      </c>
      <c r="AW498" s="694">
        <f>AW726</f>
        <v>211</v>
      </c>
      <c r="AX498" s="503">
        <f t="shared" ref="AX498:BG498" si="620">SUM(AX496:AX497)</f>
        <v>186</v>
      </c>
      <c r="AY498" s="502">
        <f t="shared" si="620"/>
        <v>834</v>
      </c>
      <c r="AZ498" s="503">
        <f t="shared" si="620"/>
        <v>186</v>
      </c>
      <c r="BA498" s="503">
        <f t="shared" si="620"/>
        <v>186</v>
      </c>
      <c r="BB498" s="503">
        <f t="shared" si="620"/>
        <v>186</v>
      </c>
      <c r="BC498" s="503">
        <f t="shared" si="620"/>
        <v>186</v>
      </c>
      <c r="BD498" s="502">
        <f t="shared" si="620"/>
        <v>744</v>
      </c>
      <c r="BE498" s="502">
        <f t="shared" si="620"/>
        <v>744</v>
      </c>
      <c r="BF498" s="502">
        <f t="shared" si="620"/>
        <v>744</v>
      </c>
      <c r="BG498" s="502">
        <f t="shared" si="620"/>
        <v>744</v>
      </c>
      <c r="BH498" s="499"/>
    </row>
    <row r="499" spans="1:60" s="470" customFormat="1" hidden="1" outlineLevel="1" x14ac:dyDescent="0.25">
      <c r="A499" s="226"/>
      <c r="B499" s="514"/>
      <c r="C499" s="492"/>
      <c r="D499" s="492"/>
      <c r="E499" s="492"/>
      <c r="F499" s="492"/>
      <c r="G499" s="491"/>
      <c r="H499" s="491"/>
      <c r="I499" s="491"/>
      <c r="J499" s="491"/>
      <c r="K499" s="492"/>
      <c r="L499" s="491"/>
      <c r="M499" s="491"/>
      <c r="N499" s="491"/>
      <c r="O499" s="491"/>
      <c r="P499" s="492"/>
      <c r="Q499" s="491"/>
      <c r="R499" s="491"/>
      <c r="S499" s="491"/>
      <c r="T499" s="491"/>
      <c r="U499" s="492"/>
      <c r="V499" s="491"/>
      <c r="W499" s="491"/>
      <c r="X499" s="491"/>
      <c r="Y499" s="491"/>
      <c r="Z499" s="492"/>
      <c r="AA499" s="491"/>
      <c r="AB499" s="491"/>
      <c r="AC499" s="491"/>
      <c r="AD499" s="491"/>
      <c r="AE499" s="492"/>
      <c r="AF499" s="491"/>
      <c r="AG499" s="491"/>
      <c r="AH499" s="491"/>
      <c r="AI499" s="491"/>
      <c r="AJ499" s="492"/>
      <c r="AK499" s="491"/>
      <c r="AL499" s="491"/>
      <c r="AM499" s="491"/>
      <c r="AN499" s="491"/>
      <c r="AO499" s="492"/>
      <c r="AP499" s="491"/>
      <c r="AQ499" s="491"/>
      <c r="AR499" s="491"/>
      <c r="AS499" s="491"/>
      <c r="AT499" s="492"/>
      <c r="AU499" s="491"/>
      <c r="AV499" s="491"/>
      <c r="AW499" s="692"/>
      <c r="AX499" s="491"/>
      <c r="AY499" s="492"/>
      <c r="AZ499" s="491"/>
      <c r="BA499" s="491"/>
      <c r="BB499" s="491"/>
      <c r="BC499" s="491"/>
      <c r="BD499" s="492"/>
      <c r="BE499" s="492"/>
      <c r="BF499" s="492"/>
      <c r="BG499" s="492"/>
      <c r="BH499" s="484"/>
    </row>
    <row r="500" spans="1:60" s="49" customFormat="1" hidden="1" outlineLevel="1" x14ac:dyDescent="0.25">
      <c r="A500" s="226" t="s">
        <v>836</v>
      </c>
      <c r="B500" s="514"/>
      <c r="C500" s="492"/>
      <c r="D500" s="492"/>
      <c r="E500" s="492"/>
      <c r="F500" s="492"/>
      <c r="G500" s="491"/>
      <c r="H500" s="491"/>
      <c r="I500" s="491"/>
      <c r="J500" s="491"/>
      <c r="K500" s="492"/>
      <c r="L500" s="491"/>
      <c r="M500" s="491"/>
      <c r="N500" s="491"/>
      <c r="O500" s="491"/>
      <c r="P500" s="492"/>
      <c r="Q500" s="491"/>
      <c r="R500" s="491"/>
      <c r="S500" s="491"/>
      <c r="T500" s="491"/>
      <c r="U500" s="492"/>
      <c r="V500" s="491"/>
      <c r="W500" s="491"/>
      <c r="X500" s="491"/>
      <c r="Y500" s="491"/>
      <c r="Z500" s="492">
        <v>-159</v>
      </c>
      <c r="AA500" s="491"/>
      <c r="AB500" s="491"/>
      <c r="AC500" s="491"/>
      <c r="AD500" s="491"/>
      <c r="AE500" s="492">
        <v>-137</v>
      </c>
      <c r="AF500" s="491">
        <v>-31</v>
      </c>
      <c r="AG500" s="491">
        <v>-64</v>
      </c>
      <c r="AH500" s="491">
        <v>-25</v>
      </c>
      <c r="AI500" s="491">
        <v>-49</v>
      </c>
      <c r="AJ500" s="492">
        <v>-169</v>
      </c>
      <c r="AK500" s="491">
        <v>-21</v>
      </c>
      <c r="AL500" s="491">
        <v>-13</v>
      </c>
      <c r="AM500" s="491">
        <v>-41</v>
      </c>
      <c r="AN500" s="491">
        <f>AO500-AK500-AL500-AM500</f>
        <v>-31</v>
      </c>
      <c r="AO500" s="492">
        <v>-106</v>
      </c>
      <c r="AP500" s="491">
        <v>-53</v>
      </c>
      <c r="AQ500" s="491">
        <v>-58</v>
      </c>
      <c r="AR500" s="491">
        <v>-36</v>
      </c>
      <c r="AS500" s="491">
        <v>-41</v>
      </c>
      <c r="AT500" s="492">
        <f>SUM(AP500,AQ500,AR500,AS500)</f>
        <v>-188</v>
      </c>
      <c r="AU500" s="491"/>
      <c r="AV500" s="491"/>
      <c r="AW500" s="692"/>
      <c r="AX500" s="491"/>
      <c r="AY500" s="492"/>
      <c r="AZ500" s="491"/>
      <c r="BA500" s="491"/>
      <c r="BB500" s="491"/>
      <c r="BC500" s="491"/>
      <c r="BD500" s="492"/>
      <c r="BE500" s="492"/>
      <c r="BF500" s="492"/>
      <c r="BG500" s="492"/>
      <c r="BH500" s="484"/>
    </row>
    <row r="501" spans="1:60" s="49" customFormat="1" hidden="1" outlineLevel="1" x14ac:dyDescent="0.25">
      <c r="A501" s="226" t="s">
        <v>837</v>
      </c>
      <c r="B501" s="514"/>
      <c r="C501" s="492"/>
      <c r="D501" s="492"/>
      <c r="E501" s="492"/>
      <c r="F501" s="492"/>
      <c r="G501" s="491"/>
      <c r="H501" s="491"/>
      <c r="I501" s="491"/>
      <c r="J501" s="491"/>
      <c r="K501" s="492"/>
      <c r="L501" s="491"/>
      <c r="M501" s="491"/>
      <c r="N501" s="491"/>
      <c r="O501" s="491"/>
      <c r="P501" s="492"/>
      <c r="Q501" s="491"/>
      <c r="R501" s="491"/>
      <c r="S501" s="491"/>
      <c r="T501" s="491"/>
      <c r="U501" s="492"/>
      <c r="V501" s="491"/>
      <c r="W501" s="491"/>
      <c r="X501" s="491"/>
      <c r="Y501" s="491"/>
      <c r="Z501" s="492">
        <v>-11</v>
      </c>
      <c r="AA501" s="491"/>
      <c r="AB501" s="491"/>
      <c r="AC501" s="491"/>
      <c r="AD501" s="491"/>
      <c r="AE501" s="492">
        <v>-22</v>
      </c>
      <c r="AF501" s="491">
        <v>-8</v>
      </c>
      <c r="AG501" s="491">
        <v>-8</v>
      </c>
      <c r="AH501" s="491">
        <v>-8</v>
      </c>
      <c r="AI501" s="491">
        <v>-4</v>
      </c>
      <c r="AJ501" s="492">
        <v>-28</v>
      </c>
      <c r="AK501" s="491">
        <v>-18</v>
      </c>
      <c r="AL501" s="491">
        <v>-82</v>
      </c>
      <c r="AM501" s="491">
        <v>-82</v>
      </c>
      <c r="AN501" s="491">
        <f>AO501-AK501-AL501-AM501</f>
        <v>-90</v>
      </c>
      <c r="AO501" s="492">
        <v>-272</v>
      </c>
      <c r="AP501" s="491">
        <v>-685</v>
      </c>
      <c r="AQ501" s="491">
        <v>-461</v>
      </c>
      <c r="AR501" s="491">
        <v>-506</v>
      </c>
      <c r="AS501" s="491">
        <v>-456</v>
      </c>
      <c r="AT501" s="492">
        <f>SUM(AP501,AQ501,AR501,AS501)</f>
        <v>-2108</v>
      </c>
      <c r="AU501" s="491"/>
      <c r="AV501" s="491"/>
      <c r="AW501" s="692"/>
      <c r="AX501" s="491"/>
      <c r="AY501" s="492"/>
      <c r="AZ501" s="491"/>
      <c r="BA501" s="491"/>
      <c r="BB501" s="491"/>
      <c r="BC501" s="491"/>
      <c r="BD501" s="492"/>
      <c r="BE501" s="492"/>
      <c r="BF501" s="492"/>
      <c r="BG501" s="492"/>
      <c r="BH501" s="484"/>
    </row>
    <row r="502" spans="1:60" s="49" customFormat="1" hidden="1" outlineLevel="1" x14ac:dyDescent="0.25">
      <c r="A502" s="538" t="s">
        <v>838</v>
      </c>
      <c r="B502" s="573"/>
      <c r="C502" s="322"/>
      <c r="D502" s="322"/>
      <c r="E502" s="322"/>
      <c r="F502" s="322"/>
      <c r="G502" s="321"/>
      <c r="H502" s="321"/>
      <c r="I502" s="321"/>
      <c r="J502" s="321"/>
      <c r="K502" s="322"/>
      <c r="L502" s="321"/>
      <c r="M502" s="321"/>
      <c r="N502" s="321"/>
      <c r="O502" s="321"/>
      <c r="P502" s="322"/>
      <c r="Q502" s="321"/>
      <c r="R502" s="321"/>
      <c r="S502" s="321"/>
      <c r="T502" s="321"/>
      <c r="U502" s="322"/>
      <c r="V502" s="321"/>
      <c r="W502" s="321"/>
      <c r="X502" s="321"/>
      <c r="Y502" s="321"/>
      <c r="Z502" s="322">
        <v>-457</v>
      </c>
      <c r="AA502" s="321"/>
      <c r="AB502" s="321"/>
      <c r="AC502" s="321"/>
      <c r="AD502" s="321"/>
      <c r="AE502" s="322">
        <v>-454</v>
      </c>
      <c r="AF502" s="321">
        <v>-132</v>
      </c>
      <c r="AG502" s="321">
        <v>-121</v>
      </c>
      <c r="AH502" s="321">
        <v>-115</v>
      </c>
      <c r="AI502" s="321">
        <v>-103</v>
      </c>
      <c r="AJ502" s="322">
        <v>-471</v>
      </c>
      <c r="AK502" s="321">
        <v>-145</v>
      </c>
      <c r="AL502" s="321">
        <v>-139</v>
      </c>
      <c r="AM502" s="321">
        <v>-614</v>
      </c>
      <c r="AN502" s="321">
        <f>AO502-AK502-AL502-AM502</f>
        <v>-682</v>
      </c>
      <c r="AO502" s="322">
        <v>-1580</v>
      </c>
      <c r="AP502" s="321">
        <v>-912</v>
      </c>
      <c r="AQ502" s="321">
        <v>-934</v>
      </c>
      <c r="AR502" s="321">
        <v>-931</v>
      </c>
      <c r="AS502" s="321">
        <v>-1037</v>
      </c>
      <c r="AT502" s="322">
        <f>SUM(AP502,AQ502,AR502,AS502)</f>
        <v>-3814</v>
      </c>
      <c r="AU502" s="321"/>
      <c r="AV502" s="321"/>
      <c r="AW502" s="693"/>
      <c r="AX502" s="321"/>
      <c r="AY502" s="322"/>
      <c r="AZ502" s="321"/>
      <c r="BA502" s="321"/>
      <c r="BB502" s="321"/>
      <c r="BC502" s="321"/>
      <c r="BD502" s="322"/>
      <c r="BE502" s="322"/>
      <c r="BF502" s="322"/>
      <c r="BG502" s="322"/>
      <c r="BH502" s="484"/>
    </row>
    <row r="503" spans="1:60" s="52" customFormat="1" hidden="1" outlineLevel="1" x14ac:dyDescent="0.25">
      <c r="A503" s="501" t="s">
        <v>839</v>
      </c>
      <c r="B503" s="264"/>
      <c r="C503" s="506"/>
      <c r="D503" s="506"/>
      <c r="E503" s="506"/>
      <c r="F503" s="506"/>
      <c r="G503" s="505"/>
      <c r="H503" s="505"/>
      <c r="I503" s="505"/>
      <c r="J503" s="505"/>
      <c r="K503" s="506"/>
      <c r="L503" s="505"/>
      <c r="M503" s="505"/>
      <c r="N503" s="505"/>
      <c r="O503" s="505"/>
      <c r="P503" s="506"/>
      <c r="Q503" s="505"/>
      <c r="R503" s="505"/>
      <c r="S503" s="505"/>
      <c r="T503" s="505"/>
      <c r="U503" s="506"/>
      <c r="V503" s="505"/>
      <c r="W503" s="505"/>
      <c r="X503" s="505"/>
      <c r="Y503" s="505"/>
      <c r="Z503" s="502">
        <f>SUM(Z500:Z502)</f>
        <v>-627</v>
      </c>
      <c r="AA503" s="505"/>
      <c r="AB503" s="505"/>
      <c r="AC503" s="505"/>
      <c r="AD503" s="505"/>
      <c r="AE503" s="502">
        <f>SUM(AE500:AE502)</f>
        <v>-613</v>
      </c>
      <c r="AF503" s="503">
        <f>SUM(AF500:AF502)</f>
        <v>-171</v>
      </c>
      <c r="AG503" s="504">
        <f>SUM(AG500:AG502)</f>
        <v>-193</v>
      </c>
      <c r="AH503" s="503">
        <v>-148</v>
      </c>
      <c r="AI503" s="503">
        <v>-156</v>
      </c>
      <c r="AJ503" s="502">
        <f>SUM(AJ500:AJ502)</f>
        <v>-668</v>
      </c>
      <c r="AK503" s="503">
        <f>SUM(AK500:AK502)</f>
        <v>-184</v>
      </c>
      <c r="AL503" s="504">
        <f>SUM(AL500:AL502)</f>
        <v>-234</v>
      </c>
      <c r="AM503" s="503">
        <v>-737</v>
      </c>
      <c r="AN503" s="503">
        <f t="shared" ref="AN503:AR503" si="621">SUM(AN500:AN502)</f>
        <v>-803</v>
      </c>
      <c r="AO503" s="502">
        <f t="shared" si="621"/>
        <v>-1958</v>
      </c>
      <c r="AP503" s="503">
        <f t="shared" si="621"/>
        <v>-1650</v>
      </c>
      <c r="AQ503" s="504">
        <f t="shared" si="621"/>
        <v>-1453</v>
      </c>
      <c r="AR503" s="503">
        <f t="shared" si="621"/>
        <v>-1473</v>
      </c>
      <c r="AS503" s="503">
        <f>SUM(AS500:AS502)</f>
        <v>-1534</v>
      </c>
      <c r="AT503" s="502">
        <f>SUM(AT500:AT502)</f>
        <v>-6110</v>
      </c>
      <c r="AU503" s="505"/>
      <c r="AV503" s="505"/>
      <c r="AW503" s="694"/>
      <c r="AX503" s="505"/>
      <c r="AY503" s="506"/>
      <c r="AZ503" s="505"/>
      <c r="BA503" s="505"/>
      <c r="BB503" s="505"/>
      <c r="BC503" s="505"/>
      <c r="BD503" s="506"/>
      <c r="BE503" s="506"/>
      <c r="BF503" s="506"/>
      <c r="BG503" s="506"/>
      <c r="BH503" s="499"/>
    </row>
    <row r="504" spans="1:60" s="498" customFormat="1" hidden="1" outlineLevel="1" x14ac:dyDescent="0.25">
      <c r="A504" s="635"/>
      <c r="B504" s="264"/>
      <c r="C504" s="506"/>
      <c r="D504" s="506"/>
      <c r="E504" s="506"/>
      <c r="F504" s="506"/>
      <c r="G504" s="505"/>
      <c r="H504" s="505"/>
      <c r="I504" s="505"/>
      <c r="J504" s="505"/>
      <c r="K504" s="506"/>
      <c r="L504" s="505"/>
      <c r="M504" s="505"/>
      <c r="N504" s="505"/>
      <c r="O504" s="505"/>
      <c r="P504" s="506"/>
      <c r="Q504" s="505"/>
      <c r="R504" s="505"/>
      <c r="S504" s="505"/>
      <c r="T504" s="505"/>
      <c r="U504" s="506"/>
      <c r="V504" s="505"/>
      <c r="W504" s="505"/>
      <c r="X504" s="505"/>
      <c r="Y504" s="505"/>
      <c r="Z504" s="506"/>
      <c r="AA504" s="505"/>
      <c r="AB504" s="505"/>
      <c r="AC504" s="505"/>
      <c r="AD504" s="505"/>
      <c r="AE504" s="506"/>
      <c r="AF504" s="505"/>
      <c r="AG504" s="505"/>
      <c r="AH504" s="505"/>
      <c r="AI504" s="505"/>
      <c r="AJ504" s="506"/>
      <c r="AK504" s="505"/>
      <c r="AL504" s="505"/>
      <c r="AM504" s="505"/>
      <c r="AN504" s="505"/>
      <c r="AO504" s="506"/>
      <c r="AP504" s="505"/>
      <c r="AQ504" s="505"/>
      <c r="AR504" s="505"/>
      <c r="AS504" s="505"/>
      <c r="AT504" s="506"/>
      <c r="AU504" s="505"/>
      <c r="AV504" s="505"/>
      <c r="AW504" s="694"/>
      <c r="AX504" s="505"/>
      <c r="AY504" s="506"/>
      <c r="AZ504" s="505"/>
      <c r="BA504" s="505"/>
      <c r="BB504" s="505"/>
      <c r="BC504" s="505"/>
      <c r="BD504" s="506"/>
      <c r="BE504" s="506"/>
      <c r="BF504" s="506"/>
      <c r="BG504" s="506"/>
      <c r="BH504" s="499"/>
    </row>
    <row r="505" spans="1:60" s="470" customFormat="1" hidden="1" outlineLevel="1" x14ac:dyDescent="0.25">
      <c r="A505" s="483" t="s">
        <v>840</v>
      </c>
      <c r="B505" s="514"/>
      <c r="C505" s="492"/>
      <c r="D505" s="492"/>
      <c r="E505" s="492"/>
      <c r="F505" s="492"/>
      <c r="G505" s="491"/>
      <c r="H505" s="491"/>
      <c r="I505" s="491"/>
      <c r="J505" s="491"/>
      <c r="K505" s="492"/>
      <c r="L505" s="491"/>
      <c r="M505" s="491"/>
      <c r="N505" s="491"/>
      <c r="O505" s="491"/>
      <c r="P505" s="492"/>
      <c r="Q505" s="491"/>
      <c r="R505" s="491"/>
      <c r="S505" s="491"/>
      <c r="T505" s="491"/>
      <c r="U505" s="492"/>
      <c r="V505" s="491"/>
      <c r="W505" s="491"/>
      <c r="X505" s="491"/>
      <c r="Y505" s="491"/>
      <c r="Z505" s="492"/>
      <c r="AA505" s="491"/>
      <c r="AB505" s="491"/>
      <c r="AC505" s="491"/>
      <c r="AD505" s="491"/>
      <c r="AE505" s="492"/>
      <c r="AF505" s="491"/>
      <c r="AG505" s="497">
        <v>0</v>
      </c>
      <c r="AH505" s="490">
        <v>0</v>
      </c>
      <c r="AI505" s="491"/>
      <c r="AJ505" s="492"/>
      <c r="AK505" s="491"/>
      <c r="AL505" s="497">
        <v>-12</v>
      </c>
      <c r="AM505" s="490">
        <v>-108</v>
      </c>
      <c r="AN505" s="490">
        <f>AO505-AM505-AL505-AK505</f>
        <v>-133</v>
      </c>
      <c r="AO505" s="489">
        <v>-253</v>
      </c>
      <c r="AP505" s="490">
        <v>-174</v>
      </c>
      <c r="AQ505" s="497">
        <v>-186</v>
      </c>
      <c r="AR505" s="490">
        <v>-191</v>
      </c>
      <c r="AS505" s="490">
        <f>AT505--551</f>
        <v>-211</v>
      </c>
      <c r="AT505" s="489">
        <v>-762</v>
      </c>
      <c r="AU505" s="491"/>
      <c r="AV505" s="491"/>
      <c r="AW505" s="692"/>
      <c r="AX505" s="491"/>
      <c r="AY505" s="492"/>
      <c r="AZ505" s="491"/>
      <c r="BA505" s="491"/>
      <c r="BB505" s="491"/>
      <c r="BC505" s="491"/>
      <c r="BD505" s="492"/>
      <c r="BE505" s="492"/>
      <c r="BF505" s="492"/>
      <c r="BG505" s="492"/>
      <c r="BH505" s="484"/>
    </row>
    <row r="506" spans="1:60" s="470" customFormat="1" hidden="1" outlineLevel="1" x14ac:dyDescent="0.25">
      <c r="A506" s="483" t="s">
        <v>841</v>
      </c>
      <c r="B506" s="514"/>
      <c r="C506" s="492"/>
      <c r="D506" s="492"/>
      <c r="E506" s="492"/>
      <c r="F506" s="492"/>
      <c r="G506" s="491"/>
      <c r="H506" s="491"/>
      <c r="I506" s="491"/>
      <c r="J506" s="491"/>
      <c r="K506" s="492"/>
      <c r="L506" s="491"/>
      <c r="M506" s="491"/>
      <c r="N506" s="491"/>
      <c r="O506" s="491"/>
      <c r="P506" s="492"/>
      <c r="Q506" s="491"/>
      <c r="R506" s="491"/>
      <c r="S506" s="491"/>
      <c r="T506" s="491"/>
      <c r="U506" s="492"/>
      <c r="V506" s="491"/>
      <c r="W506" s="491"/>
      <c r="X506" s="491"/>
      <c r="Y506" s="491"/>
      <c r="Z506" s="492"/>
      <c r="AA506" s="491"/>
      <c r="AB506" s="491"/>
      <c r="AC506" s="491"/>
      <c r="AD506" s="491"/>
      <c r="AE506" s="492"/>
      <c r="AF506" s="490">
        <v>-171</v>
      </c>
      <c r="AG506" s="497">
        <v>-193</v>
      </c>
      <c r="AH506" s="490">
        <v>-148</v>
      </c>
      <c r="AI506" s="490">
        <f>AJ506-AH506-AG506-AF506</f>
        <v>-156</v>
      </c>
      <c r="AJ506" s="489">
        <v>-668</v>
      </c>
      <c r="AK506" s="490">
        <v>-184</v>
      </c>
      <c r="AL506" s="497">
        <v>-222</v>
      </c>
      <c r="AM506" s="490">
        <v>-629</v>
      </c>
      <c r="AN506" s="490">
        <f>AO506-AM506-AL506-AK506</f>
        <v>-670</v>
      </c>
      <c r="AO506" s="489">
        <v>-1705</v>
      </c>
      <c r="AP506" s="490">
        <v>-1476</v>
      </c>
      <c r="AQ506" s="497">
        <v>-1267</v>
      </c>
      <c r="AR506" s="490">
        <v>-1282</v>
      </c>
      <c r="AS506" s="490">
        <f>AT506--4025</f>
        <v>-1323</v>
      </c>
      <c r="AT506" s="489">
        <v>-5348</v>
      </c>
      <c r="AU506" s="491"/>
      <c r="AV506" s="491"/>
      <c r="AW506" s="692"/>
      <c r="AX506" s="491"/>
      <c r="AY506" s="492"/>
      <c r="AZ506" s="491"/>
      <c r="BA506" s="491"/>
      <c r="BB506" s="491"/>
      <c r="BC506" s="491"/>
      <c r="BD506" s="492"/>
      <c r="BE506" s="492"/>
      <c r="BF506" s="492"/>
      <c r="BG506" s="492"/>
      <c r="BH506" s="484"/>
    </row>
    <row r="507" spans="1:60" s="498" customFormat="1" hidden="1" outlineLevel="1" x14ac:dyDescent="0.25">
      <c r="A507" s="500" t="s">
        <v>842</v>
      </c>
      <c r="B507" s="516"/>
      <c r="C507" s="511"/>
      <c r="D507" s="511"/>
      <c r="E507" s="511"/>
      <c r="F507" s="511"/>
      <c r="G507" s="510"/>
      <c r="H507" s="510"/>
      <c r="I507" s="510"/>
      <c r="J507" s="510"/>
      <c r="K507" s="511"/>
      <c r="L507" s="510"/>
      <c r="M507" s="510"/>
      <c r="N507" s="510"/>
      <c r="O507" s="510"/>
      <c r="P507" s="511"/>
      <c r="Q507" s="510"/>
      <c r="R507" s="510"/>
      <c r="S507" s="510"/>
      <c r="T507" s="510"/>
      <c r="U507" s="511"/>
      <c r="V507" s="510"/>
      <c r="W507" s="510"/>
      <c r="X507" s="510"/>
      <c r="Y507" s="510"/>
      <c r="Z507" s="511"/>
      <c r="AA507" s="510"/>
      <c r="AB507" s="510"/>
      <c r="AC507" s="510"/>
      <c r="AD507" s="510"/>
      <c r="AE507" s="511"/>
      <c r="AF507" s="508">
        <f t="shared" ref="AF507:AT507" si="622">AF506+AF505</f>
        <v>-171</v>
      </c>
      <c r="AG507" s="509">
        <f t="shared" si="622"/>
        <v>-193</v>
      </c>
      <c r="AH507" s="508">
        <f t="shared" si="622"/>
        <v>-148</v>
      </c>
      <c r="AI507" s="508">
        <f t="shared" si="622"/>
        <v>-156</v>
      </c>
      <c r="AJ507" s="507">
        <f t="shared" si="622"/>
        <v>-668</v>
      </c>
      <c r="AK507" s="508">
        <f t="shared" si="622"/>
        <v>-184</v>
      </c>
      <c r="AL507" s="509">
        <f t="shared" si="622"/>
        <v>-234</v>
      </c>
      <c r="AM507" s="508">
        <f t="shared" si="622"/>
        <v>-737</v>
      </c>
      <c r="AN507" s="508">
        <f t="shared" si="622"/>
        <v>-803</v>
      </c>
      <c r="AO507" s="507">
        <f t="shared" si="622"/>
        <v>-1958</v>
      </c>
      <c r="AP507" s="508">
        <f t="shared" si="622"/>
        <v>-1650</v>
      </c>
      <c r="AQ507" s="509">
        <f t="shared" si="622"/>
        <v>-1453</v>
      </c>
      <c r="AR507" s="508">
        <f t="shared" si="622"/>
        <v>-1473</v>
      </c>
      <c r="AS507" s="508">
        <f t="shared" si="622"/>
        <v>-1534</v>
      </c>
      <c r="AT507" s="507">
        <f t="shared" si="622"/>
        <v>-6110</v>
      </c>
      <c r="AU507" s="510"/>
      <c r="AV507" s="510"/>
      <c r="AW507" s="701"/>
      <c r="AX507" s="510"/>
      <c r="AY507" s="511"/>
      <c r="AZ507" s="510"/>
      <c r="BA507" s="510"/>
      <c r="BB507" s="510"/>
      <c r="BC507" s="510"/>
      <c r="BD507" s="511"/>
      <c r="BE507" s="511"/>
      <c r="BF507" s="511"/>
      <c r="BG507" s="511"/>
      <c r="BH507" s="499"/>
    </row>
    <row r="508" spans="1:60" s="498" customFormat="1" hidden="1" outlineLevel="1" x14ac:dyDescent="0.25">
      <c r="A508" s="635"/>
      <c r="B508" s="264"/>
      <c r="C508" s="506"/>
      <c r="D508" s="506"/>
      <c r="E508" s="506"/>
      <c r="F508" s="506"/>
      <c r="G508" s="505"/>
      <c r="H508" s="505"/>
      <c r="I508" s="505"/>
      <c r="J508" s="505"/>
      <c r="K508" s="506"/>
      <c r="L508" s="505"/>
      <c r="M508" s="505"/>
      <c r="N508" s="505"/>
      <c r="O508" s="505"/>
      <c r="P508" s="506"/>
      <c r="Q508" s="505"/>
      <c r="R508" s="505"/>
      <c r="S508" s="505"/>
      <c r="T508" s="505"/>
      <c r="U508" s="506"/>
      <c r="V508" s="505"/>
      <c r="W508" s="505"/>
      <c r="X508" s="505"/>
      <c r="Y508" s="505"/>
      <c r="Z508" s="506"/>
      <c r="AA508" s="505"/>
      <c r="AB508" s="505"/>
      <c r="AC508" s="505"/>
      <c r="AD508" s="505"/>
      <c r="AE508" s="506"/>
      <c r="AF508" s="505"/>
      <c r="AG508" s="505"/>
      <c r="AH508" s="505"/>
      <c r="AI508" s="505"/>
      <c r="AJ508" s="506"/>
      <c r="AK508" s="505"/>
      <c r="AL508" s="505"/>
      <c r="AM508" s="505"/>
      <c r="AN508" s="505"/>
      <c r="AO508" s="506"/>
      <c r="AP508" s="505"/>
      <c r="AQ508" s="505"/>
      <c r="AR508" s="505"/>
      <c r="AS508" s="505"/>
      <c r="AT508" s="506"/>
      <c r="AU508" s="505"/>
      <c r="AV508" s="505"/>
      <c r="AW508" s="694"/>
      <c r="AX508" s="505"/>
      <c r="AY508" s="506"/>
      <c r="AZ508" s="505"/>
      <c r="BA508" s="505"/>
      <c r="BB508" s="505"/>
      <c r="BC508" s="505"/>
      <c r="BD508" s="506"/>
      <c r="BE508" s="506"/>
      <c r="BF508" s="506"/>
      <c r="BG508" s="506"/>
      <c r="BH508" s="499"/>
    </row>
    <row r="509" spans="1:60" s="470" customFormat="1" hidden="1" outlineLevel="1" x14ac:dyDescent="0.25">
      <c r="A509" s="97" t="s">
        <v>843</v>
      </c>
      <c r="B509" s="514"/>
      <c r="C509" s="492"/>
      <c r="D509" s="492"/>
      <c r="E509" s="492"/>
      <c r="F509" s="492"/>
      <c r="G509" s="491"/>
      <c r="H509" s="491"/>
      <c r="I509" s="491"/>
      <c r="J509" s="491"/>
      <c r="K509" s="492"/>
      <c r="L509" s="491"/>
      <c r="M509" s="491"/>
      <c r="N509" s="491"/>
      <c r="O509" s="491"/>
      <c r="P509" s="492"/>
      <c r="Q509" s="491"/>
      <c r="R509" s="491"/>
      <c r="S509" s="491"/>
      <c r="T509" s="491"/>
      <c r="U509" s="492"/>
      <c r="V509" s="491"/>
      <c r="W509" s="491"/>
      <c r="X509" s="491"/>
      <c r="Y509" s="491"/>
      <c r="Z509" s="492"/>
      <c r="AA509" s="491"/>
      <c r="AB509" s="491"/>
      <c r="AC509" s="491"/>
      <c r="AD509" s="491"/>
      <c r="AE509" s="492"/>
      <c r="AF509" s="491"/>
      <c r="AG509" s="491"/>
      <c r="AH509" s="491"/>
      <c r="AI509" s="491"/>
      <c r="AJ509" s="492"/>
      <c r="AK509" s="490">
        <v>-164</v>
      </c>
      <c r="AL509" s="497">
        <v>-208</v>
      </c>
      <c r="AM509" s="490">
        <v>-601</v>
      </c>
      <c r="AN509" s="490">
        <f>AO509+970</f>
        <v>-669</v>
      </c>
      <c r="AO509" s="489">
        <v>-1639</v>
      </c>
      <c r="AP509" s="490">
        <v>-1464</v>
      </c>
      <c r="AQ509" s="497">
        <v>-1207</v>
      </c>
      <c r="AR509" s="490">
        <v>-1156</v>
      </c>
      <c r="AS509" s="491"/>
      <c r="AT509" s="492"/>
      <c r="AU509" s="491"/>
      <c r="AV509" s="491"/>
      <c r="AW509" s="692"/>
      <c r="AX509" s="491"/>
      <c r="AY509" s="492"/>
      <c r="AZ509" s="491"/>
      <c r="BA509" s="491"/>
      <c r="BB509" s="491"/>
      <c r="BC509" s="491"/>
      <c r="BD509" s="492"/>
      <c r="BE509" s="492"/>
      <c r="BF509" s="492"/>
      <c r="BG509" s="492"/>
      <c r="BH509" s="484"/>
    </row>
    <row r="510" spans="1:60" s="470" customFormat="1" hidden="1" outlineLevel="1" x14ac:dyDescent="0.25">
      <c r="A510" s="636" t="s">
        <v>844</v>
      </c>
      <c r="B510" s="573"/>
      <c r="C510" s="322"/>
      <c r="D510" s="322"/>
      <c r="E510" s="322"/>
      <c r="F510" s="322"/>
      <c r="G510" s="321"/>
      <c r="H510" s="321"/>
      <c r="I510" s="321"/>
      <c r="J510" s="321"/>
      <c r="K510" s="322"/>
      <c r="L510" s="321"/>
      <c r="M510" s="321"/>
      <c r="N510" s="321"/>
      <c r="O510" s="321"/>
      <c r="P510" s="322"/>
      <c r="Q510" s="321"/>
      <c r="R510" s="321"/>
      <c r="S510" s="321"/>
      <c r="T510" s="321"/>
      <c r="U510" s="322"/>
      <c r="V510" s="321"/>
      <c r="W510" s="321"/>
      <c r="X510" s="321"/>
      <c r="Y510" s="321"/>
      <c r="Z510" s="322"/>
      <c r="AA510" s="321"/>
      <c r="AB510" s="321"/>
      <c r="AC510" s="321"/>
      <c r="AD510" s="321"/>
      <c r="AE510" s="322"/>
      <c r="AF510" s="321"/>
      <c r="AG510" s="321"/>
      <c r="AH510" s="321"/>
      <c r="AI510" s="321"/>
      <c r="AJ510" s="322"/>
      <c r="AK510" s="319">
        <v>0</v>
      </c>
      <c r="AL510" s="320">
        <v>0</v>
      </c>
      <c r="AM510" s="319">
        <v>0</v>
      </c>
      <c r="AN510" s="319">
        <v>0</v>
      </c>
      <c r="AO510" s="318">
        <v>0</v>
      </c>
      <c r="AP510" s="319">
        <v>0</v>
      </c>
      <c r="AQ510" s="320">
        <v>-62</v>
      </c>
      <c r="AR510" s="319">
        <v>-95</v>
      </c>
      <c r="AS510" s="321"/>
      <c r="AT510" s="322"/>
      <c r="AU510" s="321"/>
      <c r="AV510" s="321"/>
      <c r="AW510" s="693"/>
      <c r="AX510" s="321"/>
      <c r="AY510" s="322"/>
      <c r="AZ510" s="321"/>
      <c r="BA510" s="321"/>
      <c r="BB510" s="321"/>
      <c r="BC510" s="321"/>
      <c r="BD510" s="322"/>
      <c r="BE510" s="322"/>
      <c r="BF510" s="322"/>
      <c r="BG510" s="322"/>
      <c r="BH510" s="484"/>
    </row>
    <row r="511" spans="1:60" s="470" customFormat="1" hidden="1" outlineLevel="1" x14ac:dyDescent="0.25">
      <c r="A511" s="285" t="s">
        <v>845</v>
      </c>
      <c r="B511" s="514"/>
      <c r="C511" s="492"/>
      <c r="D511" s="492"/>
      <c r="E511" s="492"/>
      <c r="F511" s="492"/>
      <c r="G511" s="491"/>
      <c r="H511" s="491"/>
      <c r="I511" s="491"/>
      <c r="J511" s="491"/>
      <c r="K511" s="492"/>
      <c r="L511" s="491"/>
      <c r="M511" s="491"/>
      <c r="N511" s="491"/>
      <c r="O511" s="491"/>
      <c r="P511" s="492"/>
      <c r="Q511" s="491"/>
      <c r="R511" s="491"/>
      <c r="S511" s="491"/>
      <c r="T511" s="491"/>
      <c r="U511" s="492"/>
      <c r="V511" s="491"/>
      <c r="W511" s="491"/>
      <c r="X511" s="491"/>
      <c r="Y511" s="491"/>
      <c r="Z511" s="492"/>
      <c r="AA511" s="491"/>
      <c r="AB511" s="491"/>
      <c r="AC511" s="491"/>
      <c r="AD511" s="491"/>
      <c r="AE511" s="492"/>
      <c r="AF511" s="491"/>
      <c r="AG511" s="491"/>
      <c r="AH511" s="491"/>
      <c r="AI511" s="491"/>
      <c r="AJ511" s="492"/>
      <c r="AK511" s="490">
        <f>SUM(AK509:AK510)</f>
        <v>-164</v>
      </c>
      <c r="AL511" s="497">
        <f t="shared" ref="AL511:AR511" si="623">SUM(AL509:AL510)</f>
        <v>-208</v>
      </c>
      <c r="AM511" s="490">
        <f t="shared" si="623"/>
        <v>-601</v>
      </c>
      <c r="AN511" s="490">
        <f t="shared" si="623"/>
        <v>-669</v>
      </c>
      <c r="AO511" s="489">
        <f t="shared" si="623"/>
        <v>-1639</v>
      </c>
      <c r="AP511" s="490">
        <f t="shared" si="623"/>
        <v>-1464</v>
      </c>
      <c r="AQ511" s="497">
        <f t="shared" si="623"/>
        <v>-1269</v>
      </c>
      <c r="AR511" s="490">
        <f t="shared" si="623"/>
        <v>-1251</v>
      </c>
      <c r="AS511" s="490">
        <f>AT511--3827--157</f>
        <v>-1283</v>
      </c>
      <c r="AT511" s="489">
        <v>-5267</v>
      </c>
      <c r="AU511" s="491"/>
      <c r="AV511" s="491"/>
      <c r="AW511" s="692"/>
      <c r="AX511" s="491"/>
      <c r="AY511" s="492"/>
      <c r="AZ511" s="491"/>
      <c r="BA511" s="491"/>
      <c r="BB511" s="491"/>
      <c r="BC511" s="491"/>
      <c r="BD511" s="492"/>
      <c r="BE511" s="492"/>
      <c r="BF511" s="492"/>
      <c r="BG511" s="492"/>
      <c r="BH511" s="484"/>
    </row>
    <row r="512" spans="1:60" s="470" customFormat="1" hidden="1" outlineLevel="1" x14ac:dyDescent="0.25">
      <c r="A512" s="285" t="s">
        <v>846</v>
      </c>
      <c r="B512" s="514"/>
      <c r="C512" s="492"/>
      <c r="D512" s="492"/>
      <c r="E512" s="492"/>
      <c r="F512" s="492"/>
      <c r="G512" s="491"/>
      <c r="H512" s="491"/>
      <c r="I512" s="491"/>
      <c r="J512" s="491"/>
      <c r="K512" s="492"/>
      <c r="L512" s="491"/>
      <c r="M512" s="491"/>
      <c r="N512" s="491"/>
      <c r="O512" s="491"/>
      <c r="P512" s="492"/>
      <c r="Q512" s="491"/>
      <c r="R512" s="491"/>
      <c r="S512" s="491"/>
      <c r="T512" s="491"/>
      <c r="U512" s="492"/>
      <c r="V512" s="491"/>
      <c r="W512" s="491"/>
      <c r="X512" s="491"/>
      <c r="Y512" s="491"/>
      <c r="Z512" s="492"/>
      <c r="AA512" s="491"/>
      <c r="AB512" s="491"/>
      <c r="AC512" s="491"/>
      <c r="AD512" s="491"/>
      <c r="AE512" s="492"/>
      <c r="AF512" s="491"/>
      <c r="AG512" s="491"/>
      <c r="AH512" s="491"/>
      <c r="AI512" s="491"/>
      <c r="AJ512" s="492"/>
      <c r="AK512" s="490">
        <v>-15</v>
      </c>
      <c r="AL512" s="497">
        <v>-22</v>
      </c>
      <c r="AM512" s="490">
        <v>-80</v>
      </c>
      <c r="AN512" s="490">
        <f>AO512+118</f>
        <v>-12</v>
      </c>
      <c r="AO512" s="489">
        <v>-130</v>
      </c>
      <c r="AP512" s="490">
        <v>-62</v>
      </c>
      <c r="AQ512" s="497">
        <v>-172</v>
      </c>
      <c r="AR512" s="490">
        <v>-201</v>
      </c>
      <c r="AS512" s="490">
        <f>AT512--435</f>
        <v>-217</v>
      </c>
      <c r="AT512" s="489">
        <v>-652</v>
      </c>
      <c r="AU512" s="491"/>
      <c r="AV512" s="491"/>
      <c r="AW512" s="692"/>
      <c r="AX512" s="491"/>
      <c r="AY512" s="492"/>
      <c r="AZ512" s="491"/>
      <c r="BA512" s="491"/>
      <c r="BB512" s="491"/>
      <c r="BC512" s="491"/>
      <c r="BD512" s="492"/>
      <c r="BE512" s="492"/>
      <c r="BF512" s="492"/>
      <c r="BG512" s="492"/>
      <c r="BH512" s="484"/>
    </row>
    <row r="513" spans="1:60" s="470" customFormat="1" hidden="1" outlineLevel="1" x14ac:dyDescent="0.25">
      <c r="A513" s="285" t="s">
        <v>847</v>
      </c>
      <c r="B513" s="514"/>
      <c r="C513" s="492"/>
      <c r="D513" s="492"/>
      <c r="E513" s="492"/>
      <c r="F513" s="492"/>
      <c r="G513" s="491"/>
      <c r="H513" s="491"/>
      <c r="I513" s="491"/>
      <c r="J513" s="491"/>
      <c r="K513" s="492"/>
      <c r="L513" s="491"/>
      <c r="M513" s="491"/>
      <c r="N513" s="491"/>
      <c r="O513" s="491"/>
      <c r="P513" s="492"/>
      <c r="Q513" s="491"/>
      <c r="R513" s="491"/>
      <c r="S513" s="491"/>
      <c r="T513" s="491"/>
      <c r="U513" s="492"/>
      <c r="V513" s="491"/>
      <c r="W513" s="491"/>
      <c r="X513" s="491"/>
      <c r="Y513" s="491"/>
      <c r="Z513" s="492"/>
      <c r="AA513" s="491"/>
      <c r="AB513" s="491"/>
      <c r="AC513" s="491"/>
      <c r="AD513" s="491"/>
      <c r="AE513" s="492"/>
      <c r="AF513" s="491"/>
      <c r="AG513" s="491"/>
      <c r="AH513" s="491"/>
      <c r="AI513" s="491"/>
      <c r="AJ513" s="492"/>
      <c r="AK513" s="490">
        <v>-5</v>
      </c>
      <c r="AL513" s="497">
        <v>-4</v>
      </c>
      <c r="AM513" s="490">
        <v>-56</v>
      </c>
      <c r="AN513" s="490">
        <f>AO513+67</f>
        <v>-122</v>
      </c>
      <c r="AO513" s="489">
        <v>-189</v>
      </c>
      <c r="AP513" s="490">
        <v>-124</v>
      </c>
      <c r="AQ513" s="497">
        <v>-12</v>
      </c>
      <c r="AR513" s="490">
        <v>-21</v>
      </c>
      <c r="AS513" s="490">
        <f>AT513--157</f>
        <v>-34</v>
      </c>
      <c r="AT513" s="489">
        <v>-191</v>
      </c>
      <c r="AU513" s="491"/>
      <c r="AV513" s="491"/>
      <c r="AW513" s="692"/>
      <c r="AX513" s="491"/>
      <c r="AY513" s="492"/>
      <c r="AZ513" s="491"/>
      <c r="BA513" s="491"/>
      <c r="BB513" s="491"/>
      <c r="BC513" s="491"/>
      <c r="BD513" s="492"/>
      <c r="BE513" s="492"/>
      <c r="BF513" s="492"/>
      <c r="BG513" s="492"/>
      <c r="BH513" s="484"/>
    </row>
    <row r="514" spans="1:60" s="498" customFormat="1" hidden="1" outlineLevel="1" x14ac:dyDescent="0.25">
      <c r="A514" s="567" t="s">
        <v>848</v>
      </c>
      <c r="B514" s="516"/>
      <c r="C514" s="511"/>
      <c r="D514" s="511"/>
      <c r="E514" s="511"/>
      <c r="F514" s="511"/>
      <c r="G514" s="510"/>
      <c r="H514" s="510"/>
      <c r="I514" s="510"/>
      <c r="J514" s="510"/>
      <c r="K514" s="511"/>
      <c r="L514" s="510"/>
      <c r="M514" s="510"/>
      <c r="N514" s="510"/>
      <c r="O514" s="510"/>
      <c r="P514" s="511"/>
      <c r="Q514" s="510"/>
      <c r="R514" s="510"/>
      <c r="S514" s="510"/>
      <c r="T514" s="510"/>
      <c r="U514" s="511"/>
      <c r="V514" s="510"/>
      <c r="W514" s="510"/>
      <c r="X514" s="510"/>
      <c r="Y514" s="510"/>
      <c r="Z514" s="511"/>
      <c r="AA514" s="510"/>
      <c r="AB514" s="510"/>
      <c r="AC514" s="510"/>
      <c r="AD514" s="510"/>
      <c r="AE514" s="511"/>
      <c r="AF514" s="510"/>
      <c r="AG514" s="510"/>
      <c r="AH514" s="510"/>
      <c r="AI514" s="510"/>
      <c r="AJ514" s="511"/>
      <c r="AK514" s="508">
        <f>SUM(AK511:AK513)</f>
        <v>-184</v>
      </c>
      <c r="AL514" s="509">
        <f t="shared" ref="AL514:AR514" si="624">SUM(AL511:AL513)</f>
        <v>-234</v>
      </c>
      <c r="AM514" s="508">
        <f t="shared" si="624"/>
        <v>-737</v>
      </c>
      <c r="AN514" s="508">
        <f t="shared" si="624"/>
        <v>-803</v>
      </c>
      <c r="AO514" s="507">
        <f t="shared" si="624"/>
        <v>-1958</v>
      </c>
      <c r="AP514" s="508">
        <f t="shared" si="624"/>
        <v>-1650</v>
      </c>
      <c r="AQ514" s="509">
        <f t="shared" si="624"/>
        <v>-1453</v>
      </c>
      <c r="AR514" s="508">
        <f t="shared" si="624"/>
        <v>-1473</v>
      </c>
      <c r="AS514" s="508">
        <f t="shared" ref="AS514" si="625">SUM(AS511:AS513)</f>
        <v>-1534</v>
      </c>
      <c r="AT514" s="507">
        <f t="shared" ref="AT514" si="626">SUM(AT511:AT513)</f>
        <v>-6110</v>
      </c>
      <c r="AU514" s="510"/>
      <c r="AV514" s="510"/>
      <c r="AW514" s="701"/>
      <c r="AX514" s="510"/>
      <c r="AY514" s="511"/>
      <c r="AZ514" s="510"/>
      <c r="BA514" s="510"/>
      <c r="BB514" s="510"/>
      <c r="BC514" s="510"/>
      <c r="BD514" s="511"/>
      <c r="BE514" s="511"/>
      <c r="BF514" s="511"/>
      <c r="BG514" s="511"/>
      <c r="BH514" s="499"/>
    </row>
    <row r="515" spans="1:60" s="498" customFormat="1" hidden="1" outlineLevel="1" x14ac:dyDescent="0.25">
      <c r="A515" s="755"/>
      <c r="B515" s="264"/>
      <c r="C515" s="506"/>
      <c r="D515" s="506"/>
      <c r="E515" s="506"/>
      <c r="F515" s="506"/>
      <c r="G515" s="505"/>
      <c r="H515" s="505"/>
      <c r="I515" s="505"/>
      <c r="J515" s="505"/>
      <c r="K515" s="506"/>
      <c r="L515" s="505"/>
      <c r="M515" s="505"/>
      <c r="N515" s="505"/>
      <c r="O515" s="505"/>
      <c r="P515" s="506"/>
      <c r="Q515" s="505"/>
      <c r="R515" s="505"/>
      <c r="S515" s="505"/>
      <c r="T515" s="505"/>
      <c r="U515" s="506"/>
      <c r="V515" s="505"/>
      <c r="W515" s="505"/>
      <c r="X515" s="505"/>
      <c r="Y515" s="505"/>
      <c r="Z515" s="506"/>
      <c r="AA515" s="505"/>
      <c r="AB515" s="505"/>
      <c r="AC515" s="505"/>
      <c r="AD515" s="505"/>
      <c r="AE515" s="506"/>
      <c r="AF515" s="505"/>
      <c r="AG515" s="505"/>
      <c r="AH515" s="505"/>
      <c r="AI515" s="505"/>
      <c r="AJ515" s="506"/>
      <c r="AK515" s="505"/>
      <c r="AL515" s="505"/>
      <c r="AM515" s="505"/>
      <c r="AN515" s="505"/>
      <c r="AO515" s="506"/>
      <c r="AP515" s="505"/>
      <c r="AQ515" s="505"/>
      <c r="AR515" s="505"/>
      <c r="AS515" s="505"/>
      <c r="AT515" s="506"/>
      <c r="AU515" s="505"/>
      <c r="AV515" s="505"/>
      <c r="AW515" s="694"/>
      <c r="AX515" s="505"/>
      <c r="AY515" s="506"/>
      <c r="AZ515" s="505"/>
      <c r="BA515" s="505"/>
      <c r="BB515" s="505"/>
      <c r="BC515" s="505"/>
      <c r="BD515" s="506"/>
      <c r="BE515" s="506"/>
      <c r="BF515" s="506"/>
      <c r="BG515" s="506"/>
      <c r="BH515" s="499"/>
    </row>
    <row r="516" spans="1:60" s="498" customFormat="1" hidden="1" outlineLevel="1" x14ac:dyDescent="0.25">
      <c r="A516" s="566" t="s">
        <v>849</v>
      </c>
      <c r="B516" s="264"/>
      <c r="C516" s="506"/>
      <c r="D516" s="506"/>
      <c r="E516" s="506"/>
      <c r="F516" s="506"/>
      <c r="G516" s="505"/>
      <c r="H516" s="505"/>
      <c r="I516" s="505"/>
      <c r="J516" s="505"/>
      <c r="K516" s="506"/>
      <c r="L516" s="505"/>
      <c r="M516" s="505"/>
      <c r="N516" s="505"/>
      <c r="O516" s="505"/>
      <c r="P516" s="506"/>
      <c r="Q516" s="505"/>
      <c r="R516" s="505"/>
      <c r="S516" s="505"/>
      <c r="T516" s="505"/>
      <c r="U516" s="506"/>
      <c r="V516" s="505"/>
      <c r="W516" s="505"/>
      <c r="X516" s="505"/>
      <c r="Y516" s="505"/>
      <c r="Z516" s="506"/>
      <c r="AA516" s="505"/>
      <c r="AB516" s="505"/>
      <c r="AC516" s="505"/>
      <c r="AD516" s="505"/>
      <c r="AE516" s="506"/>
      <c r="AF516" s="505"/>
      <c r="AG516" s="505"/>
      <c r="AH516" s="505"/>
      <c r="AI516" s="505"/>
      <c r="AJ516" s="502">
        <f t="shared" ref="AJ516:AT516" si="627">AJ521-AJ503</f>
        <v>658</v>
      </c>
      <c r="AK516" s="503">
        <f t="shared" si="627"/>
        <v>184</v>
      </c>
      <c r="AL516" s="504">
        <f t="shared" si="627"/>
        <v>193</v>
      </c>
      <c r="AM516" s="503">
        <f t="shared" si="627"/>
        <v>604</v>
      </c>
      <c r="AN516" s="503">
        <f t="shared" si="627"/>
        <v>736</v>
      </c>
      <c r="AO516" s="502">
        <f t="shared" si="627"/>
        <v>1717</v>
      </c>
      <c r="AP516" s="503">
        <f t="shared" si="627"/>
        <v>1429</v>
      </c>
      <c r="AQ516" s="504">
        <f t="shared" si="627"/>
        <v>1201</v>
      </c>
      <c r="AR516" s="503">
        <f t="shared" si="627"/>
        <v>1417</v>
      </c>
      <c r="AS516" s="503">
        <f t="shared" si="627"/>
        <v>1535</v>
      </c>
      <c r="AT516" s="502">
        <f t="shared" si="627"/>
        <v>5582</v>
      </c>
      <c r="AU516" s="505"/>
      <c r="AV516" s="505"/>
      <c r="AW516" s="694"/>
      <c r="AX516" s="505"/>
      <c r="AY516" s="506"/>
      <c r="AZ516" s="505"/>
      <c r="BA516" s="505"/>
      <c r="BB516" s="505"/>
      <c r="BC516" s="505"/>
      <c r="BD516" s="506"/>
      <c r="BE516" s="506"/>
      <c r="BF516" s="506"/>
      <c r="BG516" s="506"/>
      <c r="BH516" s="499"/>
    </row>
    <row r="517" spans="1:60" s="52" customFormat="1" hidden="1" outlineLevel="1" x14ac:dyDescent="0.25">
      <c r="A517" s="635"/>
      <c r="B517" s="264"/>
      <c r="C517" s="506"/>
      <c r="D517" s="506"/>
      <c r="E517" s="506"/>
      <c r="F517" s="506"/>
      <c r="G517" s="505"/>
      <c r="H517" s="505"/>
      <c r="I517" s="505"/>
      <c r="J517" s="505"/>
      <c r="K517" s="506"/>
      <c r="L517" s="505"/>
      <c r="M517" s="505"/>
      <c r="N517" s="505"/>
      <c r="O517" s="505"/>
      <c r="P517" s="506"/>
      <c r="Q517" s="505"/>
      <c r="R517" s="505"/>
      <c r="S517" s="505"/>
      <c r="T517" s="505"/>
      <c r="U517" s="506"/>
      <c r="V517" s="505"/>
      <c r="W517" s="505"/>
      <c r="X517" s="505"/>
      <c r="Y517" s="505"/>
      <c r="Z517" s="506"/>
      <c r="AA517" s="505"/>
      <c r="AB517" s="505"/>
      <c r="AC517" s="505"/>
      <c r="AD517" s="505"/>
      <c r="AE517" s="506"/>
      <c r="AF517" s="505"/>
      <c r="AG517" s="505"/>
      <c r="AH517" s="505"/>
      <c r="AI517" s="505"/>
      <c r="AJ517" s="506"/>
      <c r="AK517" s="505"/>
      <c r="AL517" s="505"/>
      <c r="AM517" s="505"/>
      <c r="AN517" s="505"/>
      <c r="AO517" s="506"/>
      <c r="AP517" s="114"/>
      <c r="AQ517" s="505"/>
      <c r="AR517" s="505"/>
      <c r="AS517" s="505"/>
      <c r="AT517" s="506"/>
      <c r="AU517" s="114"/>
      <c r="AV517" s="505"/>
      <c r="AW517" s="694"/>
      <c r="AX517" s="505"/>
      <c r="AY517" s="506"/>
      <c r="AZ517" s="505"/>
      <c r="BA517" s="505"/>
      <c r="BB517" s="505"/>
      <c r="BC517" s="505"/>
      <c r="BD517" s="506"/>
      <c r="BE517" s="506"/>
      <c r="BF517" s="506"/>
      <c r="BG517" s="506"/>
      <c r="BH517" s="499"/>
    </row>
    <row r="518" spans="1:60" s="49" customFormat="1" hidden="1" outlineLevel="1" x14ac:dyDescent="0.25">
      <c r="A518" s="226" t="s">
        <v>850</v>
      </c>
      <c r="B518" s="514"/>
      <c r="C518" s="492"/>
      <c r="D518" s="492"/>
      <c r="E518" s="492"/>
      <c r="F518" s="492"/>
      <c r="G518" s="491"/>
      <c r="H518" s="491"/>
      <c r="I518" s="491"/>
      <c r="J518" s="491"/>
      <c r="K518" s="492"/>
      <c r="L518" s="491"/>
      <c r="M518" s="491"/>
      <c r="N518" s="491"/>
      <c r="O518" s="491"/>
      <c r="P518" s="492"/>
      <c r="Q518" s="491"/>
      <c r="R518" s="491"/>
      <c r="S518" s="491"/>
      <c r="T518" s="491"/>
      <c r="U518" s="492"/>
      <c r="V518" s="491"/>
      <c r="W518" s="491"/>
      <c r="X518" s="491"/>
      <c r="Y518" s="491"/>
      <c r="Z518" s="492">
        <v>-10</v>
      </c>
      <c r="AA518" s="491"/>
      <c r="AB518" s="491"/>
      <c r="AC518" s="491"/>
      <c r="AD518" s="491"/>
      <c r="AE518" s="492">
        <v>15</v>
      </c>
      <c r="AF518" s="491">
        <v>7</v>
      </c>
      <c r="AG518" s="491">
        <v>-16</v>
      </c>
      <c r="AH518" s="491">
        <v>7</v>
      </c>
      <c r="AI518" s="491">
        <v>-6</v>
      </c>
      <c r="AJ518" s="492">
        <v>-8</v>
      </c>
      <c r="AK518" s="491">
        <f>+AL518-5</f>
        <v>0</v>
      </c>
      <c r="AL518" s="491">
        <v>5</v>
      </c>
      <c r="AM518" s="491">
        <v>-16</v>
      </c>
      <c r="AN518" s="491">
        <f>AO518-AM518-AL518-AK518</f>
        <v>-8</v>
      </c>
      <c r="AO518" s="492">
        <v>-19</v>
      </c>
      <c r="AP518" s="491">
        <v>0</v>
      </c>
      <c r="AQ518" s="491">
        <v>-10</v>
      </c>
      <c r="AR518" s="491">
        <v>2</v>
      </c>
      <c r="AS518" s="491">
        <v>11</v>
      </c>
      <c r="AT518" s="492">
        <f>SUM(AP518,AQ518,AR518,AS518)</f>
        <v>3</v>
      </c>
      <c r="AU518" s="491"/>
      <c r="AV518" s="491"/>
      <c r="AW518" s="692"/>
      <c r="AX518" s="491"/>
      <c r="AY518" s="492"/>
      <c r="AZ518" s="491"/>
      <c r="BA518" s="491"/>
      <c r="BB518" s="491"/>
      <c r="BC518" s="491"/>
      <c r="BD518" s="492"/>
      <c r="BE518" s="492"/>
      <c r="BF518" s="492"/>
      <c r="BG518" s="492"/>
      <c r="BH518" s="484"/>
    </row>
    <row r="519" spans="1:60" s="49" customFormat="1" hidden="1" outlineLevel="1" x14ac:dyDescent="0.25">
      <c r="A519" s="226" t="s">
        <v>851</v>
      </c>
      <c r="B519" s="514"/>
      <c r="C519" s="492"/>
      <c r="D519" s="492"/>
      <c r="E519" s="492"/>
      <c r="F519" s="492"/>
      <c r="G519" s="491"/>
      <c r="H519" s="491"/>
      <c r="I519" s="491"/>
      <c r="J519" s="491"/>
      <c r="K519" s="492"/>
      <c r="L519" s="491"/>
      <c r="M519" s="491"/>
      <c r="N519" s="491"/>
      <c r="O519" s="491"/>
      <c r="P519" s="492"/>
      <c r="Q519" s="491"/>
      <c r="R519" s="491"/>
      <c r="S519" s="491"/>
      <c r="T519" s="491"/>
      <c r="U519" s="492"/>
      <c r="V519" s="491"/>
      <c r="W519" s="491"/>
      <c r="X519" s="491"/>
      <c r="Y519" s="491"/>
      <c r="Z519" s="492"/>
      <c r="AA519" s="491"/>
      <c r="AB519" s="491"/>
      <c r="AC519" s="491"/>
      <c r="AD519" s="491"/>
      <c r="AE519" s="492"/>
      <c r="AF519" s="491"/>
      <c r="AG519" s="491"/>
      <c r="AH519" s="491"/>
      <c r="AI519" s="491"/>
      <c r="AJ519" s="492"/>
      <c r="AK519" s="491">
        <f>-AL519-44</f>
        <v>2</v>
      </c>
      <c r="AL519" s="491">
        <v>-46</v>
      </c>
      <c r="AM519" s="491">
        <v>-35</v>
      </c>
      <c r="AN519" s="491">
        <f>AO519+79</f>
        <v>-1</v>
      </c>
      <c r="AO519" s="492">
        <v>-80</v>
      </c>
      <c r="AP519" s="491">
        <v>-116</v>
      </c>
      <c r="AQ519" s="491">
        <v>-157</v>
      </c>
      <c r="AR519" s="491">
        <v>27</v>
      </c>
      <c r="AS519" s="491">
        <v>88</v>
      </c>
      <c r="AT519" s="492">
        <f>SUM(AP519,AQ519,AR519,AS519)</f>
        <v>-158</v>
      </c>
      <c r="AU519" s="491"/>
      <c r="AV519" s="491"/>
      <c r="AW519" s="692"/>
      <c r="AX519" s="491"/>
      <c r="AY519" s="492"/>
      <c r="AZ519" s="491"/>
      <c r="BA519" s="491"/>
      <c r="BB519" s="491"/>
      <c r="BC519" s="491"/>
      <c r="BD519" s="492"/>
      <c r="BE519" s="492"/>
      <c r="BF519" s="492"/>
      <c r="BG519" s="492"/>
      <c r="BH519" s="484"/>
    </row>
    <row r="520" spans="1:60" s="49" customFormat="1" hidden="1" outlineLevel="1" x14ac:dyDescent="0.25">
      <c r="A520" s="538" t="s">
        <v>852</v>
      </c>
      <c r="B520" s="573"/>
      <c r="C520" s="322"/>
      <c r="D520" s="322"/>
      <c r="E520" s="322"/>
      <c r="F520" s="322"/>
      <c r="G520" s="321"/>
      <c r="H520" s="321"/>
      <c r="I520" s="321"/>
      <c r="J520" s="321"/>
      <c r="K520" s="322"/>
      <c r="L520" s="321"/>
      <c r="M520" s="321"/>
      <c r="N520" s="321"/>
      <c r="O520" s="321"/>
      <c r="P520" s="322"/>
      <c r="Q520" s="321"/>
      <c r="R520" s="321"/>
      <c r="S520" s="321"/>
      <c r="T520" s="321"/>
      <c r="U520" s="322"/>
      <c r="V520" s="321"/>
      <c r="W520" s="321"/>
      <c r="X520" s="321"/>
      <c r="Y520" s="321"/>
      <c r="Z520" s="322"/>
      <c r="AA520" s="321"/>
      <c r="AB520" s="321"/>
      <c r="AC520" s="321"/>
      <c r="AD520" s="321"/>
      <c r="AE520" s="322">
        <v>-2</v>
      </c>
      <c r="AF520" s="321">
        <v>-1</v>
      </c>
      <c r="AG520" s="321"/>
      <c r="AH520" s="321">
        <v>-1</v>
      </c>
      <c r="AI520" s="321">
        <v>0</v>
      </c>
      <c r="AJ520" s="322">
        <v>-2</v>
      </c>
      <c r="AK520" s="321">
        <f>-2-AL520</f>
        <v>-2</v>
      </c>
      <c r="AL520" s="321">
        <v>0</v>
      </c>
      <c r="AM520" s="321">
        <v>-82</v>
      </c>
      <c r="AN520" s="321">
        <f>AO520+84</f>
        <v>-58</v>
      </c>
      <c r="AO520" s="322">
        <v>-142</v>
      </c>
      <c r="AP520" s="321">
        <v>-105</v>
      </c>
      <c r="AQ520" s="321">
        <v>-85</v>
      </c>
      <c r="AR520" s="321">
        <v>-85</v>
      </c>
      <c r="AS520" s="321">
        <v>-98</v>
      </c>
      <c r="AT520" s="322">
        <f>SUM(AP520,AQ520,AR520,AS520)</f>
        <v>-373</v>
      </c>
      <c r="AU520" s="321"/>
      <c r="AV520" s="321"/>
      <c r="AW520" s="693"/>
      <c r="AX520" s="321"/>
      <c r="AY520" s="322"/>
      <c r="AZ520" s="321"/>
      <c r="BA520" s="321"/>
      <c r="BB520" s="321"/>
      <c r="BC520" s="321"/>
      <c r="BD520" s="322"/>
      <c r="BE520" s="322"/>
      <c r="BF520" s="322"/>
      <c r="BG520" s="322"/>
      <c r="BH520" s="484"/>
    </row>
    <row r="521" spans="1:60" s="52" customFormat="1" hidden="1" outlineLevel="1" x14ac:dyDescent="0.25">
      <c r="A521" s="501" t="s">
        <v>853</v>
      </c>
      <c r="B521" s="264"/>
      <c r="C521" s="506"/>
      <c r="D521" s="506"/>
      <c r="E521" s="506"/>
      <c r="F521" s="506"/>
      <c r="G521" s="505"/>
      <c r="H521" s="505"/>
      <c r="I521" s="505"/>
      <c r="J521" s="505"/>
      <c r="K521" s="506"/>
      <c r="L521" s="505"/>
      <c r="M521" s="505"/>
      <c r="N521" s="505"/>
      <c r="O521" s="505"/>
      <c r="P521" s="506"/>
      <c r="Q521" s="505"/>
      <c r="R521" s="505"/>
      <c r="S521" s="505"/>
      <c r="T521" s="505"/>
      <c r="U521" s="506"/>
      <c r="V521" s="505"/>
      <c r="W521" s="505"/>
      <c r="X521" s="505"/>
      <c r="Y521" s="505"/>
      <c r="Z521" s="502">
        <f>SUM(Z518:Z520)</f>
        <v>-10</v>
      </c>
      <c r="AA521" s="505"/>
      <c r="AB521" s="505"/>
      <c r="AC521" s="505"/>
      <c r="AD521" s="505"/>
      <c r="AE521" s="502">
        <f>SUM(AE518:AE520)</f>
        <v>13</v>
      </c>
      <c r="AF521" s="503">
        <v>6</v>
      </c>
      <c r="AG521" s="504">
        <f>SUM(AG518:AG520)</f>
        <v>-16</v>
      </c>
      <c r="AH521" s="503">
        <v>6</v>
      </c>
      <c r="AI521" s="503">
        <v>-6</v>
      </c>
      <c r="AJ521" s="502">
        <f t="shared" ref="AJ521:AQ521" si="628">SUM(AJ518:AJ520)</f>
        <v>-10</v>
      </c>
      <c r="AK521" s="503">
        <f t="shared" si="628"/>
        <v>0</v>
      </c>
      <c r="AL521" s="504">
        <f t="shared" si="628"/>
        <v>-41</v>
      </c>
      <c r="AM521" s="503">
        <f t="shared" si="628"/>
        <v>-133</v>
      </c>
      <c r="AN521" s="503">
        <f t="shared" si="628"/>
        <v>-67</v>
      </c>
      <c r="AO521" s="502">
        <f t="shared" si="628"/>
        <v>-241</v>
      </c>
      <c r="AP521" s="503">
        <f t="shared" si="628"/>
        <v>-221</v>
      </c>
      <c r="AQ521" s="504">
        <f t="shared" si="628"/>
        <v>-252</v>
      </c>
      <c r="AR521" s="503">
        <f>SUM(AR518:AR520)</f>
        <v>-56</v>
      </c>
      <c r="AS521" s="503">
        <f t="shared" ref="AS521:AT521" si="629">SUM(AS518:AS520)</f>
        <v>1</v>
      </c>
      <c r="AT521" s="502">
        <f t="shared" si="629"/>
        <v>-528</v>
      </c>
      <c r="AU521" s="505"/>
      <c r="AV521" s="505"/>
      <c r="AW521" s="694"/>
      <c r="AX521" s="505"/>
      <c r="AY521" s="506"/>
      <c r="AZ521" s="505"/>
      <c r="BA521" s="505"/>
      <c r="BB521" s="505"/>
      <c r="BC521" s="505"/>
      <c r="BD521" s="506"/>
      <c r="BE521" s="506"/>
      <c r="BF521" s="506"/>
      <c r="BG521" s="506"/>
      <c r="BH521" s="499"/>
    </row>
    <row r="522" spans="1:60" s="52" customFormat="1" collapsed="1" x14ac:dyDescent="0.25">
      <c r="A522" s="635"/>
      <c r="B522" s="264"/>
      <c r="C522" s="506"/>
      <c r="D522" s="506"/>
      <c r="E522" s="506"/>
      <c r="F522" s="506"/>
      <c r="G522" s="505"/>
      <c r="H522" s="505"/>
      <c r="I522" s="505"/>
      <c r="J522" s="505"/>
      <c r="K522" s="506"/>
      <c r="L522" s="505"/>
      <c r="M522" s="505"/>
      <c r="N522" s="505"/>
      <c r="O522" s="505"/>
      <c r="P522" s="506"/>
      <c r="Q522" s="505"/>
      <c r="R522" s="505"/>
      <c r="S522" s="505"/>
      <c r="T522" s="505"/>
      <c r="U522" s="506"/>
      <c r="V522" s="505"/>
      <c r="W522" s="505"/>
      <c r="X522" s="505"/>
      <c r="Y522" s="505"/>
      <c r="Z522" s="506"/>
      <c r="AA522" s="505"/>
      <c r="AB522" s="505"/>
      <c r="AC522" s="505"/>
      <c r="AD522" s="505"/>
      <c r="AE522" s="506"/>
      <c r="AF522" s="505"/>
      <c r="AG522" s="505"/>
      <c r="AH522" s="505"/>
      <c r="AI522" s="505"/>
      <c r="AJ522" s="506"/>
      <c r="AK522" s="505"/>
      <c r="AL522" s="505"/>
      <c r="AM522" s="505"/>
      <c r="AN522" s="505"/>
      <c r="AO522" s="506"/>
      <c r="AP522" s="505"/>
      <c r="AQ522" s="505"/>
      <c r="AR522" s="505"/>
      <c r="AS522" s="505"/>
      <c r="AT522" s="506"/>
      <c r="AU522" s="505"/>
      <c r="AV522" s="505"/>
      <c r="AW522" s="694"/>
      <c r="AX522" s="505"/>
      <c r="AY522" s="506"/>
      <c r="AZ522" s="505"/>
      <c r="BA522" s="505"/>
      <c r="BB522" s="505"/>
      <c r="BC522" s="505"/>
      <c r="BD522" s="506"/>
      <c r="BE522" s="506"/>
      <c r="BF522" s="506"/>
      <c r="BG522" s="506"/>
      <c r="BH522" s="499"/>
    </row>
    <row r="523" spans="1:60" s="19" customFormat="1" x14ac:dyDescent="0.25">
      <c r="A523" s="956" t="s">
        <v>867</v>
      </c>
      <c r="B523" s="956"/>
      <c r="C523" s="986"/>
      <c r="D523" s="986"/>
      <c r="E523" s="986"/>
      <c r="F523" s="986"/>
      <c r="G523" s="986"/>
      <c r="H523" s="986"/>
      <c r="I523" s="986"/>
      <c r="J523" s="986"/>
      <c r="K523" s="986"/>
      <c r="L523" s="986"/>
      <c r="M523" s="986"/>
      <c r="N523" s="986"/>
      <c r="O523" s="986"/>
      <c r="P523" s="986"/>
      <c r="Q523" s="986"/>
      <c r="R523" s="986"/>
      <c r="S523" s="986"/>
      <c r="T523" s="986"/>
      <c r="U523" s="986"/>
      <c r="V523" s="986"/>
      <c r="W523" s="986"/>
      <c r="X523" s="986"/>
      <c r="Y523" s="986"/>
      <c r="Z523" s="986"/>
      <c r="AA523" s="986"/>
      <c r="AB523" s="986"/>
      <c r="AC523" s="986"/>
      <c r="AD523" s="986"/>
      <c r="AE523" s="986"/>
      <c r="AF523" s="986"/>
      <c r="AG523" s="986"/>
      <c r="AH523" s="986"/>
      <c r="AI523" s="986"/>
      <c r="AJ523" s="986"/>
      <c r="AK523" s="986"/>
      <c r="AL523" s="986"/>
      <c r="AM523" s="986"/>
      <c r="AN523" s="986"/>
      <c r="AO523" s="986"/>
      <c r="AP523" s="988" t="s">
        <v>701</v>
      </c>
      <c r="AQ523" s="988" t="s">
        <v>701</v>
      </c>
      <c r="AR523" s="988"/>
      <c r="AS523" s="988"/>
      <c r="AT523" s="988"/>
      <c r="AU523" s="988"/>
      <c r="AV523" s="988"/>
      <c r="AW523" s="989"/>
      <c r="AX523" s="986"/>
      <c r="AY523" s="986"/>
      <c r="AZ523" s="986"/>
      <c r="BA523" s="986"/>
      <c r="BB523" s="986"/>
      <c r="BC523" s="986"/>
      <c r="BD523" s="986"/>
      <c r="BE523" s="986"/>
      <c r="BF523" s="986"/>
      <c r="BG523" s="986"/>
      <c r="BH523" s="730"/>
    </row>
    <row r="524" spans="1:60" s="52" customFormat="1" hidden="1" outlineLevel="1" x14ac:dyDescent="0.25">
      <c r="A524" s="500" t="s">
        <v>108</v>
      </c>
      <c r="B524" s="775"/>
      <c r="C524" s="106"/>
      <c r="D524" s="106"/>
      <c r="E524" s="106"/>
      <c r="F524" s="106"/>
      <c r="G524" s="105"/>
      <c r="H524" s="105"/>
      <c r="I524" s="105"/>
      <c r="J524" s="105"/>
      <c r="K524" s="106"/>
      <c r="L524" s="105"/>
      <c r="M524" s="105"/>
      <c r="N524" s="105"/>
      <c r="O524" s="105"/>
      <c r="P524" s="106"/>
      <c r="Q524" s="105"/>
      <c r="R524" s="105"/>
      <c r="S524" s="105"/>
      <c r="T524" s="105"/>
      <c r="U524" s="106"/>
      <c r="V524" s="105"/>
      <c r="W524" s="105"/>
      <c r="X524" s="105"/>
      <c r="Y524" s="105"/>
      <c r="Z524" s="53">
        <f>Z521+Z435+Z397+Z312+Z256+Z569</f>
        <v>15721</v>
      </c>
      <c r="AA524" s="105"/>
      <c r="AB524" s="105"/>
      <c r="AC524" s="105"/>
      <c r="AD524" s="105"/>
      <c r="AE524" s="53">
        <f t="shared" ref="AE524:AM524" si="630">AE521+AE435+AE397+AE312+AE256+AE569</f>
        <v>14775</v>
      </c>
      <c r="AF524" s="61">
        <f t="shared" si="630"/>
        <v>3986</v>
      </c>
      <c r="AG524" s="192">
        <f t="shared" si="630"/>
        <v>4237</v>
      </c>
      <c r="AH524" s="61">
        <f t="shared" si="630"/>
        <v>4189</v>
      </c>
      <c r="AI524" s="61">
        <f t="shared" si="630"/>
        <v>3277</v>
      </c>
      <c r="AJ524" s="53">
        <f t="shared" si="630"/>
        <v>15689</v>
      </c>
      <c r="AK524" s="61">
        <f t="shared" si="630"/>
        <v>3655</v>
      </c>
      <c r="AL524" s="192">
        <f t="shared" si="630"/>
        <v>3816</v>
      </c>
      <c r="AM524" s="61">
        <f t="shared" si="630"/>
        <v>3961</v>
      </c>
      <c r="AN524" s="61">
        <f>AO524-11432</f>
        <v>3436</v>
      </c>
      <c r="AO524" s="53">
        <f t="shared" ref="AO524:AT524" si="631">AO521+AO435+AO397+AO312+AO256+AO569</f>
        <v>14868</v>
      </c>
      <c r="AP524" s="61">
        <f t="shared" si="631"/>
        <v>4002</v>
      </c>
      <c r="AQ524" s="192">
        <f t="shared" si="631"/>
        <v>2416</v>
      </c>
      <c r="AR524" s="61">
        <f t="shared" si="631"/>
        <v>1099</v>
      </c>
      <c r="AS524" s="61">
        <f t="shared" si="631"/>
        <v>606</v>
      </c>
      <c r="AT524" s="53">
        <f t="shared" si="631"/>
        <v>8108</v>
      </c>
      <c r="AU524" s="61">
        <f t="shared" ref="AU524:BG524" si="632">AU210+AU146</f>
        <v>1332</v>
      </c>
      <c r="AV524" s="192">
        <f t="shared" si="632"/>
        <v>2465</v>
      </c>
      <c r="AW524" s="872">
        <f t="shared" si="632"/>
        <v>2382</v>
      </c>
      <c r="AX524" s="61">
        <f t="shared" si="632"/>
        <v>2956.0012603250007</v>
      </c>
      <c r="AY524" s="53">
        <f t="shared" si="632"/>
        <v>9135.0012603249888</v>
      </c>
      <c r="AZ524" s="61">
        <f t="shared" si="632"/>
        <v>4558.3030000000008</v>
      </c>
      <c r="BA524" s="61">
        <f t="shared" si="632"/>
        <v>3333.3619999999992</v>
      </c>
      <c r="BB524" s="61">
        <f t="shared" si="632"/>
        <v>4048.577400000001</v>
      </c>
      <c r="BC524" s="61">
        <f t="shared" si="632"/>
        <v>4373.9656650000006</v>
      </c>
      <c r="BD524" s="53">
        <f t="shared" si="632"/>
        <v>16314.208065000003</v>
      </c>
      <c r="BE524" s="53">
        <f t="shared" si="632"/>
        <v>20283.55255346376</v>
      </c>
      <c r="BF524" s="53">
        <f t="shared" si="632"/>
        <v>21544.432501000854</v>
      </c>
      <c r="BG524" s="53">
        <f t="shared" si="632"/>
        <v>22614.351194090443</v>
      </c>
      <c r="BH524" s="499"/>
    </row>
    <row r="525" spans="1:60" s="224" customFormat="1" hidden="1" outlineLevel="1" x14ac:dyDescent="0.25">
      <c r="A525" s="534" t="s">
        <v>109</v>
      </c>
      <c r="B525" s="234"/>
      <c r="C525" s="228"/>
      <c r="D525" s="228"/>
      <c r="E525" s="228"/>
      <c r="F525" s="228"/>
      <c r="G525" s="226"/>
      <c r="H525" s="226"/>
      <c r="I525" s="226"/>
      <c r="J525" s="226"/>
      <c r="K525" s="228"/>
      <c r="L525" s="226"/>
      <c r="M525" s="226"/>
      <c r="N525" s="226"/>
      <c r="O525" s="226"/>
      <c r="P525" s="228"/>
      <c r="Q525" s="226"/>
      <c r="R525" s="226"/>
      <c r="S525" s="226"/>
      <c r="T525" s="226"/>
      <c r="U525" s="228"/>
      <c r="V525" s="226"/>
      <c r="W525" s="226"/>
      <c r="X525" s="226"/>
      <c r="Y525" s="226"/>
      <c r="Z525" s="228"/>
      <c r="AA525" s="226"/>
      <c r="AB525" s="226"/>
      <c r="AC525" s="226"/>
      <c r="AD525" s="226"/>
      <c r="AE525" s="228"/>
      <c r="AF525" s="226">
        <f>AF527-AF526</f>
        <v>-105</v>
      </c>
      <c r="AG525" s="226">
        <f>AG527-AG526</f>
        <v>-148</v>
      </c>
      <c r="AH525" s="226">
        <f>AH527-AH526</f>
        <v>-145</v>
      </c>
      <c r="AI525" s="226">
        <f>AJ525-AH525-AG525-AF525</f>
        <v>-165</v>
      </c>
      <c r="AJ525" s="228">
        <f>AJ527-AJ526</f>
        <v>-563</v>
      </c>
      <c r="AK525" s="226">
        <f>AK527-AK526</f>
        <v>-122</v>
      </c>
      <c r="AL525" s="226">
        <f>AL527-AL526</f>
        <v>-237</v>
      </c>
      <c r="AM525" s="226">
        <f>AM527-AM526</f>
        <v>-195</v>
      </c>
      <c r="AN525" s="226">
        <f>AO525-AM525-AL525-AK525</f>
        <v>-266</v>
      </c>
      <c r="AO525" s="225">
        <f>AO527-AO526</f>
        <v>-820</v>
      </c>
      <c r="AP525" s="226">
        <f>AP527-AP526</f>
        <v>-206</v>
      </c>
      <c r="AQ525" s="226">
        <f>AQ527-AQ526</f>
        <v>-142</v>
      </c>
      <c r="AR525" s="226">
        <f>AR527-AR526</f>
        <v>-127</v>
      </c>
      <c r="AS525" s="226">
        <f>AT525-SUM(AP525,AQ525,AR525)</f>
        <v>-168</v>
      </c>
      <c r="AT525" s="225">
        <f t="shared" ref="AT525" si="633">AT527-AT526</f>
        <v>-643</v>
      </c>
      <c r="AU525" s="226">
        <f t="shared" ref="AU525:AV525" si="634">AU527-AU526</f>
        <v>-186</v>
      </c>
      <c r="AV525" s="226">
        <f t="shared" si="634"/>
        <v>-155</v>
      </c>
      <c r="AW525" s="698">
        <f t="shared" ref="AW525" si="635">AW527-AW526</f>
        <v>-165</v>
      </c>
      <c r="AX525" s="454">
        <v>-200</v>
      </c>
      <c r="AY525" s="228">
        <f>SUM(AU525,AV525,AW525,AX525)</f>
        <v>-706</v>
      </c>
      <c r="AZ525" s="454">
        <v>-200</v>
      </c>
      <c r="BA525" s="454">
        <v>-200</v>
      </c>
      <c r="BB525" s="454">
        <v>-200</v>
      </c>
      <c r="BC525" s="454">
        <v>-200</v>
      </c>
      <c r="BD525" s="228">
        <f>SUM(AZ525,BA525,BB525,BC525)</f>
        <v>-800</v>
      </c>
      <c r="BE525" s="456">
        <v>-800</v>
      </c>
      <c r="BF525" s="456">
        <v>-800</v>
      </c>
      <c r="BG525" s="456">
        <v>-800</v>
      </c>
      <c r="BH525" s="483"/>
    </row>
    <row r="526" spans="1:60" s="224" customFormat="1" hidden="1" outlineLevel="1" x14ac:dyDescent="0.25">
      <c r="A526" s="535" t="s">
        <v>110</v>
      </c>
      <c r="B526" s="536"/>
      <c r="C526" s="537"/>
      <c r="D526" s="537"/>
      <c r="E526" s="537"/>
      <c r="F526" s="537"/>
      <c r="G526" s="538"/>
      <c r="H526" s="538"/>
      <c r="I526" s="538"/>
      <c r="J526" s="538"/>
      <c r="K526" s="537"/>
      <c r="L526" s="538"/>
      <c r="M526" s="538"/>
      <c r="N526" s="538"/>
      <c r="O526" s="538"/>
      <c r="P526" s="537"/>
      <c r="Q526" s="538"/>
      <c r="R526" s="538"/>
      <c r="S526" s="538"/>
      <c r="T526" s="538"/>
      <c r="U526" s="537"/>
      <c r="V526" s="538"/>
      <c r="W526" s="538"/>
      <c r="X526" s="538"/>
      <c r="Y526" s="538"/>
      <c r="Z526" s="537"/>
      <c r="AA526" s="538"/>
      <c r="AB526" s="538"/>
      <c r="AC526" s="538"/>
      <c r="AD526" s="538"/>
      <c r="AE526" s="537"/>
      <c r="AF526" s="538">
        <v>-45</v>
      </c>
      <c r="AG526" s="538">
        <v>-46</v>
      </c>
      <c r="AH526" s="538">
        <v>-47</v>
      </c>
      <c r="AI526" s="538">
        <f>AJ526-AH526-AG526-AF526</f>
        <v>-43</v>
      </c>
      <c r="AJ526" s="537">
        <v>-181</v>
      </c>
      <c r="AK526" s="538">
        <v>-39</v>
      </c>
      <c r="AL526" s="538">
        <v>-42</v>
      </c>
      <c r="AM526" s="538">
        <v>-43</v>
      </c>
      <c r="AN526" s="538">
        <f>AO526-AM526-AL526-AK526</f>
        <v>-43</v>
      </c>
      <c r="AO526" s="943">
        <v>-167</v>
      </c>
      <c r="AP526" s="538">
        <v>-31</v>
      </c>
      <c r="AQ526" s="538">
        <v>-46</v>
      </c>
      <c r="AR526" s="538">
        <v>-52</v>
      </c>
      <c r="AS526" s="538">
        <f>AT526-SUM(AP526,AQ526,AR526)</f>
        <v>-45</v>
      </c>
      <c r="AT526" s="943">
        <v>-174</v>
      </c>
      <c r="AU526" s="538">
        <v>-46</v>
      </c>
      <c r="AV526" s="538">
        <v>-46</v>
      </c>
      <c r="AW526" s="948">
        <v>-47</v>
      </c>
      <c r="AX526" s="455">
        <v>-50</v>
      </c>
      <c r="AY526" s="537">
        <f>SUM(AU526,AV526,AW526,AX526)</f>
        <v>-189</v>
      </c>
      <c r="AZ526" s="455">
        <v>-50</v>
      </c>
      <c r="BA526" s="455">
        <v>-50</v>
      </c>
      <c r="BB526" s="455">
        <v>-50</v>
      </c>
      <c r="BC526" s="455">
        <v>-50</v>
      </c>
      <c r="BD526" s="537">
        <f>SUM(AZ526,BA526,BB526,BC526)</f>
        <v>-200</v>
      </c>
      <c r="BE526" s="457">
        <v>-200</v>
      </c>
      <c r="BF526" s="457">
        <v>-200</v>
      </c>
      <c r="BG526" s="457">
        <v>-200</v>
      </c>
      <c r="BH526" s="483"/>
    </row>
    <row r="527" spans="1:60" s="49" customFormat="1" hidden="1" outlineLevel="1" x14ac:dyDescent="0.25">
      <c r="A527" s="483" t="s">
        <v>111</v>
      </c>
      <c r="B527" s="209"/>
      <c r="C527" s="104"/>
      <c r="D527" s="104"/>
      <c r="E527" s="104"/>
      <c r="F527" s="104"/>
      <c r="G527" s="113"/>
      <c r="H527" s="113"/>
      <c r="I527" s="113"/>
      <c r="J527" s="113"/>
      <c r="K527" s="104"/>
      <c r="L527" s="113"/>
      <c r="M527" s="113"/>
      <c r="N527" s="113"/>
      <c r="O527" s="113"/>
      <c r="P527" s="104"/>
      <c r="Q527" s="113"/>
      <c r="R527" s="113"/>
      <c r="S527" s="113"/>
      <c r="T527" s="113"/>
      <c r="U527" s="104"/>
      <c r="V527" s="113"/>
      <c r="W527" s="113"/>
      <c r="X527" s="113"/>
      <c r="Y527" s="113"/>
      <c r="Z527" s="39">
        <v>-640</v>
      </c>
      <c r="AA527" s="113"/>
      <c r="AB527" s="113"/>
      <c r="AC527" s="113"/>
      <c r="AD527" s="113"/>
      <c r="AE527" s="39">
        <v>-582</v>
      </c>
      <c r="AF527" s="484">
        <v>-150</v>
      </c>
      <c r="AG527" s="191">
        <v>-194</v>
      </c>
      <c r="AH527" s="484">
        <v>-192</v>
      </c>
      <c r="AI527" s="484">
        <v>-208</v>
      </c>
      <c r="AJ527" s="39">
        <v>-744</v>
      </c>
      <c r="AK527" s="484">
        <v>-161</v>
      </c>
      <c r="AL527" s="191">
        <v>-279</v>
      </c>
      <c r="AM527" s="484">
        <v>-238</v>
      </c>
      <c r="AN527" s="484">
        <v>-309</v>
      </c>
      <c r="AO527" s="39">
        <v>-987</v>
      </c>
      <c r="AP527" s="484">
        <v>-237</v>
      </c>
      <c r="AQ527" s="191">
        <v>-188</v>
      </c>
      <c r="AR527" s="484">
        <v>-179</v>
      </c>
      <c r="AS527" s="484">
        <v>-213</v>
      </c>
      <c r="AT527" s="39">
        <v>-817</v>
      </c>
      <c r="AU527" s="484">
        <v>-232</v>
      </c>
      <c r="AV527" s="191">
        <v>-201</v>
      </c>
      <c r="AW527" s="289">
        <v>-212</v>
      </c>
      <c r="AX527" s="484">
        <f>SUM(AX525:AX526)</f>
        <v>-250</v>
      </c>
      <c r="AY527" s="39">
        <f>SUM(AY525:AY526)</f>
        <v>-895</v>
      </c>
      <c r="AZ527" s="484">
        <f t="shared" ref="AZ527:BG527" si="636">SUM(AZ525:AZ526)</f>
        <v>-250</v>
      </c>
      <c r="BA527" s="484">
        <f t="shared" si="636"/>
        <v>-250</v>
      </c>
      <c r="BB527" s="484">
        <f t="shared" si="636"/>
        <v>-250</v>
      </c>
      <c r="BC527" s="484">
        <f t="shared" si="636"/>
        <v>-250</v>
      </c>
      <c r="BD527" s="39">
        <f t="shared" si="636"/>
        <v>-1000</v>
      </c>
      <c r="BE527" s="39">
        <f t="shared" si="636"/>
        <v>-1000</v>
      </c>
      <c r="BF527" s="39">
        <f t="shared" si="636"/>
        <v>-1000</v>
      </c>
      <c r="BG527" s="39">
        <f t="shared" si="636"/>
        <v>-1000</v>
      </c>
      <c r="BH527" s="484"/>
    </row>
    <row r="528" spans="1:60" s="49" customFormat="1" hidden="1" outlineLevel="1" x14ac:dyDescent="0.25">
      <c r="A528" s="483" t="s">
        <v>112</v>
      </c>
      <c r="B528" s="209"/>
      <c r="C528" s="104"/>
      <c r="D528" s="104"/>
      <c r="E528" s="104"/>
      <c r="F528" s="104"/>
      <c r="G528" s="113"/>
      <c r="H528" s="113"/>
      <c r="I528" s="113"/>
      <c r="J528" s="113"/>
      <c r="K528" s="104"/>
      <c r="L528" s="113"/>
      <c r="M528" s="113"/>
      <c r="N528" s="113"/>
      <c r="O528" s="113"/>
      <c r="P528" s="104"/>
      <c r="Q528" s="113"/>
      <c r="R528" s="113"/>
      <c r="S528" s="113"/>
      <c r="T528" s="113"/>
      <c r="U528" s="104"/>
      <c r="V528" s="113"/>
      <c r="W528" s="113"/>
      <c r="X528" s="113"/>
      <c r="Y528" s="113"/>
      <c r="Z528" s="39">
        <v>-156</v>
      </c>
      <c r="AA528" s="113"/>
      <c r="AB528" s="113"/>
      <c r="AC528" s="113"/>
      <c r="AD528" s="113"/>
      <c r="AE528" s="39">
        <v>-98</v>
      </c>
      <c r="AF528" s="484">
        <v>-15</v>
      </c>
      <c r="AG528" s="191">
        <v>-13</v>
      </c>
      <c r="AH528" s="113"/>
      <c r="AI528" s="484">
        <v>-5</v>
      </c>
      <c r="AJ528" s="39">
        <v>-33</v>
      </c>
      <c r="AK528" s="113"/>
      <c r="AL528" s="191">
        <v>-662</v>
      </c>
      <c r="AM528" s="484">
        <v>-207</v>
      </c>
      <c r="AN528" s="484">
        <v>-314</v>
      </c>
      <c r="AO528" s="39">
        <v>-1183</v>
      </c>
      <c r="AP528" s="484">
        <v>-150</v>
      </c>
      <c r="AQ528" s="191">
        <v>-145</v>
      </c>
      <c r="AR528" s="484">
        <v>-5047</v>
      </c>
      <c r="AS528" s="484">
        <v>-393</v>
      </c>
      <c r="AT528" s="39">
        <v>-5735</v>
      </c>
      <c r="AU528" s="484">
        <v>-113</v>
      </c>
      <c r="AV528" s="191">
        <v>-414</v>
      </c>
      <c r="AW528" s="289">
        <v>-35</v>
      </c>
      <c r="AX528" s="69">
        <v>-145</v>
      </c>
      <c r="AY528" s="39">
        <f>SUM(AU528,AV528,AW528,AX528)</f>
        <v>-707</v>
      </c>
      <c r="AZ528" s="484">
        <f>AZ260+AZ316+AZ401+AZ440</f>
        <v>0</v>
      </c>
      <c r="BA528" s="484">
        <f>BA260+BA316+BA401+BA440</f>
        <v>0</v>
      </c>
      <c r="BB528" s="484">
        <f>BB260+BB316+BB401+BB440</f>
        <v>0</v>
      </c>
      <c r="BC528" s="484">
        <f>BC260+BC316+BC401+BC440</f>
        <v>0</v>
      </c>
      <c r="BD528" s="39">
        <f>SUM(AZ528,BA528,BB528,BC528)</f>
        <v>0</v>
      </c>
      <c r="BE528" s="39">
        <f>BE260+BE316+BE401+BE440</f>
        <v>0</v>
      </c>
      <c r="BF528" s="39">
        <f>BF260+BF316+BF401+BF440</f>
        <v>0</v>
      </c>
      <c r="BG528" s="39">
        <f>BG260+BG316+BG401+BG440</f>
        <v>0</v>
      </c>
      <c r="BH528" s="484"/>
    </row>
    <row r="529" spans="1:60" s="49" customFormat="1" hidden="1" outlineLevel="1" x14ac:dyDescent="0.25">
      <c r="A529" s="483" t="s">
        <v>113</v>
      </c>
      <c r="B529" s="209"/>
      <c r="C529" s="104"/>
      <c r="D529" s="104"/>
      <c r="E529" s="104"/>
      <c r="F529" s="104"/>
      <c r="G529" s="113"/>
      <c r="H529" s="113"/>
      <c r="I529" s="113"/>
      <c r="J529" s="113"/>
      <c r="K529" s="104"/>
      <c r="L529" s="113"/>
      <c r="M529" s="113"/>
      <c r="N529" s="113"/>
      <c r="O529" s="113"/>
      <c r="P529" s="104"/>
      <c r="Q529" s="113"/>
      <c r="R529" s="113"/>
      <c r="S529" s="113"/>
      <c r="T529" s="113"/>
      <c r="U529" s="104"/>
      <c r="V529" s="113"/>
      <c r="W529" s="113"/>
      <c r="X529" s="113"/>
      <c r="Y529" s="113"/>
      <c r="Z529" s="104"/>
      <c r="AA529" s="113"/>
      <c r="AB529" s="113"/>
      <c r="AC529" s="113"/>
      <c r="AD529" s="113"/>
      <c r="AE529" s="39">
        <v>78</v>
      </c>
      <c r="AF529" s="484">
        <v>53</v>
      </c>
      <c r="AG529" s="191">
        <v>41</v>
      </c>
      <c r="AH529" s="484">
        <v>0</v>
      </c>
      <c r="AI529" s="484">
        <v>507</v>
      </c>
      <c r="AJ529" s="39">
        <v>601</v>
      </c>
      <c r="AK529" s="113"/>
      <c r="AL529" s="191">
        <v>4963</v>
      </c>
      <c r="AM529" s="484">
        <v>-123</v>
      </c>
      <c r="AN529" s="484">
        <v>-483</v>
      </c>
      <c r="AO529" s="39">
        <v>4357</v>
      </c>
      <c r="AP529" s="113"/>
      <c r="AQ529" s="191">
        <v>0</v>
      </c>
      <c r="AR529" s="484">
        <v>382</v>
      </c>
      <c r="AS529" s="484">
        <v>656</v>
      </c>
      <c r="AT529" s="39">
        <v>1038</v>
      </c>
      <c r="AU529" s="113"/>
      <c r="AV529" s="191">
        <v>305</v>
      </c>
      <c r="AW529" s="289">
        <v>-91</v>
      </c>
      <c r="AX529" s="69">
        <v>-50</v>
      </c>
      <c r="AY529" s="39">
        <f>SUM(AU529,AV529,AW529,AX529)</f>
        <v>164</v>
      </c>
      <c r="AZ529" s="69">
        <v>-50</v>
      </c>
      <c r="BA529" s="69">
        <v>-50</v>
      </c>
      <c r="BB529" s="69">
        <v>-50</v>
      </c>
      <c r="BC529" s="69">
        <v>-50</v>
      </c>
      <c r="BD529" s="39">
        <f>SUM(AZ529,BA529,BB529,BC529)</f>
        <v>-200</v>
      </c>
      <c r="BE529" s="57">
        <v>-200</v>
      </c>
      <c r="BF529" s="57">
        <v>-200</v>
      </c>
      <c r="BG529" s="57">
        <v>-200</v>
      </c>
      <c r="BH529" s="484"/>
    </row>
    <row r="530" spans="1:60" s="49" customFormat="1" hidden="1" outlineLevel="1" x14ac:dyDescent="0.25">
      <c r="A530" s="226" t="s">
        <v>114</v>
      </c>
      <c r="B530" s="209"/>
      <c r="C530" s="104"/>
      <c r="D530" s="104"/>
      <c r="E530" s="104"/>
      <c r="F530" s="104"/>
      <c r="G530" s="113"/>
      <c r="H530" s="113"/>
      <c r="I530" s="113"/>
      <c r="J530" s="113"/>
      <c r="K530" s="104"/>
      <c r="L530" s="113"/>
      <c r="M530" s="113"/>
      <c r="N530" s="113"/>
      <c r="O530" s="113"/>
      <c r="P530" s="104"/>
      <c r="Q530" s="113"/>
      <c r="R530" s="113"/>
      <c r="S530" s="113"/>
      <c r="T530" s="113"/>
      <c r="U530" s="104"/>
      <c r="V530" s="113"/>
      <c r="W530" s="113"/>
      <c r="X530" s="113"/>
      <c r="Y530" s="113"/>
      <c r="Z530" s="104">
        <v>-260</v>
      </c>
      <c r="AA530" s="113"/>
      <c r="AB530" s="113"/>
      <c r="AC530" s="113"/>
      <c r="AD530" s="113"/>
      <c r="AE530" s="104">
        <v>-385</v>
      </c>
      <c r="AF530" s="113">
        <v>-129</v>
      </c>
      <c r="AG530" s="113">
        <v>-143</v>
      </c>
      <c r="AH530" s="113">
        <v>-143</v>
      </c>
      <c r="AI530" s="113">
        <v>-159</v>
      </c>
      <c r="AJ530" s="104">
        <v>-574</v>
      </c>
      <c r="AK530" s="113">
        <v>-63</v>
      </c>
      <c r="AL530" s="113">
        <v>-143</v>
      </c>
      <c r="AM530" s="113">
        <v>-411</v>
      </c>
      <c r="AN530" s="113">
        <v>-361</v>
      </c>
      <c r="AO530" s="104">
        <v>-978</v>
      </c>
      <c r="AP530" s="113">
        <v>-283</v>
      </c>
      <c r="AQ530" s="113">
        <v>-300</v>
      </c>
      <c r="AR530" s="113">
        <v>-412</v>
      </c>
      <c r="AS530" s="113">
        <v>-496</v>
      </c>
      <c r="AT530" s="104">
        <v>-1491</v>
      </c>
      <c r="AU530" s="113">
        <v>-324</v>
      </c>
      <c r="AV530" s="113">
        <v>-320</v>
      </c>
      <c r="AW530" s="699">
        <v>-445</v>
      </c>
      <c r="AX530" s="113">
        <f>-AX836</f>
        <v>-381.6084383561643</v>
      </c>
      <c r="AY530" s="104">
        <f>SUM(AU530,AV530,AW530,AX530)</f>
        <v>-1470.6084383561642</v>
      </c>
      <c r="AZ530" s="113">
        <f ca="1">-AZ836</f>
        <v>-379.16740834251539</v>
      </c>
      <c r="BA530" s="113">
        <f ca="1">-BA836</f>
        <v>-371.65300825819008</v>
      </c>
      <c r="BB530" s="113">
        <f ca="1">-BB836</f>
        <v>-369.10359146116662</v>
      </c>
      <c r="BC530" s="113">
        <f ca="1">-BC836</f>
        <v>-365.98699211227176</v>
      </c>
      <c r="BD530" s="104">
        <f ca="1">SUM(AZ530,BA530,BB530,BC530)</f>
        <v>-1485.9110001741437</v>
      </c>
      <c r="BE530" s="104">
        <f ca="1">-BE836</f>
        <v>-1456.7473932149737</v>
      </c>
      <c r="BF530" s="104">
        <f ca="1">-BF836</f>
        <v>-1363.9720275873988</v>
      </c>
      <c r="BG530" s="104">
        <f ca="1">-BG836</f>
        <v>-1261.2204857386503</v>
      </c>
      <c r="BH530" s="484"/>
    </row>
    <row r="531" spans="1:60" s="470" customFormat="1" hidden="1" outlineLevel="1" x14ac:dyDescent="0.25">
      <c r="A531" s="203" t="s">
        <v>115</v>
      </c>
      <c r="B531" s="209"/>
      <c r="C531" s="104"/>
      <c r="D531" s="104"/>
      <c r="E531" s="104"/>
      <c r="F531" s="104"/>
      <c r="G531" s="113"/>
      <c r="H531" s="113"/>
      <c r="I531" s="113"/>
      <c r="J531" s="113"/>
      <c r="K531" s="104"/>
      <c r="L531" s="113"/>
      <c r="M531" s="113"/>
      <c r="N531" s="113"/>
      <c r="O531" s="113"/>
      <c r="P531" s="104"/>
      <c r="Q531" s="113"/>
      <c r="R531" s="113"/>
      <c r="S531" s="113"/>
      <c r="T531" s="113"/>
      <c r="U531" s="104"/>
      <c r="V531" s="113"/>
      <c r="W531" s="113"/>
      <c r="X531" s="113"/>
      <c r="Y531" s="113"/>
      <c r="Z531" s="104"/>
      <c r="AA531" s="113"/>
      <c r="AB531" s="113"/>
      <c r="AC531" s="113"/>
      <c r="AD531" s="113"/>
      <c r="AE531" s="104"/>
      <c r="AF531" s="113"/>
      <c r="AG531" s="113"/>
      <c r="AH531" s="484">
        <v>0</v>
      </c>
      <c r="AI531" s="113"/>
      <c r="AJ531" s="104"/>
      <c r="AK531" s="113"/>
      <c r="AL531" s="484">
        <v>-105</v>
      </c>
      <c r="AM531" s="484">
        <v>-779</v>
      </c>
      <c r="AN531" s="484">
        <v>-711</v>
      </c>
      <c r="AO531" s="39">
        <v>-1595</v>
      </c>
      <c r="AP531" s="484">
        <v>-700</v>
      </c>
      <c r="AQ531" s="484">
        <v>-723</v>
      </c>
      <c r="AR531" s="484">
        <v>-683</v>
      </c>
      <c r="AS531" s="484">
        <v>-740</v>
      </c>
      <c r="AT531" s="39">
        <v>-2846</v>
      </c>
      <c r="AU531" s="484">
        <v>-617</v>
      </c>
      <c r="AV531" s="484">
        <v>-605</v>
      </c>
      <c r="AW531" s="289">
        <v>-604</v>
      </c>
      <c r="AX531" s="484">
        <f>AX545</f>
        <v>-698</v>
      </c>
      <c r="AY531" s="39">
        <f>SUM(AU531,AV531,AW531,AX531)</f>
        <v>-2524</v>
      </c>
      <c r="AZ531" s="484">
        <f>AZ545</f>
        <v>-698</v>
      </c>
      <c r="BA531" s="484">
        <f>BA545</f>
        <v>-698</v>
      </c>
      <c r="BB531" s="484">
        <f>BB545</f>
        <v>-698</v>
      </c>
      <c r="BC531" s="484">
        <f>BC545</f>
        <v>-698</v>
      </c>
      <c r="BD531" s="39">
        <f>SUM(AZ531,BA531,BB531,BC531)</f>
        <v>-2792</v>
      </c>
      <c r="BE531" s="39">
        <f>BE545</f>
        <v>-2792</v>
      </c>
      <c r="BF531" s="39">
        <f>BF545</f>
        <v>-2792</v>
      </c>
      <c r="BG531" s="39">
        <f>BG545</f>
        <v>-2792</v>
      </c>
      <c r="BH531" s="484"/>
    </row>
    <row r="532" spans="1:60" s="49" customFormat="1" hidden="1" outlineLevel="1" x14ac:dyDescent="0.25">
      <c r="A532" s="483" t="s">
        <v>116</v>
      </c>
      <c r="B532" s="209"/>
      <c r="C532" s="104"/>
      <c r="D532" s="104"/>
      <c r="E532" s="104"/>
      <c r="F532" s="104"/>
      <c r="G532" s="113"/>
      <c r="H532" s="113"/>
      <c r="I532" s="113"/>
      <c r="J532" s="113"/>
      <c r="K532" s="104"/>
      <c r="L532" s="113"/>
      <c r="M532" s="113"/>
      <c r="N532" s="113"/>
      <c r="O532" s="113"/>
      <c r="P532" s="104"/>
      <c r="Q532" s="113"/>
      <c r="R532" s="113"/>
      <c r="S532" s="113"/>
      <c r="T532" s="113"/>
      <c r="U532" s="104"/>
      <c r="V532" s="113"/>
      <c r="W532" s="113"/>
      <c r="X532" s="113"/>
      <c r="Y532" s="113"/>
      <c r="Z532" s="104"/>
      <c r="AA532" s="113"/>
      <c r="AB532" s="113"/>
      <c r="AC532" s="113"/>
      <c r="AD532" s="113"/>
      <c r="AE532" s="104"/>
      <c r="AF532" s="113"/>
      <c r="AG532" s="113"/>
      <c r="AH532" s="484">
        <v>0</v>
      </c>
      <c r="AI532" s="484">
        <v>-210</v>
      </c>
      <c r="AJ532" s="39">
        <v>-210</v>
      </c>
      <c r="AK532" s="113"/>
      <c r="AL532" s="191">
        <v>-353</v>
      </c>
      <c r="AM532" s="484">
        <v>-185</v>
      </c>
      <c r="AN532" s="484">
        <f>AO532+538</f>
        <v>0</v>
      </c>
      <c r="AO532" s="39">
        <v>-538</v>
      </c>
      <c r="AP532" s="113"/>
      <c r="AQ532" s="191">
        <v>0</v>
      </c>
      <c r="AR532" s="484">
        <v>0</v>
      </c>
      <c r="AS532" s="113"/>
      <c r="AT532" s="104"/>
      <c r="AU532" s="113"/>
      <c r="AV532" s="113"/>
      <c r="AW532" s="699"/>
      <c r="AX532" s="113"/>
      <c r="AY532" s="104"/>
      <c r="AZ532" s="113"/>
      <c r="BA532" s="113"/>
      <c r="BB532" s="113"/>
      <c r="BC532" s="113"/>
      <c r="BD532" s="104"/>
      <c r="BE532" s="104"/>
      <c r="BF532" s="104"/>
      <c r="BG532" s="104"/>
      <c r="BH532" s="484"/>
    </row>
    <row r="533" spans="1:60" s="49" customFormat="1" hidden="1" outlineLevel="1" x14ac:dyDescent="0.25">
      <c r="A533" s="483" t="s">
        <v>117</v>
      </c>
      <c r="B533" s="209"/>
      <c r="C533" s="104"/>
      <c r="D533" s="104"/>
      <c r="E533" s="104"/>
      <c r="F533" s="104"/>
      <c r="G533" s="113"/>
      <c r="H533" s="113"/>
      <c r="I533" s="113"/>
      <c r="J533" s="113"/>
      <c r="K533" s="104"/>
      <c r="L533" s="113"/>
      <c r="M533" s="113"/>
      <c r="N533" s="113"/>
      <c r="O533" s="113"/>
      <c r="P533" s="104"/>
      <c r="Q533" s="113"/>
      <c r="R533" s="113"/>
      <c r="S533" s="113"/>
      <c r="T533" s="113"/>
      <c r="U533" s="104"/>
      <c r="V533" s="113"/>
      <c r="W533" s="113"/>
      <c r="X533" s="113"/>
      <c r="Y533" s="113"/>
      <c r="Z533" s="39">
        <v>332</v>
      </c>
      <c r="AA533" s="113"/>
      <c r="AB533" s="113"/>
      <c r="AC533" s="113"/>
      <c r="AD533" s="113"/>
      <c r="AE533" s="104"/>
      <c r="AF533" s="113"/>
      <c r="AG533" s="113"/>
      <c r="AH533" s="113"/>
      <c r="AI533" s="113"/>
      <c r="AJ533" s="104"/>
      <c r="AK533" s="113"/>
      <c r="AL533" s="484">
        <v>0</v>
      </c>
      <c r="AM533" s="113"/>
      <c r="AN533" s="484">
        <f>AO533+0</f>
        <v>0</v>
      </c>
      <c r="AO533" s="39">
        <v>0</v>
      </c>
      <c r="AP533" s="113"/>
      <c r="AQ533" s="113"/>
      <c r="AR533" s="113"/>
      <c r="AS533" s="113"/>
      <c r="AT533" s="104"/>
      <c r="AU533" s="113"/>
      <c r="AV533" s="113"/>
      <c r="AW533" s="699"/>
      <c r="AX533" s="113"/>
      <c r="AY533" s="104"/>
      <c r="AZ533" s="113"/>
      <c r="BA533" s="113"/>
      <c r="BB533" s="113"/>
      <c r="BC533" s="113"/>
      <c r="BD533" s="104"/>
      <c r="BE533" s="104"/>
      <c r="BF533" s="104"/>
      <c r="BG533" s="104"/>
      <c r="BH533" s="484"/>
    </row>
    <row r="534" spans="1:60" s="49" customFormat="1" hidden="1" outlineLevel="1" x14ac:dyDescent="0.25">
      <c r="A534" s="483" t="s">
        <v>118</v>
      </c>
      <c r="B534" s="209"/>
      <c r="C534" s="104"/>
      <c r="D534" s="104"/>
      <c r="E534" s="104"/>
      <c r="F534" s="104"/>
      <c r="G534" s="113"/>
      <c r="H534" s="113"/>
      <c r="I534" s="113"/>
      <c r="J534" s="113"/>
      <c r="K534" s="104"/>
      <c r="L534" s="113"/>
      <c r="M534" s="113"/>
      <c r="N534" s="113"/>
      <c r="O534" s="113"/>
      <c r="P534" s="104"/>
      <c r="Q534" s="113"/>
      <c r="R534" s="113"/>
      <c r="S534" s="113"/>
      <c r="T534" s="113"/>
      <c r="U534" s="104"/>
      <c r="V534" s="113"/>
      <c r="W534" s="113"/>
      <c r="X534" s="113"/>
      <c r="Y534" s="113"/>
      <c r="Z534" s="39">
        <v>-129</v>
      </c>
      <c r="AA534" s="113"/>
      <c r="AB534" s="113"/>
      <c r="AC534" s="113"/>
      <c r="AD534" s="113"/>
      <c r="AE534" s="104"/>
      <c r="AF534" s="113"/>
      <c r="AG534" s="113"/>
      <c r="AH534" s="113"/>
      <c r="AI534" s="113"/>
      <c r="AJ534" s="104"/>
      <c r="AK534" s="113"/>
      <c r="AL534" s="113"/>
      <c r="AM534" s="113"/>
      <c r="AN534" s="113"/>
      <c r="AO534" s="104"/>
      <c r="AP534" s="113"/>
      <c r="AQ534" s="113"/>
      <c r="AR534" s="113"/>
      <c r="AS534" s="113"/>
      <c r="AT534" s="104"/>
      <c r="AU534" s="113"/>
      <c r="AV534" s="113"/>
      <c r="AW534" s="699"/>
      <c r="AX534" s="113"/>
      <c r="AY534" s="104"/>
      <c r="AZ534" s="113"/>
      <c r="BA534" s="113"/>
      <c r="BB534" s="113"/>
      <c r="BC534" s="113"/>
      <c r="BD534" s="104"/>
      <c r="BE534" s="104"/>
      <c r="BF534" s="104"/>
      <c r="BG534" s="104"/>
      <c r="BH534" s="484"/>
    </row>
    <row r="535" spans="1:60" s="52" customFormat="1" hidden="1" outlineLevel="1" collapsed="1" x14ac:dyDescent="0.25">
      <c r="A535" s="500" t="s">
        <v>119</v>
      </c>
      <c r="B535" s="775"/>
      <c r="C535" s="106"/>
      <c r="D535" s="106"/>
      <c r="E535" s="106"/>
      <c r="F535" s="106"/>
      <c r="G535" s="105"/>
      <c r="H535" s="105"/>
      <c r="I535" s="105"/>
      <c r="J535" s="105"/>
      <c r="K535" s="106"/>
      <c r="L535" s="105"/>
      <c r="M535" s="105"/>
      <c r="N535" s="105"/>
      <c r="O535" s="105"/>
      <c r="P535" s="106"/>
      <c r="Q535" s="105"/>
      <c r="R535" s="105"/>
      <c r="S535" s="105"/>
      <c r="T535" s="105"/>
      <c r="U535" s="106"/>
      <c r="V535" s="105"/>
      <c r="W535" s="105"/>
      <c r="X535" s="105"/>
      <c r="Y535" s="105"/>
      <c r="Z535" s="53">
        <f>+SUM(Z524,Z527,Z528,Z529,Z530,Z531,Z532,Z533,Z534,)</f>
        <v>14868</v>
      </c>
      <c r="AA535" s="105"/>
      <c r="AB535" s="105"/>
      <c r="AC535" s="105"/>
      <c r="AD535" s="105"/>
      <c r="AE535" s="53">
        <f t="shared" ref="AE535:AT535" si="637">+SUM(AE524,AE527,AE528,AE529,AE530,AE531,AE532,AE533,AE534,)</f>
        <v>13788</v>
      </c>
      <c r="AF535" s="61">
        <f t="shared" si="637"/>
        <v>3745</v>
      </c>
      <c r="AG535" s="192">
        <f t="shared" si="637"/>
        <v>3928</v>
      </c>
      <c r="AH535" s="61">
        <f t="shared" si="637"/>
        <v>3854</v>
      </c>
      <c r="AI535" s="61">
        <f t="shared" si="637"/>
        <v>3202</v>
      </c>
      <c r="AJ535" s="53">
        <f t="shared" si="637"/>
        <v>14729</v>
      </c>
      <c r="AK535" s="61">
        <f t="shared" si="637"/>
        <v>3431</v>
      </c>
      <c r="AL535" s="192">
        <f t="shared" si="637"/>
        <v>7237</v>
      </c>
      <c r="AM535" s="61">
        <f t="shared" si="637"/>
        <v>2018</v>
      </c>
      <c r="AN535" s="61">
        <f t="shared" si="637"/>
        <v>1258</v>
      </c>
      <c r="AO535" s="53">
        <f t="shared" si="637"/>
        <v>13944</v>
      </c>
      <c r="AP535" s="61">
        <f t="shared" si="637"/>
        <v>2632</v>
      </c>
      <c r="AQ535" s="192">
        <f t="shared" si="637"/>
        <v>1060</v>
      </c>
      <c r="AR535" s="61">
        <f t="shared" si="637"/>
        <v>-4840</v>
      </c>
      <c r="AS535" s="61">
        <f t="shared" si="637"/>
        <v>-580</v>
      </c>
      <c r="AT535" s="53">
        <f t="shared" si="637"/>
        <v>-1743</v>
      </c>
      <c r="AU535" s="61">
        <f>+SUM(AU524,AU527,AU528,AU529,AU530,AU531,AU532,AU533,AU534,)</f>
        <v>46</v>
      </c>
      <c r="AV535" s="192">
        <f>+SUM(AV524,AV527,AV528,AV529,AV530,AV531,AV532,AV533,AV534,)</f>
        <v>1230</v>
      </c>
      <c r="AW535" s="872">
        <f>+SUM(AW524,AW527,AW528,AW529,AW530,AW531,AW532,AW533,AW534,)</f>
        <v>995</v>
      </c>
      <c r="AX535" s="61">
        <f>AX524+SUM(AX527:AX534)</f>
        <v>1431.3928219688364</v>
      </c>
      <c r="AY535" s="53">
        <f>AY524+SUM(AY527:AY534)</f>
        <v>3702.3928219688241</v>
      </c>
      <c r="AZ535" s="61">
        <f t="shared" ref="AZ535:BG535" ca="1" si="638">AZ524+SUM(AZ527:AZ534)</f>
        <v>3181.1355916574853</v>
      </c>
      <c r="BA535" s="61">
        <f t="shared" ca="1" si="638"/>
        <v>1963.7089917418091</v>
      </c>
      <c r="BB535" s="61">
        <f t="shared" ca="1" si="638"/>
        <v>2681.4738085388344</v>
      </c>
      <c r="BC535" s="61">
        <f t="shared" ca="1" si="638"/>
        <v>3009.9786728877289</v>
      </c>
      <c r="BD535" s="53">
        <f t="shared" ca="1" si="638"/>
        <v>10836.29706482586</v>
      </c>
      <c r="BE535" s="53">
        <f t="shared" ca="1" si="638"/>
        <v>14834.805160248787</v>
      </c>
      <c r="BF535" s="53">
        <f t="shared" ca="1" si="638"/>
        <v>16188.460473413455</v>
      </c>
      <c r="BG535" s="53">
        <f t="shared" ca="1" si="638"/>
        <v>17361.130708351793</v>
      </c>
      <c r="BH535" s="499"/>
    </row>
    <row r="536" spans="1:60" s="470" customFormat="1" hidden="1" outlineLevel="1" x14ac:dyDescent="0.25">
      <c r="A536" s="483" t="s">
        <v>112</v>
      </c>
      <c r="B536" s="209"/>
      <c r="C536" s="104"/>
      <c r="D536" s="104"/>
      <c r="E536" s="104"/>
      <c r="F536" s="104"/>
      <c r="G536" s="113"/>
      <c r="H536" s="113"/>
      <c r="I536" s="113"/>
      <c r="J536" s="113"/>
      <c r="K536" s="104"/>
      <c r="L536" s="113"/>
      <c r="M536" s="113"/>
      <c r="N536" s="113"/>
      <c r="O536" s="113"/>
      <c r="P536" s="104"/>
      <c r="Q536" s="113"/>
      <c r="R536" s="113"/>
      <c r="S536" s="113"/>
      <c r="T536" s="113"/>
      <c r="U536" s="104"/>
      <c r="V536" s="113"/>
      <c r="W536" s="113"/>
      <c r="X536" s="113"/>
      <c r="Y536" s="113"/>
      <c r="Z536" s="39">
        <f>-Z528</f>
        <v>156</v>
      </c>
      <c r="AA536" s="113"/>
      <c r="AB536" s="113"/>
      <c r="AC536" s="113"/>
      <c r="AD536" s="113"/>
      <c r="AE536" s="39">
        <f t="shared" ref="AE536:AY536" si="639">-AE528</f>
        <v>98</v>
      </c>
      <c r="AF536" s="484">
        <f t="shared" si="639"/>
        <v>15</v>
      </c>
      <c r="AG536" s="191">
        <f t="shared" si="639"/>
        <v>13</v>
      </c>
      <c r="AH536" s="484">
        <f t="shared" si="639"/>
        <v>0</v>
      </c>
      <c r="AI536" s="484">
        <f t="shared" si="639"/>
        <v>5</v>
      </c>
      <c r="AJ536" s="39">
        <f t="shared" si="639"/>
        <v>33</v>
      </c>
      <c r="AK536" s="484">
        <f t="shared" si="639"/>
        <v>0</v>
      </c>
      <c r="AL536" s="191">
        <f t="shared" si="639"/>
        <v>662</v>
      </c>
      <c r="AM536" s="484">
        <f t="shared" si="639"/>
        <v>207</v>
      </c>
      <c r="AN536" s="484">
        <f t="shared" si="639"/>
        <v>314</v>
      </c>
      <c r="AO536" s="39">
        <f t="shared" si="639"/>
        <v>1183</v>
      </c>
      <c r="AP536" s="484">
        <f t="shared" si="639"/>
        <v>150</v>
      </c>
      <c r="AQ536" s="191">
        <f t="shared" si="639"/>
        <v>145</v>
      </c>
      <c r="AR536" s="484">
        <f t="shared" si="639"/>
        <v>5047</v>
      </c>
      <c r="AS536" s="484">
        <f t="shared" ref="AS536" si="640">-AS528</f>
        <v>393</v>
      </c>
      <c r="AT536" s="39">
        <f t="shared" ref="AT536" si="641">-AT528</f>
        <v>5735</v>
      </c>
      <c r="AU536" s="484">
        <f t="shared" ref="AU536:AU538" si="642">-AU528</f>
        <v>113</v>
      </c>
      <c r="AV536" s="191">
        <f t="shared" ref="AV536" si="643">-AV528</f>
        <v>414</v>
      </c>
      <c r="AW536" s="289">
        <f t="shared" ref="AW536" si="644">-AW528</f>
        <v>35</v>
      </c>
      <c r="AX536" s="484">
        <f t="shared" si="639"/>
        <v>145</v>
      </c>
      <c r="AY536" s="39">
        <f t="shared" si="639"/>
        <v>707</v>
      </c>
      <c r="AZ536" s="484">
        <f t="shared" ref="AZ536:BG538" si="645">-AZ528</f>
        <v>0</v>
      </c>
      <c r="BA536" s="484">
        <f t="shared" si="645"/>
        <v>0</v>
      </c>
      <c r="BB536" s="484">
        <f t="shared" si="645"/>
        <v>0</v>
      </c>
      <c r="BC536" s="484">
        <f t="shared" si="645"/>
        <v>0</v>
      </c>
      <c r="BD536" s="39">
        <f t="shared" si="645"/>
        <v>0</v>
      </c>
      <c r="BE536" s="39">
        <f t="shared" si="645"/>
        <v>0</v>
      </c>
      <c r="BF536" s="39">
        <f t="shared" si="645"/>
        <v>0</v>
      </c>
      <c r="BG536" s="39">
        <f t="shared" si="645"/>
        <v>0</v>
      </c>
      <c r="BH536" s="484"/>
    </row>
    <row r="537" spans="1:60" s="470" customFormat="1" hidden="1" outlineLevel="1" x14ac:dyDescent="0.25">
      <c r="A537" s="483" t="s">
        <v>113</v>
      </c>
      <c r="B537" s="209"/>
      <c r="C537" s="104"/>
      <c r="D537" s="104"/>
      <c r="E537" s="104"/>
      <c r="F537" s="104"/>
      <c r="G537" s="113"/>
      <c r="H537" s="113"/>
      <c r="I537" s="113"/>
      <c r="J537" s="113"/>
      <c r="K537" s="104"/>
      <c r="L537" s="113"/>
      <c r="M537" s="113"/>
      <c r="N537" s="113"/>
      <c r="O537" s="113"/>
      <c r="P537" s="104"/>
      <c r="Q537" s="113"/>
      <c r="R537" s="113"/>
      <c r="S537" s="113"/>
      <c r="T537" s="113"/>
      <c r="U537" s="104"/>
      <c r="V537" s="113"/>
      <c r="W537" s="113"/>
      <c r="X537" s="113"/>
      <c r="Y537" s="113"/>
      <c r="Z537" s="39">
        <f>-Z529</f>
        <v>0</v>
      </c>
      <c r="AA537" s="113"/>
      <c r="AB537" s="113"/>
      <c r="AC537" s="113"/>
      <c r="AD537" s="113"/>
      <c r="AE537" s="39">
        <f t="shared" ref="AE537:AY537" si="646">-AE529</f>
        <v>-78</v>
      </c>
      <c r="AF537" s="484">
        <f t="shared" si="646"/>
        <v>-53</v>
      </c>
      <c r="AG537" s="191">
        <f t="shared" si="646"/>
        <v>-41</v>
      </c>
      <c r="AH537" s="484">
        <f t="shared" si="646"/>
        <v>0</v>
      </c>
      <c r="AI537" s="484">
        <f t="shared" si="646"/>
        <v>-507</v>
      </c>
      <c r="AJ537" s="39">
        <f t="shared" si="646"/>
        <v>-601</v>
      </c>
      <c r="AK537" s="484">
        <f t="shared" si="646"/>
        <v>0</v>
      </c>
      <c r="AL537" s="191">
        <f t="shared" si="646"/>
        <v>-4963</v>
      </c>
      <c r="AM537" s="484">
        <f t="shared" si="646"/>
        <v>123</v>
      </c>
      <c r="AN537" s="484">
        <f t="shared" si="646"/>
        <v>483</v>
      </c>
      <c r="AO537" s="39">
        <f t="shared" si="646"/>
        <v>-4357</v>
      </c>
      <c r="AP537" s="484">
        <f t="shared" si="646"/>
        <v>0</v>
      </c>
      <c r="AQ537" s="191">
        <f t="shared" si="646"/>
        <v>0</v>
      </c>
      <c r="AR537" s="484">
        <f t="shared" si="646"/>
        <v>-382</v>
      </c>
      <c r="AS537" s="484">
        <f t="shared" ref="AS537" si="647">-AS529</f>
        <v>-656</v>
      </c>
      <c r="AT537" s="39">
        <f t="shared" ref="AT537" si="648">-AT529</f>
        <v>-1038</v>
      </c>
      <c r="AU537" s="484">
        <f t="shared" si="642"/>
        <v>0</v>
      </c>
      <c r="AV537" s="191">
        <f t="shared" ref="AV537" si="649">-AV529</f>
        <v>-305</v>
      </c>
      <c r="AW537" s="289">
        <f t="shared" ref="AW537" si="650">-AW529</f>
        <v>91</v>
      </c>
      <c r="AX537" s="484">
        <f t="shared" si="646"/>
        <v>50</v>
      </c>
      <c r="AY537" s="39">
        <f t="shared" si="646"/>
        <v>-164</v>
      </c>
      <c r="AZ537" s="484">
        <f t="shared" si="645"/>
        <v>50</v>
      </c>
      <c r="BA537" s="484">
        <f t="shared" si="645"/>
        <v>50</v>
      </c>
      <c r="BB537" s="484">
        <f t="shared" si="645"/>
        <v>50</v>
      </c>
      <c r="BC537" s="484">
        <f t="shared" si="645"/>
        <v>50</v>
      </c>
      <c r="BD537" s="39">
        <f t="shared" si="645"/>
        <v>200</v>
      </c>
      <c r="BE537" s="39">
        <f t="shared" si="645"/>
        <v>200</v>
      </c>
      <c r="BF537" s="39">
        <f t="shared" si="645"/>
        <v>200</v>
      </c>
      <c r="BG537" s="39">
        <f t="shared" si="645"/>
        <v>200</v>
      </c>
      <c r="BH537" s="484"/>
    </row>
    <row r="538" spans="1:60" s="470" customFormat="1" hidden="1" outlineLevel="1" x14ac:dyDescent="0.25">
      <c r="A538" s="483" t="s">
        <v>114</v>
      </c>
      <c r="B538" s="209"/>
      <c r="C538" s="104"/>
      <c r="D538" s="104"/>
      <c r="E538" s="104"/>
      <c r="F538" s="104"/>
      <c r="G538" s="113"/>
      <c r="H538" s="113"/>
      <c r="I538" s="113"/>
      <c r="J538" s="113"/>
      <c r="K538" s="104"/>
      <c r="L538" s="113"/>
      <c r="M538" s="113"/>
      <c r="N538" s="113"/>
      <c r="O538" s="113"/>
      <c r="P538" s="104"/>
      <c r="Q538" s="113"/>
      <c r="R538" s="113"/>
      <c r="S538" s="113"/>
      <c r="T538" s="113"/>
      <c r="U538" s="104"/>
      <c r="V538" s="113"/>
      <c r="W538" s="113"/>
      <c r="X538" s="113"/>
      <c r="Y538" s="113"/>
      <c r="Z538" s="39">
        <f>-Z530</f>
        <v>260</v>
      </c>
      <c r="AA538" s="113"/>
      <c r="AB538" s="113"/>
      <c r="AC538" s="113"/>
      <c r="AD538" s="113"/>
      <c r="AE538" s="39">
        <f t="shared" ref="AE538:AY538" si="651">-AE530</f>
        <v>385</v>
      </c>
      <c r="AF538" s="484">
        <f t="shared" si="651"/>
        <v>129</v>
      </c>
      <c r="AG538" s="191">
        <f t="shared" si="651"/>
        <v>143</v>
      </c>
      <c r="AH538" s="484">
        <f t="shared" si="651"/>
        <v>143</v>
      </c>
      <c r="AI538" s="484">
        <f t="shared" si="651"/>
        <v>159</v>
      </c>
      <c r="AJ538" s="39">
        <f t="shared" si="651"/>
        <v>574</v>
      </c>
      <c r="AK538" s="484">
        <f t="shared" si="651"/>
        <v>63</v>
      </c>
      <c r="AL538" s="191">
        <f t="shared" si="651"/>
        <v>143</v>
      </c>
      <c r="AM538" s="484">
        <f t="shared" si="651"/>
        <v>411</v>
      </c>
      <c r="AN538" s="484">
        <f t="shared" si="651"/>
        <v>361</v>
      </c>
      <c r="AO538" s="39">
        <f t="shared" si="651"/>
        <v>978</v>
      </c>
      <c r="AP538" s="484">
        <f t="shared" si="651"/>
        <v>283</v>
      </c>
      <c r="AQ538" s="191">
        <f t="shared" si="651"/>
        <v>300</v>
      </c>
      <c r="AR538" s="484">
        <f t="shared" si="651"/>
        <v>412</v>
      </c>
      <c r="AS538" s="484">
        <f t="shared" ref="AS538" si="652">-AS530</f>
        <v>496</v>
      </c>
      <c r="AT538" s="39">
        <f t="shared" ref="AT538" si="653">-AT530</f>
        <v>1491</v>
      </c>
      <c r="AU538" s="484">
        <f t="shared" si="642"/>
        <v>324</v>
      </c>
      <c r="AV538" s="191">
        <f t="shared" ref="AV538" si="654">-AV530</f>
        <v>320</v>
      </c>
      <c r="AW538" s="289">
        <f t="shared" ref="AW538" si="655">-AW530</f>
        <v>445</v>
      </c>
      <c r="AX538" s="484">
        <f t="shared" si="651"/>
        <v>381.6084383561643</v>
      </c>
      <c r="AY538" s="39">
        <f t="shared" si="651"/>
        <v>1470.6084383561642</v>
      </c>
      <c r="AZ538" s="484">
        <f t="shared" ca="1" si="645"/>
        <v>379.16740834251539</v>
      </c>
      <c r="BA538" s="484">
        <f t="shared" ca="1" si="645"/>
        <v>371.65300825819008</v>
      </c>
      <c r="BB538" s="484">
        <f t="shared" ca="1" si="645"/>
        <v>369.10359146116662</v>
      </c>
      <c r="BC538" s="484">
        <f t="shared" ca="1" si="645"/>
        <v>365.98699211227176</v>
      </c>
      <c r="BD538" s="39">
        <f t="shared" ca="1" si="645"/>
        <v>1485.9110001741437</v>
      </c>
      <c r="BE538" s="39">
        <f t="shared" ca="1" si="645"/>
        <v>1456.7473932149737</v>
      </c>
      <c r="BF538" s="39">
        <f t="shared" ca="1" si="645"/>
        <v>1363.9720275873988</v>
      </c>
      <c r="BG538" s="39">
        <f t="shared" ca="1" si="645"/>
        <v>1261.2204857386503</v>
      </c>
      <c r="BH538" s="484"/>
    </row>
    <row r="539" spans="1:60" s="470" customFormat="1" hidden="1" outlineLevel="1" x14ac:dyDescent="0.25">
      <c r="A539" s="483" t="s">
        <v>200</v>
      </c>
      <c r="B539" s="209"/>
      <c r="C539" s="104"/>
      <c r="D539" s="104"/>
      <c r="E539" s="104"/>
      <c r="F539" s="104"/>
      <c r="G539" s="113"/>
      <c r="H539" s="113"/>
      <c r="I539" s="113"/>
      <c r="J539" s="113"/>
      <c r="K539" s="104"/>
      <c r="L539" s="113"/>
      <c r="M539" s="113"/>
      <c r="N539" s="113"/>
      <c r="O539" s="113"/>
      <c r="P539" s="104"/>
      <c r="Q539" s="113"/>
      <c r="R539" s="113"/>
      <c r="S539" s="113"/>
      <c r="T539" s="113"/>
      <c r="U539" s="104"/>
      <c r="V539" s="113"/>
      <c r="W539" s="113"/>
      <c r="X539" s="113"/>
      <c r="Y539" s="113"/>
      <c r="Z539" s="39">
        <f>-Z726</f>
        <v>-926</v>
      </c>
      <c r="AA539" s="113"/>
      <c r="AB539" s="113"/>
      <c r="AC539" s="113"/>
      <c r="AD539" s="113"/>
      <c r="AE539" s="39">
        <f t="shared" ref="AE539:AR539" si="656">-AE726</f>
        <v>-320</v>
      </c>
      <c r="AF539" s="484">
        <f t="shared" si="656"/>
        <v>-43</v>
      </c>
      <c r="AG539" s="191">
        <f t="shared" si="656"/>
        <v>-6</v>
      </c>
      <c r="AH539" s="484">
        <f t="shared" si="656"/>
        <v>-73</v>
      </c>
      <c r="AI539" s="484">
        <f t="shared" si="656"/>
        <v>224</v>
      </c>
      <c r="AJ539" s="39">
        <f t="shared" si="656"/>
        <v>102</v>
      </c>
      <c r="AK539" s="484">
        <f t="shared" si="656"/>
        <v>-76</v>
      </c>
      <c r="AL539" s="191">
        <f t="shared" si="656"/>
        <v>312</v>
      </c>
      <c r="AM539" s="484">
        <f t="shared" si="656"/>
        <v>1</v>
      </c>
      <c r="AN539" s="484">
        <f t="shared" si="656"/>
        <v>-131</v>
      </c>
      <c r="AO539" s="39">
        <f t="shared" si="656"/>
        <v>103</v>
      </c>
      <c r="AP539" s="484">
        <f t="shared" si="656"/>
        <v>-224</v>
      </c>
      <c r="AQ539" s="191">
        <f t="shared" si="656"/>
        <v>-135</v>
      </c>
      <c r="AR539" s="484">
        <f t="shared" si="656"/>
        <v>-186</v>
      </c>
      <c r="AS539" s="484">
        <f t="shared" ref="AS539" si="657">-AS726</f>
        <v>-106</v>
      </c>
      <c r="AT539" s="39">
        <f t="shared" ref="AT539" si="658">-AT726</f>
        <v>-651</v>
      </c>
      <c r="AU539" s="484">
        <f>-AU726</f>
        <v>-224</v>
      </c>
      <c r="AV539" s="191">
        <f>-AV726</f>
        <v>-213</v>
      </c>
      <c r="AW539" s="289">
        <f>-AW726</f>
        <v>-211</v>
      </c>
      <c r="AX539" s="484">
        <f>AX774</f>
        <v>-186</v>
      </c>
      <c r="AY539" s="39">
        <f>AY774</f>
        <v>-834</v>
      </c>
      <c r="AZ539" s="484">
        <f t="shared" ref="AZ539:BG539" si="659">AZ774</f>
        <v>-186</v>
      </c>
      <c r="BA539" s="484">
        <f t="shared" si="659"/>
        <v>-186</v>
      </c>
      <c r="BB539" s="484">
        <f t="shared" si="659"/>
        <v>-186</v>
      </c>
      <c r="BC539" s="484">
        <f t="shared" si="659"/>
        <v>-186</v>
      </c>
      <c r="BD539" s="39">
        <f t="shared" si="659"/>
        <v>-744</v>
      </c>
      <c r="BE539" s="39">
        <f t="shared" si="659"/>
        <v>-744</v>
      </c>
      <c r="BF539" s="39">
        <f t="shared" si="659"/>
        <v>-744</v>
      </c>
      <c r="BG539" s="39">
        <f t="shared" si="659"/>
        <v>-744</v>
      </c>
      <c r="BH539" s="484"/>
    </row>
    <row r="540" spans="1:60" s="498" customFormat="1" hidden="1" outlineLevel="1" x14ac:dyDescent="0.25">
      <c r="A540" s="500" t="s">
        <v>652</v>
      </c>
      <c r="B540" s="775"/>
      <c r="C540" s="106"/>
      <c r="D540" s="106"/>
      <c r="E540" s="106"/>
      <c r="F540" s="106"/>
      <c r="G540" s="105"/>
      <c r="H540" s="105"/>
      <c r="I540" s="105"/>
      <c r="J540" s="105"/>
      <c r="K540" s="106"/>
      <c r="L540" s="105"/>
      <c r="M540" s="105"/>
      <c r="N540" s="105"/>
      <c r="O540" s="105"/>
      <c r="P540" s="106"/>
      <c r="Q540" s="105"/>
      <c r="R540" s="105"/>
      <c r="S540" s="105"/>
      <c r="T540" s="105"/>
      <c r="U540" s="106"/>
      <c r="V540" s="105"/>
      <c r="W540" s="105"/>
      <c r="X540" s="105"/>
      <c r="Y540" s="105"/>
      <c r="Z540" s="53">
        <f>Z535+SUM(Z536:Z539)</f>
        <v>14358</v>
      </c>
      <c r="AA540" s="105"/>
      <c r="AB540" s="105"/>
      <c r="AC540" s="105"/>
      <c r="AD540" s="105"/>
      <c r="AE540" s="53">
        <f t="shared" ref="AE540:AY540" si="660">AE535+SUM(AE536:AE539)</f>
        <v>13873</v>
      </c>
      <c r="AF540" s="61">
        <f t="shared" si="660"/>
        <v>3793</v>
      </c>
      <c r="AG540" s="192">
        <f t="shared" si="660"/>
        <v>4037</v>
      </c>
      <c r="AH540" s="61">
        <f t="shared" si="660"/>
        <v>3924</v>
      </c>
      <c r="AI540" s="61">
        <f t="shared" si="660"/>
        <v>3083</v>
      </c>
      <c r="AJ540" s="53">
        <f t="shared" si="660"/>
        <v>14837</v>
      </c>
      <c r="AK540" s="61">
        <f t="shared" si="660"/>
        <v>3418</v>
      </c>
      <c r="AL540" s="192">
        <f t="shared" si="660"/>
        <v>3391</v>
      </c>
      <c r="AM540" s="61">
        <f t="shared" si="660"/>
        <v>2760</v>
      </c>
      <c r="AN540" s="61">
        <f t="shared" si="660"/>
        <v>2285</v>
      </c>
      <c r="AO540" s="53">
        <f t="shared" si="660"/>
        <v>11851</v>
      </c>
      <c r="AP540" s="61">
        <f t="shared" si="660"/>
        <v>2841</v>
      </c>
      <c r="AQ540" s="192">
        <f t="shared" si="660"/>
        <v>1370</v>
      </c>
      <c r="AR540" s="61">
        <f t="shared" si="660"/>
        <v>51</v>
      </c>
      <c r="AS540" s="61">
        <f t="shared" si="660"/>
        <v>-453</v>
      </c>
      <c r="AT540" s="53">
        <f t="shared" ref="AT540" si="661">AT535+SUM(AT536:AT539)</f>
        <v>3794</v>
      </c>
      <c r="AU540" s="61">
        <f>AU535+SUM(AU536:AU539)</f>
        <v>259</v>
      </c>
      <c r="AV540" s="192">
        <f>AV535+SUM(AV536:AV539)</f>
        <v>1446</v>
      </c>
      <c r="AW540" s="872">
        <f>AW535+SUM(AW536:AW539)</f>
        <v>1355</v>
      </c>
      <c r="AX540" s="61">
        <f t="shared" si="660"/>
        <v>1822.0012603250007</v>
      </c>
      <c r="AY540" s="53">
        <f t="shared" si="660"/>
        <v>4882.0012603249888</v>
      </c>
      <c r="AZ540" s="61">
        <f t="shared" ref="AZ540:BG540" ca="1" si="662">AZ535+SUM(AZ536:AZ539)</f>
        <v>3424.3030000000008</v>
      </c>
      <c r="BA540" s="61">
        <f t="shared" ca="1" si="662"/>
        <v>2199.3619999999992</v>
      </c>
      <c r="BB540" s="61">
        <f t="shared" ca="1" si="662"/>
        <v>2914.577400000001</v>
      </c>
      <c r="BC540" s="61">
        <f t="shared" ca="1" si="662"/>
        <v>3239.9656650000006</v>
      </c>
      <c r="BD540" s="53">
        <f t="shared" ca="1" si="662"/>
        <v>11778.208065000003</v>
      </c>
      <c r="BE540" s="53">
        <f t="shared" ca="1" si="662"/>
        <v>15747.55255346376</v>
      </c>
      <c r="BF540" s="53">
        <f t="shared" ca="1" si="662"/>
        <v>17008.432501000854</v>
      </c>
      <c r="BG540" s="53">
        <f t="shared" ca="1" si="662"/>
        <v>18078.351194090443</v>
      </c>
      <c r="BH540" s="499"/>
    </row>
    <row r="541" spans="1:60" s="338" customFormat="1" hidden="1" outlineLevel="1" x14ac:dyDescent="0.25">
      <c r="A541" s="776"/>
      <c r="B541" s="777"/>
      <c r="C541" s="336"/>
      <c r="D541" s="336"/>
      <c r="E541" s="336"/>
      <c r="F541" s="336"/>
      <c r="G541" s="739"/>
      <c r="H541" s="739"/>
      <c r="I541" s="739"/>
      <c r="J541" s="739"/>
      <c r="K541" s="336"/>
      <c r="L541" s="739"/>
      <c r="M541" s="739"/>
      <c r="N541" s="739"/>
      <c r="O541" s="739"/>
      <c r="P541" s="336"/>
      <c r="Q541" s="739"/>
      <c r="R541" s="739"/>
      <c r="S541" s="739"/>
      <c r="T541" s="739"/>
      <c r="U541" s="336"/>
      <c r="V541" s="739"/>
      <c r="W541" s="739"/>
      <c r="X541" s="739"/>
      <c r="Y541" s="739"/>
      <c r="Z541" s="336"/>
      <c r="AA541" s="739"/>
      <c r="AB541" s="739"/>
      <c r="AC541" s="739"/>
      <c r="AD541" s="739"/>
      <c r="AE541" s="336"/>
      <c r="AF541" s="739"/>
      <c r="AG541" s="739"/>
      <c r="AH541" s="739"/>
      <c r="AI541" s="739"/>
      <c r="AJ541" s="336"/>
      <c r="AK541" s="739"/>
      <c r="AL541" s="739"/>
      <c r="AM541" s="739"/>
      <c r="AN541" s="739"/>
      <c r="AO541" s="336"/>
      <c r="AP541" s="739"/>
      <c r="AQ541" s="739"/>
      <c r="AR541" s="739"/>
      <c r="AS541" s="739"/>
      <c r="AT541" s="336"/>
      <c r="AU541" s="739"/>
      <c r="AV541" s="739"/>
      <c r="AW541" s="778"/>
      <c r="AX541" s="739"/>
      <c r="AY541" s="336"/>
      <c r="AZ541" s="739"/>
      <c r="BA541" s="739"/>
      <c r="BB541" s="739"/>
      <c r="BC541" s="739"/>
      <c r="BD541" s="336"/>
      <c r="BE541" s="336"/>
      <c r="BF541" s="336"/>
      <c r="BG541" s="336"/>
      <c r="BH541" s="587"/>
    </row>
    <row r="542" spans="1:60" s="338" customFormat="1" hidden="1" outlineLevel="1" x14ac:dyDescent="0.25">
      <c r="A542" s="592" t="s">
        <v>611</v>
      </c>
      <c r="B542" s="777"/>
      <c r="C542" s="336"/>
      <c r="D542" s="336"/>
      <c r="E542" s="336"/>
      <c r="F542" s="336"/>
      <c r="G542" s="739"/>
      <c r="H542" s="739"/>
      <c r="I542" s="739"/>
      <c r="J542" s="739"/>
      <c r="K542" s="336"/>
      <c r="L542" s="739"/>
      <c r="M542" s="739"/>
      <c r="N542" s="739"/>
      <c r="O542" s="739"/>
      <c r="P542" s="336"/>
      <c r="Q542" s="739"/>
      <c r="R542" s="739"/>
      <c r="S542" s="739"/>
      <c r="T542" s="739"/>
      <c r="U542" s="336"/>
      <c r="V542" s="739"/>
      <c r="W542" s="739"/>
      <c r="X542" s="739"/>
      <c r="Y542" s="739"/>
      <c r="Z542" s="336"/>
      <c r="AA542" s="739"/>
      <c r="AB542" s="739"/>
      <c r="AC542" s="739"/>
      <c r="AD542" s="739"/>
      <c r="AE542" s="336"/>
      <c r="AF542" s="739"/>
      <c r="AG542" s="739"/>
      <c r="AH542" s="587">
        <v>0</v>
      </c>
      <c r="AI542" s="739"/>
      <c r="AJ542" s="336"/>
      <c r="AK542" s="587">
        <v>0</v>
      </c>
      <c r="AL542" s="587">
        <v>-72</v>
      </c>
      <c r="AM542" s="587">
        <v>-490</v>
      </c>
      <c r="AN542" s="587">
        <f>AO542+562</f>
        <v>-481</v>
      </c>
      <c r="AO542" s="588">
        <v>-1043</v>
      </c>
      <c r="AP542" s="587">
        <v>-486</v>
      </c>
      <c r="AQ542" s="587">
        <v>-498</v>
      </c>
      <c r="AR542" s="587">
        <v>-486</v>
      </c>
      <c r="AS542" s="587">
        <f>AS257+AS313+AS398+AS436</f>
        <v>-451</v>
      </c>
      <c r="AT542" s="588">
        <v>-1921</v>
      </c>
      <c r="AU542" s="587">
        <v>-447</v>
      </c>
      <c r="AV542" s="587">
        <v>-447</v>
      </c>
      <c r="AW542" s="949">
        <v>-434</v>
      </c>
      <c r="AX542" s="335">
        <v>-475</v>
      </c>
      <c r="AY542" s="336">
        <f>SUM(AU542,AV542,AW542,AX542)</f>
        <v>-1803</v>
      </c>
      <c r="AZ542" s="335">
        <v>-475</v>
      </c>
      <c r="BA542" s="335">
        <v>-475</v>
      </c>
      <c r="BB542" s="335">
        <v>-475</v>
      </c>
      <c r="BC542" s="335">
        <v>-475</v>
      </c>
      <c r="BD542" s="336">
        <f>SUM(AZ542,BA542,BB542,BC542)</f>
        <v>-1900</v>
      </c>
      <c r="BE542" s="337">
        <v>-1900</v>
      </c>
      <c r="BF542" s="337">
        <v>-1900</v>
      </c>
      <c r="BG542" s="337">
        <v>-1900</v>
      </c>
      <c r="BH542" s="587"/>
    </row>
    <row r="543" spans="1:60" s="338" customFormat="1" hidden="1" outlineLevel="1" x14ac:dyDescent="0.25">
      <c r="A543" s="592" t="s">
        <v>613</v>
      </c>
      <c r="B543" s="777"/>
      <c r="C543" s="336"/>
      <c r="D543" s="336"/>
      <c r="E543" s="336"/>
      <c r="F543" s="336"/>
      <c r="G543" s="739"/>
      <c r="H543" s="739"/>
      <c r="I543" s="739"/>
      <c r="J543" s="739"/>
      <c r="K543" s="336"/>
      <c r="L543" s="739"/>
      <c r="M543" s="739"/>
      <c r="N543" s="739"/>
      <c r="O543" s="739"/>
      <c r="P543" s="336"/>
      <c r="Q543" s="739"/>
      <c r="R543" s="739"/>
      <c r="S543" s="739"/>
      <c r="T543" s="739"/>
      <c r="U543" s="336"/>
      <c r="V543" s="739"/>
      <c r="W543" s="739"/>
      <c r="X543" s="739"/>
      <c r="Y543" s="739"/>
      <c r="Z543" s="336"/>
      <c r="AA543" s="739"/>
      <c r="AB543" s="739"/>
      <c r="AC543" s="739"/>
      <c r="AD543" s="739"/>
      <c r="AE543" s="336"/>
      <c r="AF543" s="739"/>
      <c r="AG543" s="739"/>
      <c r="AH543" s="739"/>
      <c r="AI543" s="739"/>
      <c r="AJ543" s="336"/>
      <c r="AK543" s="587">
        <v>0</v>
      </c>
      <c r="AL543" s="587">
        <f>-307-AM543</f>
        <v>-33</v>
      </c>
      <c r="AM543" s="587">
        <v>-274</v>
      </c>
      <c r="AN543" s="587">
        <f>AO543+307</f>
        <v>-230</v>
      </c>
      <c r="AO543" s="588">
        <f>-552-AO544</f>
        <v>-537</v>
      </c>
      <c r="AP543" s="587">
        <v>-206</v>
      </c>
      <c r="AQ543" s="587">
        <v>-217</v>
      </c>
      <c r="AR543" s="587">
        <v>-190</v>
      </c>
      <c r="AS543" s="587">
        <f>AS258+AS314+AS399+AS437</f>
        <v>-288</v>
      </c>
      <c r="AT543" s="588">
        <v>-899</v>
      </c>
      <c r="AU543" s="587">
        <v>-167</v>
      </c>
      <c r="AV543" s="587">
        <v>-154</v>
      </c>
      <c r="AW543" s="949">
        <v>-166</v>
      </c>
      <c r="AX543" s="335">
        <v>-215</v>
      </c>
      <c r="AY543" s="336">
        <f>SUM(AU543,AV543,AW543,AX543)</f>
        <v>-702</v>
      </c>
      <c r="AZ543" s="335">
        <v>-215</v>
      </c>
      <c r="BA543" s="335">
        <v>-215</v>
      </c>
      <c r="BB543" s="335">
        <v>-215</v>
      </c>
      <c r="BC543" s="335">
        <v>-215</v>
      </c>
      <c r="BD543" s="336">
        <f>SUM(AZ543,BA543,BB543,BC543)</f>
        <v>-860</v>
      </c>
      <c r="BE543" s="337">
        <v>-860</v>
      </c>
      <c r="BF543" s="337">
        <v>-860</v>
      </c>
      <c r="BG543" s="337">
        <v>-860</v>
      </c>
      <c r="BH543" s="587"/>
    </row>
    <row r="544" spans="1:60" s="338" customFormat="1" hidden="1" outlineLevel="1" x14ac:dyDescent="0.25">
      <c r="A544" s="592" t="s">
        <v>614</v>
      </c>
      <c r="B544" s="777"/>
      <c r="C544" s="336"/>
      <c r="D544" s="336"/>
      <c r="E544" s="336"/>
      <c r="F544" s="336"/>
      <c r="G544" s="739"/>
      <c r="H544" s="739"/>
      <c r="I544" s="739"/>
      <c r="J544" s="739"/>
      <c r="K544" s="336"/>
      <c r="L544" s="739"/>
      <c r="M544" s="739"/>
      <c r="N544" s="739"/>
      <c r="O544" s="739"/>
      <c r="P544" s="336"/>
      <c r="Q544" s="739"/>
      <c r="R544" s="739"/>
      <c r="S544" s="739"/>
      <c r="T544" s="739"/>
      <c r="U544" s="336"/>
      <c r="V544" s="739"/>
      <c r="W544" s="739"/>
      <c r="X544" s="739"/>
      <c r="Y544" s="739"/>
      <c r="Z544" s="336"/>
      <c r="AA544" s="739"/>
      <c r="AB544" s="739"/>
      <c r="AC544" s="739"/>
      <c r="AD544" s="739"/>
      <c r="AE544" s="336"/>
      <c r="AF544" s="739"/>
      <c r="AG544" s="739"/>
      <c r="AH544" s="739"/>
      <c r="AI544" s="739"/>
      <c r="AJ544" s="336"/>
      <c r="AK544" s="587">
        <v>0</v>
      </c>
      <c r="AL544" s="587">
        <f>-15-AM544</f>
        <v>0</v>
      </c>
      <c r="AM544" s="587">
        <v>-15</v>
      </c>
      <c r="AN544" s="587">
        <f>AO544+15</f>
        <v>0</v>
      </c>
      <c r="AO544" s="588">
        <v>-15</v>
      </c>
      <c r="AP544" s="587">
        <v>-8</v>
      </c>
      <c r="AQ544" s="587">
        <v>-8</v>
      </c>
      <c r="AR544" s="587">
        <v>-7</v>
      </c>
      <c r="AS544" s="587">
        <f>AS438</f>
        <v>-3</v>
      </c>
      <c r="AT544" s="588">
        <v>-26</v>
      </c>
      <c r="AU544" s="587">
        <v>-3</v>
      </c>
      <c r="AV544" s="587">
        <v>-4</v>
      </c>
      <c r="AW544" s="949">
        <v>-4</v>
      </c>
      <c r="AX544" s="335">
        <v>-8</v>
      </c>
      <c r="AY544" s="336">
        <f>SUM(AU544,AV544,AW544,AX544)</f>
        <v>-19</v>
      </c>
      <c r="AZ544" s="335">
        <v>-8</v>
      </c>
      <c r="BA544" s="335">
        <v>-8</v>
      </c>
      <c r="BB544" s="335">
        <v>-8</v>
      </c>
      <c r="BC544" s="335">
        <v>-8</v>
      </c>
      <c r="BD544" s="336">
        <f>SUM(AZ544,BA544,BB544,BC544)</f>
        <v>-32</v>
      </c>
      <c r="BE544" s="337">
        <v>-32</v>
      </c>
      <c r="BF544" s="337">
        <v>-32</v>
      </c>
      <c r="BG544" s="337">
        <v>-32</v>
      </c>
      <c r="BH544" s="587"/>
    </row>
    <row r="545" spans="1:60" s="586" customFormat="1" hidden="1" outlineLevel="1" x14ac:dyDescent="0.25">
      <c r="A545" s="593" t="s">
        <v>650</v>
      </c>
      <c r="B545" s="779"/>
      <c r="C545" s="831"/>
      <c r="D545" s="831"/>
      <c r="E545" s="831"/>
      <c r="F545" s="831"/>
      <c r="G545" s="780"/>
      <c r="H545" s="780"/>
      <c r="I545" s="780"/>
      <c r="J545" s="780"/>
      <c r="K545" s="831"/>
      <c r="L545" s="780"/>
      <c r="M545" s="780"/>
      <c r="N545" s="780"/>
      <c r="O545" s="780"/>
      <c r="P545" s="831"/>
      <c r="Q545" s="780"/>
      <c r="R545" s="780"/>
      <c r="S545" s="780"/>
      <c r="T545" s="780"/>
      <c r="U545" s="831"/>
      <c r="V545" s="780"/>
      <c r="W545" s="780"/>
      <c r="X545" s="780"/>
      <c r="Y545" s="780"/>
      <c r="Z545" s="831"/>
      <c r="AA545" s="780"/>
      <c r="AB545" s="780"/>
      <c r="AC545" s="780"/>
      <c r="AD545" s="780"/>
      <c r="AE545" s="831"/>
      <c r="AF545" s="780"/>
      <c r="AG545" s="780"/>
      <c r="AH545" s="780"/>
      <c r="AI545" s="780"/>
      <c r="AJ545" s="831"/>
      <c r="AK545" s="584">
        <f t="shared" ref="AK545:AY545" si="663">SUM(AK542:AK544)</f>
        <v>0</v>
      </c>
      <c r="AL545" s="584">
        <f t="shared" si="663"/>
        <v>-105</v>
      </c>
      <c r="AM545" s="584">
        <f t="shared" si="663"/>
        <v>-779</v>
      </c>
      <c r="AN545" s="584">
        <f t="shared" si="663"/>
        <v>-711</v>
      </c>
      <c r="AO545" s="583">
        <f t="shared" si="663"/>
        <v>-1595</v>
      </c>
      <c r="AP545" s="584">
        <f t="shared" si="663"/>
        <v>-700</v>
      </c>
      <c r="AQ545" s="584">
        <f t="shared" si="663"/>
        <v>-723</v>
      </c>
      <c r="AR545" s="584">
        <f t="shared" si="663"/>
        <v>-683</v>
      </c>
      <c r="AS545" s="584">
        <f t="shared" si="663"/>
        <v>-742</v>
      </c>
      <c r="AT545" s="583">
        <f t="shared" si="663"/>
        <v>-2846</v>
      </c>
      <c r="AU545" s="584">
        <f>SUM(AU542:AU544)</f>
        <v>-617</v>
      </c>
      <c r="AV545" s="584">
        <f>SUM(AV542:AV544)</f>
        <v>-605</v>
      </c>
      <c r="AW545" s="700">
        <f>SUM(AW542:AW544)</f>
        <v>-604</v>
      </c>
      <c r="AX545" s="584">
        <f t="shared" si="663"/>
        <v>-698</v>
      </c>
      <c r="AY545" s="583">
        <f t="shared" si="663"/>
        <v>-2524</v>
      </c>
      <c r="AZ545" s="584">
        <f t="shared" ref="AZ545:BG545" si="664">SUM(AZ542:AZ544)</f>
        <v>-698</v>
      </c>
      <c r="BA545" s="584">
        <f t="shared" si="664"/>
        <v>-698</v>
      </c>
      <c r="BB545" s="584">
        <f t="shared" si="664"/>
        <v>-698</v>
      </c>
      <c r="BC545" s="584">
        <f t="shared" si="664"/>
        <v>-698</v>
      </c>
      <c r="BD545" s="583">
        <f t="shared" si="664"/>
        <v>-2792</v>
      </c>
      <c r="BE545" s="583">
        <f t="shared" si="664"/>
        <v>-2792</v>
      </c>
      <c r="BF545" s="583">
        <f t="shared" si="664"/>
        <v>-2792</v>
      </c>
      <c r="BG545" s="583">
        <f t="shared" si="664"/>
        <v>-2792</v>
      </c>
      <c r="BH545" s="585"/>
    </row>
    <row r="546" spans="1:60" s="338" customFormat="1" hidden="1" outlineLevel="1" x14ac:dyDescent="0.25">
      <c r="A546" s="776"/>
      <c r="B546" s="777"/>
      <c r="C546" s="336"/>
      <c r="D546" s="336"/>
      <c r="E546" s="336"/>
      <c r="F546" s="336"/>
      <c r="G546" s="739"/>
      <c r="H546" s="739"/>
      <c r="I546" s="739"/>
      <c r="J546" s="739"/>
      <c r="K546" s="336"/>
      <c r="L546" s="739"/>
      <c r="M546" s="739"/>
      <c r="N546" s="739"/>
      <c r="O546" s="739"/>
      <c r="P546" s="336"/>
      <c r="Q546" s="739"/>
      <c r="R546" s="739"/>
      <c r="S546" s="739"/>
      <c r="T546" s="739"/>
      <c r="U546" s="336"/>
      <c r="V546" s="739"/>
      <c r="W546" s="739"/>
      <c r="X546" s="739"/>
      <c r="Y546" s="739"/>
      <c r="Z546" s="336"/>
      <c r="AA546" s="739"/>
      <c r="AB546" s="739"/>
      <c r="AC546" s="739"/>
      <c r="AD546" s="739"/>
      <c r="AE546" s="336"/>
      <c r="AF546" s="739"/>
      <c r="AG546" s="739"/>
      <c r="AH546" s="739"/>
      <c r="AI546" s="739"/>
      <c r="AJ546" s="336"/>
      <c r="AK546" s="739"/>
      <c r="AL546" s="739"/>
      <c r="AM546" s="739"/>
      <c r="AN546" s="739"/>
      <c r="AO546" s="336"/>
      <c r="AP546" s="739"/>
      <c r="AQ546" s="739"/>
      <c r="AR546" s="739"/>
      <c r="AS546" s="739"/>
      <c r="AT546" s="336"/>
      <c r="AU546" s="739"/>
      <c r="AV546" s="739"/>
      <c r="AW546" s="778"/>
      <c r="AX546" s="739"/>
      <c r="AY546" s="336"/>
      <c r="AZ546" s="739"/>
      <c r="BA546" s="739"/>
      <c r="BB546" s="739"/>
      <c r="BC546" s="739"/>
      <c r="BD546" s="336"/>
      <c r="BE546" s="336"/>
      <c r="BF546" s="336"/>
      <c r="BG546" s="336"/>
      <c r="BH546" s="587"/>
    </row>
    <row r="547" spans="1:60" s="52" customFormat="1" hidden="1" outlineLevel="1" x14ac:dyDescent="0.25">
      <c r="A547" s="501" t="s">
        <v>120</v>
      </c>
      <c r="B547" s="764"/>
      <c r="C547" s="111"/>
      <c r="D547" s="111"/>
      <c r="E547" s="111"/>
      <c r="F547" s="111"/>
      <c r="G547" s="114"/>
      <c r="H547" s="114"/>
      <c r="I547" s="114"/>
      <c r="J547" s="114"/>
      <c r="K547" s="111"/>
      <c r="L547" s="114"/>
      <c r="M547" s="114"/>
      <c r="N547" s="114"/>
      <c r="O547" s="114"/>
      <c r="P547" s="111"/>
      <c r="Q547" s="114"/>
      <c r="R547" s="114"/>
      <c r="S547" s="114"/>
      <c r="T547" s="114"/>
      <c r="U547" s="111"/>
      <c r="V547" s="114"/>
      <c r="W547" s="114"/>
      <c r="X547" s="114"/>
      <c r="Y547" s="114"/>
      <c r="Z547" s="111"/>
      <c r="AA547" s="114"/>
      <c r="AB547" s="114"/>
      <c r="AC547" s="114"/>
      <c r="AD547" s="114"/>
      <c r="AE547" s="111"/>
      <c r="AF547" s="499">
        <v>48</v>
      </c>
      <c r="AG547" s="194">
        <v>74</v>
      </c>
      <c r="AH547" s="499">
        <v>116</v>
      </c>
      <c r="AI547" s="499">
        <f>AJ547</f>
        <v>159</v>
      </c>
      <c r="AJ547" s="51">
        <v>159</v>
      </c>
      <c r="AK547" s="499">
        <v>42</v>
      </c>
      <c r="AL547" s="194">
        <v>74</v>
      </c>
      <c r="AM547" s="499">
        <v>142</v>
      </c>
      <c r="AN547" s="499">
        <f>AO547</f>
        <v>210</v>
      </c>
      <c r="AO547" s="51">
        <v>210</v>
      </c>
      <c r="AP547" s="499">
        <v>101</v>
      </c>
      <c r="AQ547" s="194">
        <v>169</v>
      </c>
      <c r="AR547" s="499">
        <v>246</v>
      </c>
      <c r="AS547" s="499">
        <f>AT547</f>
        <v>335</v>
      </c>
      <c r="AT547" s="51">
        <v>335</v>
      </c>
      <c r="AU547" s="499">
        <v>64</v>
      </c>
      <c r="AV547" s="194">
        <v>150</v>
      </c>
      <c r="AW547" s="873">
        <v>263</v>
      </c>
      <c r="AX547" s="114"/>
      <c r="AY547" s="111"/>
      <c r="AZ547" s="114"/>
      <c r="BA547" s="114"/>
      <c r="BB547" s="114"/>
      <c r="BC547" s="114"/>
      <c r="BD547" s="111"/>
      <c r="BE547" s="111"/>
      <c r="BF547" s="111"/>
      <c r="BG547" s="111"/>
      <c r="BH547" s="499"/>
    </row>
    <row r="548" spans="1:60" s="52" customFormat="1" hidden="1" outlineLevel="1" collapsed="1" x14ac:dyDescent="0.25">
      <c r="A548" s="501" t="s">
        <v>121</v>
      </c>
      <c r="B548" s="764"/>
      <c r="C548" s="111"/>
      <c r="D548" s="111"/>
      <c r="E548" s="111"/>
      <c r="F548" s="111"/>
      <c r="G548" s="114"/>
      <c r="H548" s="114"/>
      <c r="I548" s="114"/>
      <c r="J548" s="114"/>
      <c r="K548" s="111"/>
      <c r="L548" s="114"/>
      <c r="M548" s="114"/>
      <c r="N548" s="114"/>
      <c r="O548" s="114"/>
      <c r="P548" s="111"/>
      <c r="Q548" s="114"/>
      <c r="R548" s="114"/>
      <c r="S548" s="114"/>
      <c r="T548" s="114"/>
      <c r="U548" s="111"/>
      <c r="V548" s="114"/>
      <c r="W548" s="114"/>
      <c r="X548" s="114"/>
      <c r="Y548" s="114"/>
      <c r="Z548" s="111"/>
      <c r="AA548" s="114"/>
      <c r="AB548" s="114"/>
      <c r="AC548" s="114"/>
      <c r="AD548" s="114"/>
      <c r="AE548" s="111"/>
      <c r="AF548" s="499">
        <f>AF547</f>
        <v>48</v>
      </c>
      <c r="AG548" s="194">
        <f>AG547-AF547</f>
        <v>26</v>
      </c>
      <c r="AH548" s="499">
        <f>AH547-AG547</f>
        <v>42</v>
      </c>
      <c r="AI548" s="499">
        <f>AI547-AH547</f>
        <v>43</v>
      </c>
      <c r="AJ548" s="51">
        <v>159</v>
      </c>
      <c r="AK548" s="499">
        <f>AK547</f>
        <v>42</v>
      </c>
      <c r="AL548" s="194">
        <f>AL547-AK547</f>
        <v>32</v>
      </c>
      <c r="AM548" s="499">
        <f>AM547-AL547</f>
        <v>68</v>
      </c>
      <c r="AN548" s="499">
        <f>AN547-AM547</f>
        <v>68</v>
      </c>
      <c r="AO548" s="51">
        <v>210</v>
      </c>
      <c r="AP548" s="499">
        <f>AP547</f>
        <v>101</v>
      </c>
      <c r="AQ548" s="194">
        <f>AQ547-AP547</f>
        <v>68</v>
      </c>
      <c r="AR548" s="499">
        <f>AR547-AQ547</f>
        <v>77</v>
      </c>
      <c r="AS548" s="499">
        <f>AS547-AR547</f>
        <v>89</v>
      </c>
      <c r="AT548" s="51">
        <f>+AT547</f>
        <v>335</v>
      </c>
      <c r="AU548" s="499">
        <v>64</v>
      </c>
      <c r="AV548" s="194">
        <f>AV547-AU547</f>
        <v>86</v>
      </c>
      <c r="AW548" s="873">
        <f>AW547-AV547</f>
        <v>113</v>
      </c>
      <c r="AX548" s="73">
        <v>65</v>
      </c>
      <c r="AY548" s="51">
        <f>SUM(AU548,AV548,AW548,AX548)</f>
        <v>328</v>
      </c>
      <c r="AZ548" s="73">
        <v>65</v>
      </c>
      <c r="BA548" s="73">
        <v>65</v>
      </c>
      <c r="BB548" s="73">
        <v>65</v>
      </c>
      <c r="BC548" s="73">
        <v>65</v>
      </c>
      <c r="BD548" s="51">
        <f>SUM(AZ548,BA548,BB548,BC548)</f>
        <v>260</v>
      </c>
      <c r="BE548" s="55">
        <v>260</v>
      </c>
      <c r="BF548" s="55">
        <v>260</v>
      </c>
      <c r="BG548" s="55">
        <v>260</v>
      </c>
      <c r="BH548" s="499"/>
    </row>
    <row r="549" spans="1:60" s="52" customFormat="1" collapsed="1" x14ac:dyDescent="0.25">
      <c r="A549" s="635"/>
      <c r="B549" s="764"/>
      <c r="C549" s="111"/>
      <c r="D549" s="111"/>
      <c r="E549" s="111"/>
      <c r="F549" s="111"/>
      <c r="G549" s="114"/>
      <c r="H549" s="114"/>
      <c r="I549" s="114"/>
      <c r="J549" s="114"/>
      <c r="K549" s="111"/>
      <c r="L549" s="114"/>
      <c r="M549" s="114"/>
      <c r="N549" s="114"/>
      <c r="O549" s="114"/>
      <c r="P549" s="111"/>
      <c r="Q549" s="114"/>
      <c r="R549" s="114"/>
      <c r="S549" s="114"/>
      <c r="T549" s="114"/>
      <c r="U549" s="111"/>
      <c r="V549" s="114"/>
      <c r="W549" s="114"/>
      <c r="X549" s="114"/>
      <c r="Y549" s="114"/>
      <c r="Z549" s="111"/>
      <c r="AA549" s="114"/>
      <c r="AB549" s="114"/>
      <c r="AC549" s="114"/>
      <c r="AD549" s="114"/>
      <c r="AE549" s="111"/>
      <c r="AF549" s="114"/>
      <c r="AG549" s="114"/>
      <c r="AH549" s="114"/>
      <c r="AI549" s="114"/>
      <c r="AJ549" s="111"/>
      <c r="AK549" s="114"/>
      <c r="AL549" s="114"/>
      <c r="AM549" s="114"/>
      <c r="AN549" s="114"/>
      <c r="AO549" s="111"/>
      <c r="AP549" s="114"/>
      <c r="AQ549" s="114"/>
      <c r="AR549" s="114"/>
      <c r="AS549" s="114"/>
      <c r="AT549" s="111"/>
      <c r="AU549" s="114"/>
      <c r="AV549" s="114"/>
      <c r="AW549" s="765"/>
      <c r="AX549" s="114"/>
      <c r="AY549" s="111"/>
      <c r="AZ549" s="114"/>
      <c r="BA549" s="114"/>
      <c r="BB549" s="114"/>
      <c r="BC549" s="114"/>
      <c r="BD549" s="111"/>
      <c r="BE549" s="111"/>
      <c r="BF549" s="111"/>
      <c r="BG549" s="111"/>
      <c r="BH549" s="499"/>
    </row>
    <row r="550" spans="1:60" s="19" customFormat="1" x14ac:dyDescent="0.25">
      <c r="A550" s="956" t="s">
        <v>122</v>
      </c>
      <c r="B550" s="956"/>
      <c r="C550" s="986"/>
      <c r="D550" s="986"/>
      <c r="E550" s="986"/>
      <c r="F550" s="986"/>
      <c r="G550" s="986"/>
      <c r="H550" s="986"/>
      <c r="I550" s="986"/>
      <c r="J550" s="986"/>
      <c r="K550" s="986"/>
      <c r="L550" s="986"/>
      <c r="M550" s="986"/>
      <c r="N550" s="986"/>
      <c r="O550" s="986"/>
      <c r="P550" s="986"/>
      <c r="Q550" s="986"/>
      <c r="R550" s="986"/>
      <c r="S550" s="986"/>
      <c r="T550" s="986"/>
      <c r="U550" s="986"/>
      <c r="V550" s="986"/>
      <c r="W550" s="986"/>
      <c r="X550" s="986"/>
      <c r="Y550" s="986"/>
      <c r="Z550" s="986"/>
      <c r="AA550" s="986"/>
      <c r="AB550" s="986"/>
      <c r="AC550" s="986"/>
      <c r="AD550" s="986"/>
      <c r="AE550" s="986"/>
      <c r="AF550" s="986"/>
      <c r="AG550" s="986"/>
      <c r="AH550" s="986"/>
      <c r="AI550" s="986"/>
      <c r="AJ550" s="986"/>
      <c r="AK550" s="986"/>
      <c r="AL550" s="986"/>
      <c r="AM550" s="986"/>
      <c r="AN550" s="986"/>
      <c r="AO550" s="986"/>
      <c r="AP550" s="986"/>
      <c r="AQ550" s="986"/>
      <c r="AR550" s="986"/>
      <c r="AS550" s="986"/>
      <c r="AT550" s="986"/>
      <c r="AU550" s="986"/>
      <c r="AV550" s="986"/>
      <c r="AW550" s="987"/>
      <c r="AX550" s="986"/>
      <c r="AY550" s="986"/>
      <c r="AZ550" s="986"/>
      <c r="BA550" s="986"/>
      <c r="BB550" s="986"/>
      <c r="BC550" s="986"/>
      <c r="BD550" s="986"/>
      <c r="BE550" s="986"/>
      <c r="BF550" s="986"/>
      <c r="BG550" s="986"/>
      <c r="BH550" s="730"/>
    </row>
    <row r="551" spans="1:60" s="49" customFormat="1" hidden="1" outlineLevel="1" x14ac:dyDescent="0.25">
      <c r="A551" s="96" t="s">
        <v>123</v>
      </c>
      <c r="B551" s="234"/>
      <c r="C551" s="39">
        <v>27508</v>
      </c>
      <c r="D551" s="39">
        <v>28279</v>
      </c>
      <c r="E551" s="39">
        <v>30848</v>
      </c>
      <c r="F551" s="39">
        <v>31770</v>
      </c>
      <c r="G551" s="113"/>
      <c r="H551" s="113"/>
      <c r="I551" s="113"/>
      <c r="J551" s="113"/>
      <c r="K551" s="39">
        <v>34021</v>
      </c>
      <c r="L551" s="113"/>
      <c r="M551" s="113"/>
      <c r="N551" s="113"/>
      <c r="O551" s="113"/>
      <c r="P551" s="39">
        <v>36769</v>
      </c>
      <c r="Q551" s="113"/>
      <c r="R551" s="113"/>
      <c r="S551" s="113"/>
      <c r="T551" s="113"/>
      <c r="U551" s="39">
        <v>40320</v>
      </c>
      <c r="V551" s="113"/>
      <c r="W551" s="113"/>
      <c r="X551" s="113"/>
      <c r="Y551" s="113"/>
      <c r="Z551" s="39">
        <v>42616</v>
      </c>
      <c r="AA551" s="113"/>
      <c r="AB551" s="113"/>
      <c r="AC551" s="113"/>
      <c r="AD551" s="113"/>
      <c r="AE551" s="39">
        <v>41881</v>
      </c>
      <c r="AF551" s="113"/>
      <c r="AG551" s="113"/>
      <c r="AH551" s="113"/>
      <c r="AI551" s="113"/>
      <c r="AJ551" s="39">
        <v>45038</v>
      </c>
      <c r="AK551" s="484">
        <v>11929</v>
      </c>
      <c r="AL551" s="191">
        <v>11308</v>
      </c>
      <c r="AM551" s="484">
        <v>13909</v>
      </c>
      <c r="AN551" s="484">
        <f>AO551-37154</f>
        <v>13401</v>
      </c>
      <c r="AO551" s="39">
        <v>50555</v>
      </c>
      <c r="AP551" s="484">
        <v>15326</v>
      </c>
      <c r="AQ551" s="191">
        <v>13837</v>
      </c>
      <c r="AR551" s="484">
        <v>8973</v>
      </c>
      <c r="AS551" s="113"/>
      <c r="AT551" s="104"/>
      <c r="AU551" s="113"/>
      <c r="AV551" s="113"/>
      <c r="AW551" s="699"/>
      <c r="AX551" s="113"/>
      <c r="AY551" s="104"/>
      <c r="AZ551" s="113"/>
      <c r="BA551" s="113"/>
      <c r="BB551" s="113"/>
      <c r="BC551" s="113"/>
      <c r="BD551" s="104"/>
      <c r="BE551" s="104"/>
      <c r="BF551" s="104"/>
      <c r="BG551" s="104"/>
      <c r="BH551" s="484"/>
    </row>
    <row r="552" spans="1:60" s="49" customFormat="1" hidden="1" outlineLevel="1" x14ac:dyDescent="0.25">
      <c r="A552" s="363" t="s">
        <v>126</v>
      </c>
      <c r="B552" s="536"/>
      <c r="C552" s="219">
        <v>769</v>
      </c>
      <c r="D552" s="219">
        <v>914</v>
      </c>
      <c r="E552" s="219">
        <v>1073</v>
      </c>
      <c r="F552" s="219">
        <v>1295</v>
      </c>
      <c r="G552" s="215"/>
      <c r="H552" s="215"/>
      <c r="I552" s="215"/>
      <c r="J552" s="215"/>
      <c r="K552" s="219">
        <v>1506</v>
      </c>
      <c r="L552" s="215"/>
      <c r="M552" s="215"/>
      <c r="N552" s="215"/>
      <c r="O552" s="215"/>
      <c r="P552" s="219">
        <v>1609</v>
      </c>
      <c r="Q552" s="215"/>
      <c r="R552" s="215"/>
      <c r="S552" s="215"/>
      <c r="T552" s="215"/>
      <c r="U552" s="219">
        <v>1680</v>
      </c>
      <c r="V552" s="215"/>
      <c r="W552" s="215"/>
      <c r="X552" s="215"/>
      <c r="Y552" s="215"/>
      <c r="Z552" s="219">
        <v>1720</v>
      </c>
      <c r="AA552" s="215"/>
      <c r="AB552" s="215"/>
      <c r="AC552" s="215"/>
      <c r="AD552" s="215"/>
      <c r="AE552" s="219">
        <v>1640</v>
      </c>
      <c r="AF552" s="215"/>
      <c r="AG552" s="215"/>
      <c r="AH552" s="215"/>
      <c r="AI552" s="215"/>
      <c r="AJ552" s="219">
        <v>1839</v>
      </c>
      <c r="AK552" s="220">
        <v>550</v>
      </c>
      <c r="AL552" s="221">
        <v>592</v>
      </c>
      <c r="AM552" s="220">
        <v>1078</v>
      </c>
      <c r="AN552" s="220">
        <f>AO552-2223</f>
        <v>990</v>
      </c>
      <c r="AO552" s="219">
        <v>3213</v>
      </c>
      <c r="AP552" s="220">
        <v>950</v>
      </c>
      <c r="AQ552" s="221">
        <v>790</v>
      </c>
      <c r="AR552" s="220">
        <v>412</v>
      </c>
      <c r="AS552" s="215"/>
      <c r="AT552" s="230"/>
      <c r="AU552" s="215"/>
      <c r="AV552" s="215"/>
      <c r="AW552" s="774"/>
      <c r="AX552" s="215"/>
      <c r="AY552" s="230"/>
      <c r="AZ552" s="215"/>
      <c r="BA552" s="215"/>
      <c r="BB552" s="215"/>
      <c r="BC552" s="215"/>
      <c r="BD552" s="230"/>
      <c r="BE552" s="230"/>
      <c r="BF552" s="230"/>
      <c r="BG552" s="230"/>
      <c r="BH552" s="484"/>
    </row>
    <row r="553" spans="1:60" s="470" customFormat="1" hidden="1" outlineLevel="1" x14ac:dyDescent="0.25">
      <c r="A553" s="483" t="s">
        <v>702</v>
      </c>
      <c r="B553" s="234"/>
      <c r="C553" s="39">
        <f>SUM(C551:C552)</f>
        <v>28277</v>
      </c>
      <c r="D553" s="39">
        <f t="shared" ref="D553:AR553" si="665">SUM(D551:D552)</f>
        <v>29193</v>
      </c>
      <c r="E553" s="39">
        <f t="shared" si="665"/>
        <v>31921</v>
      </c>
      <c r="F553" s="39">
        <f t="shared" si="665"/>
        <v>33065</v>
      </c>
      <c r="G553" s="484">
        <f t="shared" si="665"/>
        <v>0</v>
      </c>
      <c r="H553" s="484">
        <f t="shared" si="665"/>
        <v>0</v>
      </c>
      <c r="I553" s="484">
        <f t="shared" si="665"/>
        <v>0</v>
      </c>
      <c r="J553" s="484">
        <f t="shared" si="665"/>
        <v>0</v>
      </c>
      <c r="K553" s="39">
        <f t="shared" si="665"/>
        <v>35527</v>
      </c>
      <c r="L553" s="484">
        <f t="shared" si="665"/>
        <v>0</v>
      </c>
      <c r="M553" s="484">
        <f t="shared" si="665"/>
        <v>0</v>
      </c>
      <c r="N553" s="484">
        <f t="shared" si="665"/>
        <v>0</v>
      </c>
      <c r="O553" s="484">
        <f t="shared" si="665"/>
        <v>0</v>
      </c>
      <c r="P553" s="39">
        <f t="shared" si="665"/>
        <v>38378</v>
      </c>
      <c r="Q553" s="484">
        <f t="shared" si="665"/>
        <v>0</v>
      </c>
      <c r="R553" s="484">
        <f t="shared" si="665"/>
        <v>0</v>
      </c>
      <c r="S553" s="484">
        <f t="shared" si="665"/>
        <v>0</v>
      </c>
      <c r="T553" s="484">
        <f t="shared" si="665"/>
        <v>0</v>
      </c>
      <c r="U553" s="39">
        <f t="shared" si="665"/>
        <v>42000</v>
      </c>
      <c r="V553" s="484">
        <f t="shared" si="665"/>
        <v>0</v>
      </c>
      <c r="W553" s="484">
        <f t="shared" si="665"/>
        <v>0</v>
      </c>
      <c r="X553" s="484">
        <f t="shared" si="665"/>
        <v>0</v>
      </c>
      <c r="Y553" s="484">
        <f t="shared" si="665"/>
        <v>0</v>
      </c>
      <c r="Z553" s="39">
        <f t="shared" si="665"/>
        <v>44336</v>
      </c>
      <c r="AA553" s="484">
        <f t="shared" si="665"/>
        <v>0</v>
      </c>
      <c r="AB553" s="191">
        <f t="shared" si="665"/>
        <v>0</v>
      </c>
      <c r="AC553" s="484">
        <f t="shared" si="665"/>
        <v>0</v>
      </c>
      <c r="AD553" s="484">
        <f t="shared" si="665"/>
        <v>0</v>
      </c>
      <c r="AE553" s="39">
        <f t="shared" si="665"/>
        <v>43521</v>
      </c>
      <c r="AF553" s="484">
        <f t="shared" si="665"/>
        <v>0</v>
      </c>
      <c r="AG553" s="191">
        <f t="shared" si="665"/>
        <v>0</v>
      </c>
      <c r="AH553" s="484">
        <f t="shared" si="665"/>
        <v>0</v>
      </c>
      <c r="AI553" s="484">
        <f t="shared" si="665"/>
        <v>0</v>
      </c>
      <c r="AJ553" s="39">
        <f t="shared" si="665"/>
        <v>46877</v>
      </c>
      <c r="AK553" s="484">
        <f t="shared" si="665"/>
        <v>12479</v>
      </c>
      <c r="AL553" s="191">
        <f t="shared" si="665"/>
        <v>11900</v>
      </c>
      <c r="AM553" s="484">
        <f t="shared" si="665"/>
        <v>14987</v>
      </c>
      <c r="AN553" s="484">
        <f t="shared" si="665"/>
        <v>14391</v>
      </c>
      <c r="AO553" s="39">
        <f t="shared" si="665"/>
        <v>53768</v>
      </c>
      <c r="AP553" s="484">
        <f t="shared" si="665"/>
        <v>16276</v>
      </c>
      <c r="AQ553" s="191">
        <f t="shared" si="665"/>
        <v>14627</v>
      </c>
      <c r="AR553" s="484">
        <f t="shared" si="665"/>
        <v>9385</v>
      </c>
      <c r="AS553" s="484">
        <f>AT553-38136-2187</f>
        <v>11669</v>
      </c>
      <c r="AT553" s="39">
        <v>51992</v>
      </c>
      <c r="AU553" s="484">
        <v>12747</v>
      </c>
      <c r="AV553" s="191">
        <v>12707</v>
      </c>
      <c r="AW553" s="289">
        <v>13704</v>
      </c>
      <c r="AX553" s="113"/>
      <c r="AY553" s="104"/>
      <c r="AZ553" s="113"/>
      <c r="BA553" s="113"/>
      <c r="BB553" s="113"/>
      <c r="BC553" s="113"/>
      <c r="BD553" s="104"/>
      <c r="BE553" s="104"/>
      <c r="BF553" s="104"/>
      <c r="BG553" s="104"/>
      <c r="BH553" s="484"/>
    </row>
    <row r="554" spans="1:60" s="49" customFormat="1" hidden="1" outlineLevel="1" x14ac:dyDescent="0.25">
      <c r="A554" s="483" t="s">
        <v>124</v>
      </c>
      <c r="B554" s="234"/>
      <c r="C554" s="39">
        <v>6012</v>
      </c>
      <c r="D554" s="39">
        <v>6550</v>
      </c>
      <c r="E554" s="39">
        <v>6455</v>
      </c>
      <c r="F554" s="39">
        <v>6223</v>
      </c>
      <c r="G554" s="113"/>
      <c r="H554" s="113"/>
      <c r="I554" s="113"/>
      <c r="J554" s="113"/>
      <c r="K554" s="39">
        <v>6181</v>
      </c>
      <c r="L554" s="113"/>
      <c r="M554" s="113"/>
      <c r="N554" s="113"/>
      <c r="O554" s="113"/>
      <c r="P554" s="39">
        <v>6505</v>
      </c>
      <c r="Q554" s="113"/>
      <c r="R554" s="113"/>
      <c r="S554" s="113"/>
      <c r="T554" s="113"/>
      <c r="U554" s="39">
        <v>6507</v>
      </c>
      <c r="V554" s="113"/>
      <c r="W554" s="113"/>
      <c r="X554" s="113"/>
      <c r="Y554" s="113"/>
      <c r="Z554" s="39">
        <v>6714</v>
      </c>
      <c r="AA554" s="113"/>
      <c r="AB554" s="113"/>
      <c r="AC554" s="113"/>
      <c r="AD554" s="113"/>
      <c r="AE554" s="39">
        <v>6541</v>
      </c>
      <c r="AF554" s="113"/>
      <c r="AG554" s="113"/>
      <c r="AH554" s="113"/>
      <c r="AI554" s="113"/>
      <c r="AJ554" s="39">
        <v>7026</v>
      </c>
      <c r="AK554" s="484">
        <v>1795</v>
      </c>
      <c r="AL554" s="191">
        <v>1541</v>
      </c>
      <c r="AM554" s="484">
        <v>2353</v>
      </c>
      <c r="AN554" s="484">
        <f>AO554-5452</f>
        <v>2554</v>
      </c>
      <c r="AO554" s="39">
        <v>8006</v>
      </c>
      <c r="AP554" s="484">
        <v>2496</v>
      </c>
      <c r="AQ554" s="191">
        <v>1884</v>
      </c>
      <c r="AR554" s="484">
        <v>1302</v>
      </c>
      <c r="AS554" s="484">
        <f>AT554-SUM(AP554,AQ554,AR554)</f>
        <v>1651</v>
      </c>
      <c r="AT554" s="39">
        <v>7333</v>
      </c>
      <c r="AU554" s="484">
        <v>1780</v>
      </c>
      <c r="AV554" s="191">
        <v>1486</v>
      </c>
      <c r="AW554" s="289">
        <v>1517</v>
      </c>
      <c r="AX554" s="113"/>
      <c r="AY554" s="104"/>
      <c r="AZ554" s="113"/>
      <c r="BA554" s="113"/>
      <c r="BB554" s="113"/>
      <c r="BC554" s="113"/>
      <c r="BD554" s="104"/>
      <c r="BE554" s="104"/>
      <c r="BF554" s="104"/>
      <c r="BG554" s="104"/>
      <c r="BH554" s="484"/>
    </row>
    <row r="555" spans="1:60" s="49" customFormat="1" hidden="1" outlineLevel="1" x14ac:dyDescent="0.25">
      <c r="A555" s="483" t="s">
        <v>125</v>
      </c>
      <c r="B555" s="234"/>
      <c r="C555" s="39">
        <v>1860</v>
      </c>
      <c r="D555" s="39">
        <v>2320</v>
      </c>
      <c r="E555" s="39">
        <v>2517</v>
      </c>
      <c r="F555" s="39">
        <v>2990</v>
      </c>
      <c r="G555" s="113"/>
      <c r="H555" s="113"/>
      <c r="I555" s="113"/>
      <c r="J555" s="113"/>
      <c r="K555" s="39">
        <v>3333</v>
      </c>
      <c r="L555" s="113"/>
      <c r="M555" s="113"/>
      <c r="N555" s="113"/>
      <c r="O555" s="113"/>
      <c r="P555" s="39">
        <v>3930</v>
      </c>
      <c r="Q555" s="113"/>
      <c r="R555" s="113"/>
      <c r="S555" s="113"/>
      <c r="T555" s="113"/>
      <c r="U555" s="39">
        <v>3958</v>
      </c>
      <c r="V555" s="113"/>
      <c r="W555" s="113"/>
      <c r="X555" s="113"/>
      <c r="Y555" s="113"/>
      <c r="Z555" s="39">
        <v>4582</v>
      </c>
      <c r="AA555" s="113"/>
      <c r="AB555" s="113"/>
      <c r="AC555" s="113"/>
      <c r="AD555" s="113"/>
      <c r="AE555" s="39">
        <v>5075</v>
      </c>
      <c r="AF555" s="113"/>
      <c r="AG555" s="113"/>
      <c r="AH555" s="113"/>
      <c r="AI555" s="113"/>
      <c r="AJ555" s="39">
        <v>5531</v>
      </c>
      <c r="AK555" s="484">
        <v>1029</v>
      </c>
      <c r="AL555" s="191">
        <v>1481</v>
      </c>
      <c r="AM555" s="484">
        <v>2905</v>
      </c>
      <c r="AN555" s="484">
        <f>AO555-5641</f>
        <v>2155</v>
      </c>
      <c r="AO555" s="39">
        <v>7796</v>
      </c>
      <c r="AP555" s="484">
        <v>2086</v>
      </c>
      <c r="AQ555" s="191">
        <v>1498</v>
      </c>
      <c r="AR555" s="484">
        <v>1092</v>
      </c>
      <c r="AS555" s="484">
        <f>AT555-SUM(AP555,AQ555,AR555)</f>
        <v>1387</v>
      </c>
      <c r="AT555" s="39">
        <v>6063</v>
      </c>
      <c r="AU555" s="484">
        <v>1722</v>
      </c>
      <c r="AV555" s="191">
        <v>1420</v>
      </c>
      <c r="AW555" s="289">
        <v>1801</v>
      </c>
      <c r="AX555" s="113"/>
      <c r="AY555" s="104"/>
      <c r="AZ555" s="113"/>
      <c r="BA555" s="113"/>
      <c r="BB555" s="113"/>
      <c r="BC555" s="113"/>
      <c r="BD555" s="104"/>
      <c r="BE555" s="104"/>
      <c r="BF555" s="104"/>
      <c r="BG555" s="104"/>
      <c r="BH555" s="484"/>
    </row>
    <row r="556" spans="1:60" s="52" customFormat="1" hidden="1" outlineLevel="1" x14ac:dyDescent="0.25">
      <c r="A556" s="500" t="s">
        <v>127</v>
      </c>
      <c r="B556" s="762"/>
      <c r="C556" s="53">
        <f>SUM(C553:C555)</f>
        <v>36149</v>
      </c>
      <c r="D556" s="53">
        <f t="shared" ref="D556:AR556" si="666">SUM(D553:D555)</f>
        <v>38063</v>
      </c>
      <c r="E556" s="53">
        <f t="shared" si="666"/>
        <v>40893</v>
      </c>
      <c r="F556" s="53">
        <f t="shared" si="666"/>
        <v>42278</v>
      </c>
      <c r="G556" s="61">
        <f t="shared" si="666"/>
        <v>0</v>
      </c>
      <c r="H556" s="61">
        <f t="shared" si="666"/>
        <v>0</v>
      </c>
      <c r="I556" s="61">
        <f t="shared" si="666"/>
        <v>0</v>
      </c>
      <c r="J556" s="61">
        <f t="shared" si="666"/>
        <v>0</v>
      </c>
      <c r="K556" s="53">
        <f t="shared" si="666"/>
        <v>45041</v>
      </c>
      <c r="L556" s="61">
        <f t="shared" si="666"/>
        <v>0</v>
      </c>
      <c r="M556" s="61">
        <f t="shared" si="666"/>
        <v>0</v>
      </c>
      <c r="N556" s="61">
        <f t="shared" si="666"/>
        <v>0</v>
      </c>
      <c r="O556" s="61">
        <f t="shared" si="666"/>
        <v>0</v>
      </c>
      <c r="P556" s="53">
        <f t="shared" si="666"/>
        <v>48813</v>
      </c>
      <c r="Q556" s="61">
        <f t="shared" si="666"/>
        <v>0</v>
      </c>
      <c r="R556" s="61">
        <f t="shared" si="666"/>
        <v>0</v>
      </c>
      <c r="S556" s="61">
        <f t="shared" si="666"/>
        <v>0</v>
      </c>
      <c r="T556" s="61">
        <f t="shared" si="666"/>
        <v>0</v>
      </c>
      <c r="U556" s="53">
        <f t="shared" si="666"/>
        <v>52465</v>
      </c>
      <c r="V556" s="61">
        <f t="shared" si="666"/>
        <v>0</v>
      </c>
      <c r="W556" s="61">
        <f t="shared" si="666"/>
        <v>0</v>
      </c>
      <c r="X556" s="61">
        <f t="shared" si="666"/>
        <v>0</v>
      </c>
      <c r="Y556" s="61">
        <f t="shared" si="666"/>
        <v>0</v>
      </c>
      <c r="Z556" s="53">
        <f t="shared" si="666"/>
        <v>55632</v>
      </c>
      <c r="AA556" s="61">
        <f t="shared" si="666"/>
        <v>0</v>
      </c>
      <c r="AB556" s="192">
        <f t="shared" si="666"/>
        <v>0</v>
      </c>
      <c r="AC556" s="61">
        <f t="shared" si="666"/>
        <v>0</v>
      </c>
      <c r="AD556" s="61">
        <f t="shared" si="666"/>
        <v>0</v>
      </c>
      <c r="AE556" s="53">
        <f t="shared" si="666"/>
        <v>55137</v>
      </c>
      <c r="AF556" s="61">
        <f t="shared" si="666"/>
        <v>0</v>
      </c>
      <c r="AG556" s="192">
        <f t="shared" si="666"/>
        <v>0</v>
      </c>
      <c r="AH556" s="61">
        <f t="shared" si="666"/>
        <v>0</v>
      </c>
      <c r="AI556" s="61">
        <f t="shared" si="666"/>
        <v>0</v>
      </c>
      <c r="AJ556" s="53">
        <f t="shared" si="666"/>
        <v>59434</v>
      </c>
      <c r="AK556" s="61">
        <f t="shared" si="666"/>
        <v>15303</v>
      </c>
      <c r="AL556" s="192">
        <f t="shared" si="666"/>
        <v>14922</v>
      </c>
      <c r="AM556" s="61">
        <f t="shared" si="666"/>
        <v>20245</v>
      </c>
      <c r="AN556" s="61">
        <f t="shared" si="666"/>
        <v>19100</v>
      </c>
      <c r="AO556" s="53">
        <f t="shared" si="666"/>
        <v>69570</v>
      </c>
      <c r="AP556" s="61">
        <f t="shared" si="666"/>
        <v>20858</v>
      </c>
      <c r="AQ556" s="192">
        <f t="shared" si="666"/>
        <v>18009</v>
      </c>
      <c r="AR556" s="61">
        <f t="shared" si="666"/>
        <v>11779</v>
      </c>
      <c r="AS556" s="61">
        <f t="shared" ref="AS556" si="667">SUM(AS553:AS555)</f>
        <v>14707</v>
      </c>
      <c r="AT556" s="53">
        <f t="shared" ref="AT556" si="668">SUM(AT553:AT555)</f>
        <v>65388</v>
      </c>
      <c r="AU556" s="61">
        <f>SUM(AU553:AU555)</f>
        <v>16249</v>
      </c>
      <c r="AV556" s="192">
        <f>SUM(AV553:AV555)</f>
        <v>15613</v>
      </c>
      <c r="AW556" s="872">
        <f>SUM(AW553:AW555)</f>
        <v>17022</v>
      </c>
      <c r="AX556" s="105"/>
      <c r="AY556" s="106"/>
      <c r="AZ556" s="105"/>
      <c r="BA556" s="105"/>
      <c r="BB556" s="105"/>
      <c r="BC556" s="105"/>
      <c r="BD556" s="106"/>
      <c r="BE556" s="106"/>
      <c r="BF556" s="106"/>
      <c r="BG556" s="106"/>
      <c r="BH556" s="499"/>
    </row>
    <row r="557" spans="1:60" s="44" customFormat="1" collapsed="1" x14ac:dyDescent="0.25">
      <c r="A557" s="748"/>
      <c r="B557" s="246"/>
      <c r="C557" s="478"/>
      <c r="D557" s="478"/>
      <c r="E557" s="478"/>
      <c r="F557" s="478"/>
      <c r="G557" s="480"/>
      <c r="H557" s="480"/>
      <c r="I557" s="480"/>
      <c r="J557" s="480"/>
      <c r="K557" s="478"/>
      <c r="L557" s="480"/>
      <c r="M557" s="480"/>
      <c r="N557" s="480"/>
      <c r="O557" s="480"/>
      <c r="P557" s="478"/>
      <c r="Q557" s="480"/>
      <c r="R557" s="480"/>
      <c r="S557" s="480"/>
      <c r="T557" s="480"/>
      <c r="U557" s="478"/>
      <c r="V557" s="480"/>
      <c r="W557" s="480"/>
      <c r="X557" s="480"/>
      <c r="Y557" s="480"/>
      <c r="Z557" s="478"/>
      <c r="AA557" s="480"/>
      <c r="AB557" s="480"/>
      <c r="AC557" s="480"/>
      <c r="AD557" s="480"/>
      <c r="AE557" s="478"/>
      <c r="AF557" s="480"/>
      <c r="AG557" s="480"/>
      <c r="AH557" s="480"/>
      <c r="AI557" s="480"/>
      <c r="AJ557" s="478"/>
      <c r="AK557" s="480"/>
      <c r="AL557" s="480"/>
      <c r="AM557" s="480"/>
      <c r="AN557" s="480"/>
      <c r="AO557" s="478"/>
      <c r="AP557" s="480"/>
      <c r="AQ557" s="480"/>
      <c r="AR557" s="480"/>
      <c r="AS557" s="480"/>
      <c r="AT557" s="478"/>
      <c r="AU557" s="480"/>
      <c r="AV557" s="480"/>
      <c r="AW557" s="708"/>
      <c r="AX557" s="480"/>
      <c r="AY557" s="478"/>
      <c r="AZ557" s="480"/>
      <c r="BA557" s="480"/>
      <c r="BB557" s="480"/>
      <c r="BC557" s="480"/>
      <c r="BD557" s="478"/>
      <c r="BE557" s="478"/>
      <c r="BF557" s="478"/>
      <c r="BG557" s="478"/>
      <c r="BH557" s="473"/>
    </row>
    <row r="558" spans="1:60" s="19" customFormat="1" x14ac:dyDescent="0.25">
      <c r="A558" s="956" t="s">
        <v>128</v>
      </c>
      <c r="B558" s="956"/>
      <c r="C558" s="986"/>
      <c r="D558" s="986"/>
      <c r="E558" s="986"/>
      <c r="F558" s="986"/>
      <c r="G558" s="986"/>
      <c r="H558" s="986"/>
      <c r="I558" s="986"/>
      <c r="J558" s="986"/>
      <c r="K558" s="986"/>
      <c r="L558" s="986"/>
      <c r="M558" s="986"/>
      <c r="N558" s="986"/>
      <c r="O558" s="986"/>
      <c r="P558" s="986"/>
      <c r="Q558" s="986"/>
      <c r="R558" s="986"/>
      <c r="S558" s="986"/>
      <c r="T558" s="986"/>
      <c r="U558" s="986"/>
      <c r="V558" s="986"/>
      <c r="W558" s="986"/>
      <c r="X558" s="986"/>
      <c r="Y558" s="986"/>
      <c r="Z558" s="986"/>
      <c r="AA558" s="986"/>
      <c r="AB558" s="986"/>
      <c r="AC558" s="986"/>
      <c r="AD558" s="986"/>
      <c r="AE558" s="986"/>
      <c r="AF558" s="986"/>
      <c r="AG558" s="986"/>
      <c r="AH558" s="986"/>
      <c r="AI558" s="986"/>
      <c r="AJ558" s="986"/>
      <c r="AK558" s="986"/>
      <c r="AL558" s="986"/>
      <c r="AM558" s="986"/>
      <c r="AN558" s="986"/>
      <c r="AO558" s="986"/>
      <c r="AP558" s="986"/>
      <c r="AQ558" s="986"/>
      <c r="AR558" s="986"/>
      <c r="AS558" s="986"/>
      <c r="AT558" s="986"/>
      <c r="AU558" s="986"/>
      <c r="AV558" s="986"/>
      <c r="AW558" s="987"/>
      <c r="AX558" s="986"/>
      <c r="AY558" s="986"/>
      <c r="AZ558" s="986"/>
      <c r="BA558" s="986"/>
      <c r="BB558" s="986"/>
      <c r="BC558" s="986"/>
      <c r="BD558" s="986"/>
      <c r="BE558" s="986"/>
      <c r="BF558" s="986"/>
      <c r="BG558" s="986"/>
      <c r="BH558" s="730"/>
    </row>
    <row r="559" spans="1:60" s="19" customFormat="1" hidden="1" outlineLevel="1" x14ac:dyDescent="0.25">
      <c r="A559" s="956" t="s">
        <v>516</v>
      </c>
      <c r="B559" s="956"/>
      <c r="C559" s="986"/>
      <c r="D559" s="986"/>
      <c r="E559" s="986"/>
      <c r="F559" s="986"/>
      <c r="G559" s="986"/>
      <c r="H559" s="986"/>
      <c r="I559" s="986"/>
      <c r="J559" s="986"/>
      <c r="K559" s="986"/>
      <c r="L559" s="986"/>
      <c r="M559" s="986"/>
      <c r="N559" s="986"/>
      <c r="O559" s="986"/>
      <c r="P559" s="986"/>
      <c r="Q559" s="986"/>
      <c r="R559" s="986"/>
      <c r="S559" s="986"/>
      <c r="T559" s="986"/>
      <c r="U559" s="986"/>
      <c r="V559" s="986"/>
      <c r="W559" s="986"/>
      <c r="X559" s="986"/>
      <c r="Y559" s="986"/>
      <c r="Z559" s="986"/>
      <c r="AA559" s="986"/>
      <c r="AB559" s="986"/>
      <c r="AC559" s="986"/>
      <c r="AD559" s="986"/>
      <c r="AE559" s="986"/>
      <c r="AF559" s="986"/>
      <c r="AG559" s="986"/>
      <c r="AH559" s="986"/>
      <c r="AI559" s="986"/>
      <c r="AJ559" s="986"/>
      <c r="AK559" s="986"/>
      <c r="AL559" s="986"/>
      <c r="AM559" s="986"/>
      <c r="AN559" s="986"/>
      <c r="AO559" s="986"/>
      <c r="AP559" s="986"/>
      <c r="AQ559" s="986"/>
      <c r="AR559" s="986"/>
      <c r="AS559" s="986"/>
      <c r="AT559" s="986"/>
      <c r="AU559" s="986"/>
      <c r="AV559" s="986"/>
      <c r="AW559" s="987"/>
      <c r="AX559" s="986"/>
      <c r="AY559" s="986"/>
      <c r="AZ559" s="986"/>
      <c r="BA559" s="986"/>
      <c r="BB559" s="986"/>
      <c r="BC559" s="986"/>
      <c r="BD559" s="986"/>
      <c r="BE559" s="986"/>
      <c r="BF559" s="986"/>
      <c r="BG559" s="986"/>
      <c r="BH559" s="730"/>
    </row>
    <row r="560" spans="1:60" s="470" customFormat="1" hidden="1" outlineLevel="1" x14ac:dyDescent="0.25">
      <c r="A560" s="226" t="s">
        <v>525</v>
      </c>
      <c r="B560" s="514"/>
      <c r="C560" s="492"/>
      <c r="D560" s="492"/>
      <c r="E560" s="492"/>
      <c r="F560" s="492"/>
      <c r="G560" s="491"/>
      <c r="H560" s="491"/>
      <c r="I560" s="491"/>
      <c r="J560" s="491"/>
      <c r="K560" s="492"/>
      <c r="L560" s="491"/>
      <c r="M560" s="491"/>
      <c r="N560" s="491"/>
      <c r="O560" s="491"/>
      <c r="P560" s="492"/>
      <c r="Q560" s="491"/>
      <c r="R560" s="491"/>
      <c r="S560" s="491"/>
      <c r="T560" s="491"/>
      <c r="U560" s="492"/>
      <c r="V560" s="491"/>
      <c r="W560" s="491"/>
      <c r="X560" s="491"/>
      <c r="Y560" s="491"/>
      <c r="Z560" s="492"/>
      <c r="AA560" s="491"/>
      <c r="AB560" s="491"/>
      <c r="AC560" s="491"/>
      <c r="AD560" s="491"/>
      <c r="AE560" s="492"/>
      <c r="AF560" s="491"/>
      <c r="AG560" s="491"/>
      <c r="AH560" s="491"/>
      <c r="AI560" s="491"/>
      <c r="AJ560" s="492"/>
      <c r="AK560" s="491"/>
      <c r="AL560" s="491">
        <v>134</v>
      </c>
      <c r="AM560" s="491"/>
      <c r="AN560" s="491"/>
      <c r="AO560" s="492"/>
      <c r="AP560" s="491"/>
      <c r="AQ560" s="491"/>
      <c r="AR560" s="491"/>
      <c r="AS560" s="491"/>
      <c r="AT560" s="492"/>
      <c r="AU560" s="491"/>
      <c r="AV560" s="491"/>
      <c r="AW560" s="692"/>
      <c r="AX560" s="491"/>
      <c r="AY560" s="492"/>
      <c r="AZ560" s="491"/>
      <c r="BA560" s="491"/>
      <c r="BB560" s="491"/>
      <c r="BC560" s="491"/>
      <c r="BD560" s="492"/>
      <c r="BE560" s="492"/>
      <c r="BF560" s="492"/>
      <c r="BG560" s="492"/>
      <c r="BH560" s="484"/>
    </row>
    <row r="561" spans="1:60" s="470" customFormat="1" hidden="1" outlineLevel="1" x14ac:dyDescent="0.25">
      <c r="A561" s="226" t="s">
        <v>526</v>
      </c>
      <c r="B561" s="514"/>
      <c r="C561" s="492"/>
      <c r="D561" s="492"/>
      <c r="E561" s="492"/>
      <c r="F561" s="492"/>
      <c r="G561" s="491"/>
      <c r="H561" s="491"/>
      <c r="I561" s="491"/>
      <c r="J561" s="491"/>
      <c r="K561" s="492"/>
      <c r="L561" s="491"/>
      <c r="M561" s="491"/>
      <c r="N561" s="491"/>
      <c r="O561" s="491"/>
      <c r="P561" s="492"/>
      <c r="Q561" s="491"/>
      <c r="R561" s="491"/>
      <c r="S561" s="491"/>
      <c r="T561" s="491"/>
      <c r="U561" s="492"/>
      <c r="V561" s="491"/>
      <c r="W561" s="491"/>
      <c r="X561" s="491"/>
      <c r="Y561" s="491"/>
      <c r="Z561" s="492"/>
      <c r="AA561" s="491"/>
      <c r="AB561" s="491"/>
      <c r="AC561" s="491"/>
      <c r="AD561" s="491"/>
      <c r="AE561" s="492"/>
      <c r="AF561" s="491"/>
      <c r="AG561" s="491"/>
      <c r="AH561" s="491"/>
      <c r="AI561" s="491"/>
      <c r="AJ561" s="492"/>
      <c r="AK561" s="491"/>
      <c r="AL561" s="491">
        <v>118</v>
      </c>
      <c r="AM561" s="491"/>
      <c r="AN561" s="491"/>
      <c r="AO561" s="492"/>
      <c r="AP561" s="491"/>
      <c r="AQ561" s="491"/>
      <c r="AR561" s="491"/>
      <c r="AS561" s="491"/>
      <c r="AT561" s="492"/>
      <c r="AU561" s="491"/>
      <c r="AV561" s="491"/>
      <c r="AW561" s="692"/>
      <c r="AX561" s="491"/>
      <c r="AY561" s="492"/>
      <c r="AZ561" s="491"/>
      <c r="BA561" s="491"/>
      <c r="BB561" s="491"/>
      <c r="BC561" s="491"/>
      <c r="BD561" s="492"/>
      <c r="BE561" s="492"/>
      <c r="BF561" s="492"/>
      <c r="BG561" s="492"/>
      <c r="BH561" s="484"/>
    </row>
    <row r="562" spans="1:60" s="470" customFormat="1" hidden="1" outlineLevel="1" x14ac:dyDescent="0.25">
      <c r="A562" s="226" t="s">
        <v>529</v>
      </c>
      <c r="B562" s="514"/>
      <c r="C562" s="492"/>
      <c r="D562" s="492"/>
      <c r="E562" s="492"/>
      <c r="F562" s="492"/>
      <c r="G562" s="491"/>
      <c r="H562" s="491"/>
      <c r="I562" s="491"/>
      <c r="J562" s="491"/>
      <c r="K562" s="492"/>
      <c r="L562" s="491"/>
      <c r="M562" s="491"/>
      <c r="N562" s="491"/>
      <c r="O562" s="491"/>
      <c r="P562" s="492"/>
      <c r="Q562" s="491"/>
      <c r="R562" s="491"/>
      <c r="S562" s="491"/>
      <c r="T562" s="491"/>
      <c r="U562" s="492"/>
      <c r="V562" s="491"/>
      <c r="W562" s="491"/>
      <c r="X562" s="491"/>
      <c r="Y562" s="491"/>
      <c r="Z562" s="492"/>
      <c r="AA562" s="491"/>
      <c r="AB562" s="491"/>
      <c r="AC562" s="491"/>
      <c r="AD562" s="491"/>
      <c r="AE562" s="492"/>
      <c r="AF562" s="491"/>
      <c r="AG562" s="491"/>
      <c r="AH562" s="491"/>
      <c r="AI562" s="491"/>
      <c r="AJ562" s="492"/>
      <c r="AK562" s="491"/>
      <c r="AL562" s="491">
        <v>91</v>
      </c>
      <c r="AM562" s="491"/>
      <c r="AN562" s="491"/>
      <c r="AO562" s="492"/>
      <c r="AP562" s="491"/>
      <c r="AQ562" s="491"/>
      <c r="AR562" s="491"/>
      <c r="AS562" s="491"/>
      <c r="AT562" s="492"/>
      <c r="AU562" s="491"/>
      <c r="AV562" s="491"/>
      <c r="AW562" s="692"/>
      <c r="AX562" s="491"/>
      <c r="AY562" s="492"/>
      <c r="AZ562" s="491"/>
      <c r="BA562" s="491"/>
      <c r="BB562" s="491"/>
      <c r="BC562" s="491"/>
      <c r="BD562" s="492"/>
      <c r="BE562" s="492"/>
      <c r="BF562" s="492"/>
      <c r="BG562" s="492"/>
      <c r="BH562" s="484"/>
    </row>
    <row r="563" spans="1:60" s="470" customFormat="1" hidden="1" outlineLevel="1" x14ac:dyDescent="0.25">
      <c r="A563" s="226" t="s">
        <v>530</v>
      </c>
      <c r="B563" s="514"/>
      <c r="C563" s="492"/>
      <c r="D563" s="492"/>
      <c r="E563" s="492"/>
      <c r="F563" s="492"/>
      <c r="G563" s="491"/>
      <c r="H563" s="491"/>
      <c r="I563" s="491"/>
      <c r="J563" s="491"/>
      <c r="K563" s="492"/>
      <c r="L563" s="491"/>
      <c r="M563" s="491"/>
      <c r="N563" s="491"/>
      <c r="O563" s="491"/>
      <c r="P563" s="492"/>
      <c r="Q563" s="491"/>
      <c r="R563" s="491"/>
      <c r="S563" s="491"/>
      <c r="T563" s="491"/>
      <c r="U563" s="492"/>
      <c r="V563" s="491"/>
      <c r="W563" s="491"/>
      <c r="X563" s="491"/>
      <c r="Y563" s="491"/>
      <c r="Z563" s="492"/>
      <c r="AA563" s="491"/>
      <c r="AB563" s="491"/>
      <c r="AC563" s="491"/>
      <c r="AD563" s="491"/>
      <c r="AE563" s="492"/>
      <c r="AF563" s="491"/>
      <c r="AG563" s="491"/>
      <c r="AH563" s="491"/>
      <c r="AI563" s="491"/>
      <c r="AJ563" s="492"/>
      <c r="AK563" s="491"/>
      <c r="AL563" s="491">
        <v>7</v>
      </c>
      <c r="AM563" s="491"/>
      <c r="AN563" s="491"/>
      <c r="AO563" s="492"/>
      <c r="AP563" s="491"/>
      <c r="AQ563" s="491"/>
      <c r="AR563" s="491"/>
      <c r="AS563" s="491"/>
      <c r="AT563" s="492"/>
      <c r="AU563" s="491"/>
      <c r="AV563" s="491"/>
      <c r="AW563" s="692"/>
      <c r="AX563" s="491"/>
      <c r="AY563" s="492"/>
      <c r="AZ563" s="491"/>
      <c r="BA563" s="491"/>
      <c r="BB563" s="491"/>
      <c r="BC563" s="491"/>
      <c r="BD563" s="492"/>
      <c r="BE563" s="492"/>
      <c r="BF563" s="492"/>
      <c r="BG563" s="492"/>
      <c r="BH563" s="484"/>
    </row>
    <row r="564" spans="1:60" s="470" customFormat="1" hidden="1" outlineLevel="1" x14ac:dyDescent="0.25">
      <c r="A564" s="226" t="s">
        <v>533</v>
      </c>
      <c r="B564" s="514"/>
      <c r="C564" s="492"/>
      <c r="D564" s="492"/>
      <c r="E564" s="492"/>
      <c r="F564" s="492"/>
      <c r="G564" s="491"/>
      <c r="H564" s="491"/>
      <c r="I564" s="491"/>
      <c r="J564" s="491"/>
      <c r="K564" s="492"/>
      <c r="L564" s="491"/>
      <c r="M564" s="491"/>
      <c r="N564" s="491"/>
      <c r="O564" s="491"/>
      <c r="P564" s="492"/>
      <c r="Q564" s="491"/>
      <c r="R564" s="491"/>
      <c r="S564" s="491"/>
      <c r="T564" s="491"/>
      <c r="U564" s="492"/>
      <c r="V564" s="491"/>
      <c r="W564" s="491"/>
      <c r="X564" s="491"/>
      <c r="Y564" s="491"/>
      <c r="Z564" s="492"/>
      <c r="AA564" s="491"/>
      <c r="AB564" s="491"/>
      <c r="AC564" s="491"/>
      <c r="AD564" s="491"/>
      <c r="AE564" s="492"/>
      <c r="AF564" s="491"/>
      <c r="AG564" s="491"/>
      <c r="AH564" s="491"/>
      <c r="AI564" s="491"/>
      <c r="AJ564" s="492"/>
      <c r="AK564" s="491"/>
      <c r="AL564" s="491">
        <v>10</v>
      </c>
      <c r="AM564" s="491"/>
      <c r="AN564" s="491"/>
      <c r="AO564" s="492"/>
      <c r="AP564" s="491"/>
      <c r="AQ564" s="491"/>
      <c r="AR564" s="491"/>
      <c r="AS564" s="491"/>
      <c r="AT564" s="492"/>
      <c r="AU564" s="491"/>
      <c r="AV564" s="491"/>
      <c r="AW564" s="692"/>
      <c r="AX564" s="491"/>
      <c r="AY564" s="492"/>
      <c r="AZ564" s="491"/>
      <c r="BA564" s="491"/>
      <c r="BB564" s="491"/>
      <c r="BC564" s="491"/>
      <c r="BD564" s="492"/>
      <c r="BE564" s="492"/>
      <c r="BF564" s="492"/>
      <c r="BG564" s="492"/>
      <c r="BH564" s="484"/>
    </row>
    <row r="565" spans="1:60" s="470" customFormat="1" hidden="1" outlineLevel="1" x14ac:dyDescent="0.25">
      <c r="A565" s="226" t="s">
        <v>534</v>
      </c>
      <c r="B565" s="514"/>
      <c r="C565" s="492"/>
      <c r="D565" s="492"/>
      <c r="E565" s="492"/>
      <c r="F565" s="492"/>
      <c r="G565" s="491"/>
      <c r="H565" s="491"/>
      <c r="I565" s="491"/>
      <c r="J565" s="491"/>
      <c r="K565" s="492"/>
      <c r="L565" s="491"/>
      <c r="M565" s="491"/>
      <c r="N565" s="491"/>
      <c r="O565" s="491"/>
      <c r="P565" s="492"/>
      <c r="Q565" s="491"/>
      <c r="R565" s="491"/>
      <c r="S565" s="491"/>
      <c r="T565" s="491"/>
      <c r="U565" s="492"/>
      <c r="V565" s="491"/>
      <c r="W565" s="491"/>
      <c r="X565" s="491"/>
      <c r="Y565" s="491"/>
      <c r="Z565" s="492"/>
      <c r="AA565" s="491"/>
      <c r="AB565" s="491"/>
      <c r="AC565" s="491"/>
      <c r="AD565" s="491"/>
      <c r="AE565" s="492"/>
      <c r="AF565" s="491"/>
      <c r="AG565" s="491"/>
      <c r="AH565" s="491"/>
      <c r="AI565" s="491"/>
      <c r="AJ565" s="492"/>
      <c r="AK565" s="491"/>
      <c r="AL565" s="491">
        <v>13</v>
      </c>
      <c r="AM565" s="491"/>
      <c r="AN565" s="491"/>
      <c r="AO565" s="492"/>
      <c r="AP565" s="491"/>
      <c r="AQ565" s="491"/>
      <c r="AR565" s="491"/>
      <c r="AS565" s="491"/>
      <c r="AT565" s="492"/>
      <c r="AU565" s="491"/>
      <c r="AV565" s="491"/>
      <c r="AW565" s="692"/>
      <c r="AX565" s="491"/>
      <c r="AY565" s="492"/>
      <c r="AZ565" s="491"/>
      <c r="BA565" s="491"/>
      <c r="BB565" s="491"/>
      <c r="BC565" s="491"/>
      <c r="BD565" s="492"/>
      <c r="BE565" s="492"/>
      <c r="BF565" s="492"/>
      <c r="BG565" s="492"/>
      <c r="BH565" s="484"/>
    </row>
    <row r="566" spans="1:60" s="52" customFormat="1" hidden="1" outlineLevel="1" x14ac:dyDescent="0.25">
      <c r="A566" s="515" t="s">
        <v>517</v>
      </c>
      <c r="B566" s="516"/>
      <c r="C566" s="511"/>
      <c r="D566" s="511"/>
      <c r="E566" s="511"/>
      <c r="F566" s="511"/>
      <c r="G566" s="510"/>
      <c r="H566" s="510"/>
      <c r="I566" s="510"/>
      <c r="J566" s="510"/>
      <c r="K566" s="511"/>
      <c r="L566" s="510"/>
      <c r="M566" s="510"/>
      <c r="N566" s="510"/>
      <c r="O566" s="510"/>
      <c r="P566" s="511"/>
      <c r="Q566" s="510"/>
      <c r="R566" s="510"/>
      <c r="S566" s="510"/>
      <c r="T566" s="510"/>
      <c r="U566" s="511"/>
      <c r="V566" s="510"/>
      <c r="W566" s="510"/>
      <c r="X566" s="510"/>
      <c r="Y566" s="510"/>
      <c r="Z566" s="511"/>
      <c r="AA566" s="510"/>
      <c r="AB566" s="510"/>
      <c r="AC566" s="510"/>
      <c r="AD566" s="510"/>
      <c r="AE566" s="511"/>
      <c r="AF566" s="510"/>
      <c r="AG566" s="510"/>
      <c r="AH566" s="510"/>
      <c r="AI566" s="510"/>
      <c r="AJ566" s="511"/>
      <c r="AK566" s="510"/>
      <c r="AL566" s="510">
        <v>373</v>
      </c>
      <c r="AM566" s="510"/>
      <c r="AN566" s="510"/>
      <c r="AO566" s="511"/>
      <c r="AP566" s="510"/>
      <c r="AQ566" s="510"/>
      <c r="AR566" s="510"/>
      <c r="AS566" s="510"/>
      <c r="AT566" s="511"/>
      <c r="AU566" s="510"/>
      <c r="AV566" s="510"/>
      <c r="AW566" s="701"/>
      <c r="AX566" s="510"/>
      <c r="AY566" s="511"/>
      <c r="AZ566" s="510"/>
      <c r="BA566" s="510"/>
      <c r="BB566" s="510"/>
      <c r="BC566" s="510"/>
      <c r="BD566" s="511"/>
      <c r="BE566" s="511"/>
      <c r="BF566" s="511"/>
      <c r="BG566" s="511"/>
      <c r="BH566" s="499"/>
    </row>
    <row r="567" spans="1:60" s="49" customFormat="1" hidden="1" outlineLevel="1" x14ac:dyDescent="0.25">
      <c r="A567" s="483" t="s">
        <v>518</v>
      </c>
      <c r="B567" s="514"/>
      <c r="C567" s="492"/>
      <c r="D567" s="492"/>
      <c r="E567" s="492"/>
      <c r="F567" s="492"/>
      <c r="G567" s="491"/>
      <c r="H567" s="491"/>
      <c r="I567" s="491"/>
      <c r="J567" s="491"/>
      <c r="K567" s="492"/>
      <c r="L567" s="491"/>
      <c r="M567" s="491"/>
      <c r="N567" s="491"/>
      <c r="O567" s="491"/>
      <c r="P567" s="492"/>
      <c r="Q567" s="491"/>
      <c r="R567" s="491"/>
      <c r="S567" s="491"/>
      <c r="T567" s="491"/>
      <c r="U567" s="492"/>
      <c r="V567" s="491"/>
      <c r="W567" s="491"/>
      <c r="X567" s="491"/>
      <c r="Y567" s="491"/>
      <c r="Z567" s="492"/>
      <c r="AA567" s="491"/>
      <c r="AB567" s="491"/>
      <c r="AC567" s="491"/>
      <c r="AD567" s="491"/>
      <c r="AE567" s="492"/>
      <c r="AF567" s="491"/>
      <c r="AG567" s="491"/>
      <c r="AH567" s="491"/>
      <c r="AI567" s="491"/>
      <c r="AJ567" s="492"/>
      <c r="AK567" s="491"/>
      <c r="AL567" s="497">
        <f>AL569-AL568-AL566</f>
        <v>-272</v>
      </c>
      <c r="AM567" s="491"/>
      <c r="AN567" s="491"/>
      <c r="AO567" s="492"/>
      <c r="AP567" s="491"/>
      <c r="AQ567" s="491"/>
      <c r="AR567" s="491"/>
      <c r="AS567" s="491"/>
      <c r="AT567" s="492"/>
      <c r="AU567" s="491"/>
      <c r="AV567" s="491"/>
      <c r="AW567" s="692"/>
      <c r="AX567" s="491"/>
      <c r="AY567" s="492"/>
      <c r="AZ567" s="491"/>
      <c r="BA567" s="491"/>
      <c r="BB567" s="491"/>
      <c r="BC567" s="491"/>
      <c r="BD567" s="492"/>
      <c r="BE567" s="492"/>
      <c r="BF567" s="492"/>
      <c r="BG567" s="492"/>
      <c r="BH567" s="484"/>
    </row>
    <row r="568" spans="1:60" s="49" customFormat="1" hidden="1" outlineLevel="1" x14ac:dyDescent="0.25">
      <c r="A568" s="218" t="s">
        <v>519</v>
      </c>
      <c r="B568" s="573"/>
      <c r="C568" s="322"/>
      <c r="D568" s="322"/>
      <c r="E568" s="322"/>
      <c r="F568" s="322"/>
      <c r="G568" s="321"/>
      <c r="H568" s="321"/>
      <c r="I568" s="321"/>
      <c r="J568" s="321"/>
      <c r="K568" s="322"/>
      <c r="L568" s="321"/>
      <c r="M568" s="321"/>
      <c r="N568" s="321"/>
      <c r="O568" s="321"/>
      <c r="P568" s="322"/>
      <c r="Q568" s="321"/>
      <c r="R568" s="321"/>
      <c r="S568" s="321"/>
      <c r="T568" s="321"/>
      <c r="U568" s="322"/>
      <c r="V568" s="321"/>
      <c r="W568" s="321"/>
      <c r="X568" s="321"/>
      <c r="Y568" s="321"/>
      <c r="Z568" s="322"/>
      <c r="AA568" s="321"/>
      <c r="AB568" s="321"/>
      <c r="AC568" s="321"/>
      <c r="AD568" s="321"/>
      <c r="AE568" s="322"/>
      <c r="AF568" s="321"/>
      <c r="AG568" s="321"/>
      <c r="AH568" s="321"/>
      <c r="AI568" s="321"/>
      <c r="AJ568" s="322"/>
      <c r="AK568" s="321"/>
      <c r="AL568" s="320">
        <f>-(4+72)</f>
        <v>-76</v>
      </c>
      <c r="AM568" s="321"/>
      <c r="AN568" s="321"/>
      <c r="AO568" s="322"/>
      <c r="AP568" s="321"/>
      <c r="AQ568" s="321"/>
      <c r="AR568" s="321"/>
      <c r="AS568" s="321"/>
      <c r="AT568" s="322"/>
      <c r="AU568" s="321"/>
      <c r="AV568" s="321"/>
      <c r="AW568" s="693"/>
      <c r="AX568" s="321"/>
      <c r="AY568" s="322"/>
      <c r="AZ568" s="321"/>
      <c r="BA568" s="321"/>
      <c r="BB568" s="321"/>
      <c r="BC568" s="321"/>
      <c r="BD568" s="322"/>
      <c r="BE568" s="322"/>
      <c r="BF568" s="322"/>
      <c r="BG568" s="322"/>
      <c r="BH568" s="484"/>
    </row>
    <row r="569" spans="1:60" s="52" customFormat="1" hidden="1" outlineLevel="1" x14ac:dyDescent="0.25">
      <c r="A569" s="501" t="s">
        <v>520</v>
      </c>
      <c r="B569" s="264"/>
      <c r="C569" s="506"/>
      <c r="D569" s="506"/>
      <c r="E569" s="506"/>
      <c r="F569" s="506"/>
      <c r="G569" s="505"/>
      <c r="H569" s="505"/>
      <c r="I569" s="505"/>
      <c r="J569" s="505"/>
      <c r="K569" s="506"/>
      <c r="L569" s="505"/>
      <c r="M569" s="505"/>
      <c r="N569" s="505"/>
      <c r="O569" s="505"/>
      <c r="P569" s="506"/>
      <c r="Q569" s="505"/>
      <c r="R569" s="505"/>
      <c r="S569" s="505"/>
      <c r="T569" s="505"/>
      <c r="U569" s="506"/>
      <c r="V569" s="505"/>
      <c r="W569" s="505"/>
      <c r="X569" s="505"/>
      <c r="Y569" s="505"/>
      <c r="Z569" s="506"/>
      <c r="AA569" s="505"/>
      <c r="AB569" s="505"/>
      <c r="AC569" s="505"/>
      <c r="AD569" s="505"/>
      <c r="AE569" s="506"/>
      <c r="AF569" s="505"/>
      <c r="AG569" s="505"/>
      <c r="AH569" s="505"/>
      <c r="AI569" s="505"/>
      <c r="AJ569" s="506"/>
      <c r="AK569" s="505"/>
      <c r="AL569" s="504">
        <v>25</v>
      </c>
      <c r="AM569" s="505"/>
      <c r="AN569" s="505"/>
      <c r="AO569" s="506"/>
      <c r="AP569" s="505"/>
      <c r="AQ569" s="505"/>
      <c r="AR569" s="505"/>
      <c r="AS569" s="505"/>
      <c r="AT569" s="506"/>
      <c r="AU569" s="505"/>
      <c r="AV569" s="505"/>
      <c r="AW569" s="694"/>
      <c r="AX569" s="505"/>
      <c r="AY569" s="506"/>
      <c r="AZ569" s="505"/>
      <c r="BA569" s="505"/>
      <c r="BB569" s="505"/>
      <c r="BC569" s="505"/>
      <c r="BD569" s="506"/>
      <c r="BE569" s="506"/>
      <c r="BF569" s="506"/>
      <c r="BG569" s="506"/>
      <c r="BH569" s="499"/>
    </row>
    <row r="570" spans="1:60" s="498" customFormat="1" hidden="1" outlineLevel="1" x14ac:dyDescent="0.25">
      <c r="A570" s="635"/>
      <c r="B570" s="264"/>
      <c r="C570" s="506"/>
      <c r="D570" s="506"/>
      <c r="E570" s="506"/>
      <c r="F570" s="506"/>
      <c r="G570" s="505"/>
      <c r="H570" s="505"/>
      <c r="I570" s="505"/>
      <c r="J570" s="505"/>
      <c r="K570" s="506"/>
      <c r="L570" s="505"/>
      <c r="M570" s="505"/>
      <c r="N570" s="505"/>
      <c r="O570" s="505"/>
      <c r="P570" s="506"/>
      <c r="Q570" s="505"/>
      <c r="R570" s="505"/>
      <c r="S570" s="505"/>
      <c r="T570" s="505"/>
      <c r="U570" s="506"/>
      <c r="V570" s="505"/>
      <c r="W570" s="505"/>
      <c r="X570" s="505"/>
      <c r="Y570" s="505"/>
      <c r="Z570" s="506"/>
      <c r="AA570" s="505"/>
      <c r="AB570" s="505"/>
      <c r="AC570" s="505"/>
      <c r="AD570" s="505"/>
      <c r="AE570" s="506"/>
      <c r="AF570" s="505"/>
      <c r="AG570" s="505"/>
      <c r="AH570" s="505"/>
      <c r="AI570" s="505"/>
      <c r="AJ570" s="506"/>
      <c r="AK570" s="505"/>
      <c r="AL570" s="505"/>
      <c r="AM570" s="505"/>
      <c r="AN570" s="505"/>
      <c r="AO570" s="506"/>
      <c r="AP570" s="505"/>
      <c r="AQ570" s="505"/>
      <c r="AR570" s="505"/>
      <c r="AS570" s="505"/>
      <c r="AT570" s="506"/>
      <c r="AU570" s="505"/>
      <c r="AV570" s="505"/>
      <c r="AW570" s="694"/>
      <c r="AX570" s="505"/>
      <c r="AY570" s="506"/>
      <c r="AZ570" s="505"/>
      <c r="BA570" s="505"/>
      <c r="BB570" s="505"/>
      <c r="BC570" s="505"/>
      <c r="BD570" s="506"/>
      <c r="BE570" s="506"/>
      <c r="BF570" s="506"/>
      <c r="BG570" s="506"/>
      <c r="BH570" s="499"/>
    </row>
    <row r="571" spans="1:60" s="470" customFormat="1" hidden="1" outlineLevel="1" x14ac:dyDescent="0.25">
      <c r="A571" s="483" t="s">
        <v>645</v>
      </c>
      <c r="B571" s="514"/>
      <c r="C571" s="492"/>
      <c r="D571" s="492"/>
      <c r="E571" s="492"/>
      <c r="F571" s="492"/>
      <c r="G571" s="491"/>
      <c r="H571" s="491"/>
      <c r="I571" s="491"/>
      <c r="J571" s="491"/>
      <c r="K571" s="492"/>
      <c r="L571" s="491"/>
      <c r="M571" s="491"/>
      <c r="N571" s="491"/>
      <c r="O571" s="491"/>
      <c r="P571" s="492"/>
      <c r="Q571" s="491"/>
      <c r="R571" s="491"/>
      <c r="S571" s="491"/>
      <c r="T571" s="491"/>
      <c r="U571" s="492"/>
      <c r="V571" s="491"/>
      <c r="W571" s="491"/>
      <c r="X571" s="491"/>
      <c r="Y571" s="491"/>
      <c r="Z571" s="492"/>
      <c r="AA571" s="491"/>
      <c r="AB571" s="491"/>
      <c r="AC571" s="491"/>
      <c r="AD571" s="491"/>
      <c r="AE571" s="492"/>
      <c r="AF571" s="491"/>
      <c r="AG571" s="491"/>
      <c r="AH571" s="491"/>
      <c r="AI571" s="491"/>
      <c r="AJ571" s="492"/>
      <c r="AK571" s="491"/>
      <c r="AL571" s="497">
        <v>149</v>
      </c>
      <c r="AM571" s="491"/>
      <c r="AN571" s="491"/>
      <c r="AO571" s="492"/>
      <c r="AP571" s="491"/>
      <c r="AQ571" s="491"/>
      <c r="AR571" s="491"/>
      <c r="AS571" s="491"/>
      <c r="AT571" s="492"/>
      <c r="AU571" s="491"/>
      <c r="AV571" s="491"/>
      <c r="AW571" s="692"/>
      <c r="AX571" s="491"/>
      <c r="AY571" s="492"/>
      <c r="AZ571" s="491"/>
      <c r="BA571" s="491"/>
      <c r="BB571" s="491"/>
      <c r="BC571" s="491"/>
      <c r="BD571" s="492"/>
      <c r="BE571" s="492"/>
      <c r="BF571" s="492"/>
      <c r="BG571" s="492"/>
      <c r="BH571" s="484"/>
    </row>
    <row r="572" spans="1:60" s="470" customFormat="1" hidden="1" outlineLevel="1" x14ac:dyDescent="0.25">
      <c r="A572" s="483" t="s">
        <v>646</v>
      </c>
      <c r="B572" s="514"/>
      <c r="C572" s="492"/>
      <c r="D572" s="492"/>
      <c r="E572" s="492"/>
      <c r="F572" s="492"/>
      <c r="G572" s="491"/>
      <c r="H572" s="491"/>
      <c r="I572" s="491"/>
      <c r="J572" s="491"/>
      <c r="K572" s="492"/>
      <c r="L572" s="491"/>
      <c r="M572" s="491"/>
      <c r="N572" s="491"/>
      <c r="O572" s="491"/>
      <c r="P572" s="492"/>
      <c r="Q572" s="491"/>
      <c r="R572" s="491"/>
      <c r="S572" s="491"/>
      <c r="T572" s="491"/>
      <c r="U572" s="492"/>
      <c r="V572" s="491"/>
      <c r="W572" s="491"/>
      <c r="X572" s="491"/>
      <c r="Y572" s="491"/>
      <c r="Z572" s="492"/>
      <c r="AA572" s="491"/>
      <c r="AB572" s="491"/>
      <c r="AC572" s="491"/>
      <c r="AD572" s="491"/>
      <c r="AE572" s="492"/>
      <c r="AF572" s="491"/>
      <c r="AG572" s="491"/>
      <c r="AH572" s="491"/>
      <c r="AI572" s="491"/>
      <c r="AJ572" s="492"/>
      <c r="AK572" s="491"/>
      <c r="AL572" s="497">
        <v>68</v>
      </c>
      <c r="AM572" s="491"/>
      <c r="AN572" s="491"/>
      <c r="AO572" s="492"/>
      <c r="AP572" s="491"/>
      <c r="AQ572" s="491"/>
      <c r="AR572" s="491"/>
      <c r="AS572" s="491"/>
      <c r="AT572" s="492"/>
      <c r="AU572" s="491"/>
      <c r="AV572" s="491"/>
      <c r="AW572" s="692"/>
      <c r="AX572" s="491"/>
      <c r="AY572" s="492"/>
      <c r="AZ572" s="491"/>
      <c r="BA572" s="491"/>
      <c r="BB572" s="491"/>
      <c r="BC572" s="491"/>
      <c r="BD572" s="492"/>
      <c r="BE572" s="492"/>
      <c r="BF572" s="492"/>
      <c r="BG572" s="492"/>
      <c r="BH572" s="484"/>
    </row>
    <row r="573" spans="1:60" s="470" customFormat="1" hidden="1" outlineLevel="1" x14ac:dyDescent="0.25">
      <c r="A573" s="483" t="s">
        <v>647</v>
      </c>
      <c r="B573" s="514"/>
      <c r="C573" s="492"/>
      <c r="D573" s="492"/>
      <c r="E573" s="492"/>
      <c r="F573" s="492"/>
      <c r="G573" s="491"/>
      <c r="H573" s="491"/>
      <c r="I573" s="491"/>
      <c r="J573" s="491"/>
      <c r="K573" s="492"/>
      <c r="L573" s="491"/>
      <c r="M573" s="491"/>
      <c r="N573" s="491"/>
      <c r="O573" s="491"/>
      <c r="P573" s="492"/>
      <c r="Q573" s="491"/>
      <c r="R573" s="491"/>
      <c r="S573" s="491"/>
      <c r="T573" s="491"/>
      <c r="U573" s="492"/>
      <c r="V573" s="491"/>
      <c r="W573" s="491"/>
      <c r="X573" s="491"/>
      <c r="Y573" s="491"/>
      <c r="Z573" s="492"/>
      <c r="AA573" s="491"/>
      <c r="AB573" s="491"/>
      <c r="AC573" s="491"/>
      <c r="AD573" s="491"/>
      <c r="AE573" s="492"/>
      <c r="AF573" s="491"/>
      <c r="AG573" s="491"/>
      <c r="AH573" s="491"/>
      <c r="AI573" s="491"/>
      <c r="AJ573" s="492"/>
      <c r="AK573" s="491"/>
      <c r="AL573" s="497">
        <v>121</v>
      </c>
      <c r="AM573" s="491"/>
      <c r="AN573" s="491"/>
      <c r="AO573" s="492"/>
      <c r="AP573" s="491"/>
      <c r="AQ573" s="491"/>
      <c r="AR573" s="491"/>
      <c r="AS573" s="491"/>
      <c r="AT573" s="492"/>
      <c r="AU573" s="491"/>
      <c r="AV573" s="491"/>
      <c r="AW573" s="692"/>
      <c r="AX573" s="491"/>
      <c r="AY573" s="492"/>
      <c r="AZ573" s="491"/>
      <c r="BA573" s="491"/>
      <c r="BB573" s="491"/>
      <c r="BC573" s="491"/>
      <c r="BD573" s="492"/>
      <c r="BE573" s="492"/>
      <c r="BF573" s="492"/>
      <c r="BG573" s="492"/>
      <c r="BH573" s="484"/>
    </row>
    <row r="574" spans="1:60" s="470" customFormat="1" hidden="1" outlineLevel="1" x14ac:dyDescent="0.25">
      <c r="A574" s="483" t="s">
        <v>648</v>
      </c>
      <c r="B574" s="514"/>
      <c r="C574" s="492"/>
      <c r="D574" s="492"/>
      <c r="E574" s="492"/>
      <c r="F574" s="492"/>
      <c r="G574" s="491"/>
      <c r="H574" s="491"/>
      <c r="I574" s="491"/>
      <c r="J574" s="491"/>
      <c r="K574" s="492"/>
      <c r="L574" s="491"/>
      <c r="M574" s="491"/>
      <c r="N574" s="491"/>
      <c r="O574" s="491"/>
      <c r="P574" s="492"/>
      <c r="Q574" s="491"/>
      <c r="R574" s="491"/>
      <c r="S574" s="491"/>
      <c r="T574" s="491"/>
      <c r="U574" s="492"/>
      <c r="V574" s="491"/>
      <c r="W574" s="491"/>
      <c r="X574" s="491"/>
      <c r="Y574" s="491"/>
      <c r="Z574" s="492"/>
      <c r="AA574" s="491"/>
      <c r="AB574" s="491"/>
      <c r="AC574" s="491"/>
      <c r="AD574" s="491"/>
      <c r="AE574" s="492"/>
      <c r="AF574" s="491"/>
      <c r="AG574" s="491"/>
      <c r="AH574" s="491"/>
      <c r="AI574" s="491"/>
      <c r="AJ574" s="492"/>
      <c r="AK574" s="491"/>
      <c r="AL574" s="497">
        <v>35</v>
      </c>
      <c r="AM574" s="491"/>
      <c r="AN574" s="491"/>
      <c r="AO574" s="492"/>
      <c r="AP574" s="491"/>
      <c r="AQ574" s="491"/>
      <c r="AR574" s="491"/>
      <c r="AS574" s="491"/>
      <c r="AT574" s="492"/>
      <c r="AU574" s="491"/>
      <c r="AV574" s="491"/>
      <c r="AW574" s="692"/>
      <c r="AX574" s="491"/>
      <c r="AY574" s="492"/>
      <c r="AZ574" s="491"/>
      <c r="BA574" s="491"/>
      <c r="BB574" s="491"/>
      <c r="BC574" s="491"/>
      <c r="BD574" s="492"/>
      <c r="BE574" s="492"/>
      <c r="BF574" s="492"/>
      <c r="BG574" s="492"/>
      <c r="BH574" s="484"/>
    </row>
    <row r="575" spans="1:60" s="52" customFormat="1" hidden="1" outlineLevel="1" x14ac:dyDescent="0.25">
      <c r="A575" s="500" t="s">
        <v>625</v>
      </c>
      <c r="B575" s="516"/>
      <c r="C575" s="511"/>
      <c r="D575" s="511"/>
      <c r="E575" s="511"/>
      <c r="F575" s="511"/>
      <c r="G575" s="510"/>
      <c r="H575" s="510"/>
      <c r="I575" s="510"/>
      <c r="J575" s="510"/>
      <c r="K575" s="511"/>
      <c r="L575" s="510"/>
      <c r="M575" s="510"/>
      <c r="N575" s="510"/>
      <c r="O575" s="510"/>
      <c r="P575" s="511"/>
      <c r="Q575" s="510"/>
      <c r="R575" s="510"/>
      <c r="S575" s="510"/>
      <c r="T575" s="510"/>
      <c r="U575" s="511"/>
      <c r="V575" s="510"/>
      <c r="W575" s="510"/>
      <c r="X575" s="510"/>
      <c r="Y575" s="510"/>
      <c r="Z575" s="511"/>
      <c r="AA575" s="510"/>
      <c r="AB575" s="510"/>
      <c r="AC575" s="510"/>
      <c r="AD575" s="510"/>
      <c r="AE575" s="511"/>
      <c r="AF575" s="510"/>
      <c r="AG575" s="510"/>
      <c r="AH575" s="510"/>
      <c r="AI575" s="510"/>
      <c r="AJ575" s="511"/>
      <c r="AK575" s="510"/>
      <c r="AL575" s="509">
        <f>SUM(AL571:AL574)</f>
        <v>373</v>
      </c>
      <c r="AM575" s="510"/>
      <c r="AN575" s="510"/>
      <c r="AO575" s="511"/>
      <c r="AP575" s="510"/>
      <c r="AQ575" s="510"/>
      <c r="AR575" s="510"/>
      <c r="AS575" s="510"/>
      <c r="AT575" s="511"/>
      <c r="AU575" s="510"/>
      <c r="AV575" s="510"/>
      <c r="AW575" s="701"/>
      <c r="AX575" s="510"/>
      <c r="AY575" s="511"/>
      <c r="AZ575" s="510"/>
      <c r="BA575" s="510"/>
      <c r="BB575" s="510"/>
      <c r="BC575" s="510"/>
      <c r="BD575" s="511"/>
      <c r="BE575" s="511"/>
      <c r="BF575" s="511"/>
      <c r="BG575" s="511"/>
      <c r="BH575" s="499"/>
    </row>
    <row r="576" spans="1:60" s="498" customFormat="1" hidden="1" outlineLevel="1" x14ac:dyDescent="0.25">
      <c r="A576" s="635"/>
      <c r="B576" s="264"/>
      <c r="C576" s="506"/>
      <c r="D576" s="506"/>
      <c r="E576" s="506"/>
      <c r="F576" s="506"/>
      <c r="G576" s="505"/>
      <c r="H576" s="505"/>
      <c r="I576" s="505"/>
      <c r="J576" s="505"/>
      <c r="K576" s="506"/>
      <c r="L576" s="505"/>
      <c r="M576" s="505"/>
      <c r="N576" s="505"/>
      <c r="O576" s="505"/>
      <c r="P576" s="506"/>
      <c r="Q576" s="505"/>
      <c r="R576" s="505"/>
      <c r="S576" s="505"/>
      <c r="T576" s="505"/>
      <c r="U576" s="506"/>
      <c r="V576" s="505"/>
      <c r="W576" s="505"/>
      <c r="X576" s="505"/>
      <c r="Y576" s="505"/>
      <c r="Z576" s="506"/>
      <c r="AA576" s="505"/>
      <c r="AB576" s="505"/>
      <c r="AC576" s="505"/>
      <c r="AD576" s="505"/>
      <c r="AE576" s="506"/>
      <c r="AF576" s="505"/>
      <c r="AG576" s="505"/>
      <c r="AH576" s="505"/>
      <c r="AI576" s="505"/>
      <c r="AJ576" s="506"/>
      <c r="AK576" s="505"/>
      <c r="AL576" s="505"/>
      <c r="AM576" s="505"/>
      <c r="AN576" s="505"/>
      <c r="AO576" s="506"/>
      <c r="AP576" s="505"/>
      <c r="AQ576" s="505"/>
      <c r="AR576" s="505"/>
      <c r="AS576" s="505"/>
      <c r="AT576" s="506"/>
      <c r="AU576" s="505"/>
      <c r="AV576" s="505"/>
      <c r="AW576" s="694"/>
      <c r="AX576" s="505"/>
      <c r="AY576" s="506"/>
      <c r="AZ576" s="505"/>
      <c r="BA576" s="505"/>
      <c r="BB576" s="505"/>
      <c r="BC576" s="505"/>
      <c r="BD576" s="506"/>
      <c r="BE576" s="506"/>
      <c r="BF576" s="506"/>
      <c r="BG576" s="506"/>
      <c r="BH576" s="499"/>
    </row>
    <row r="577" spans="1:60" s="470" customFormat="1" hidden="1" outlineLevel="1" x14ac:dyDescent="0.25">
      <c r="A577" s="483" t="s">
        <v>626</v>
      </c>
      <c r="B577" s="514"/>
      <c r="C577" s="492"/>
      <c r="D577" s="492"/>
      <c r="E577" s="492"/>
      <c r="F577" s="492"/>
      <c r="G577" s="491"/>
      <c r="H577" s="491"/>
      <c r="I577" s="491"/>
      <c r="J577" s="491"/>
      <c r="K577" s="492"/>
      <c r="L577" s="491"/>
      <c r="M577" s="491"/>
      <c r="N577" s="491"/>
      <c r="O577" s="491"/>
      <c r="P577" s="492"/>
      <c r="Q577" s="491"/>
      <c r="R577" s="491"/>
      <c r="S577" s="491"/>
      <c r="T577" s="491"/>
      <c r="U577" s="492"/>
      <c r="V577" s="491"/>
      <c r="W577" s="491"/>
      <c r="X577" s="491"/>
      <c r="Y577" s="491"/>
      <c r="Z577" s="492"/>
      <c r="AA577" s="491"/>
      <c r="AB577" s="491"/>
      <c r="AC577" s="491"/>
      <c r="AD577" s="491"/>
      <c r="AE577" s="492"/>
      <c r="AF577" s="491"/>
      <c r="AG577" s="491"/>
      <c r="AH577" s="491"/>
      <c r="AI577" s="491"/>
      <c r="AJ577" s="492"/>
      <c r="AK577" s="491"/>
      <c r="AL577" s="497">
        <v>4</v>
      </c>
      <c r="AM577" s="491"/>
      <c r="AN577" s="491"/>
      <c r="AO577" s="492"/>
      <c r="AP577" s="491"/>
      <c r="AQ577" s="491"/>
      <c r="AR577" s="491"/>
      <c r="AS577" s="491"/>
      <c r="AT577" s="492"/>
      <c r="AU577" s="491"/>
      <c r="AV577" s="491"/>
      <c r="AW577" s="692"/>
      <c r="AX577" s="491"/>
      <c r="AY577" s="492"/>
      <c r="AZ577" s="491"/>
      <c r="BA577" s="491"/>
      <c r="BB577" s="491"/>
      <c r="BC577" s="491"/>
      <c r="BD577" s="492"/>
      <c r="BE577" s="492"/>
      <c r="BF577" s="492"/>
      <c r="BG577" s="492"/>
      <c r="BH577" s="484"/>
    </row>
    <row r="578" spans="1:60" s="470" customFormat="1" hidden="1" outlineLevel="1" x14ac:dyDescent="0.25">
      <c r="A578" s="483" t="s">
        <v>627</v>
      </c>
      <c r="B578" s="514"/>
      <c r="C578" s="492"/>
      <c r="D578" s="492"/>
      <c r="E578" s="492"/>
      <c r="F578" s="492"/>
      <c r="G578" s="491"/>
      <c r="H578" s="491"/>
      <c r="I578" s="491"/>
      <c r="J578" s="491"/>
      <c r="K578" s="492"/>
      <c r="L578" s="491"/>
      <c r="M578" s="491"/>
      <c r="N578" s="491"/>
      <c r="O578" s="491"/>
      <c r="P578" s="492"/>
      <c r="Q578" s="491"/>
      <c r="R578" s="491"/>
      <c r="S578" s="491"/>
      <c r="T578" s="491"/>
      <c r="U578" s="492"/>
      <c r="V578" s="491"/>
      <c r="W578" s="491"/>
      <c r="X578" s="491"/>
      <c r="Y578" s="491"/>
      <c r="Z578" s="492"/>
      <c r="AA578" s="491"/>
      <c r="AB578" s="491"/>
      <c r="AC578" s="491"/>
      <c r="AD578" s="491"/>
      <c r="AE578" s="492"/>
      <c r="AF578" s="491"/>
      <c r="AG578" s="491"/>
      <c r="AH578" s="491"/>
      <c r="AI578" s="491"/>
      <c r="AJ578" s="492"/>
      <c r="AK578" s="491"/>
      <c r="AL578" s="497">
        <v>72</v>
      </c>
      <c r="AM578" s="491"/>
      <c r="AN578" s="491"/>
      <c r="AO578" s="492"/>
      <c r="AP578" s="491"/>
      <c r="AQ578" s="491"/>
      <c r="AR578" s="491"/>
      <c r="AS578" s="491"/>
      <c r="AT578" s="492"/>
      <c r="AU578" s="491"/>
      <c r="AV578" s="491"/>
      <c r="AW578" s="692"/>
      <c r="AX578" s="491"/>
      <c r="AY578" s="492"/>
      <c r="AZ578" s="491"/>
      <c r="BA578" s="491"/>
      <c r="BB578" s="491"/>
      <c r="BC578" s="491"/>
      <c r="BD578" s="492"/>
      <c r="BE578" s="492"/>
      <c r="BF578" s="492"/>
      <c r="BG578" s="492"/>
      <c r="BH578" s="484"/>
    </row>
    <row r="579" spans="1:60" s="498" customFormat="1" hidden="1" outlineLevel="1" x14ac:dyDescent="0.25">
      <c r="A579" s="500" t="s">
        <v>628</v>
      </c>
      <c r="B579" s="516"/>
      <c r="C579" s="511"/>
      <c r="D579" s="511"/>
      <c r="E579" s="511"/>
      <c r="F579" s="511"/>
      <c r="G579" s="510"/>
      <c r="H579" s="510"/>
      <c r="I579" s="510"/>
      <c r="J579" s="510"/>
      <c r="K579" s="511"/>
      <c r="L579" s="510"/>
      <c r="M579" s="510"/>
      <c r="N579" s="510"/>
      <c r="O579" s="510"/>
      <c r="P579" s="511"/>
      <c r="Q579" s="510"/>
      <c r="R579" s="510"/>
      <c r="S579" s="510"/>
      <c r="T579" s="510"/>
      <c r="U579" s="511"/>
      <c r="V579" s="510"/>
      <c r="W579" s="510"/>
      <c r="X579" s="510"/>
      <c r="Y579" s="510"/>
      <c r="Z579" s="511"/>
      <c r="AA579" s="510"/>
      <c r="AB579" s="510"/>
      <c r="AC579" s="510"/>
      <c r="AD579" s="510"/>
      <c r="AE579" s="511"/>
      <c r="AF579" s="510"/>
      <c r="AG579" s="510"/>
      <c r="AH579" s="510"/>
      <c r="AI579" s="510"/>
      <c r="AJ579" s="511"/>
      <c r="AK579" s="510"/>
      <c r="AL579" s="509">
        <f>SUM(AL577:AL578)</f>
        <v>76</v>
      </c>
      <c r="AM579" s="510"/>
      <c r="AN579" s="510"/>
      <c r="AO579" s="511"/>
      <c r="AP579" s="510"/>
      <c r="AQ579" s="510"/>
      <c r="AR579" s="510"/>
      <c r="AS579" s="510"/>
      <c r="AT579" s="511"/>
      <c r="AU579" s="510"/>
      <c r="AV579" s="510"/>
      <c r="AW579" s="701"/>
      <c r="AX579" s="510"/>
      <c r="AY579" s="511"/>
      <c r="AZ579" s="510"/>
      <c r="BA579" s="510"/>
      <c r="BB579" s="510"/>
      <c r="BC579" s="510"/>
      <c r="BD579" s="511"/>
      <c r="BE579" s="511"/>
      <c r="BF579" s="511"/>
      <c r="BG579" s="511"/>
      <c r="BH579" s="499"/>
    </row>
    <row r="580" spans="1:60" s="498" customFormat="1" hidden="1" outlineLevel="1" x14ac:dyDescent="0.25">
      <c r="A580" s="635"/>
      <c r="B580" s="264"/>
      <c r="C580" s="506"/>
      <c r="D580" s="506"/>
      <c r="E580" s="506"/>
      <c r="F580" s="506"/>
      <c r="G580" s="505"/>
      <c r="H580" s="505"/>
      <c r="I580" s="505"/>
      <c r="J580" s="505"/>
      <c r="K580" s="506"/>
      <c r="L580" s="505"/>
      <c r="M580" s="505"/>
      <c r="N580" s="505"/>
      <c r="O580" s="505"/>
      <c r="P580" s="506"/>
      <c r="Q580" s="505"/>
      <c r="R580" s="505"/>
      <c r="S580" s="505"/>
      <c r="T580" s="505"/>
      <c r="U580" s="506"/>
      <c r="V580" s="505"/>
      <c r="W580" s="505"/>
      <c r="X580" s="505"/>
      <c r="Y580" s="505"/>
      <c r="Z580" s="506"/>
      <c r="AA580" s="505"/>
      <c r="AB580" s="505"/>
      <c r="AC580" s="505"/>
      <c r="AD580" s="505"/>
      <c r="AE580" s="506"/>
      <c r="AF580" s="505"/>
      <c r="AG580" s="505"/>
      <c r="AH580" s="505"/>
      <c r="AI580" s="505"/>
      <c r="AJ580" s="506"/>
      <c r="AK580" s="505"/>
      <c r="AL580" s="505"/>
      <c r="AM580" s="505"/>
      <c r="AN580" s="505"/>
      <c r="AO580" s="506"/>
      <c r="AP580" s="505"/>
      <c r="AQ580" s="505"/>
      <c r="AR580" s="505"/>
      <c r="AS580" s="505"/>
      <c r="AT580" s="506"/>
      <c r="AU580" s="505"/>
      <c r="AV580" s="505"/>
      <c r="AW580" s="694"/>
      <c r="AX580" s="505"/>
      <c r="AY580" s="506"/>
      <c r="AZ580" s="505"/>
      <c r="BA580" s="505"/>
      <c r="BB580" s="505"/>
      <c r="BC580" s="505"/>
      <c r="BD580" s="506"/>
      <c r="BE580" s="506"/>
      <c r="BF580" s="506"/>
      <c r="BG580" s="506"/>
      <c r="BH580" s="499"/>
    </row>
    <row r="581" spans="1:60" s="52" customFormat="1" hidden="1" outlineLevel="1" x14ac:dyDescent="0.25">
      <c r="A581" s="501" t="s">
        <v>521</v>
      </c>
      <c r="B581" s="264"/>
      <c r="C581" s="506"/>
      <c r="D581" s="506"/>
      <c r="E581" s="506"/>
      <c r="F581" s="506"/>
      <c r="G581" s="505"/>
      <c r="H581" s="505"/>
      <c r="I581" s="505"/>
      <c r="J581" s="505"/>
      <c r="K581" s="506"/>
      <c r="L581" s="505"/>
      <c r="M581" s="505"/>
      <c r="N581" s="505"/>
      <c r="O581" s="505"/>
      <c r="P581" s="506"/>
      <c r="Q581" s="505"/>
      <c r="R581" s="505"/>
      <c r="S581" s="505"/>
      <c r="T581" s="505"/>
      <c r="U581" s="506"/>
      <c r="V581" s="505"/>
      <c r="W581" s="505"/>
      <c r="X581" s="505"/>
      <c r="Y581" s="505"/>
      <c r="Z581" s="506"/>
      <c r="AA581" s="505"/>
      <c r="AB581" s="505"/>
      <c r="AC581" s="505"/>
      <c r="AD581" s="505"/>
      <c r="AE581" s="506"/>
      <c r="AF581" s="505"/>
      <c r="AG581" s="505"/>
      <c r="AH581" s="505"/>
      <c r="AI581" s="505"/>
      <c r="AJ581" s="506"/>
      <c r="AK581" s="505"/>
      <c r="AL581" s="504">
        <v>5</v>
      </c>
      <c r="AM581" s="503">
        <f>AM582-AL582</f>
        <v>-5</v>
      </c>
      <c r="AN581" s="505"/>
      <c r="AO581" s="506"/>
      <c r="AP581" s="505"/>
      <c r="AQ581" s="505"/>
      <c r="AR581" s="505"/>
      <c r="AS581" s="505"/>
      <c r="AT581" s="506"/>
      <c r="AU581" s="505"/>
      <c r="AV581" s="505"/>
      <c r="AW581" s="694"/>
      <c r="AX581" s="505"/>
      <c r="AY581" s="506"/>
      <c r="AZ581" s="505"/>
      <c r="BA581" s="505"/>
      <c r="BB581" s="505"/>
      <c r="BC581" s="505"/>
      <c r="BD581" s="506"/>
      <c r="BE581" s="506"/>
      <c r="BF581" s="506"/>
      <c r="BG581" s="506"/>
      <c r="BH581" s="499"/>
    </row>
    <row r="582" spans="1:60" s="52" customFormat="1" hidden="1" outlineLevel="1" collapsed="1" x14ac:dyDescent="0.25">
      <c r="A582" s="501" t="s">
        <v>522</v>
      </c>
      <c r="B582" s="264"/>
      <c r="C582" s="506"/>
      <c r="D582" s="506"/>
      <c r="E582" s="506"/>
      <c r="F582" s="506"/>
      <c r="G582" s="505"/>
      <c r="H582" s="505"/>
      <c r="I582" s="505"/>
      <c r="J582" s="505"/>
      <c r="K582" s="506"/>
      <c r="L582" s="505"/>
      <c r="M582" s="505"/>
      <c r="N582" s="505"/>
      <c r="O582" s="505"/>
      <c r="P582" s="506"/>
      <c r="Q582" s="505"/>
      <c r="R582" s="505"/>
      <c r="S582" s="505"/>
      <c r="T582" s="505"/>
      <c r="U582" s="506"/>
      <c r="V582" s="505"/>
      <c r="W582" s="505"/>
      <c r="X582" s="505"/>
      <c r="Y582" s="505"/>
      <c r="Z582" s="506"/>
      <c r="AA582" s="505"/>
      <c r="AB582" s="505"/>
      <c r="AC582" s="505"/>
      <c r="AD582" s="505"/>
      <c r="AE582" s="506"/>
      <c r="AF582" s="505"/>
      <c r="AG582" s="505"/>
      <c r="AH582" s="505"/>
      <c r="AI582" s="505"/>
      <c r="AJ582" s="506"/>
      <c r="AK582" s="505"/>
      <c r="AL582" s="504">
        <f>AL581-AK581</f>
        <v>5</v>
      </c>
      <c r="AM582" s="505"/>
      <c r="AN582" s="505"/>
      <c r="AO582" s="506"/>
      <c r="AP582" s="505"/>
      <c r="AQ582" s="505"/>
      <c r="AR582" s="505"/>
      <c r="AS582" s="505"/>
      <c r="AT582" s="506"/>
      <c r="AU582" s="505"/>
      <c r="AV582" s="505"/>
      <c r="AW582" s="694"/>
      <c r="AX582" s="505"/>
      <c r="AY582" s="506"/>
      <c r="AZ582" s="505"/>
      <c r="BA582" s="505"/>
      <c r="BB582" s="505"/>
      <c r="BC582" s="505"/>
      <c r="BD582" s="506"/>
      <c r="BE582" s="506"/>
      <c r="BF582" s="506"/>
      <c r="BG582" s="506"/>
      <c r="BH582" s="499"/>
    </row>
    <row r="583" spans="1:60" s="44" customFormat="1" hidden="1" outlineLevel="1" collapsed="1" x14ac:dyDescent="0.25">
      <c r="A583" s="748"/>
      <c r="B583" s="246"/>
      <c r="C583" s="478"/>
      <c r="D583" s="478"/>
      <c r="E583" s="478"/>
      <c r="F583" s="478"/>
      <c r="G583" s="480"/>
      <c r="H583" s="480"/>
      <c r="I583" s="480"/>
      <c r="J583" s="480"/>
      <c r="K583" s="478"/>
      <c r="L583" s="480"/>
      <c r="M583" s="480"/>
      <c r="N583" s="480"/>
      <c r="O583" s="480"/>
      <c r="P583" s="478"/>
      <c r="Q583" s="480"/>
      <c r="R583" s="480"/>
      <c r="S583" s="480"/>
      <c r="T583" s="480"/>
      <c r="U583" s="478"/>
      <c r="V583" s="480"/>
      <c r="W583" s="480"/>
      <c r="X583" s="480"/>
      <c r="Y583" s="480"/>
      <c r="Z583" s="478"/>
      <c r="AA583" s="480"/>
      <c r="AB583" s="480"/>
      <c r="AC583" s="480"/>
      <c r="AD583" s="480"/>
      <c r="AE583" s="478"/>
      <c r="AF583" s="480"/>
      <c r="AG583" s="480"/>
      <c r="AH583" s="480"/>
      <c r="AI583" s="480"/>
      <c r="AJ583" s="478"/>
      <c r="AK583" s="480"/>
      <c r="AL583" s="480"/>
      <c r="AM583" s="480"/>
      <c r="AN583" s="480"/>
      <c r="AO583" s="478"/>
      <c r="AP583" s="480"/>
      <c r="AQ583" s="480"/>
      <c r="AR583" s="480"/>
      <c r="AS583" s="480"/>
      <c r="AT583" s="478"/>
      <c r="AU583" s="480"/>
      <c r="AV583" s="480"/>
      <c r="AW583" s="708"/>
      <c r="AX583" s="480"/>
      <c r="AY583" s="478"/>
      <c r="AZ583" s="480"/>
      <c r="BA583" s="480"/>
      <c r="BB583" s="480"/>
      <c r="BC583" s="480"/>
      <c r="BD583" s="478"/>
      <c r="BE583" s="478"/>
      <c r="BF583" s="478"/>
      <c r="BG583" s="478"/>
      <c r="BH583" s="473"/>
    </row>
    <row r="584" spans="1:60" s="19" customFormat="1" hidden="1" outlineLevel="1" x14ac:dyDescent="0.25">
      <c r="A584" s="956" t="s">
        <v>129</v>
      </c>
      <c r="B584" s="956"/>
      <c r="C584" s="986"/>
      <c r="D584" s="986"/>
      <c r="E584" s="986"/>
      <c r="F584" s="986"/>
      <c r="G584" s="986"/>
      <c r="H584" s="986"/>
      <c r="I584" s="986"/>
      <c r="J584" s="986"/>
      <c r="K584" s="986"/>
      <c r="L584" s="986"/>
      <c r="M584" s="986"/>
      <c r="N584" s="986"/>
      <c r="O584" s="986"/>
      <c r="P584" s="986"/>
      <c r="Q584" s="986"/>
      <c r="R584" s="986"/>
      <c r="S584" s="986"/>
      <c r="T584" s="986"/>
      <c r="U584" s="986"/>
      <c r="V584" s="986"/>
      <c r="W584" s="986"/>
      <c r="X584" s="986"/>
      <c r="Y584" s="986"/>
      <c r="Z584" s="986"/>
      <c r="AA584" s="986"/>
      <c r="AB584" s="986"/>
      <c r="AC584" s="986"/>
      <c r="AD584" s="986"/>
      <c r="AE584" s="986"/>
      <c r="AF584" s="986"/>
      <c r="AG584" s="986"/>
      <c r="AH584" s="986"/>
      <c r="AI584" s="986"/>
      <c r="AJ584" s="986"/>
      <c r="AK584" s="986"/>
      <c r="AL584" s="986"/>
      <c r="AM584" s="986"/>
      <c r="AN584" s="986"/>
      <c r="AO584" s="986"/>
      <c r="AP584" s="986"/>
      <c r="AQ584" s="986"/>
      <c r="AR584" s="986"/>
      <c r="AS584" s="986"/>
      <c r="AT584" s="986"/>
      <c r="AU584" s="986"/>
      <c r="AV584" s="986"/>
      <c r="AW584" s="987"/>
      <c r="AX584" s="986"/>
      <c r="AY584" s="986"/>
      <c r="AZ584" s="986"/>
      <c r="BA584" s="986"/>
      <c r="BB584" s="986"/>
      <c r="BC584" s="986"/>
      <c r="BD584" s="986"/>
      <c r="BE584" s="986"/>
      <c r="BF584" s="986"/>
      <c r="BG584" s="986"/>
      <c r="BH584" s="730"/>
    </row>
    <row r="585" spans="1:60" s="49" customFormat="1" hidden="1" outlineLevel="1" x14ac:dyDescent="0.25">
      <c r="A585" s="483" t="s">
        <v>31</v>
      </c>
      <c r="B585" s="514"/>
      <c r="C585" s="489">
        <v>10555</v>
      </c>
      <c r="D585" s="489">
        <v>11475</v>
      </c>
      <c r="E585" s="489">
        <v>12877</v>
      </c>
      <c r="F585" s="489">
        <v>13621</v>
      </c>
      <c r="G585" s="490">
        <v>3538</v>
      </c>
      <c r="H585" s="490">
        <v>3458</v>
      </c>
      <c r="I585" s="490">
        <v>3884</v>
      </c>
      <c r="J585" s="490">
        <f>K585-I585-H585-G585</f>
        <v>3573</v>
      </c>
      <c r="K585" s="489">
        <v>14453</v>
      </c>
      <c r="L585" s="490">
        <v>3759</v>
      </c>
      <c r="M585" s="490">
        <v>3633</v>
      </c>
      <c r="N585" s="490">
        <v>3942</v>
      </c>
      <c r="O585" s="490">
        <f>P585-N585-M585-L585</f>
        <v>3776</v>
      </c>
      <c r="P585" s="489">
        <v>15110</v>
      </c>
      <c r="Q585" s="490">
        <v>4166</v>
      </c>
      <c r="R585" s="490">
        <v>4030</v>
      </c>
      <c r="S585" s="490">
        <v>4140</v>
      </c>
      <c r="T585" s="490">
        <f>U585-S585-R585-Q585</f>
        <v>4245</v>
      </c>
      <c r="U585" s="489">
        <v>16581</v>
      </c>
      <c r="V585" s="490">
        <v>4521</v>
      </c>
      <c r="W585" s="490">
        <v>3955</v>
      </c>
      <c r="X585" s="490">
        <v>4200</v>
      </c>
      <c r="Y585" s="490">
        <f>Z585-X585-W585-V585</f>
        <v>3956</v>
      </c>
      <c r="Z585" s="489">
        <v>16632</v>
      </c>
      <c r="AA585" s="490">
        <v>4428</v>
      </c>
      <c r="AB585" s="497">
        <v>4062</v>
      </c>
      <c r="AC585" s="490">
        <v>4086</v>
      </c>
      <c r="AD585" s="490">
        <f>AE585-AC585-AB585-AA585</f>
        <v>3951</v>
      </c>
      <c r="AE585" s="489">
        <v>16527</v>
      </c>
      <c r="AF585" s="490">
        <v>4493</v>
      </c>
      <c r="AG585" s="497">
        <v>4252</v>
      </c>
      <c r="AH585" s="490">
        <v>4188</v>
      </c>
      <c r="AI585" s="490">
        <f>AJ585-AH585-AG585-AF585</f>
        <v>4130</v>
      </c>
      <c r="AJ585" s="489">
        <v>17063</v>
      </c>
      <c r="AK585" s="491"/>
      <c r="AL585" s="491"/>
      <c r="AM585" s="491"/>
      <c r="AN585" s="491"/>
      <c r="AO585" s="492"/>
      <c r="AP585" s="491"/>
      <c r="AQ585" s="491"/>
      <c r="AR585" s="491"/>
      <c r="AS585" s="491"/>
      <c r="AT585" s="492"/>
      <c r="AU585" s="491"/>
      <c r="AV585" s="491"/>
      <c r="AW585" s="692"/>
      <c r="AX585" s="491"/>
      <c r="AY585" s="492"/>
      <c r="AZ585" s="491"/>
      <c r="BA585" s="491"/>
      <c r="BB585" s="491"/>
      <c r="BC585" s="491"/>
      <c r="BD585" s="492"/>
      <c r="BE585" s="492"/>
      <c r="BF585" s="492"/>
      <c r="BG585" s="492"/>
      <c r="BH585" s="484"/>
    </row>
    <row r="586" spans="1:60" s="49" customFormat="1" hidden="1" outlineLevel="1" x14ac:dyDescent="0.25">
      <c r="A586" s="218" t="s">
        <v>32</v>
      </c>
      <c r="B586" s="573"/>
      <c r="C586" s="318">
        <v>5654</v>
      </c>
      <c r="D586" s="318">
        <v>5687</v>
      </c>
      <c r="E586" s="318">
        <v>5837</v>
      </c>
      <c r="F586" s="318">
        <v>5815</v>
      </c>
      <c r="G586" s="319">
        <v>1563</v>
      </c>
      <c r="H586" s="319">
        <v>1499</v>
      </c>
      <c r="I586" s="319">
        <v>1468</v>
      </c>
      <c r="J586" s="319">
        <f>K586-I586-H586-G586</f>
        <v>1373</v>
      </c>
      <c r="K586" s="318">
        <v>5903</v>
      </c>
      <c r="L586" s="319">
        <v>1531</v>
      </c>
      <c r="M586" s="319">
        <v>1501</v>
      </c>
      <c r="N586" s="319">
        <v>1569</v>
      </c>
      <c r="O586" s="319">
        <f>P586-N586-M586-L586</f>
        <v>1441</v>
      </c>
      <c r="P586" s="318">
        <v>6042</v>
      </c>
      <c r="Q586" s="319">
        <v>1694</v>
      </c>
      <c r="R586" s="319">
        <v>1780</v>
      </c>
      <c r="S586" s="319">
        <v>1628</v>
      </c>
      <c r="T586" s="319">
        <f>U586-S586-R586-Q586</f>
        <v>1581</v>
      </c>
      <c r="U586" s="318">
        <v>6683</v>
      </c>
      <c r="V586" s="319">
        <v>1811</v>
      </c>
      <c r="W586" s="319">
        <v>1838</v>
      </c>
      <c r="X586" s="319">
        <v>1706</v>
      </c>
      <c r="Y586" s="319">
        <f>Z586-X586-W586-V586</f>
        <v>1702</v>
      </c>
      <c r="Z586" s="318">
        <v>7057</v>
      </c>
      <c r="AA586" s="319">
        <v>1805</v>
      </c>
      <c r="AB586" s="320">
        <v>1884</v>
      </c>
      <c r="AC586" s="319">
        <v>1780</v>
      </c>
      <c r="AD586" s="319">
        <f>AE586-AC586-AB586-AA586</f>
        <v>1514</v>
      </c>
      <c r="AE586" s="318">
        <v>6983</v>
      </c>
      <c r="AF586" s="319">
        <v>1750</v>
      </c>
      <c r="AG586" s="320">
        <v>1886</v>
      </c>
      <c r="AH586" s="319">
        <v>1968</v>
      </c>
      <c r="AI586" s="319">
        <f>AJ586-AH586-AG586-AF586</f>
        <v>1833</v>
      </c>
      <c r="AJ586" s="318">
        <v>7437</v>
      </c>
      <c r="AK586" s="321"/>
      <c r="AL586" s="321"/>
      <c r="AM586" s="321"/>
      <c r="AN586" s="321"/>
      <c r="AO586" s="322"/>
      <c r="AP586" s="321"/>
      <c r="AQ586" s="321"/>
      <c r="AR586" s="321"/>
      <c r="AS586" s="321"/>
      <c r="AT586" s="322"/>
      <c r="AU586" s="321"/>
      <c r="AV586" s="321"/>
      <c r="AW586" s="693"/>
      <c r="AX586" s="321"/>
      <c r="AY586" s="322"/>
      <c r="AZ586" s="321"/>
      <c r="BA586" s="321"/>
      <c r="BB586" s="321"/>
      <c r="BC586" s="321"/>
      <c r="BD586" s="322"/>
      <c r="BE586" s="322"/>
      <c r="BF586" s="322"/>
      <c r="BG586" s="322"/>
      <c r="BH586" s="484"/>
    </row>
    <row r="587" spans="1:60" s="52" customFormat="1" hidden="1" outlineLevel="1" x14ac:dyDescent="0.25">
      <c r="A587" s="501" t="s">
        <v>33</v>
      </c>
      <c r="B587" s="264"/>
      <c r="C587" s="502">
        <f t="shared" ref="C587:AJ587" si="669">SUM(C585:C586)</f>
        <v>16209</v>
      </c>
      <c r="D587" s="502">
        <f t="shared" si="669"/>
        <v>17162</v>
      </c>
      <c r="E587" s="502">
        <f t="shared" si="669"/>
        <v>18714</v>
      </c>
      <c r="F587" s="502">
        <f t="shared" si="669"/>
        <v>19436</v>
      </c>
      <c r="G587" s="503">
        <f t="shared" si="669"/>
        <v>5101</v>
      </c>
      <c r="H587" s="503">
        <f t="shared" si="669"/>
        <v>4957</v>
      </c>
      <c r="I587" s="503">
        <f t="shared" si="669"/>
        <v>5352</v>
      </c>
      <c r="J587" s="503">
        <f t="shared" si="669"/>
        <v>4946</v>
      </c>
      <c r="K587" s="502">
        <f t="shared" si="669"/>
        <v>20356</v>
      </c>
      <c r="L587" s="503">
        <f t="shared" si="669"/>
        <v>5290</v>
      </c>
      <c r="M587" s="503">
        <f t="shared" si="669"/>
        <v>5134</v>
      </c>
      <c r="N587" s="503">
        <f t="shared" si="669"/>
        <v>5511</v>
      </c>
      <c r="O587" s="503">
        <f t="shared" si="669"/>
        <v>5217</v>
      </c>
      <c r="P587" s="502">
        <f t="shared" si="669"/>
        <v>21152</v>
      </c>
      <c r="Q587" s="503">
        <f t="shared" si="669"/>
        <v>5860</v>
      </c>
      <c r="R587" s="503">
        <f t="shared" si="669"/>
        <v>5810</v>
      </c>
      <c r="S587" s="503">
        <f t="shared" si="669"/>
        <v>5768</v>
      </c>
      <c r="T587" s="503">
        <f t="shared" si="669"/>
        <v>5826</v>
      </c>
      <c r="U587" s="502">
        <f t="shared" si="669"/>
        <v>23264</v>
      </c>
      <c r="V587" s="503">
        <f t="shared" si="669"/>
        <v>6332</v>
      </c>
      <c r="W587" s="503">
        <f t="shared" si="669"/>
        <v>5793</v>
      </c>
      <c r="X587" s="503">
        <f t="shared" si="669"/>
        <v>5906</v>
      </c>
      <c r="Y587" s="503">
        <f t="shared" si="669"/>
        <v>5658</v>
      </c>
      <c r="Z587" s="502">
        <f t="shared" si="669"/>
        <v>23689</v>
      </c>
      <c r="AA587" s="503">
        <f t="shared" si="669"/>
        <v>6233</v>
      </c>
      <c r="AB587" s="504">
        <f t="shared" si="669"/>
        <v>5946</v>
      </c>
      <c r="AC587" s="503">
        <f t="shared" si="669"/>
        <v>5866</v>
      </c>
      <c r="AD587" s="503">
        <f t="shared" si="669"/>
        <v>5465</v>
      </c>
      <c r="AE587" s="502">
        <f t="shared" si="669"/>
        <v>23510</v>
      </c>
      <c r="AF587" s="503">
        <f t="shared" si="669"/>
        <v>6243</v>
      </c>
      <c r="AG587" s="504">
        <f t="shared" si="669"/>
        <v>6138</v>
      </c>
      <c r="AH587" s="503">
        <f t="shared" si="669"/>
        <v>6156</v>
      </c>
      <c r="AI587" s="503">
        <f t="shared" si="669"/>
        <v>5963</v>
      </c>
      <c r="AJ587" s="502">
        <f t="shared" si="669"/>
        <v>24500</v>
      </c>
      <c r="AK587" s="505"/>
      <c r="AL587" s="505"/>
      <c r="AM587" s="505"/>
      <c r="AN587" s="505"/>
      <c r="AO587" s="506"/>
      <c r="AP587" s="505"/>
      <c r="AQ587" s="505"/>
      <c r="AR587" s="505"/>
      <c r="AS587" s="505"/>
      <c r="AT587" s="506"/>
      <c r="AU587" s="505"/>
      <c r="AV587" s="505"/>
      <c r="AW587" s="694"/>
      <c r="AX587" s="505"/>
      <c r="AY587" s="506"/>
      <c r="AZ587" s="505"/>
      <c r="BA587" s="505"/>
      <c r="BB587" s="505"/>
      <c r="BC587" s="505"/>
      <c r="BD587" s="506"/>
      <c r="BE587" s="506"/>
      <c r="BF587" s="506"/>
      <c r="BG587" s="506"/>
      <c r="BH587" s="499"/>
    </row>
    <row r="588" spans="1:60" s="49" customFormat="1" hidden="1" outlineLevel="1" x14ac:dyDescent="0.25">
      <c r="A588" s="483" t="s">
        <v>34</v>
      </c>
      <c r="B588" s="514"/>
      <c r="C588" s="489">
        <v>-9556</v>
      </c>
      <c r="D588" s="489">
        <v>-9888</v>
      </c>
      <c r="E588" s="489">
        <v>-10282</v>
      </c>
      <c r="F588" s="489">
        <v>-10535</v>
      </c>
      <c r="G588" s="490">
        <v>-3346</v>
      </c>
      <c r="H588" s="490">
        <v>-2514</v>
      </c>
      <c r="I588" s="490">
        <v>-2564</v>
      </c>
      <c r="J588" s="490">
        <f>K588-I588-H588-G588</f>
        <v>-2837</v>
      </c>
      <c r="K588" s="489">
        <v>-11261</v>
      </c>
      <c r="L588" s="490">
        <v>-3437</v>
      </c>
      <c r="M588" s="490">
        <v>-2523</v>
      </c>
      <c r="N588" s="490">
        <v>-2733</v>
      </c>
      <c r="O588" s="490">
        <f>P588-N588-M588-L588</f>
        <v>-3101</v>
      </c>
      <c r="P588" s="489">
        <v>-11794</v>
      </c>
      <c r="Q588" s="490">
        <v>-3890</v>
      </c>
      <c r="R588" s="490">
        <v>-3140</v>
      </c>
      <c r="S588" s="490">
        <v>-2868</v>
      </c>
      <c r="T588" s="490">
        <f>U588-S588-R588-Q588</f>
        <v>-3252</v>
      </c>
      <c r="U588" s="489">
        <v>-13150</v>
      </c>
      <c r="V588" s="490">
        <v>-4355</v>
      </c>
      <c r="W588" s="490">
        <v>-2904</v>
      </c>
      <c r="X588" s="490">
        <v>-3002</v>
      </c>
      <c r="Y588" s="490">
        <f>Z588-X588-W588-V588</f>
        <v>-3310</v>
      </c>
      <c r="Z588" s="489">
        <v>-13571</v>
      </c>
      <c r="AA588" s="490">
        <v>-4298</v>
      </c>
      <c r="AB588" s="497">
        <v>-3101</v>
      </c>
      <c r="AC588" s="490">
        <v>-3500</v>
      </c>
      <c r="AD588" s="490">
        <f>AE588-AC588-AB588-AA588</f>
        <v>-3169</v>
      </c>
      <c r="AE588" s="489">
        <v>-14068</v>
      </c>
      <c r="AF588" s="490">
        <v>-4370</v>
      </c>
      <c r="AG588" s="497">
        <v>-3298</v>
      </c>
      <c r="AH588" s="490">
        <v>-3725</v>
      </c>
      <c r="AI588" s="490">
        <f>AJ588-AH588-AG588-AF588</f>
        <v>-3535</v>
      </c>
      <c r="AJ588" s="489">
        <v>-14928</v>
      </c>
      <c r="AK588" s="491"/>
      <c r="AL588" s="491"/>
      <c r="AM588" s="491"/>
      <c r="AN588" s="491"/>
      <c r="AO588" s="492"/>
      <c r="AP588" s="491"/>
      <c r="AQ588" s="491"/>
      <c r="AR588" s="491"/>
      <c r="AS588" s="491"/>
      <c r="AT588" s="492"/>
      <c r="AU588" s="491"/>
      <c r="AV588" s="491"/>
      <c r="AW588" s="692"/>
      <c r="AX588" s="491"/>
      <c r="AY588" s="492"/>
      <c r="AZ588" s="491"/>
      <c r="BA588" s="491"/>
      <c r="BB588" s="491"/>
      <c r="BC588" s="491"/>
      <c r="BD588" s="492"/>
      <c r="BE588" s="492"/>
      <c r="BF588" s="492"/>
      <c r="BG588" s="492"/>
      <c r="BH588" s="484"/>
    </row>
    <row r="589" spans="1:60" s="49" customFormat="1" hidden="1" outlineLevel="1" x14ac:dyDescent="0.25">
      <c r="A589" s="483" t="s">
        <v>35</v>
      </c>
      <c r="B589" s="514"/>
      <c r="C589" s="489">
        <v>-2249</v>
      </c>
      <c r="D589" s="489">
        <v>-2358</v>
      </c>
      <c r="E589" s="489">
        <v>-2633</v>
      </c>
      <c r="F589" s="489">
        <v>-2651</v>
      </c>
      <c r="G589" s="490">
        <v>-644</v>
      </c>
      <c r="H589" s="490">
        <v>-703</v>
      </c>
      <c r="I589" s="490">
        <v>-654</v>
      </c>
      <c r="J589" s="490">
        <f>K589-I589-H589-G589</f>
        <v>-767</v>
      </c>
      <c r="K589" s="489">
        <v>-2768</v>
      </c>
      <c r="L589" s="490">
        <v>-579</v>
      </c>
      <c r="M589" s="490">
        <v>-633</v>
      </c>
      <c r="N589" s="490">
        <v>-645</v>
      </c>
      <c r="O589" s="490">
        <f>P589-N589-M589-L589</f>
        <v>-786</v>
      </c>
      <c r="P589" s="489">
        <v>-2643</v>
      </c>
      <c r="Q589" s="490">
        <v>-625</v>
      </c>
      <c r="R589" s="490">
        <v>-705</v>
      </c>
      <c r="S589" s="490">
        <v>-666</v>
      </c>
      <c r="T589" s="490">
        <f>U589-S589-R589-Q589</f>
        <v>-873</v>
      </c>
      <c r="U589" s="489">
        <v>-2869</v>
      </c>
      <c r="V589" s="490">
        <v>-644</v>
      </c>
      <c r="W589" s="490">
        <v>-675</v>
      </c>
      <c r="X589" s="490">
        <v>-622</v>
      </c>
      <c r="Y589" s="490">
        <f>Z589-X589-W589-V589</f>
        <v>-764</v>
      </c>
      <c r="Z589" s="489">
        <v>-2705</v>
      </c>
      <c r="AA589" s="490">
        <v>-633</v>
      </c>
      <c r="AB589" s="497">
        <v>-646</v>
      </c>
      <c r="AC589" s="490">
        <v>-593</v>
      </c>
      <c r="AD589" s="490">
        <f>AE589-AC589-AB589-AA589</f>
        <v>-775</v>
      </c>
      <c r="AE589" s="489">
        <v>-2647</v>
      </c>
      <c r="AF589" s="490">
        <v>-647</v>
      </c>
      <c r="AG589" s="497">
        <v>-702</v>
      </c>
      <c r="AH589" s="490">
        <v>-602</v>
      </c>
      <c r="AI589" s="490">
        <f>AJ589-AH589-AG589-AF589</f>
        <v>-801</v>
      </c>
      <c r="AJ589" s="489">
        <v>-2752</v>
      </c>
      <c r="AK589" s="491"/>
      <c r="AL589" s="491"/>
      <c r="AM589" s="491"/>
      <c r="AN589" s="491"/>
      <c r="AO589" s="492"/>
      <c r="AP589" s="491"/>
      <c r="AQ589" s="491"/>
      <c r="AR589" s="491"/>
      <c r="AS589" s="491"/>
      <c r="AT589" s="492"/>
      <c r="AU589" s="491"/>
      <c r="AV589" s="491"/>
      <c r="AW589" s="692"/>
      <c r="AX589" s="491"/>
      <c r="AY589" s="492"/>
      <c r="AZ589" s="491"/>
      <c r="BA589" s="491"/>
      <c r="BB589" s="491"/>
      <c r="BC589" s="491"/>
      <c r="BD589" s="492"/>
      <c r="BE589" s="492"/>
      <c r="BF589" s="492"/>
      <c r="BG589" s="492"/>
      <c r="BH589" s="484"/>
    </row>
    <row r="590" spans="1:60" s="49" customFormat="1" hidden="1" outlineLevel="1" x14ac:dyDescent="0.25">
      <c r="A590" s="483" t="s">
        <v>36</v>
      </c>
      <c r="B590" s="514"/>
      <c r="C590" s="489">
        <v>-206</v>
      </c>
      <c r="D590" s="489">
        <v>-222</v>
      </c>
      <c r="E590" s="489">
        <v>-237</v>
      </c>
      <c r="F590" s="489">
        <v>-258</v>
      </c>
      <c r="G590" s="490">
        <v>-61</v>
      </c>
      <c r="H590" s="490">
        <v>-63</v>
      </c>
      <c r="I590" s="490">
        <v>-66</v>
      </c>
      <c r="J590" s="490">
        <f>K590-I590-H590-G590</f>
        <v>-61</v>
      </c>
      <c r="K590" s="489">
        <v>-251</v>
      </c>
      <c r="L590" s="490">
        <v>-58</v>
      </c>
      <c r="M590" s="490">
        <v>-62</v>
      </c>
      <c r="N590" s="490">
        <v>-59</v>
      </c>
      <c r="O590" s="490">
        <f>P590-N590-M590-L590</f>
        <v>-71</v>
      </c>
      <c r="P590" s="489">
        <v>-250</v>
      </c>
      <c r="Q590" s="490">
        <v>-63</v>
      </c>
      <c r="R590" s="490">
        <v>-69</v>
      </c>
      <c r="S590" s="490">
        <v>-68</v>
      </c>
      <c r="T590" s="490">
        <f>U590-S590-R590-Q590</f>
        <v>-66</v>
      </c>
      <c r="U590" s="489">
        <v>-266</v>
      </c>
      <c r="V590" s="490">
        <v>-63</v>
      </c>
      <c r="W590" s="490">
        <v>-66</v>
      </c>
      <c r="X590" s="490">
        <v>-64</v>
      </c>
      <c r="Y590" s="490">
        <f>Z590-X590-W590-V590</f>
        <v>-62</v>
      </c>
      <c r="Z590" s="489">
        <v>-255</v>
      </c>
      <c r="AA590" s="490">
        <v>-59</v>
      </c>
      <c r="AB590" s="497">
        <v>-64</v>
      </c>
      <c r="AC590" s="490">
        <v>-58</v>
      </c>
      <c r="AD590" s="490">
        <f>AE590-AC590-AB590-AA590</f>
        <v>-56</v>
      </c>
      <c r="AE590" s="489">
        <v>-237</v>
      </c>
      <c r="AF590" s="490">
        <v>-83</v>
      </c>
      <c r="AG590" s="497">
        <v>-69</v>
      </c>
      <c r="AH590" s="490">
        <v>-85</v>
      </c>
      <c r="AI590" s="490">
        <f>AJ590-AH590-AG590-AF590</f>
        <v>-89</v>
      </c>
      <c r="AJ590" s="489">
        <v>-326</v>
      </c>
      <c r="AK590" s="491"/>
      <c r="AL590" s="491"/>
      <c r="AM590" s="491"/>
      <c r="AN590" s="491"/>
      <c r="AO590" s="492"/>
      <c r="AP590" s="491"/>
      <c r="AQ590" s="491"/>
      <c r="AR590" s="491"/>
      <c r="AS590" s="491"/>
      <c r="AT590" s="492"/>
      <c r="AU590" s="491"/>
      <c r="AV590" s="491"/>
      <c r="AW590" s="692"/>
      <c r="AX590" s="491"/>
      <c r="AY590" s="492"/>
      <c r="AZ590" s="491"/>
      <c r="BA590" s="491"/>
      <c r="BB590" s="491"/>
      <c r="BC590" s="491"/>
      <c r="BD590" s="492"/>
      <c r="BE590" s="492"/>
      <c r="BF590" s="492"/>
      <c r="BG590" s="492"/>
      <c r="BH590" s="484"/>
    </row>
    <row r="591" spans="1:60" s="49" customFormat="1" hidden="1" outlineLevel="1" x14ac:dyDescent="0.25">
      <c r="A591" s="218" t="s">
        <v>37</v>
      </c>
      <c r="B591" s="573"/>
      <c r="C591" s="318">
        <v>567</v>
      </c>
      <c r="D591" s="318">
        <v>438</v>
      </c>
      <c r="E591" s="318">
        <v>584</v>
      </c>
      <c r="F591" s="318">
        <v>627</v>
      </c>
      <c r="G591" s="319">
        <v>164</v>
      </c>
      <c r="H591" s="319">
        <v>185</v>
      </c>
      <c r="I591" s="319">
        <v>232</v>
      </c>
      <c r="J591" s="319">
        <f>K591-I591-H591-G591</f>
        <v>161</v>
      </c>
      <c r="K591" s="318">
        <v>742</v>
      </c>
      <c r="L591" s="319">
        <v>239</v>
      </c>
      <c r="M591" s="319">
        <v>217</v>
      </c>
      <c r="N591" s="319">
        <v>222</v>
      </c>
      <c r="O591" s="319">
        <f>P591-N591-M591-L591</f>
        <v>178</v>
      </c>
      <c r="P591" s="318">
        <v>856</v>
      </c>
      <c r="Q591" s="319">
        <v>213</v>
      </c>
      <c r="R591" s="319">
        <v>205</v>
      </c>
      <c r="S591" s="319">
        <v>212</v>
      </c>
      <c r="T591" s="319">
        <f>U591-S591-R591-Q591</f>
        <v>184</v>
      </c>
      <c r="U591" s="318">
        <v>814</v>
      </c>
      <c r="V591" s="319">
        <v>142</v>
      </c>
      <c r="W591" s="319">
        <v>151</v>
      </c>
      <c r="X591" s="319">
        <v>154</v>
      </c>
      <c r="Y591" s="319">
        <f>Z591-X591-W591-V591</f>
        <v>150</v>
      </c>
      <c r="Z591" s="318">
        <v>597</v>
      </c>
      <c r="AA591" s="319">
        <v>119</v>
      </c>
      <c r="AB591" s="320">
        <v>88</v>
      </c>
      <c r="AC591" s="319">
        <v>127</v>
      </c>
      <c r="AD591" s="319">
        <f>AE591-AC591-AB591-AA591</f>
        <v>10</v>
      </c>
      <c r="AE591" s="318">
        <v>344</v>
      </c>
      <c r="AF591" s="319">
        <v>50</v>
      </c>
      <c r="AG591" s="320">
        <v>13</v>
      </c>
      <c r="AH591" s="319">
        <v>78</v>
      </c>
      <c r="AI591" s="319">
        <f>AJ591-AH591-AG591-AF591</f>
        <v>-10</v>
      </c>
      <c r="AJ591" s="318">
        <v>131</v>
      </c>
      <c r="AK591" s="321"/>
      <c r="AL591" s="321"/>
      <c r="AM591" s="321"/>
      <c r="AN591" s="321"/>
      <c r="AO591" s="322"/>
      <c r="AP591" s="321"/>
      <c r="AQ591" s="321"/>
      <c r="AR591" s="321"/>
      <c r="AS591" s="321"/>
      <c r="AT591" s="322"/>
      <c r="AU591" s="321"/>
      <c r="AV591" s="321"/>
      <c r="AW591" s="693"/>
      <c r="AX591" s="321"/>
      <c r="AY591" s="322"/>
      <c r="AZ591" s="321"/>
      <c r="BA591" s="321"/>
      <c r="BB591" s="321"/>
      <c r="BC591" s="321"/>
      <c r="BD591" s="322"/>
      <c r="BE591" s="322"/>
      <c r="BF591" s="322"/>
      <c r="BG591" s="322"/>
      <c r="BH591" s="484"/>
    </row>
    <row r="592" spans="1:60" s="52" customFormat="1" hidden="1" outlineLevel="1" x14ac:dyDescent="0.25">
      <c r="A592" s="501" t="s">
        <v>38</v>
      </c>
      <c r="B592" s="264"/>
      <c r="C592" s="502">
        <f t="shared" ref="C592:AJ592" si="670">SUM(C587:C591)</f>
        <v>4765</v>
      </c>
      <c r="D592" s="502">
        <f t="shared" si="670"/>
        <v>5132</v>
      </c>
      <c r="E592" s="502">
        <f t="shared" si="670"/>
        <v>6146</v>
      </c>
      <c r="F592" s="502">
        <f t="shared" si="670"/>
        <v>6619</v>
      </c>
      <c r="G592" s="503">
        <f t="shared" si="670"/>
        <v>1214</v>
      </c>
      <c r="H592" s="503">
        <f t="shared" si="670"/>
        <v>1862</v>
      </c>
      <c r="I592" s="503">
        <f t="shared" si="670"/>
        <v>2300</v>
      </c>
      <c r="J592" s="503">
        <f t="shared" si="670"/>
        <v>1442</v>
      </c>
      <c r="K592" s="502">
        <f t="shared" si="670"/>
        <v>6818</v>
      </c>
      <c r="L592" s="503">
        <f t="shared" si="670"/>
        <v>1455</v>
      </c>
      <c r="M592" s="503">
        <f t="shared" si="670"/>
        <v>2133</v>
      </c>
      <c r="N592" s="503">
        <f t="shared" si="670"/>
        <v>2296</v>
      </c>
      <c r="O592" s="503">
        <f t="shared" si="670"/>
        <v>1437</v>
      </c>
      <c r="P592" s="502">
        <f t="shared" si="670"/>
        <v>7321</v>
      </c>
      <c r="Q592" s="503">
        <f t="shared" si="670"/>
        <v>1495</v>
      </c>
      <c r="R592" s="503">
        <f t="shared" si="670"/>
        <v>2101</v>
      </c>
      <c r="S592" s="503">
        <f t="shared" si="670"/>
        <v>2378</v>
      </c>
      <c r="T592" s="503">
        <f t="shared" si="670"/>
        <v>1819</v>
      </c>
      <c r="U592" s="502">
        <f t="shared" si="670"/>
        <v>7793</v>
      </c>
      <c r="V592" s="503">
        <f t="shared" si="670"/>
        <v>1412</v>
      </c>
      <c r="W592" s="503">
        <f t="shared" si="670"/>
        <v>2299</v>
      </c>
      <c r="X592" s="503">
        <f t="shared" si="670"/>
        <v>2372</v>
      </c>
      <c r="Y592" s="503">
        <f t="shared" si="670"/>
        <v>1672</v>
      </c>
      <c r="Z592" s="502">
        <f t="shared" si="670"/>
        <v>7755</v>
      </c>
      <c r="AA592" s="503">
        <f t="shared" si="670"/>
        <v>1362</v>
      </c>
      <c r="AB592" s="504">
        <f t="shared" si="670"/>
        <v>2223</v>
      </c>
      <c r="AC592" s="503">
        <f t="shared" si="670"/>
        <v>1842</v>
      </c>
      <c r="AD592" s="503">
        <f t="shared" si="670"/>
        <v>1475</v>
      </c>
      <c r="AE592" s="502">
        <f t="shared" si="670"/>
        <v>6902</v>
      </c>
      <c r="AF592" s="503">
        <f t="shared" si="670"/>
        <v>1193</v>
      </c>
      <c r="AG592" s="504">
        <f t="shared" si="670"/>
        <v>2082</v>
      </c>
      <c r="AH592" s="503">
        <f t="shared" si="670"/>
        <v>1822</v>
      </c>
      <c r="AI592" s="503">
        <f t="shared" si="670"/>
        <v>1528</v>
      </c>
      <c r="AJ592" s="502">
        <f t="shared" si="670"/>
        <v>6625</v>
      </c>
      <c r="AK592" s="505"/>
      <c r="AL592" s="505"/>
      <c r="AM592" s="505"/>
      <c r="AN592" s="505"/>
      <c r="AO592" s="506"/>
      <c r="AP592" s="505"/>
      <c r="AQ592" s="505"/>
      <c r="AR592" s="505"/>
      <c r="AS592" s="505"/>
      <c r="AT592" s="506"/>
      <c r="AU592" s="505"/>
      <c r="AV592" s="505"/>
      <c r="AW592" s="694"/>
      <c r="AX592" s="505"/>
      <c r="AY592" s="506"/>
      <c r="AZ592" s="505"/>
      <c r="BA592" s="505"/>
      <c r="BB592" s="505"/>
      <c r="BC592" s="505"/>
      <c r="BD592" s="506"/>
      <c r="BE592" s="506"/>
      <c r="BF592" s="506"/>
      <c r="BG592" s="506"/>
      <c r="BH592" s="499"/>
    </row>
    <row r="593" spans="1:60" s="52" customFormat="1" hidden="1" outlineLevel="1" x14ac:dyDescent="0.25">
      <c r="A593" s="635"/>
      <c r="B593" s="264"/>
      <c r="C593" s="506"/>
      <c r="D593" s="506"/>
      <c r="E593" s="506"/>
      <c r="F593" s="506"/>
      <c r="G593" s="505"/>
      <c r="H593" s="505"/>
      <c r="I593" s="505"/>
      <c r="J593" s="505"/>
      <c r="K593" s="506"/>
      <c r="L593" s="505"/>
      <c r="M593" s="505"/>
      <c r="N593" s="505"/>
      <c r="O593" s="505"/>
      <c r="P593" s="506"/>
      <c r="Q593" s="505"/>
      <c r="R593" s="505"/>
      <c r="S593" s="505"/>
      <c r="T593" s="505"/>
      <c r="U593" s="506"/>
      <c r="V593" s="505"/>
      <c r="W593" s="505"/>
      <c r="X593" s="505"/>
      <c r="Y593" s="505"/>
      <c r="Z593" s="506"/>
      <c r="AA593" s="505"/>
      <c r="AB593" s="505"/>
      <c r="AC593" s="505"/>
      <c r="AD593" s="505"/>
      <c r="AE593" s="506"/>
      <c r="AF593" s="505"/>
      <c r="AG593" s="505"/>
      <c r="AH593" s="505"/>
      <c r="AI593" s="505"/>
      <c r="AJ593" s="506"/>
      <c r="AK593" s="505"/>
      <c r="AL593" s="505"/>
      <c r="AM593" s="505"/>
      <c r="AN593" s="505"/>
      <c r="AO593" s="506"/>
      <c r="AP593" s="505"/>
      <c r="AQ593" s="505"/>
      <c r="AR593" s="505"/>
      <c r="AS593" s="505"/>
      <c r="AT593" s="506"/>
      <c r="AU593" s="505"/>
      <c r="AV593" s="505"/>
      <c r="AW593" s="694"/>
      <c r="AX593" s="505"/>
      <c r="AY593" s="506"/>
      <c r="AZ593" s="505"/>
      <c r="BA593" s="505"/>
      <c r="BB593" s="505"/>
      <c r="BC593" s="505"/>
      <c r="BD593" s="506"/>
      <c r="BE593" s="506"/>
      <c r="BF593" s="506"/>
      <c r="BG593" s="506"/>
      <c r="BH593" s="499"/>
    </row>
    <row r="594" spans="1:60" s="343" customFormat="1" hidden="1" outlineLevel="1" x14ac:dyDescent="0.25">
      <c r="A594" s="168" t="s">
        <v>39</v>
      </c>
      <c r="B594" s="655"/>
      <c r="C594" s="339">
        <f t="shared" ref="C594:AJ594" si="671">C588/-C587</f>
        <v>0.58954901597877718</v>
      </c>
      <c r="D594" s="339">
        <f t="shared" si="671"/>
        <v>0.57615662510196952</v>
      </c>
      <c r="E594" s="339">
        <f t="shared" si="671"/>
        <v>0.54942823554558085</v>
      </c>
      <c r="F594" s="339">
        <f t="shared" si="671"/>
        <v>0.54203539823008851</v>
      </c>
      <c r="G594" s="340">
        <f t="shared" si="671"/>
        <v>0.65594981376200745</v>
      </c>
      <c r="H594" s="340">
        <f t="shared" si="671"/>
        <v>0.50716158967117209</v>
      </c>
      <c r="I594" s="340">
        <f t="shared" si="671"/>
        <v>0.47907324364723469</v>
      </c>
      <c r="J594" s="340">
        <f t="shared" si="671"/>
        <v>0.57359482410028306</v>
      </c>
      <c r="K594" s="339">
        <f t="shared" si="671"/>
        <v>0.55320298683434854</v>
      </c>
      <c r="L594" s="340">
        <f t="shared" si="671"/>
        <v>0.64971644612476376</v>
      </c>
      <c r="M594" s="340">
        <f t="shared" si="671"/>
        <v>0.4914296844565641</v>
      </c>
      <c r="N594" s="340">
        <f t="shared" si="671"/>
        <v>0.4959172563962983</v>
      </c>
      <c r="O594" s="340">
        <f t="shared" si="671"/>
        <v>0.59440291355184971</v>
      </c>
      <c r="P594" s="339">
        <f t="shared" si="671"/>
        <v>0.55758320726172461</v>
      </c>
      <c r="Q594" s="340">
        <f t="shared" si="671"/>
        <v>0.66382252559726962</v>
      </c>
      <c r="R594" s="340">
        <f t="shared" si="671"/>
        <v>0.54044750430292599</v>
      </c>
      <c r="S594" s="340">
        <f t="shared" si="671"/>
        <v>0.49722607489597781</v>
      </c>
      <c r="T594" s="340">
        <f t="shared" si="671"/>
        <v>0.5581874356333677</v>
      </c>
      <c r="U594" s="339">
        <f t="shared" si="671"/>
        <v>0.56525103163686385</v>
      </c>
      <c r="V594" s="340">
        <f t="shared" si="671"/>
        <v>0.68777637397346814</v>
      </c>
      <c r="W594" s="340">
        <f t="shared" si="671"/>
        <v>0.50129466597617811</v>
      </c>
      <c r="X594" s="340">
        <f t="shared" si="671"/>
        <v>0.50829664747714187</v>
      </c>
      <c r="Y594" s="340">
        <f t="shared" si="671"/>
        <v>0.58501237186284905</v>
      </c>
      <c r="Z594" s="339">
        <f t="shared" si="671"/>
        <v>0.57288192832116169</v>
      </c>
      <c r="AA594" s="340">
        <f t="shared" si="671"/>
        <v>0.68955559120808596</v>
      </c>
      <c r="AB594" s="341">
        <f t="shared" si="671"/>
        <v>0.52152707702657253</v>
      </c>
      <c r="AC594" s="340">
        <f t="shared" si="671"/>
        <v>0.59665871121718372</v>
      </c>
      <c r="AD594" s="340">
        <f t="shared" si="671"/>
        <v>0.57987191216834399</v>
      </c>
      <c r="AE594" s="339">
        <f t="shared" si="671"/>
        <v>0.59838366652488306</v>
      </c>
      <c r="AF594" s="340">
        <f t="shared" si="671"/>
        <v>0.69998398205990708</v>
      </c>
      <c r="AG594" s="341">
        <f t="shared" si="671"/>
        <v>0.53730856956663409</v>
      </c>
      <c r="AH594" s="340">
        <f t="shared" si="671"/>
        <v>0.60510071474983751</v>
      </c>
      <c r="AI594" s="340">
        <f t="shared" si="671"/>
        <v>0.59282240482978366</v>
      </c>
      <c r="AJ594" s="339">
        <f t="shared" si="671"/>
        <v>0.60930612244897964</v>
      </c>
      <c r="AK594" s="634"/>
      <c r="AL594" s="634"/>
      <c r="AM594" s="634"/>
      <c r="AN594" s="634"/>
      <c r="AO594" s="183"/>
      <c r="AP594" s="634"/>
      <c r="AQ594" s="634"/>
      <c r="AR594" s="634"/>
      <c r="AS594" s="634"/>
      <c r="AT594" s="183"/>
      <c r="AU594" s="634"/>
      <c r="AV594" s="634"/>
      <c r="AW594" s="691"/>
      <c r="AX594" s="634"/>
      <c r="AY594" s="183"/>
      <c r="AZ594" s="634"/>
      <c r="BA594" s="634"/>
      <c r="BB594" s="634"/>
      <c r="BC594" s="634"/>
      <c r="BD594" s="183"/>
      <c r="BE594" s="183"/>
      <c r="BF594" s="183"/>
      <c r="BG594" s="183"/>
      <c r="BH594" s="342"/>
    </row>
    <row r="595" spans="1:60" s="343" customFormat="1" hidden="1" outlineLevel="1" x14ac:dyDescent="0.25">
      <c r="A595" s="344" t="s">
        <v>40</v>
      </c>
      <c r="B595" s="749"/>
      <c r="C595" s="345">
        <f t="shared" ref="C595:AJ595" si="672">C589/-C587</f>
        <v>0.13875007711765069</v>
      </c>
      <c r="D595" s="345">
        <f t="shared" si="672"/>
        <v>0.13739657382589443</v>
      </c>
      <c r="E595" s="345">
        <f t="shared" si="672"/>
        <v>0.1406968045313669</v>
      </c>
      <c r="F595" s="345">
        <f t="shared" si="672"/>
        <v>0.13639637785552583</v>
      </c>
      <c r="G595" s="346">
        <f t="shared" si="672"/>
        <v>0.12624975495000981</v>
      </c>
      <c r="H595" s="346">
        <f t="shared" si="672"/>
        <v>0.14181964898123867</v>
      </c>
      <c r="I595" s="346">
        <f t="shared" si="672"/>
        <v>0.12219730941704036</v>
      </c>
      <c r="J595" s="346">
        <f t="shared" si="672"/>
        <v>0.15507480792559644</v>
      </c>
      <c r="K595" s="345">
        <f t="shared" si="672"/>
        <v>0.1359795637649833</v>
      </c>
      <c r="L595" s="346">
        <f t="shared" si="672"/>
        <v>0.10945179584120983</v>
      </c>
      <c r="M595" s="346">
        <f t="shared" si="672"/>
        <v>0.12329567588624854</v>
      </c>
      <c r="N595" s="346">
        <f t="shared" si="672"/>
        <v>0.11703864997278171</v>
      </c>
      <c r="O595" s="346">
        <f t="shared" si="672"/>
        <v>0.15066129959746982</v>
      </c>
      <c r="P595" s="345">
        <f t="shared" si="672"/>
        <v>0.12495272314674735</v>
      </c>
      <c r="Q595" s="346">
        <f t="shared" si="672"/>
        <v>0.10665529010238908</v>
      </c>
      <c r="R595" s="346">
        <f t="shared" si="672"/>
        <v>0.12134251290877797</v>
      </c>
      <c r="S595" s="346">
        <f t="shared" si="672"/>
        <v>0.11546463245492372</v>
      </c>
      <c r="T595" s="346">
        <f t="shared" si="672"/>
        <v>0.1498455200823893</v>
      </c>
      <c r="U595" s="345">
        <f t="shared" si="672"/>
        <v>0.1233235900962861</v>
      </c>
      <c r="V595" s="346">
        <f t="shared" si="672"/>
        <v>0.10170562223626027</v>
      </c>
      <c r="W595" s="346">
        <f t="shared" si="672"/>
        <v>0.11651993785603314</v>
      </c>
      <c r="X595" s="346">
        <f t="shared" si="672"/>
        <v>0.10531662715882154</v>
      </c>
      <c r="Y595" s="346">
        <f t="shared" si="672"/>
        <v>0.13503004595263343</v>
      </c>
      <c r="Z595" s="345">
        <f t="shared" si="672"/>
        <v>0.1141880197560049</v>
      </c>
      <c r="AA595" s="346">
        <f t="shared" si="672"/>
        <v>0.10155623295363389</v>
      </c>
      <c r="AB595" s="347">
        <f t="shared" si="672"/>
        <v>0.10864446686848302</v>
      </c>
      <c r="AC595" s="346">
        <f t="shared" si="672"/>
        <v>0.10109103307193999</v>
      </c>
      <c r="AD595" s="346">
        <f t="shared" si="672"/>
        <v>0.14181152790484905</v>
      </c>
      <c r="AE595" s="345">
        <f t="shared" si="672"/>
        <v>0.11259038706933219</v>
      </c>
      <c r="AF595" s="346">
        <f t="shared" si="672"/>
        <v>0.10363607240108921</v>
      </c>
      <c r="AG595" s="347">
        <f t="shared" si="672"/>
        <v>0.11436950146627566</v>
      </c>
      <c r="AH595" s="346">
        <f t="shared" si="672"/>
        <v>9.7790773229369715E-2</v>
      </c>
      <c r="AI595" s="346">
        <f t="shared" si="672"/>
        <v>0.13432835820895522</v>
      </c>
      <c r="AJ595" s="345">
        <f t="shared" si="672"/>
        <v>0.1123265306122449</v>
      </c>
      <c r="AK595" s="738"/>
      <c r="AL595" s="738"/>
      <c r="AM595" s="738"/>
      <c r="AN595" s="738"/>
      <c r="AO595" s="348"/>
      <c r="AP595" s="738"/>
      <c r="AQ595" s="738"/>
      <c r="AR595" s="738"/>
      <c r="AS595" s="738"/>
      <c r="AT595" s="348"/>
      <c r="AU595" s="738"/>
      <c r="AV595" s="738"/>
      <c r="AW595" s="760"/>
      <c r="AX595" s="738"/>
      <c r="AY595" s="348"/>
      <c r="AZ595" s="738"/>
      <c r="BA595" s="738"/>
      <c r="BB595" s="738"/>
      <c r="BC595" s="738"/>
      <c r="BD595" s="348"/>
      <c r="BE595" s="348"/>
      <c r="BF595" s="348"/>
      <c r="BG595" s="348"/>
      <c r="BH595" s="342"/>
    </row>
    <row r="596" spans="1:60" s="355" customFormat="1" hidden="1" outlineLevel="1" x14ac:dyDescent="0.25">
      <c r="A596" s="349" t="s">
        <v>41</v>
      </c>
      <c r="B596" s="750"/>
      <c r="C596" s="350">
        <f t="shared" ref="C596:AJ596" si="673">C592/C587</f>
        <v>0.29397248442223456</v>
      </c>
      <c r="D596" s="350">
        <f t="shared" si="673"/>
        <v>0.29903274676611119</v>
      </c>
      <c r="E596" s="350">
        <f t="shared" si="673"/>
        <v>0.328417227743935</v>
      </c>
      <c r="F596" s="350">
        <f t="shared" si="673"/>
        <v>0.34055361185429101</v>
      </c>
      <c r="G596" s="351">
        <f t="shared" si="673"/>
        <v>0.23799255048029799</v>
      </c>
      <c r="H596" s="351">
        <f t="shared" si="673"/>
        <v>0.37563042162598348</v>
      </c>
      <c r="I596" s="351">
        <f t="shared" si="673"/>
        <v>0.42974588938714497</v>
      </c>
      <c r="J596" s="351">
        <f t="shared" si="673"/>
        <v>0.29154872624342903</v>
      </c>
      <c r="K596" s="350">
        <f t="shared" si="673"/>
        <v>0.33493810178817057</v>
      </c>
      <c r="L596" s="351">
        <f t="shared" si="673"/>
        <v>0.27504725897920607</v>
      </c>
      <c r="M596" s="351">
        <f t="shared" si="673"/>
        <v>0.41546552395792752</v>
      </c>
      <c r="N596" s="351">
        <f t="shared" si="673"/>
        <v>0.41662130284884774</v>
      </c>
      <c r="O596" s="351">
        <f t="shared" si="673"/>
        <v>0.27544565842438185</v>
      </c>
      <c r="P596" s="350">
        <f t="shared" si="673"/>
        <v>0.3461138426626324</v>
      </c>
      <c r="Q596" s="351">
        <f t="shared" si="673"/>
        <v>0.2551194539249147</v>
      </c>
      <c r="R596" s="351">
        <f t="shared" si="673"/>
        <v>0.36161790017211703</v>
      </c>
      <c r="S596" s="351">
        <f t="shared" si="673"/>
        <v>0.41227461858529818</v>
      </c>
      <c r="T596" s="351">
        <f t="shared" si="673"/>
        <v>0.31222107792653619</v>
      </c>
      <c r="U596" s="350">
        <f t="shared" si="673"/>
        <v>0.33498108665749654</v>
      </c>
      <c r="V596" s="351">
        <f t="shared" si="673"/>
        <v>0.22299431459254579</v>
      </c>
      <c r="W596" s="351">
        <f t="shared" si="673"/>
        <v>0.39685827723114103</v>
      </c>
      <c r="X596" s="351">
        <f t="shared" si="673"/>
        <v>0.40162546562817475</v>
      </c>
      <c r="Y596" s="351">
        <f t="shared" si="673"/>
        <v>0.29551078119476848</v>
      </c>
      <c r="Z596" s="350">
        <f t="shared" si="673"/>
        <v>0.32736713242433196</v>
      </c>
      <c r="AA596" s="351">
        <f t="shared" si="673"/>
        <v>0.21851435905663405</v>
      </c>
      <c r="AB596" s="352">
        <f t="shared" si="673"/>
        <v>0.37386478304742682</v>
      </c>
      <c r="AC596" s="351">
        <f t="shared" si="673"/>
        <v>0.31401295601772927</v>
      </c>
      <c r="AD596" s="351">
        <f t="shared" si="673"/>
        <v>0.26989935956084171</v>
      </c>
      <c r="AE596" s="350">
        <f t="shared" si="673"/>
        <v>0.29357720119098257</v>
      </c>
      <c r="AF596" s="351">
        <f t="shared" si="673"/>
        <v>0.19109402530834535</v>
      </c>
      <c r="AG596" s="352">
        <f t="shared" si="673"/>
        <v>0.3391984359726295</v>
      </c>
      <c r="AH596" s="351">
        <f t="shared" si="673"/>
        <v>0.29597141000649774</v>
      </c>
      <c r="AI596" s="351">
        <f t="shared" si="673"/>
        <v>0.25624685560959248</v>
      </c>
      <c r="AJ596" s="350">
        <f t="shared" si="673"/>
        <v>0.27040816326530615</v>
      </c>
      <c r="AK596" s="353"/>
      <c r="AL596" s="353"/>
      <c r="AM596" s="353"/>
      <c r="AN596" s="353"/>
      <c r="AO596" s="354"/>
      <c r="AP596" s="353"/>
      <c r="AQ596" s="353"/>
      <c r="AR596" s="353"/>
      <c r="AS596" s="353"/>
      <c r="AT596" s="354"/>
      <c r="AU596" s="353"/>
      <c r="AV596" s="353"/>
      <c r="AW596" s="761"/>
      <c r="AX596" s="353"/>
      <c r="AY596" s="354"/>
      <c r="AZ596" s="353"/>
      <c r="BA596" s="353"/>
      <c r="BB596" s="353"/>
      <c r="BC596" s="353"/>
      <c r="BD596" s="354"/>
      <c r="BE596" s="354"/>
      <c r="BF596" s="354"/>
      <c r="BG596" s="354"/>
      <c r="BH596" s="303"/>
    </row>
    <row r="597" spans="1:60" s="44" customFormat="1" hidden="1" outlineLevel="1" x14ac:dyDescent="0.25">
      <c r="A597" s="748"/>
      <c r="B597" s="246"/>
      <c r="C597" s="478"/>
      <c r="D597" s="478"/>
      <c r="E597" s="478"/>
      <c r="F597" s="478"/>
      <c r="G597" s="480"/>
      <c r="H597" s="480"/>
      <c r="I597" s="480"/>
      <c r="J597" s="480"/>
      <c r="K597" s="478"/>
      <c r="L597" s="480"/>
      <c r="M597" s="480"/>
      <c r="N597" s="480"/>
      <c r="O597" s="480"/>
      <c r="P597" s="478"/>
      <c r="Q597" s="480"/>
      <c r="R597" s="480"/>
      <c r="S597" s="480"/>
      <c r="T597" s="480"/>
      <c r="U597" s="478"/>
      <c r="V597" s="480"/>
      <c r="W597" s="480"/>
      <c r="X597" s="480"/>
      <c r="Y597" s="480"/>
      <c r="Z597" s="478"/>
      <c r="AA597" s="480"/>
      <c r="AB597" s="480"/>
      <c r="AC597" s="480"/>
      <c r="AD597" s="480"/>
      <c r="AE597" s="478"/>
      <c r="AF597" s="480"/>
      <c r="AG597" s="480"/>
      <c r="AH597" s="480"/>
      <c r="AI597" s="480"/>
      <c r="AJ597" s="478"/>
      <c r="AK597" s="480"/>
      <c r="AL597" s="480"/>
      <c r="AM597" s="480"/>
      <c r="AN597" s="480"/>
      <c r="AO597" s="478"/>
      <c r="AP597" s="480"/>
      <c r="AQ597" s="480"/>
      <c r="AR597" s="480"/>
      <c r="AS597" s="480"/>
      <c r="AT597" s="478"/>
      <c r="AU597" s="480"/>
      <c r="AV597" s="480"/>
      <c r="AW597" s="708"/>
      <c r="AX597" s="480"/>
      <c r="AY597" s="478"/>
      <c r="AZ597" s="480"/>
      <c r="BA597" s="480"/>
      <c r="BB597" s="480"/>
      <c r="BC597" s="480"/>
      <c r="BD597" s="478"/>
      <c r="BE597" s="478"/>
      <c r="BF597" s="478"/>
      <c r="BG597" s="478"/>
      <c r="BH597" s="473"/>
    </row>
    <row r="598" spans="1:60" s="49" customFormat="1" hidden="1" outlineLevel="1" x14ac:dyDescent="0.25">
      <c r="A598" s="483" t="s">
        <v>130</v>
      </c>
      <c r="B598" s="234"/>
      <c r="C598" s="39">
        <v>151</v>
      </c>
      <c r="D598" s="39">
        <v>132</v>
      </c>
      <c r="E598" s="39">
        <v>179</v>
      </c>
      <c r="F598" s="39">
        <v>170</v>
      </c>
      <c r="G598" s="484">
        <v>31</v>
      </c>
      <c r="H598" s="484">
        <v>67</v>
      </c>
      <c r="I598" s="484">
        <v>111</v>
      </c>
      <c r="J598" s="484">
        <f>K598</f>
        <v>176</v>
      </c>
      <c r="K598" s="39">
        <v>176</v>
      </c>
      <c r="L598" s="484">
        <v>32</v>
      </c>
      <c r="M598" s="484">
        <v>68</v>
      </c>
      <c r="N598" s="484">
        <v>101</v>
      </c>
      <c r="O598" s="484">
        <f>P598</f>
        <v>172</v>
      </c>
      <c r="P598" s="39">
        <v>172</v>
      </c>
      <c r="Q598" s="484">
        <v>15</v>
      </c>
      <c r="R598" s="484">
        <v>26</v>
      </c>
      <c r="S598" s="484">
        <v>51</v>
      </c>
      <c r="T598" s="484">
        <f>U598</f>
        <v>127</v>
      </c>
      <c r="U598" s="39">
        <v>127</v>
      </c>
      <c r="V598" s="484">
        <v>27</v>
      </c>
      <c r="W598" s="484">
        <v>33</v>
      </c>
      <c r="X598" s="484">
        <v>55</v>
      </c>
      <c r="Y598" s="484">
        <f>Z598</f>
        <v>86</v>
      </c>
      <c r="Z598" s="39">
        <v>86</v>
      </c>
      <c r="AA598" s="484">
        <v>46</v>
      </c>
      <c r="AB598" s="191">
        <v>60</v>
      </c>
      <c r="AC598" s="484">
        <v>70</v>
      </c>
      <c r="AD598" s="484">
        <f>AE598</f>
        <v>75</v>
      </c>
      <c r="AE598" s="39">
        <v>75</v>
      </c>
      <c r="AF598" s="484">
        <v>81</v>
      </c>
      <c r="AG598" s="191">
        <v>135</v>
      </c>
      <c r="AH598" s="484">
        <v>161</v>
      </c>
      <c r="AI598" s="484">
        <f>AJ598</f>
        <v>202</v>
      </c>
      <c r="AJ598" s="39">
        <v>202</v>
      </c>
      <c r="AK598" s="113"/>
      <c r="AL598" s="113"/>
      <c r="AM598" s="113"/>
      <c r="AN598" s="113"/>
      <c r="AO598" s="104"/>
      <c r="AP598" s="113"/>
      <c r="AQ598" s="113"/>
      <c r="AR598" s="113"/>
      <c r="AS598" s="113"/>
      <c r="AT598" s="104"/>
      <c r="AU598" s="113"/>
      <c r="AV598" s="113"/>
      <c r="AW598" s="699"/>
      <c r="AX598" s="113"/>
      <c r="AY598" s="104"/>
      <c r="AZ598" s="113"/>
      <c r="BA598" s="113"/>
      <c r="BB598" s="113"/>
      <c r="BC598" s="113"/>
      <c r="BD598" s="104"/>
      <c r="BE598" s="104"/>
      <c r="BF598" s="104"/>
      <c r="BG598" s="104"/>
      <c r="BH598" s="484"/>
    </row>
    <row r="599" spans="1:60" s="49" customFormat="1" hidden="1" outlineLevel="1" x14ac:dyDescent="0.25">
      <c r="A599" s="218" t="s">
        <v>131</v>
      </c>
      <c r="B599" s="536"/>
      <c r="C599" s="219">
        <v>143</v>
      </c>
      <c r="D599" s="219">
        <v>92</v>
      </c>
      <c r="E599" s="219">
        <v>128</v>
      </c>
      <c r="F599" s="219">
        <v>85</v>
      </c>
      <c r="G599" s="220">
        <v>12</v>
      </c>
      <c r="H599" s="220">
        <v>24</v>
      </c>
      <c r="I599" s="220">
        <v>43</v>
      </c>
      <c r="J599" s="220">
        <f>K599</f>
        <v>87</v>
      </c>
      <c r="K599" s="219">
        <v>87</v>
      </c>
      <c r="L599" s="220">
        <v>13</v>
      </c>
      <c r="M599" s="220">
        <v>28</v>
      </c>
      <c r="N599" s="220">
        <v>52</v>
      </c>
      <c r="O599" s="220">
        <f>P599</f>
        <v>88</v>
      </c>
      <c r="P599" s="219">
        <v>88</v>
      </c>
      <c r="Q599" s="220">
        <v>7</v>
      </c>
      <c r="R599" s="220">
        <v>20</v>
      </c>
      <c r="S599" s="220">
        <v>37</v>
      </c>
      <c r="T599" s="220">
        <f>U599</f>
        <v>71</v>
      </c>
      <c r="U599" s="219">
        <v>71</v>
      </c>
      <c r="V599" s="220">
        <v>30</v>
      </c>
      <c r="W599" s="220">
        <v>44</v>
      </c>
      <c r="X599" s="220">
        <v>55</v>
      </c>
      <c r="Y599" s="220">
        <f>Z599</f>
        <v>80</v>
      </c>
      <c r="Z599" s="219">
        <v>80</v>
      </c>
      <c r="AA599" s="220">
        <v>22</v>
      </c>
      <c r="AB599" s="221">
        <v>33</v>
      </c>
      <c r="AC599" s="220">
        <v>44</v>
      </c>
      <c r="AD599" s="220">
        <f>AE599</f>
        <v>64</v>
      </c>
      <c r="AE599" s="219">
        <v>64</v>
      </c>
      <c r="AF599" s="220">
        <v>36</v>
      </c>
      <c r="AG599" s="221">
        <v>45</v>
      </c>
      <c r="AH599" s="220">
        <v>54</v>
      </c>
      <c r="AI599" s="220">
        <f>AJ599</f>
        <v>87</v>
      </c>
      <c r="AJ599" s="219">
        <v>87</v>
      </c>
      <c r="AK599" s="215"/>
      <c r="AL599" s="215"/>
      <c r="AM599" s="215"/>
      <c r="AN599" s="215"/>
      <c r="AO599" s="230"/>
      <c r="AP599" s="215"/>
      <c r="AQ599" s="215"/>
      <c r="AR599" s="215"/>
      <c r="AS599" s="215"/>
      <c r="AT599" s="230"/>
      <c r="AU599" s="215"/>
      <c r="AV599" s="215"/>
      <c r="AW599" s="774"/>
      <c r="AX599" s="215"/>
      <c r="AY599" s="230"/>
      <c r="AZ599" s="215"/>
      <c r="BA599" s="215"/>
      <c r="BB599" s="215"/>
      <c r="BC599" s="215"/>
      <c r="BD599" s="230"/>
      <c r="BE599" s="230"/>
      <c r="BF599" s="230"/>
      <c r="BG599" s="230"/>
      <c r="BH599" s="484"/>
    </row>
    <row r="600" spans="1:60" s="52" customFormat="1" hidden="1" outlineLevel="1" x14ac:dyDescent="0.25">
      <c r="A600" s="501" t="s">
        <v>132</v>
      </c>
      <c r="B600" s="764"/>
      <c r="C600" s="51">
        <f t="shared" ref="C600:AJ600" si="674">SUM(C598:C599)</f>
        <v>294</v>
      </c>
      <c r="D600" s="51">
        <f t="shared" si="674"/>
        <v>224</v>
      </c>
      <c r="E600" s="51">
        <f t="shared" si="674"/>
        <v>307</v>
      </c>
      <c r="F600" s="51">
        <f t="shared" si="674"/>
        <v>255</v>
      </c>
      <c r="G600" s="499">
        <f t="shared" si="674"/>
        <v>43</v>
      </c>
      <c r="H600" s="499">
        <f t="shared" si="674"/>
        <v>91</v>
      </c>
      <c r="I600" s="499">
        <f t="shared" si="674"/>
        <v>154</v>
      </c>
      <c r="J600" s="499">
        <f t="shared" si="674"/>
        <v>263</v>
      </c>
      <c r="K600" s="51">
        <f t="shared" si="674"/>
        <v>263</v>
      </c>
      <c r="L600" s="499">
        <f t="shared" si="674"/>
        <v>45</v>
      </c>
      <c r="M600" s="499">
        <f t="shared" si="674"/>
        <v>96</v>
      </c>
      <c r="N600" s="499">
        <f t="shared" si="674"/>
        <v>153</v>
      </c>
      <c r="O600" s="499">
        <f t="shared" si="674"/>
        <v>260</v>
      </c>
      <c r="P600" s="51">
        <f t="shared" si="674"/>
        <v>260</v>
      </c>
      <c r="Q600" s="499">
        <f t="shared" si="674"/>
        <v>22</v>
      </c>
      <c r="R600" s="499">
        <f t="shared" si="674"/>
        <v>46</v>
      </c>
      <c r="S600" s="499">
        <f t="shared" si="674"/>
        <v>88</v>
      </c>
      <c r="T600" s="499">
        <f t="shared" si="674"/>
        <v>198</v>
      </c>
      <c r="U600" s="51">
        <f t="shared" si="674"/>
        <v>198</v>
      </c>
      <c r="V600" s="499">
        <f t="shared" si="674"/>
        <v>57</v>
      </c>
      <c r="W600" s="499">
        <f t="shared" si="674"/>
        <v>77</v>
      </c>
      <c r="X600" s="499">
        <f t="shared" si="674"/>
        <v>110</v>
      </c>
      <c r="Y600" s="499">
        <f t="shared" si="674"/>
        <v>166</v>
      </c>
      <c r="Z600" s="51">
        <f t="shared" si="674"/>
        <v>166</v>
      </c>
      <c r="AA600" s="499">
        <f t="shared" si="674"/>
        <v>68</v>
      </c>
      <c r="AB600" s="194">
        <f t="shared" si="674"/>
        <v>93</v>
      </c>
      <c r="AC600" s="499">
        <f t="shared" si="674"/>
        <v>114</v>
      </c>
      <c r="AD600" s="499">
        <f t="shared" si="674"/>
        <v>139</v>
      </c>
      <c r="AE600" s="51">
        <f t="shared" si="674"/>
        <v>139</v>
      </c>
      <c r="AF600" s="499">
        <f t="shared" si="674"/>
        <v>117</v>
      </c>
      <c r="AG600" s="194">
        <f t="shared" si="674"/>
        <v>180</v>
      </c>
      <c r="AH600" s="499">
        <f t="shared" si="674"/>
        <v>215</v>
      </c>
      <c r="AI600" s="499">
        <f t="shared" si="674"/>
        <v>289</v>
      </c>
      <c r="AJ600" s="51">
        <f t="shared" si="674"/>
        <v>289</v>
      </c>
      <c r="AK600" s="114"/>
      <c r="AL600" s="114"/>
      <c r="AM600" s="114"/>
      <c r="AN600" s="114"/>
      <c r="AO600" s="111"/>
      <c r="AP600" s="114"/>
      <c r="AQ600" s="114"/>
      <c r="AR600" s="114"/>
      <c r="AS600" s="114"/>
      <c r="AT600" s="111"/>
      <c r="AU600" s="114"/>
      <c r="AV600" s="114"/>
      <c r="AW600" s="765"/>
      <c r="AX600" s="114"/>
      <c r="AY600" s="111"/>
      <c r="AZ600" s="114"/>
      <c r="BA600" s="114"/>
      <c r="BB600" s="114"/>
      <c r="BC600" s="114"/>
      <c r="BD600" s="111"/>
      <c r="BE600" s="111"/>
      <c r="BF600" s="111"/>
      <c r="BG600" s="111"/>
      <c r="BH600" s="499"/>
    </row>
    <row r="601" spans="1:60" s="49" customFormat="1" hidden="1" outlineLevel="1" collapsed="1" x14ac:dyDescent="0.25">
      <c r="A601" s="483" t="s">
        <v>133</v>
      </c>
      <c r="B601" s="234"/>
      <c r="C601" s="39">
        <f t="shared" ref="C601:G602" si="675">C598</f>
        <v>151</v>
      </c>
      <c r="D601" s="39">
        <f t="shared" si="675"/>
        <v>132</v>
      </c>
      <c r="E601" s="39">
        <f t="shared" si="675"/>
        <v>179</v>
      </c>
      <c r="F601" s="39">
        <f t="shared" si="675"/>
        <v>170</v>
      </c>
      <c r="G601" s="484">
        <f t="shared" si="675"/>
        <v>31</v>
      </c>
      <c r="H601" s="484">
        <f t="shared" ref="H601:J602" si="676">H598-G598</f>
        <v>36</v>
      </c>
      <c r="I601" s="484">
        <f t="shared" si="676"/>
        <v>44</v>
      </c>
      <c r="J601" s="484">
        <f t="shared" si="676"/>
        <v>65</v>
      </c>
      <c r="K601" s="39">
        <f>K598</f>
        <v>176</v>
      </c>
      <c r="L601" s="484">
        <f>L598</f>
        <v>32</v>
      </c>
      <c r="M601" s="484">
        <f t="shared" ref="M601:O602" si="677">M598-L598</f>
        <v>36</v>
      </c>
      <c r="N601" s="484">
        <f t="shared" si="677"/>
        <v>33</v>
      </c>
      <c r="O601" s="484">
        <f t="shared" si="677"/>
        <v>71</v>
      </c>
      <c r="P601" s="39">
        <f>P598</f>
        <v>172</v>
      </c>
      <c r="Q601" s="484">
        <f>Q598</f>
        <v>15</v>
      </c>
      <c r="R601" s="484">
        <f t="shared" ref="R601:T602" si="678">R598-Q598</f>
        <v>11</v>
      </c>
      <c r="S601" s="484">
        <f t="shared" si="678"/>
        <v>25</v>
      </c>
      <c r="T601" s="484">
        <f t="shared" si="678"/>
        <v>76</v>
      </c>
      <c r="U601" s="39">
        <f>U598</f>
        <v>127</v>
      </c>
      <c r="V601" s="484">
        <f>V598</f>
        <v>27</v>
      </c>
      <c r="W601" s="484">
        <f t="shared" ref="W601:Y602" si="679">W598-V598</f>
        <v>6</v>
      </c>
      <c r="X601" s="484">
        <f t="shared" si="679"/>
        <v>22</v>
      </c>
      <c r="Y601" s="484">
        <f t="shared" si="679"/>
        <v>31</v>
      </c>
      <c r="Z601" s="39">
        <f>Z598</f>
        <v>86</v>
      </c>
      <c r="AA601" s="484">
        <f>AA598</f>
        <v>46</v>
      </c>
      <c r="AB601" s="191">
        <f t="shared" ref="AB601:AD602" si="680">AB598-AA598</f>
        <v>14</v>
      </c>
      <c r="AC601" s="484">
        <f t="shared" si="680"/>
        <v>10</v>
      </c>
      <c r="AD601" s="484">
        <f t="shared" si="680"/>
        <v>5</v>
      </c>
      <c r="AE601" s="39">
        <f>AE598</f>
        <v>75</v>
      </c>
      <c r="AF601" s="484">
        <f>AF598</f>
        <v>81</v>
      </c>
      <c r="AG601" s="191">
        <f t="shared" ref="AG601:AI602" si="681">AG598-AF598</f>
        <v>54</v>
      </c>
      <c r="AH601" s="484">
        <f t="shared" si="681"/>
        <v>26</v>
      </c>
      <c r="AI601" s="484">
        <f t="shared" si="681"/>
        <v>41</v>
      </c>
      <c r="AJ601" s="39">
        <f>AJ598</f>
        <v>202</v>
      </c>
      <c r="AK601" s="113"/>
      <c r="AL601" s="113"/>
      <c r="AM601" s="113"/>
      <c r="AN601" s="113"/>
      <c r="AO601" s="104"/>
      <c r="AP601" s="113"/>
      <c r="AQ601" s="113"/>
      <c r="AR601" s="113"/>
      <c r="AS601" s="113"/>
      <c r="AT601" s="104"/>
      <c r="AU601" s="113"/>
      <c r="AV601" s="113"/>
      <c r="AW601" s="699"/>
      <c r="AX601" s="113"/>
      <c r="AY601" s="104"/>
      <c r="AZ601" s="113"/>
      <c r="BA601" s="113"/>
      <c r="BB601" s="113"/>
      <c r="BC601" s="113"/>
      <c r="BD601" s="104"/>
      <c r="BE601" s="104"/>
      <c r="BF601" s="104"/>
      <c r="BG601" s="104"/>
      <c r="BH601" s="484"/>
    </row>
    <row r="602" spans="1:60" s="49" customFormat="1" hidden="1" outlineLevel="1" x14ac:dyDescent="0.25">
      <c r="A602" s="218" t="s">
        <v>134</v>
      </c>
      <c r="B602" s="536"/>
      <c r="C602" s="219">
        <f t="shared" si="675"/>
        <v>143</v>
      </c>
      <c r="D602" s="219">
        <f t="shared" si="675"/>
        <v>92</v>
      </c>
      <c r="E602" s="219">
        <f t="shared" si="675"/>
        <v>128</v>
      </c>
      <c r="F602" s="219">
        <f t="shared" si="675"/>
        <v>85</v>
      </c>
      <c r="G602" s="220">
        <f t="shared" si="675"/>
        <v>12</v>
      </c>
      <c r="H602" s="220">
        <f t="shared" si="676"/>
        <v>12</v>
      </c>
      <c r="I602" s="220">
        <f t="shared" si="676"/>
        <v>19</v>
      </c>
      <c r="J602" s="220">
        <f t="shared" si="676"/>
        <v>44</v>
      </c>
      <c r="K602" s="219">
        <f>K599</f>
        <v>87</v>
      </c>
      <c r="L602" s="220">
        <f>L599</f>
        <v>13</v>
      </c>
      <c r="M602" s="220">
        <f t="shared" si="677"/>
        <v>15</v>
      </c>
      <c r="N602" s="220">
        <f t="shared" si="677"/>
        <v>24</v>
      </c>
      <c r="O602" s="220">
        <f t="shared" si="677"/>
        <v>36</v>
      </c>
      <c r="P602" s="219">
        <f>P599</f>
        <v>88</v>
      </c>
      <c r="Q602" s="220">
        <f>Q599</f>
        <v>7</v>
      </c>
      <c r="R602" s="220">
        <f t="shared" si="678"/>
        <v>13</v>
      </c>
      <c r="S602" s="220">
        <f t="shared" si="678"/>
        <v>17</v>
      </c>
      <c r="T602" s="220">
        <f t="shared" si="678"/>
        <v>34</v>
      </c>
      <c r="U602" s="219">
        <f>U599</f>
        <v>71</v>
      </c>
      <c r="V602" s="220">
        <f>V599</f>
        <v>30</v>
      </c>
      <c r="W602" s="220">
        <f t="shared" si="679"/>
        <v>14</v>
      </c>
      <c r="X602" s="220">
        <f t="shared" si="679"/>
        <v>11</v>
      </c>
      <c r="Y602" s="220">
        <f t="shared" si="679"/>
        <v>25</v>
      </c>
      <c r="Z602" s="219">
        <f>Z599</f>
        <v>80</v>
      </c>
      <c r="AA602" s="220">
        <f>AA599</f>
        <v>22</v>
      </c>
      <c r="AB602" s="221">
        <f t="shared" si="680"/>
        <v>11</v>
      </c>
      <c r="AC602" s="220">
        <f t="shared" si="680"/>
        <v>11</v>
      </c>
      <c r="AD602" s="220">
        <f t="shared" si="680"/>
        <v>20</v>
      </c>
      <c r="AE602" s="219">
        <f>AE599</f>
        <v>64</v>
      </c>
      <c r="AF602" s="220">
        <f>AF599</f>
        <v>36</v>
      </c>
      <c r="AG602" s="221">
        <f t="shared" si="681"/>
        <v>9</v>
      </c>
      <c r="AH602" s="220">
        <f t="shared" si="681"/>
        <v>9</v>
      </c>
      <c r="AI602" s="220">
        <f t="shared" si="681"/>
        <v>33</v>
      </c>
      <c r="AJ602" s="219">
        <f>AJ599</f>
        <v>87</v>
      </c>
      <c r="AK602" s="215"/>
      <c r="AL602" s="215"/>
      <c r="AM602" s="215"/>
      <c r="AN602" s="215"/>
      <c r="AO602" s="230"/>
      <c r="AP602" s="215"/>
      <c r="AQ602" s="215"/>
      <c r="AR602" s="215"/>
      <c r="AS602" s="215"/>
      <c r="AT602" s="230"/>
      <c r="AU602" s="215"/>
      <c r="AV602" s="215"/>
      <c r="AW602" s="774"/>
      <c r="AX602" s="215"/>
      <c r="AY602" s="230"/>
      <c r="AZ602" s="215"/>
      <c r="BA602" s="215"/>
      <c r="BB602" s="215"/>
      <c r="BC602" s="215"/>
      <c r="BD602" s="230"/>
      <c r="BE602" s="230"/>
      <c r="BF602" s="230"/>
      <c r="BG602" s="230"/>
      <c r="BH602" s="484"/>
    </row>
    <row r="603" spans="1:60" s="52" customFormat="1" hidden="1" outlineLevel="1" x14ac:dyDescent="0.25">
      <c r="A603" s="501" t="s">
        <v>135</v>
      </c>
      <c r="B603" s="764"/>
      <c r="C603" s="51">
        <f t="shared" ref="C603:AJ603" si="682">SUM(C601:C602)</f>
        <v>294</v>
      </c>
      <c r="D603" s="51">
        <f t="shared" si="682"/>
        <v>224</v>
      </c>
      <c r="E603" s="51">
        <f t="shared" si="682"/>
        <v>307</v>
      </c>
      <c r="F603" s="51">
        <f t="shared" si="682"/>
        <v>255</v>
      </c>
      <c r="G603" s="499">
        <f t="shared" si="682"/>
        <v>43</v>
      </c>
      <c r="H603" s="499">
        <f t="shared" si="682"/>
        <v>48</v>
      </c>
      <c r="I603" s="499">
        <f t="shared" si="682"/>
        <v>63</v>
      </c>
      <c r="J603" s="499">
        <f t="shared" si="682"/>
        <v>109</v>
      </c>
      <c r="K603" s="51">
        <f t="shared" si="682"/>
        <v>263</v>
      </c>
      <c r="L603" s="499">
        <f t="shared" si="682"/>
        <v>45</v>
      </c>
      <c r="M603" s="499">
        <f t="shared" si="682"/>
        <v>51</v>
      </c>
      <c r="N603" s="499">
        <f t="shared" si="682"/>
        <v>57</v>
      </c>
      <c r="O603" s="499">
        <f t="shared" si="682"/>
        <v>107</v>
      </c>
      <c r="P603" s="51">
        <f t="shared" si="682"/>
        <v>260</v>
      </c>
      <c r="Q603" s="499">
        <f t="shared" si="682"/>
        <v>22</v>
      </c>
      <c r="R603" s="499">
        <f t="shared" si="682"/>
        <v>24</v>
      </c>
      <c r="S603" s="499">
        <f t="shared" si="682"/>
        <v>42</v>
      </c>
      <c r="T603" s="499">
        <f t="shared" si="682"/>
        <v>110</v>
      </c>
      <c r="U603" s="51">
        <f t="shared" si="682"/>
        <v>198</v>
      </c>
      <c r="V603" s="499">
        <f t="shared" si="682"/>
        <v>57</v>
      </c>
      <c r="W603" s="499">
        <f t="shared" si="682"/>
        <v>20</v>
      </c>
      <c r="X603" s="499">
        <f t="shared" si="682"/>
        <v>33</v>
      </c>
      <c r="Y603" s="499">
        <f t="shared" si="682"/>
        <v>56</v>
      </c>
      <c r="Z603" s="51">
        <f t="shared" si="682"/>
        <v>166</v>
      </c>
      <c r="AA603" s="499">
        <f t="shared" si="682"/>
        <v>68</v>
      </c>
      <c r="AB603" s="194">
        <f t="shared" si="682"/>
        <v>25</v>
      </c>
      <c r="AC603" s="499">
        <f t="shared" si="682"/>
        <v>21</v>
      </c>
      <c r="AD603" s="499">
        <f t="shared" si="682"/>
        <v>25</v>
      </c>
      <c r="AE603" s="51">
        <f t="shared" si="682"/>
        <v>139</v>
      </c>
      <c r="AF603" s="499">
        <f t="shared" si="682"/>
        <v>117</v>
      </c>
      <c r="AG603" s="194">
        <f t="shared" si="682"/>
        <v>63</v>
      </c>
      <c r="AH603" s="499">
        <f t="shared" si="682"/>
        <v>35</v>
      </c>
      <c r="AI603" s="499">
        <f t="shared" si="682"/>
        <v>74</v>
      </c>
      <c r="AJ603" s="51">
        <f t="shared" si="682"/>
        <v>289</v>
      </c>
      <c r="AK603" s="114"/>
      <c r="AL603" s="114"/>
      <c r="AM603" s="114"/>
      <c r="AN603" s="114"/>
      <c r="AO603" s="111"/>
      <c r="AP603" s="114"/>
      <c r="AQ603" s="114"/>
      <c r="AR603" s="114"/>
      <c r="AS603" s="114"/>
      <c r="AT603" s="111"/>
      <c r="AU603" s="114"/>
      <c r="AV603" s="114"/>
      <c r="AW603" s="765"/>
      <c r="AX603" s="114"/>
      <c r="AY603" s="111"/>
      <c r="AZ603" s="114"/>
      <c r="BA603" s="114"/>
      <c r="BB603" s="114"/>
      <c r="BC603" s="114"/>
      <c r="BD603" s="111"/>
      <c r="BE603" s="111"/>
      <c r="BF603" s="111"/>
      <c r="BG603" s="111"/>
      <c r="BH603" s="499"/>
    </row>
    <row r="604" spans="1:60" s="44" customFormat="1" hidden="1" outlineLevel="1" x14ac:dyDescent="0.25">
      <c r="A604" s="748"/>
      <c r="B604" s="246"/>
      <c r="C604" s="478"/>
      <c r="D604" s="478"/>
      <c r="E604" s="478"/>
      <c r="F604" s="478"/>
      <c r="G604" s="480"/>
      <c r="H604" s="480"/>
      <c r="I604" s="480"/>
      <c r="J604" s="480"/>
      <c r="K604" s="478"/>
      <c r="L604" s="480"/>
      <c r="M604" s="480"/>
      <c r="N604" s="480"/>
      <c r="O604" s="480"/>
      <c r="P604" s="478"/>
      <c r="Q604" s="480"/>
      <c r="R604" s="480"/>
      <c r="S604" s="480"/>
      <c r="T604" s="480"/>
      <c r="U604" s="478"/>
      <c r="V604" s="480"/>
      <c r="W604" s="480"/>
      <c r="X604" s="480"/>
      <c r="Y604" s="480"/>
      <c r="Z604" s="478"/>
      <c r="AA604" s="480"/>
      <c r="AB604" s="480"/>
      <c r="AC604" s="480"/>
      <c r="AD604" s="480"/>
      <c r="AE604" s="478"/>
      <c r="AF604" s="480"/>
      <c r="AG604" s="480"/>
      <c r="AH604" s="480"/>
      <c r="AI604" s="480"/>
      <c r="AJ604" s="478"/>
      <c r="AK604" s="480"/>
      <c r="AL604" s="480"/>
      <c r="AM604" s="480"/>
      <c r="AN604" s="480"/>
      <c r="AO604" s="478"/>
      <c r="AP604" s="480"/>
      <c r="AQ604" s="480"/>
      <c r="AR604" s="480"/>
      <c r="AS604" s="480"/>
      <c r="AT604" s="478"/>
      <c r="AU604" s="480"/>
      <c r="AV604" s="480"/>
      <c r="AW604" s="708"/>
      <c r="AX604" s="480"/>
      <c r="AY604" s="478"/>
      <c r="AZ604" s="480"/>
      <c r="BA604" s="480"/>
      <c r="BB604" s="480"/>
      <c r="BC604" s="480"/>
      <c r="BD604" s="478"/>
      <c r="BE604" s="478"/>
      <c r="BF604" s="478"/>
      <c r="BG604" s="478"/>
      <c r="BH604" s="473"/>
    </row>
    <row r="605" spans="1:60" s="19" customFormat="1" hidden="1" outlineLevel="1" x14ac:dyDescent="0.25">
      <c r="A605" s="956" t="s">
        <v>136</v>
      </c>
      <c r="B605" s="956"/>
      <c r="C605" s="986"/>
      <c r="D605" s="986"/>
      <c r="E605" s="986"/>
      <c r="F605" s="986"/>
      <c r="G605" s="986"/>
      <c r="H605" s="986"/>
      <c r="I605" s="986"/>
      <c r="J605" s="986"/>
      <c r="K605" s="986"/>
      <c r="L605" s="986"/>
      <c r="M605" s="986"/>
      <c r="N605" s="986"/>
      <c r="O605" s="986"/>
      <c r="P605" s="986"/>
      <c r="Q605" s="986"/>
      <c r="R605" s="986"/>
      <c r="S605" s="986"/>
      <c r="T605" s="986"/>
      <c r="U605" s="986"/>
      <c r="V605" s="986"/>
      <c r="W605" s="986"/>
      <c r="X605" s="986"/>
      <c r="Y605" s="986"/>
      <c r="Z605" s="986"/>
      <c r="AA605" s="986"/>
      <c r="AB605" s="986"/>
      <c r="AC605" s="986"/>
      <c r="AD605" s="986"/>
      <c r="AE605" s="986"/>
      <c r="AF605" s="986"/>
      <c r="AG605" s="986"/>
      <c r="AH605" s="986"/>
      <c r="AI605" s="986"/>
      <c r="AJ605" s="986"/>
      <c r="AK605" s="986"/>
      <c r="AL605" s="986"/>
      <c r="AM605" s="986"/>
      <c r="AN605" s="986"/>
      <c r="AO605" s="986"/>
      <c r="AP605" s="986"/>
      <c r="AQ605" s="986"/>
      <c r="AR605" s="986"/>
      <c r="AS605" s="986"/>
      <c r="AT605" s="986"/>
      <c r="AU605" s="986"/>
      <c r="AV605" s="986"/>
      <c r="AW605" s="987"/>
      <c r="AX605" s="986"/>
      <c r="AY605" s="986"/>
      <c r="AZ605" s="986"/>
      <c r="BA605" s="986"/>
      <c r="BB605" s="986"/>
      <c r="BC605" s="986"/>
      <c r="BD605" s="986"/>
      <c r="BE605" s="986"/>
      <c r="BF605" s="986"/>
      <c r="BG605" s="986"/>
      <c r="BH605" s="730"/>
    </row>
    <row r="606" spans="1:60" s="49" customFormat="1" hidden="1" outlineLevel="1" x14ac:dyDescent="0.25">
      <c r="A606" s="483" t="s">
        <v>44</v>
      </c>
      <c r="B606" s="514"/>
      <c r="C606" s="489">
        <v>7407</v>
      </c>
      <c r="D606" s="489">
        <v>8082</v>
      </c>
      <c r="E606" s="489">
        <v>8837</v>
      </c>
      <c r="F606" s="489">
        <v>9360</v>
      </c>
      <c r="G606" s="490">
        <v>2260</v>
      </c>
      <c r="H606" s="490">
        <v>2442</v>
      </c>
      <c r="I606" s="490">
        <v>2810</v>
      </c>
      <c r="J606" s="490">
        <f>K606-I606-H606-G606</f>
        <v>2506</v>
      </c>
      <c r="K606" s="489">
        <v>10018</v>
      </c>
      <c r="L606" s="490">
        <v>2384</v>
      </c>
      <c r="M606" s="490">
        <v>2671</v>
      </c>
      <c r="N606" s="490">
        <v>2845</v>
      </c>
      <c r="O606" s="490">
        <f>P606-N606-M606-L606</f>
        <v>2732</v>
      </c>
      <c r="P606" s="489">
        <v>10632</v>
      </c>
      <c r="Q606" s="490">
        <v>2854</v>
      </c>
      <c r="R606" s="490">
        <v>3032</v>
      </c>
      <c r="S606" s="490">
        <v>2967</v>
      </c>
      <c r="T606" s="490">
        <f>U606-S606-R606-Q606</f>
        <v>3176</v>
      </c>
      <c r="U606" s="489">
        <v>12029</v>
      </c>
      <c r="V606" s="490">
        <v>2960</v>
      </c>
      <c r="W606" s="490">
        <v>3115</v>
      </c>
      <c r="X606" s="490">
        <v>3112</v>
      </c>
      <c r="Y606" s="490">
        <f>Z606-X606-W606-V606</f>
        <v>3072</v>
      </c>
      <c r="Z606" s="489">
        <v>12259</v>
      </c>
      <c r="AA606" s="490">
        <v>3075</v>
      </c>
      <c r="AB606" s="497">
        <v>3228</v>
      </c>
      <c r="AC606" s="490">
        <v>3176</v>
      </c>
      <c r="AD606" s="490">
        <f>AE606-AC606-AB606-AA606</f>
        <v>3180</v>
      </c>
      <c r="AE606" s="489">
        <v>12659</v>
      </c>
      <c r="AF606" s="490">
        <v>3205</v>
      </c>
      <c r="AG606" s="497">
        <v>3397</v>
      </c>
      <c r="AH606" s="490">
        <v>3332</v>
      </c>
      <c r="AI606" s="490">
        <f>AJ606-AH606-AG606-AF606</f>
        <v>3345</v>
      </c>
      <c r="AJ606" s="489">
        <v>13279</v>
      </c>
      <c r="AK606" s="491"/>
      <c r="AL606" s="491"/>
      <c r="AM606" s="491"/>
      <c r="AN606" s="491"/>
      <c r="AO606" s="492"/>
      <c r="AP606" s="491"/>
      <c r="AQ606" s="491"/>
      <c r="AR606" s="491"/>
      <c r="AS606" s="491"/>
      <c r="AT606" s="492"/>
      <c r="AU606" s="491"/>
      <c r="AV606" s="491"/>
      <c r="AW606" s="692"/>
      <c r="AX606" s="491"/>
      <c r="AY606" s="492"/>
      <c r="AZ606" s="491"/>
      <c r="BA606" s="491"/>
      <c r="BB606" s="491"/>
      <c r="BC606" s="491"/>
      <c r="BD606" s="492"/>
      <c r="BE606" s="492"/>
      <c r="BF606" s="492"/>
      <c r="BG606" s="492"/>
      <c r="BH606" s="484"/>
    </row>
    <row r="607" spans="1:60" s="49" customFormat="1" hidden="1" outlineLevel="1" x14ac:dyDescent="0.25">
      <c r="A607" s="483" t="s">
        <v>45</v>
      </c>
      <c r="B607" s="514"/>
      <c r="C607" s="489">
        <v>6566</v>
      </c>
      <c r="D607" s="489">
        <v>7028</v>
      </c>
      <c r="E607" s="489">
        <v>7598</v>
      </c>
      <c r="F607" s="489">
        <v>7699</v>
      </c>
      <c r="G607" s="490">
        <v>2257</v>
      </c>
      <c r="H607" s="490">
        <v>1891</v>
      </c>
      <c r="I607" s="490">
        <v>2037</v>
      </c>
      <c r="J607" s="490">
        <f>K607-I607-H607-G607</f>
        <v>1738</v>
      </c>
      <c r="K607" s="489">
        <v>7923</v>
      </c>
      <c r="L607" s="490">
        <v>2333</v>
      </c>
      <c r="M607" s="490">
        <v>1804</v>
      </c>
      <c r="N607" s="490">
        <v>2142</v>
      </c>
      <c r="O607" s="490">
        <f>P607-N607-M607-L607</f>
        <v>1752</v>
      </c>
      <c r="P607" s="489">
        <v>8031</v>
      </c>
      <c r="Q607" s="490">
        <v>2335</v>
      </c>
      <c r="R607" s="490">
        <v>1983</v>
      </c>
      <c r="S607" s="490">
        <v>2107</v>
      </c>
      <c r="T607" s="490">
        <f>U607-S607-R607-Q607</f>
        <v>1936</v>
      </c>
      <c r="U607" s="489">
        <v>8361</v>
      </c>
      <c r="V607" s="490">
        <v>2619</v>
      </c>
      <c r="W607" s="490">
        <v>1947</v>
      </c>
      <c r="X607" s="490">
        <v>2140</v>
      </c>
      <c r="Y607" s="490">
        <f>Z607-X607-W607-V607</f>
        <v>1803</v>
      </c>
      <c r="Z607" s="489">
        <v>8509</v>
      </c>
      <c r="AA607" s="490">
        <v>2529</v>
      </c>
      <c r="AB607" s="497">
        <v>1931</v>
      </c>
      <c r="AC607" s="490">
        <v>2006</v>
      </c>
      <c r="AD607" s="490">
        <f>AE607-AC607-AB607-AA607</f>
        <v>1663</v>
      </c>
      <c r="AE607" s="489">
        <v>8129</v>
      </c>
      <c r="AF607" s="490">
        <v>2320</v>
      </c>
      <c r="AG607" s="497">
        <v>1917</v>
      </c>
      <c r="AH607" s="490">
        <v>1948</v>
      </c>
      <c r="AI607" s="490">
        <f>AJ607-AH607-AG607-AF607</f>
        <v>1578</v>
      </c>
      <c r="AJ607" s="489">
        <v>7763</v>
      </c>
      <c r="AK607" s="491"/>
      <c r="AL607" s="491"/>
      <c r="AM607" s="491"/>
      <c r="AN607" s="491"/>
      <c r="AO607" s="492"/>
      <c r="AP607" s="491"/>
      <c r="AQ607" s="491"/>
      <c r="AR607" s="491"/>
      <c r="AS607" s="491"/>
      <c r="AT607" s="492"/>
      <c r="AU607" s="491"/>
      <c r="AV607" s="491"/>
      <c r="AW607" s="692"/>
      <c r="AX607" s="491"/>
      <c r="AY607" s="492"/>
      <c r="AZ607" s="491"/>
      <c r="BA607" s="491"/>
      <c r="BB607" s="491"/>
      <c r="BC607" s="491"/>
      <c r="BD607" s="492"/>
      <c r="BE607" s="492"/>
      <c r="BF607" s="492"/>
      <c r="BG607" s="492"/>
      <c r="BH607" s="484"/>
    </row>
    <row r="608" spans="1:60" s="49" customFormat="1" hidden="1" outlineLevel="1" x14ac:dyDescent="0.25">
      <c r="A608" s="218" t="s">
        <v>46</v>
      </c>
      <c r="B608" s="573"/>
      <c r="C608" s="318">
        <v>2236</v>
      </c>
      <c r="D608" s="318">
        <v>2052</v>
      </c>
      <c r="E608" s="318">
        <v>2279</v>
      </c>
      <c r="F608" s="318">
        <v>2377</v>
      </c>
      <c r="G608" s="319">
        <v>584</v>
      </c>
      <c r="H608" s="319">
        <v>624</v>
      </c>
      <c r="I608" s="319">
        <v>505</v>
      </c>
      <c r="J608" s="319">
        <f>K608-I608-H608-G608</f>
        <v>702</v>
      </c>
      <c r="K608" s="318">
        <v>2415</v>
      </c>
      <c r="L608" s="319">
        <v>573</v>
      </c>
      <c r="M608" s="319">
        <v>659</v>
      </c>
      <c r="N608" s="319">
        <v>524</v>
      </c>
      <c r="O608" s="319">
        <f>P608-N608-M608-L608</f>
        <v>733</v>
      </c>
      <c r="P608" s="318">
        <v>2489</v>
      </c>
      <c r="Q608" s="319">
        <v>671</v>
      </c>
      <c r="R608" s="319">
        <v>795</v>
      </c>
      <c r="S608" s="319">
        <v>694</v>
      </c>
      <c r="T608" s="319">
        <f>U608-S608-R608-Q608</f>
        <v>714</v>
      </c>
      <c r="U608" s="318">
        <v>2874</v>
      </c>
      <c r="V608" s="319">
        <v>753</v>
      </c>
      <c r="W608" s="319">
        <v>731</v>
      </c>
      <c r="X608" s="319">
        <v>654</v>
      </c>
      <c r="Y608" s="319">
        <f>Z608-X608-W608-V608</f>
        <v>783</v>
      </c>
      <c r="Z608" s="318">
        <v>2921</v>
      </c>
      <c r="AA608" s="319">
        <v>629</v>
      </c>
      <c r="AB608" s="320">
        <v>787</v>
      </c>
      <c r="AC608" s="319">
        <v>684</v>
      </c>
      <c r="AD608" s="319">
        <f>AE608-AC608-AB608-AA608</f>
        <v>622</v>
      </c>
      <c r="AE608" s="318">
        <v>2722</v>
      </c>
      <c r="AF608" s="319">
        <v>718</v>
      </c>
      <c r="AG608" s="320">
        <v>824</v>
      </c>
      <c r="AH608" s="319">
        <v>876</v>
      </c>
      <c r="AI608" s="319">
        <f>AJ608-AH608-AG608-AF608</f>
        <v>1040</v>
      </c>
      <c r="AJ608" s="318">
        <v>3458</v>
      </c>
      <c r="AK608" s="321"/>
      <c r="AL608" s="321"/>
      <c r="AM608" s="321"/>
      <c r="AN608" s="321"/>
      <c r="AO608" s="322"/>
      <c r="AP608" s="321"/>
      <c r="AQ608" s="321"/>
      <c r="AR608" s="321"/>
      <c r="AS608" s="321"/>
      <c r="AT608" s="322"/>
      <c r="AU608" s="321"/>
      <c r="AV608" s="321"/>
      <c r="AW608" s="693"/>
      <c r="AX608" s="321"/>
      <c r="AY608" s="322"/>
      <c r="AZ608" s="321"/>
      <c r="BA608" s="321"/>
      <c r="BB608" s="321"/>
      <c r="BC608" s="321"/>
      <c r="BD608" s="322"/>
      <c r="BE608" s="322"/>
      <c r="BF608" s="322"/>
      <c r="BG608" s="322"/>
      <c r="BH608" s="484"/>
    </row>
    <row r="609" spans="1:60" s="52" customFormat="1" hidden="1" outlineLevel="1" x14ac:dyDescent="0.25">
      <c r="A609" s="501" t="s">
        <v>33</v>
      </c>
      <c r="B609" s="264"/>
      <c r="C609" s="502">
        <f t="shared" ref="C609:AJ609" si="683">SUM(C606:C608)</f>
        <v>16209</v>
      </c>
      <c r="D609" s="502">
        <f t="shared" si="683"/>
        <v>17162</v>
      </c>
      <c r="E609" s="502">
        <f t="shared" si="683"/>
        <v>18714</v>
      </c>
      <c r="F609" s="502">
        <f t="shared" si="683"/>
        <v>19436</v>
      </c>
      <c r="G609" s="503">
        <f t="shared" si="683"/>
        <v>5101</v>
      </c>
      <c r="H609" s="503">
        <f t="shared" si="683"/>
        <v>4957</v>
      </c>
      <c r="I609" s="503">
        <f t="shared" si="683"/>
        <v>5352</v>
      </c>
      <c r="J609" s="503">
        <f t="shared" si="683"/>
        <v>4946</v>
      </c>
      <c r="K609" s="502">
        <f t="shared" si="683"/>
        <v>20356</v>
      </c>
      <c r="L609" s="503">
        <f t="shared" si="683"/>
        <v>5290</v>
      </c>
      <c r="M609" s="503">
        <f t="shared" si="683"/>
        <v>5134</v>
      </c>
      <c r="N609" s="503">
        <f t="shared" si="683"/>
        <v>5511</v>
      </c>
      <c r="O609" s="503">
        <f t="shared" si="683"/>
        <v>5217</v>
      </c>
      <c r="P609" s="502">
        <f t="shared" si="683"/>
        <v>21152</v>
      </c>
      <c r="Q609" s="503">
        <f t="shared" si="683"/>
        <v>5860</v>
      </c>
      <c r="R609" s="503">
        <f t="shared" si="683"/>
        <v>5810</v>
      </c>
      <c r="S609" s="503">
        <f t="shared" si="683"/>
        <v>5768</v>
      </c>
      <c r="T609" s="503">
        <f t="shared" si="683"/>
        <v>5826</v>
      </c>
      <c r="U609" s="502">
        <f t="shared" si="683"/>
        <v>23264</v>
      </c>
      <c r="V609" s="503">
        <f t="shared" si="683"/>
        <v>6332</v>
      </c>
      <c r="W609" s="503">
        <f t="shared" si="683"/>
        <v>5793</v>
      </c>
      <c r="X609" s="503">
        <f t="shared" si="683"/>
        <v>5906</v>
      </c>
      <c r="Y609" s="503">
        <f t="shared" si="683"/>
        <v>5658</v>
      </c>
      <c r="Z609" s="502">
        <f t="shared" si="683"/>
        <v>23689</v>
      </c>
      <c r="AA609" s="503">
        <f t="shared" si="683"/>
        <v>6233</v>
      </c>
      <c r="AB609" s="504">
        <f t="shared" si="683"/>
        <v>5946</v>
      </c>
      <c r="AC609" s="503">
        <f t="shared" si="683"/>
        <v>5866</v>
      </c>
      <c r="AD609" s="503">
        <f t="shared" si="683"/>
        <v>5465</v>
      </c>
      <c r="AE609" s="502">
        <f t="shared" si="683"/>
        <v>23510</v>
      </c>
      <c r="AF609" s="503">
        <f t="shared" si="683"/>
        <v>6243</v>
      </c>
      <c r="AG609" s="504">
        <f t="shared" si="683"/>
        <v>6138</v>
      </c>
      <c r="AH609" s="503">
        <f t="shared" si="683"/>
        <v>6156</v>
      </c>
      <c r="AI609" s="503">
        <f t="shared" si="683"/>
        <v>5963</v>
      </c>
      <c r="AJ609" s="502">
        <f t="shared" si="683"/>
        <v>24500</v>
      </c>
      <c r="AK609" s="505"/>
      <c r="AL609" s="505"/>
      <c r="AM609" s="505"/>
      <c r="AN609" s="505"/>
      <c r="AO609" s="506"/>
      <c r="AP609" s="505"/>
      <c r="AQ609" s="505"/>
      <c r="AR609" s="505"/>
      <c r="AS609" s="505"/>
      <c r="AT609" s="506"/>
      <c r="AU609" s="505"/>
      <c r="AV609" s="505"/>
      <c r="AW609" s="694"/>
      <c r="AX609" s="505"/>
      <c r="AY609" s="506"/>
      <c r="AZ609" s="505"/>
      <c r="BA609" s="505"/>
      <c r="BB609" s="505"/>
      <c r="BC609" s="505"/>
      <c r="BD609" s="506"/>
      <c r="BE609" s="506"/>
      <c r="BF609" s="506"/>
      <c r="BG609" s="506"/>
      <c r="BH609" s="499"/>
    </row>
    <row r="610" spans="1:60" s="44" customFormat="1" hidden="1" outlineLevel="1" x14ac:dyDescent="0.25">
      <c r="A610" s="748"/>
      <c r="B610" s="246"/>
      <c r="C610" s="478"/>
      <c r="D610" s="478"/>
      <c r="E610" s="478"/>
      <c r="F610" s="478"/>
      <c r="G610" s="480"/>
      <c r="H610" s="480"/>
      <c r="I610" s="480"/>
      <c r="J610" s="480"/>
      <c r="K610" s="478"/>
      <c r="L610" s="480"/>
      <c r="M610" s="480"/>
      <c r="N610" s="480"/>
      <c r="O610" s="480"/>
      <c r="P610" s="478"/>
      <c r="Q610" s="480"/>
      <c r="R610" s="480"/>
      <c r="S610" s="480"/>
      <c r="T610" s="480"/>
      <c r="U610" s="478"/>
      <c r="V610" s="480"/>
      <c r="W610" s="480"/>
      <c r="X610" s="480"/>
      <c r="Y610" s="480"/>
      <c r="Z610" s="478"/>
      <c r="AA610" s="480"/>
      <c r="AB610" s="480"/>
      <c r="AC610" s="480"/>
      <c r="AD610" s="480"/>
      <c r="AE610" s="478"/>
      <c r="AF610" s="480"/>
      <c r="AG610" s="480"/>
      <c r="AH610" s="480"/>
      <c r="AI610" s="480"/>
      <c r="AJ610" s="478"/>
      <c r="AK610" s="480"/>
      <c r="AL610" s="480"/>
      <c r="AM610" s="480"/>
      <c r="AN610" s="480"/>
      <c r="AO610" s="478"/>
      <c r="AP610" s="480"/>
      <c r="AQ610" s="480"/>
      <c r="AR610" s="480"/>
      <c r="AS610" s="480"/>
      <c r="AT610" s="478"/>
      <c r="AU610" s="480"/>
      <c r="AV610" s="480"/>
      <c r="AW610" s="708"/>
      <c r="AX610" s="480"/>
      <c r="AY610" s="478"/>
      <c r="AZ610" s="480"/>
      <c r="BA610" s="480"/>
      <c r="BB610" s="480"/>
      <c r="BC610" s="480"/>
      <c r="BD610" s="478"/>
      <c r="BE610" s="478"/>
      <c r="BF610" s="478"/>
      <c r="BG610" s="478"/>
      <c r="BH610" s="473"/>
    </row>
    <row r="611" spans="1:60" s="49" customFormat="1" hidden="1" outlineLevel="1" x14ac:dyDescent="0.25">
      <c r="A611" s="483" t="s">
        <v>137</v>
      </c>
      <c r="B611" s="514"/>
      <c r="C611" s="489">
        <v>4260</v>
      </c>
      <c r="D611" s="489">
        <v>4473</v>
      </c>
      <c r="E611" s="489">
        <v>5233</v>
      </c>
      <c r="F611" s="489">
        <v>5704</v>
      </c>
      <c r="G611" s="490">
        <v>952</v>
      </c>
      <c r="H611" s="490">
        <v>1724</v>
      </c>
      <c r="I611" s="490">
        <v>2087</v>
      </c>
      <c r="J611" s="490">
        <f>K611-I611-H611-G611</f>
        <v>1284</v>
      </c>
      <c r="K611" s="489">
        <v>6047</v>
      </c>
      <c r="L611" s="490">
        <v>1277</v>
      </c>
      <c r="M611" s="490">
        <v>1974</v>
      </c>
      <c r="N611" s="490">
        <v>1942</v>
      </c>
      <c r="O611" s="490">
        <f>P611-N611-M611-L611</f>
        <v>1274</v>
      </c>
      <c r="P611" s="489">
        <v>6467</v>
      </c>
      <c r="Q611" s="490">
        <v>1255</v>
      </c>
      <c r="R611" s="490">
        <v>1799</v>
      </c>
      <c r="S611" s="490">
        <v>2078</v>
      </c>
      <c r="T611" s="490">
        <f>U611-S611-R611-Q611</f>
        <v>1655</v>
      </c>
      <c r="U611" s="489">
        <v>6787</v>
      </c>
      <c r="V611" s="490">
        <v>975</v>
      </c>
      <c r="W611" s="490">
        <v>1846</v>
      </c>
      <c r="X611" s="490">
        <v>1893</v>
      </c>
      <c r="Y611" s="490">
        <f>Z611-X611-W611-V611</f>
        <v>1251</v>
      </c>
      <c r="Z611" s="489">
        <v>5965</v>
      </c>
      <c r="AA611" s="490">
        <v>864</v>
      </c>
      <c r="AB611" s="497">
        <v>1791</v>
      </c>
      <c r="AC611" s="490">
        <v>1462</v>
      </c>
      <c r="AD611" s="490">
        <f>AE611-AC611-AB611-AA611</f>
        <v>1236</v>
      </c>
      <c r="AE611" s="489">
        <v>5353</v>
      </c>
      <c r="AF611" s="490">
        <v>858</v>
      </c>
      <c r="AG611" s="497">
        <v>1726</v>
      </c>
      <c r="AH611" s="490">
        <v>1383</v>
      </c>
      <c r="AI611" s="490">
        <f>AJ611-AH611-AG611-AF611</f>
        <v>1159</v>
      </c>
      <c r="AJ611" s="489">
        <v>5126</v>
      </c>
      <c r="AK611" s="491"/>
      <c r="AL611" s="491"/>
      <c r="AM611" s="491"/>
      <c r="AN611" s="491"/>
      <c r="AO611" s="492"/>
      <c r="AP611" s="491"/>
      <c r="AQ611" s="491"/>
      <c r="AR611" s="491"/>
      <c r="AS611" s="491"/>
      <c r="AT611" s="492"/>
      <c r="AU611" s="491"/>
      <c r="AV611" s="491"/>
      <c r="AW611" s="692"/>
      <c r="AX611" s="491"/>
      <c r="AY611" s="492"/>
      <c r="AZ611" s="491"/>
      <c r="BA611" s="491"/>
      <c r="BB611" s="491"/>
      <c r="BC611" s="491"/>
      <c r="BD611" s="492"/>
      <c r="BE611" s="492"/>
      <c r="BF611" s="492"/>
      <c r="BG611" s="492"/>
      <c r="BH611" s="484"/>
    </row>
    <row r="612" spans="1:60" s="49" customFormat="1" hidden="1" outlineLevel="1" x14ac:dyDescent="0.25">
      <c r="A612" s="483" t="s">
        <v>138</v>
      </c>
      <c r="B612" s="514"/>
      <c r="C612" s="489">
        <v>505</v>
      </c>
      <c r="D612" s="489">
        <v>659</v>
      </c>
      <c r="E612" s="489">
        <v>913</v>
      </c>
      <c r="F612" s="489">
        <v>915</v>
      </c>
      <c r="G612" s="490">
        <v>262</v>
      </c>
      <c r="H612" s="490">
        <v>138</v>
      </c>
      <c r="I612" s="490">
        <v>213</v>
      </c>
      <c r="J612" s="490">
        <f>K612-I612-H612-G612</f>
        <v>158</v>
      </c>
      <c r="K612" s="489">
        <v>771</v>
      </c>
      <c r="L612" s="490">
        <v>178</v>
      </c>
      <c r="M612" s="490">
        <v>159</v>
      </c>
      <c r="N612" s="490">
        <v>354</v>
      </c>
      <c r="O612" s="490">
        <f>P612-N612-M612-L612</f>
        <v>163</v>
      </c>
      <c r="P612" s="489">
        <v>854</v>
      </c>
      <c r="Q612" s="490">
        <v>240</v>
      </c>
      <c r="R612" s="490">
        <v>302</v>
      </c>
      <c r="S612" s="490">
        <v>300</v>
      </c>
      <c r="T612" s="490">
        <f>U612-S612-R612-Q612</f>
        <v>164</v>
      </c>
      <c r="U612" s="489">
        <v>1006</v>
      </c>
      <c r="V612" s="490">
        <v>295</v>
      </c>
      <c r="W612" s="490">
        <v>302</v>
      </c>
      <c r="X612" s="490">
        <v>325</v>
      </c>
      <c r="Y612" s="490">
        <f>Z612-X612-W612-V612</f>
        <v>271</v>
      </c>
      <c r="Z612" s="489">
        <v>1193</v>
      </c>
      <c r="AA612" s="490">
        <v>379</v>
      </c>
      <c r="AB612" s="497">
        <v>344</v>
      </c>
      <c r="AC612" s="490">
        <v>253</v>
      </c>
      <c r="AD612" s="490">
        <f>AE612-AC612-AB612-AA612</f>
        <v>229</v>
      </c>
      <c r="AE612" s="489">
        <v>1205</v>
      </c>
      <c r="AF612" s="490">
        <v>285</v>
      </c>
      <c r="AG612" s="497">
        <v>343</v>
      </c>
      <c r="AH612" s="490">
        <v>361</v>
      </c>
      <c r="AI612" s="490">
        <f>AJ612-AH612-AG612-AF612</f>
        <v>379</v>
      </c>
      <c r="AJ612" s="489">
        <v>1368</v>
      </c>
      <c r="AK612" s="491"/>
      <c r="AL612" s="491"/>
      <c r="AM612" s="491"/>
      <c r="AN612" s="491"/>
      <c r="AO612" s="492"/>
      <c r="AP612" s="491"/>
      <c r="AQ612" s="491"/>
      <c r="AR612" s="491"/>
      <c r="AS612" s="491"/>
      <c r="AT612" s="492"/>
      <c r="AU612" s="491"/>
      <c r="AV612" s="491"/>
      <c r="AW612" s="692"/>
      <c r="AX612" s="491"/>
      <c r="AY612" s="492"/>
      <c r="AZ612" s="491"/>
      <c r="BA612" s="491"/>
      <c r="BB612" s="491"/>
      <c r="BC612" s="491"/>
      <c r="BD612" s="492"/>
      <c r="BE612" s="492"/>
      <c r="BF612" s="492"/>
      <c r="BG612" s="492"/>
      <c r="BH612" s="484"/>
    </row>
    <row r="613" spans="1:60" s="49" customFormat="1" hidden="1" outlineLevel="1" x14ac:dyDescent="0.25">
      <c r="A613" s="218" t="s">
        <v>37</v>
      </c>
      <c r="B613" s="573"/>
      <c r="C613" s="322"/>
      <c r="D613" s="322"/>
      <c r="E613" s="322"/>
      <c r="F613" s="322"/>
      <c r="G613" s="321"/>
      <c r="H613" s="321"/>
      <c r="I613" s="321"/>
      <c r="J613" s="319">
        <f>K613-I613-H613-G613</f>
        <v>0</v>
      </c>
      <c r="K613" s="322"/>
      <c r="L613" s="321"/>
      <c r="M613" s="321"/>
      <c r="N613" s="321"/>
      <c r="O613" s="319">
        <f>P613-N613-M613-L613</f>
        <v>0</v>
      </c>
      <c r="P613" s="322"/>
      <c r="Q613" s="321"/>
      <c r="R613" s="321"/>
      <c r="S613" s="321"/>
      <c r="T613" s="319">
        <f>U613-S613-R613-Q613</f>
        <v>0</v>
      </c>
      <c r="U613" s="322"/>
      <c r="V613" s="319">
        <v>142</v>
      </c>
      <c r="W613" s="319">
        <v>151</v>
      </c>
      <c r="X613" s="319">
        <v>154</v>
      </c>
      <c r="Y613" s="319">
        <f>Z613-X613-W613-V613</f>
        <v>150</v>
      </c>
      <c r="Z613" s="318">
        <v>597</v>
      </c>
      <c r="AA613" s="319">
        <v>119</v>
      </c>
      <c r="AB613" s="320">
        <v>88</v>
      </c>
      <c r="AC613" s="319">
        <v>127</v>
      </c>
      <c r="AD613" s="319">
        <f>AE613-AC613-AB613-AA613</f>
        <v>10</v>
      </c>
      <c r="AE613" s="318">
        <v>344</v>
      </c>
      <c r="AF613" s="319">
        <v>50</v>
      </c>
      <c r="AG613" s="320">
        <v>13</v>
      </c>
      <c r="AH613" s="319">
        <v>78</v>
      </c>
      <c r="AI613" s="319">
        <f>AJ613-AH613-AG613-AF613</f>
        <v>-10</v>
      </c>
      <c r="AJ613" s="318">
        <v>131</v>
      </c>
      <c r="AK613" s="321"/>
      <c r="AL613" s="321"/>
      <c r="AM613" s="321"/>
      <c r="AN613" s="321"/>
      <c r="AO613" s="322"/>
      <c r="AP613" s="321"/>
      <c r="AQ613" s="321"/>
      <c r="AR613" s="321"/>
      <c r="AS613" s="321"/>
      <c r="AT613" s="322"/>
      <c r="AU613" s="321"/>
      <c r="AV613" s="321"/>
      <c r="AW613" s="693"/>
      <c r="AX613" s="321"/>
      <c r="AY613" s="322"/>
      <c r="AZ613" s="321"/>
      <c r="BA613" s="321"/>
      <c r="BB613" s="321"/>
      <c r="BC613" s="321"/>
      <c r="BD613" s="322"/>
      <c r="BE613" s="322"/>
      <c r="BF613" s="322"/>
      <c r="BG613" s="322"/>
      <c r="BH613" s="484"/>
    </row>
    <row r="614" spans="1:60" s="52" customFormat="1" hidden="1" outlineLevel="1" x14ac:dyDescent="0.25">
      <c r="A614" s="501" t="s">
        <v>38</v>
      </c>
      <c r="B614" s="264"/>
      <c r="C614" s="502">
        <f t="shared" ref="C614:AJ614" si="684">SUM(C611:C613)</f>
        <v>4765</v>
      </c>
      <c r="D614" s="502">
        <f t="shared" si="684"/>
        <v>5132</v>
      </c>
      <c r="E614" s="502">
        <f t="shared" si="684"/>
        <v>6146</v>
      </c>
      <c r="F614" s="502">
        <f t="shared" si="684"/>
        <v>6619</v>
      </c>
      <c r="G614" s="503">
        <f t="shared" si="684"/>
        <v>1214</v>
      </c>
      <c r="H614" s="503">
        <f t="shared" si="684"/>
        <v>1862</v>
      </c>
      <c r="I614" s="503">
        <f t="shared" si="684"/>
        <v>2300</v>
      </c>
      <c r="J614" s="503">
        <f t="shared" si="684"/>
        <v>1442</v>
      </c>
      <c r="K614" s="502">
        <f t="shared" si="684"/>
        <v>6818</v>
      </c>
      <c r="L614" s="503">
        <f t="shared" si="684"/>
        <v>1455</v>
      </c>
      <c r="M614" s="503">
        <f t="shared" si="684"/>
        <v>2133</v>
      </c>
      <c r="N614" s="503">
        <f t="shared" si="684"/>
        <v>2296</v>
      </c>
      <c r="O614" s="503">
        <f t="shared" si="684"/>
        <v>1437</v>
      </c>
      <c r="P614" s="502">
        <f t="shared" si="684"/>
        <v>7321</v>
      </c>
      <c r="Q614" s="503">
        <f t="shared" si="684"/>
        <v>1495</v>
      </c>
      <c r="R614" s="503">
        <f t="shared" si="684"/>
        <v>2101</v>
      </c>
      <c r="S614" s="503">
        <f t="shared" si="684"/>
        <v>2378</v>
      </c>
      <c r="T614" s="503">
        <f t="shared" si="684"/>
        <v>1819</v>
      </c>
      <c r="U614" s="502">
        <f t="shared" si="684"/>
        <v>7793</v>
      </c>
      <c r="V614" s="503">
        <f t="shared" si="684"/>
        <v>1412</v>
      </c>
      <c r="W614" s="503">
        <f t="shared" si="684"/>
        <v>2299</v>
      </c>
      <c r="X614" s="503">
        <f t="shared" si="684"/>
        <v>2372</v>
      </c>
      <c r="Y614" s="503">
        <f t="shared" si="684"/>
        <v>1672</v>
      </c>
      <c r="Z614" s="502">
        <f t="shared" si="684"/>
        <v>7755</v>
      </c>
      <c r="AA614" s="503">
        <f t="shared" si="684"/>
        <v>1362</v>
      </c>
      <c r="AB614" s="504">
        <f t="shared" si="684"/>
        <v>2223</v>
      </c>
      <c r="AC614" s="503">
        <f t="shared" si="684"/>
        <v>1842</v>
      </c>
      <c r="AD614" s="503">
        <f t="shared" si="684"/>
        <v>1475</v>
      </c>
      <c r="AE614" s="502">
        <f t="shared" si="684"/>
        <v>6902</v>
      </c>
      <c r="AF614" s="503">
        <f t="shared" si="684"/>
        <v>1193</v>
      </c>
      <c r="AG614" s="504">
        <f t="shared" si="684"/>
        <v>2082</v>
      </c>
      <c r="AH614" s="503">
        <f t="shared" si="684"/>
        <v>1822</v>
      </c>
      <c r="AI614" s="503">
        <f t="shared" si="684"/>
        <v>1528</v>
      </c>
      <c r="AJ614" s="502">
        <f t="shared" si="684"/>
        <v>6625</v>
      </c>
      <c r="AK614" s="505"/>
      <c r="AL614" s="505"/>
      <c r="AM614" s="505"/>
      <c r="AN614" s="505"/>
      <c r="AO614" s="506"/>
      <c r="AP614" s="505"/>
      <c r="AQ614" s="505"/>
      <c r="AR614" s="505"/>
      <c r="AS614" s="505"/>
      <c r="AT614" s="506"/>
      <c r="AU614" s="505"/>
      <c r="AV614" s="505"/>
      <c r="AW614" s="694"/>
      <c r="AX614" s="505"/>
      <c r="AY614" s="506"/>
      <c r="AZ614" s="505"/>
      <c r="BA614" s="505"/>
      <c r="BB614" s="505"/>
      <c r="BC614" s="505"/>
      <c r="BD614" s="506"/>
      <c r="BE614" s="506"/>
      <c r="BF614" s="506"/>
      <c r="BG614" s="506"/>
      <c r="BH614" s="499"/>
    </row>
    <row r="615" spans="1:60" s="44" customFormat="1" hidden="1" outlineLevel="1" collapsed="1" x14ac:dyDescent="0.25">
      <c r="A615" s="748"/>
      <c r="B615" s="246"/>
      <c r="C615" s="478"/>
      <c r="D615" s="478"/>
      <c r="E615" s="478"/>
      <c r="F615" s="478"/>
      <c r="G615" s="480"/>
      <c r="H615" s="480"/>
      <c r="I615" s="480"/>
      <c r="J615" s="480"/>
      <c r="K615" s="478"/>
      <c r="L615" s="480"/>
      <c r="M615" s="480"/>
      <c r="N615" s="480"/>
      <c r="O615" s="480"/>
      <c r="P615" s="478"/>
      <c r="Q615" s="480"/>
      <c r="R615" s="480"/>
      <c r="S615" s="480"/>
      <c r="T615" s="480"/>
      <c r="U615" s="478"/>
      <c r="V615" s="480"/>
      <c r="W615" s="480"/>
      <c r="X615" s="480"/>
      <c r="Y615" s="480"/>
      <c r="Z615" s="478"/>
      <c r="AA615" s="480"/>
      <c r="AB615" s="480"/>
      <c r="AC615" s="480"/>
      <c r="AD615" s="480"/>
      <c r="AE615" s="478"/>
      <c r="AF615" s="480"/>
      <c r="AG615" s="480"/>
      <c r="AH615" s="480"/>
      <c r="AI615" s="480"/>
      <c r="AJ615" s="478"/>
      <c r="AK615" s="480"/>
      <c r="AL615" s="480"/>
      <c r="AM615" s="480"/>
      <c r="AN615" s="480"/>
      <c r="AO615" s="478"/>
      <c r="AP615" s="480"/>
      <c r="AQ615" s="480"/>
      <c r="AR615" s="480"/>
      <c r="AS615" s="480"/>
      <c r="AT615" s="478"/>
      <c r="AU615" s="480"/>
      <c r="AV615" s="480"/>
      <c r="AW615" s="708"/>
      <c r="AX615" s="480"/>
      <c r="AY615" s="478"/>
      <c r="AZ615" s="480"/>
      <c r="BA615" s="480"/>
      <c r="BB615" s="480"/>
      <c r="BC615" s="480"/>
      <c r="BD615" s="478"/>
      <c r="BE615" s="478"/>
      <c r="BF615" s="478"/>
      <c r="BG615" s="478"/>
      <c r="BH615" s="473"/>
    </row>
    <row r="616" spans="1:60" s="19" customFormat="1" hidden="1" outlineLevel="1" x14ac:dyDescent="0.25">
      <c r="A616" s="956" t="s">
        <v>139</v>
      </c>
      <c r="B616" s="956"/>
      <c r="C616" s="986"/>
      <c r="D616" s="986"/>
      <c r="E616" s="986"/>
      <c r="F616" s="986"/>
      <c r="G616" s="986"/>
      <c r="H616" s="986"/>
      <c r="I616" s="986"/>
      <c r="J616" s="986"/>
      <c r="K616" s="986"/>
      <c r="L616" s="986"/>
      <c r="M616" s="986"/>
      <c r="N616" s="986"/>
      <c r="O616" s="986"/>
      <c r="P616" s="986"/>
      <c r="Q616" s="986"/>
      <c r="R616" s="986"/>
      <c r="S616" s="986"/>
      <c r="T616" s="986"/>
      <c r="U616" s="986"/>
      <c r="V616" s="986"/>
      <c r="W616" s="986"/>
      <c r="X616" s="986"/>
      <c r="Y616" s="986"/>
      <c r="Z616" s="986"/>
      <c r="AA616" s="986"/>
      <c r="AB616" s="986"/>
      <c r="AC616" s="986"/>
      <c r="AD616" s="986"/>
      <c r="AE616" s="986"/>
      <c r="AF616" s="986"/>
      <c r="AG616" s="986"/>
      <c r="AH616" s="986"/>
      <c r="AI616" s="986"/>
      <c r="AJ616" s="986"/>
      <c r="AK616" s="986"/>
      <c r="AL616" s="986"/>
      <c r="AM616" s="986"/>
      <c r="AN616" s="986"/>
      <c r="AO616" s="986"/>
      <c r="AP616" s="986"/>
      <c r="AQ616" s="986"/>
      <c r="AR616" s="986"/>
      <c r="AS616" s="986"/>
      <c r="AT616" s="986"/>
      <c r="AU616" s="986"/>
      <c r="AV616" s="986"/>
      <c r="AW616" s="987"/>
      <c r="AX616" s="986"/>
      <c r="AY616" s="986"/>
      <c r="AZ616" s="986"/>
      <c r="BA616" s="986"/>
      <c r="BB616" s="986"/>
      <c r="BC616" s="986"/>
      <c r="BD616" s="986"/>
      <c r="BE616" s="986"/>
      <c r="BF616" s="986"/>
      <c r="BG616" s="986"/>
      <c r="BH616" s="730"/>
    </row>
    <row r="617" spans="1:60" s="49" customFormat="1" hidden="1" outlineLevel="1" x14ac:dyDescent="0.25">
      <c r="A617" s="483" t="s">
        <v>140</v>
      </c>
      <c r="B617" s="514"/>
      <c r="C617" s="489">
        <v>8442</v>
      </c>
      <c r="D617" s="489">
        <v>8404</v>
      </c>
      <c r="E617" s="489">
        <v>9302</v>
      </c>
      <c r="F617" s="489">
        <v>10339</v>
      </c>
      <c r="G617" s="490">
        <v>2732</v>
      </c>
      <c r="H617" s="490">
        <v>2759</v>
      </c>
      <c r="I617" s="490">
        <v>2995</v>
      </c>
      <c r="J617" s="490">
        <f>K617-I617-H617-G617</f>
        <v>2908</v>
      </c>
      <c r="K617" s="489">
        <v>11394</v>
      </c>
      <c r="L617" s="490">
        <v>2922</v>
      </c>
      <c r="M617" s="490">
        <v>2990</v>
      </c>
      <c r="N617" s="490">
        <v>3290</v>
      </c>
      <c r="O617" s="490">
        <f>P617-N617-M617-L617</f>
        <v>3127</v>
      </c>
      <c r="P617" s="489">
        <v>12329</v>
      </c>
      <c r="Q617" s="490">
        <v>3233</v>
      </c>
      <c r="R617" s="490">
        <v>3236</v>
      </c>
      <c r="S617" s="490">
        <v>3529</v>
      </c>
      <c r="T617" s="490">
        <f>U617-S617-R617-Q617</f>
        <v>3613</v>
      </c>
      <c r="U617" s="489">
        <v>13611</v>
      </c>
      <c r="V617" s="490">
        <v>3674</v>
      </c>
      <c r="W617" s="490">
        <v>3421</v>
      </c>
      <c r="X617" s="490">
        <v>3697</v>
      </c>
      <c r="Y617" s="490">
        <f>Z617-X617-W617-V617</f>
        <v>3450</v>
      </c>
      <c r="Z617" s="489">
        <v>14242</v>
      </c>
      <c r="AA617" s="490">
        <v>3740</v>
      </c>
      <c r="AB617" s="497">
        <v>3556</v>
      </c>
      <c r="AC617" s="490">
        <v>3935</v>
      </c>
      <c r="AD617" s="490">
        <f>AE617-AC617-AB617-AA617</f>
        <v>3581</v>
      </c>
      <c r="AE617" s="489">
        <v>14812</v>
      </c>
      <c r="AF617" s="490">
        <v>4169</v>
      </c>
      <c r="AG617" s="497">
        <v>3965</v>
      </c>
      <c r="AH617" s="490">
        <v>4089</v>
      </c>
      <c r="AI617" s="490">
        <f>AJ617-AH617-AG617-AF617</f>
        <v>3938</v>
      </c>
      <c r="AJ617" s="489">
        <v>16161</v>
      </c>
      <c r="AK617" s="491"/>
      <c r="AL617" s="491"/>
      <c r="AM617" s="491"/>
      <c r="AN617" s="491"/>
      <c r="AO617" s="492"/>
      <c r="AP617" s="491"/>
      <c r="AQ617" s="491"/>
      <c r="AR617" s="491"/>
      <c r="AS617" s="491"/>
      <c r="AT617" s="492"/>
      <c r="AU617" s="491"/>
      <c r="AV617" s="491"/>
      <c r="AW617" s="692"/>
      <c r="AX617" s="491"/>
      <c r="AY617" s="492"/>
      <c r="AZ617" s="491"/>
      <c r="BA617" s="491"/>
      <c r="BB617" s="491"/>
      <c r="BC617" s="491"/>
      <c r="BD617" s="492"/>
      <c r="BE617" s="492"/>
      <c r="BF617" s="492"/>
      <c r="BG617" s="492"/>
      <c r="BH617" s="484"/>
    </row>
    <row r="618" spans="1:60" s="49" customFormat="1" hidden="1" outlineLevel="1" x14ac:dyDescent="0.25">
      <c r="A618" s="218" t="s">
        <v>141</v>
      </c>
      <c r="B618" s="573"/>
      <c r="C618" s="318">
        <v>2225</v>
      </c>
      <c r="D618" s="318">
        <v>2357</v>
      </c>
      <c r="E618" s="318">
        <v>2495</v>
      </c>
      <c r="F618" s="318">
        <v>2581</v>
      </c>
      <c r="G618" s="319">
        <v>659</v>
      </c>
      <c r="H618" s="319">
        <v>543</v>
      </c>
      <c r="I618" s="319">
        <v>683</v>
      </c>
      <c r="J618" s="319">
        <f>K618-I618-H618-G618</f>
        <v>808</v>
      </c>
      <c r="K618" s="318">
        <v>2693</v>
      </c>
      <c r="L618" s="319">
        <v>675</v>
      </c>
      <c r="M618" s="319">
        <v>572</v>
      </c>
      <c r="N618" s="319">
        <v>690</v>
      </c>
      <c r="O618" s="319">
        <f>P618-N618-M618-L618</f>
        <v>833</v>
      </c>
      <c r="P618" s="318">
        <v>2770</v>
      </c>
      <c r="Q618" s="319">
        <v>677</v>
      </c>
      <c r="R618" s="319">
        <v>524</v>
      </c>
      <c r="S618" s="319">
        <v>602</v>
      </c>
      <c r="T618" s="319">
        <f>U618-S618-R618-Q618</f>
        <v>748</v>
      </c>
      <c r="U618" s="318">
        <v>2551</v>
      </c>
      <c r="V618" s="319">
        <v>607</v>
      </c>
      <c r="W618" s="319">
        <v>507</v>
      </c>
      <c r="X618" s="319">
        <v>682</v>
      </c>
      <c r="Y618" s="319">
        <f>Z618-X618-W618-V618</f>
        <v>936</v>
      </c>
      <c r="Z618" s="318">
        <v>2732</v>
      </c>
      <c r="AA618" s="319">
        <v>815</v>
      </c>
      <c r="AB618" s="320">
        <v>743</v>
      </c>
      <c r="AC618" s="319">
        <v>959</v>
      </c>
      <c r="AD618" s="319">
        <f>AE618-AC618-AB618-AA618</f>
        <v>1086</v>
      </c>
      <c r="AE618" s="318">
        <v>3603</v>
      </c>
      <c r="AF618" s="319">
        <v>985</v>
      </c>
      <c r="AG618" s="320">
        <v>914</v>
      </c>
      <c r="AH618" s="319">
        <v>1104</v>
      </c>
      <c r="AI618" s="319">
        <f>AJ618-AH618-AG618-AF618</f>
        <v>1132</v>
      </c>
      <c r="AJ618" s="318">
        <v>4135</v>
      </c>
      <c r="AK618" s="321"/>
      <c r="AL618" s="321"/>
      <c r="AM618" s="321"/>
      <c r="AN618" s="321"/>
      <c r="AO618" s="322"/>
      <c r="AP618" s="321"/>
      <c r="AQ618" s="321"/>
      <c r="AR618" s="321"/>
      <c r="AS618" s="321"/>
      <c r="AT618" s="322"/>
      <c r="AU618" s="321"/>
      <c r="AV618" s="321"/>
      <c r="AW618" s="693"/>
      <c r="AX618" s="321"/>
      <c r="AY618" s="322"/>
      <c r="AZ618" s="321"/>
      <c r="BA618" s="321"/>
      <c r="BB618" s="321"/>
      <c r="BC618" s="321"/>
      <c r="BD618" s="322"/>
      <c r="BE618" s="322"/>
      <c r="BF618" s="322"/>
      <c r="BG618" s="322"/>
      <c r="BH618" s="484"/>
    </row>
    <row r="619" spans="1:60" s="52" customFormat="1" hidden="1" outlineLevel="1" x14ac:dyDescent="0.25">
      <c r="A619" s="501" t="s">
        <v>142</v>
      </c>
      <c r="B619" s="264"/>
      <c r="C619" s="502">
        <f t="shared" ref="C619:AJ619" si="685">SUM(C617:C618)</f>
        <v>10667</v>
      </c>
      <c r="D619" s="502">
        <f t="shared" si="685"/>
        <v>10761</v>
      </c>
      <c r="E619" s="502">
        <f t="shared" si="685"/>
        <v>11797</v>
      </c>
      <c r="F619" s="502">
        <f t="shared" si="685"/>
        <v>12920</v>
      </c>
      <c r="G619" s="503">
        <f t="shared" si="685"/>
        <v>3391</v>
      </c>
      <c r="H619" s="503">
        <f t="shared" si="685"/>
        <v>3302</v>
      </c>
      <c r="I619" s="503">
        <f t="shared" si="685"/>
        <v>3678</v>
      </c>
      <c r="J619" s="503">
        <f t="shared" si="685"/>
        <v>3716</v>
      </c>
      <c r="K619" s="502">
        <f t="shared" si="685"/>
        <v>14087</v>
      </c>
      <c r="L619" s="503">
        <f t="shared" si="685"/>
        <v>3597</v>
      </c>
      <c r="M619" s="503">
        <f t="shared" si="685"/>
        <v>3562</v>
      </c>
      <c r="N619" s="503">
        <f t="shared" si="685"/>
        <v>3980</v>
      </c>
      <c r="O619" s="503">
        <f t="shared" si="685"/>
        <v>3960</v>
      </c>
      <c r="P619" s="502">
        <f t="shared" si="685"/>
        <v>15099</v>
      </c>
      <c r="Q619" s="503">
        <f t="shared" si="685"/>
        <v>3910</v>
      </c>
      <c r="R619" s="503">
        <f t="shared" si="685"/>
        <v>3760</v>
      </c>
      <c r="S619" s="503">
        <f t="shared" si="685"/>
        <v>4131</v>
      </c>
      <c r="T619" s="503">
        <f t="shared" si="685"/>
        <v>4361</v>
      </c>
      <c r="U619" s="502">
        <f t="shared" si="685"/>
        <v>16162</v>
      </c>
      <c r="V619" s="503">
        <f t="shared" si="685"/>
        <v>4281</v>
      </c>
      <c r="W619" s="503">
        <f t="shared" si="685"/>
        <v>3928</v>
      </c>
      <c r="X619" s="503">
        <f t="shared" si="685"/>
        <v>4379</v>
      </c>
      <c r="Y619" s="503">
        <f t="shared" si="685"/>
        <v>4386</v>
      </c>
      <c r="Z619" s="502">
        <f t="shared" si="685"/>
        <v>16974</v>
      </c>
      <c r="AA619" s="503">
        <f t="shared" si="685"/>
        <v>4555</v>
      </c>
      <c r="AB619" s="504">
        <f t="shared" si="685"/>
        <v>4299</v>
      </c>
      <c r="AC619" s="503">
        <f t="shared" si="685"/>
        <v>4894</v>
      </c>
      <c r="AD619" s="503">
        <f t="shared" si="685"/>
        <v>4667</v>
      </c>
      <c r="AE619" s="502">
        <f t="shared" si="685"/>
        <v>18415</v>
      </c>
      <c r="AF619" s="503">
        <f t="shared" si="685"/>
        <v>5154</v>
      </c>
      <c r="AG619" s="504">
        <f t="shared" si="685"/>
        <v>4879</v>
      </c>
      <c r="AH619" s="503">
        <f t="shared" si="685"/>
        <v>5193</v>
      </c>
      <c r="AI619" s="503">
        <f t="shared" si="685"/>
        <v>5070</v>
      </c>
      <c r="AJ619" s="502">
        <f t="shared" si="685"/>
        <v>20296</v>
      </c>
      <c r="AK619" s="505"/>
      <c r="AL619" s="505"/>
      <c r="AM619" s="505"/>
      <c r="AN619" s="505"/>
      <c r="AO619" s="506"/>
      <c r="AP619" s="505"/>
      <c r="AQ619" s="505"/>
      <c r="AR619" s="505"/>
      <c r="AS619" s="505"/>
      <c r="AT619" s="506"/>
      <c r="AU619" s="505"/>
      <c r="AV619" s="505"/>
      <c r="AW619" s="694"/>
      <c r="AX619" s="505"/>
      <c r="AY619" s="506"/>
      <c r="AZ619" s="505"/>
      <c r="BA619" s="505"/>
      <c r="BB619" s="505"/>
      <c r="BC619" s="505"/>
      <c r="BD619" s="506"/>
      <c r="BE619" s="506"/>
      <c r="BF619" s="506"/>
      <c r="BG619" s="506"/>
      <c r="BH619" s="499"/>
    </row>
    <row r="620" spans="1:60" s="49" customFormat="1" hidden="1" outlineLevel="1" x14ac:dyDescent="0.25">
      <c r="A620" s="483" t="s">
        <v>34</v>
      </c>
      <c r="B620" s="514"/>
      <c r="C620" s="489">
        <v>-6634</v>
      </c>
      <c r="D620" s="489">
        <v>-6787</v>
      </c>
      <c r="E620" s="489">
        <v>-7383</v>
      </c>
      <c r="F620" s="489">
        <v>-7928</v>
      </c>
      <c r="G620" s="490">
        <v>-2053</v>
      </c>
      <c r="H620" s="490">
        <v>-2069</v>
      </c>
      <c r="I620" s="490">
        <v>-2154</v>
      </c>
      <c r="J620" s="490">
        <f>K620-I620-H620-G620</f>
        <v>-2261</v>
      </c>
      <c r="K620" s="489">
        <v>-8537</v>
      </c>
      <c r="L620" s="490">
        <v>-2152</v>
      </c>
      <c r="M620" s="490">
        <v>-2248</v>
      </c>
      <c r="N620" s="490">
        <v>-2274</v>
      </c>
      <c r="O620" s="490">
        <f>P620-N620-M620-L620</f>
        <v>-2432</v>
      </c>
      <c r="P620" s="489">
        <v>-9106</v>
      </c>
      <c r="Q620" s="490">
        <v>-2283</v>
      </c>
      <c r="R620" s="490">
        <v>-2363</v>
      </c>
      <c r="S620" s="490">
        <v>-2376</v>
      </c>
      <c r="T620" s="490">
        <f>U620-S620-R620-Q620</f>
        <v>-2708</v>
      </c>
      <c r="U620" s="489">
        <v>-9730</v>
      </c>
      <c r="V620" s="490">
        <v>-2475</v>
      </c>
      <c r="W620" s="490">
        <v>-2427</v>
      </c>
      <c r="X620" s="490">
        <v>-2439</v>
      </c>
      <c r="Y620" s="490">
        <f>Z620-X620-W620-V620</f>
        <v>-2698</v>
      </c>
      <c r="Z620" s="489">
        <v>-10039</v>
      </c>
      <c r="AA620" s="490">
        <v>-2547</v>
      </c>
      <c r="AB620" s="497">
        <v>-2583</v>
      </c>
      <c r="AC620" s="490">
        <v>-2687</v>
      </c>
      <c r="AD620" s="490">
        <f>AE620-AC620-AB620-AA620</f>
        <v>-2850</v>
      </c>
      <c r="AE620" s="489">
        <v>-10667</v>
      </c>
      <c r="AF620" s="490">
        <v>-2811</v>
      </c>
      <c r="AG620" s="497">
        <v>-2843</v>
      </c>
      <c r="AH620" s="490">
        <v>-2807</v>
      </c>
      <c r="AI620" s="490">
        <f>AJ620-AH620-AG620-AF620</f>
        <v>-3129</v>
      </c>
      <c r="AJ620" s="489">
        <v>-11590</v>
      </c>
      <c r="AK620" s="491"/>
      <c r="AL620" s="491"/>
      <c r="AM620" s="491"/>
      <c r="AN620" s="491"/>
      <c r="AO620" s="492"/>
      <c r="AP620" s="491"/>
      <c r="AQ620" s="491"/>
      <c r="AR620" s="491"/>
      <c r="AS620" s="491"/>
      <c r="AT620" s="492"/>
      <c r="AU620" s="491"/>
      <c r="AV620" s="491"/>
      <c r="AW620" s="692"/>
      <c r="AX620" s="491"/>
      <c r="AY620" s="492"/>
      <c r="AZ620" s="491"/>
      <c r="BA620" s="491"/>
      <c r="BB620" s="491"/>
      <c r="BC620" s="491"/>
      <c r="BD620" s="492"/>
      <c r="BE620" s="492"/>
      <c r="BF620" s="492"/>
      <c r="BG620" s="492"/>
      <c r="BH620" s="484"/>
    </row>
    <row r="621" spans="1:60" s="49" customFormat="1" hidden="1" outlineLevel="1" x14ac:dyDescent="0.25">
      <c r="A621" s="483" t="s">
        <v>35</v>
      </c>
      <c r="B621" s="514"/>
      <c r="C621" s="489">
        <v>-1467</v>
      </c>
      <c r="D621" s="489">
        <v>-1517</v>
      </c>
      <c r="E621" s="489">
        <v>-1696</v>
      </c>
      <c r="F621" s="489">
        <v>-1849</v>
      </c>
      <c r="G621" s="490">
        <v>-426</v>
      </c>
      <c r="H621" s="490">
        <v>-502</v>
      </c>
      <c r="I621" s="490">
        <v>-494</v>
      </c>
      <c r="J621" s="490">
        <f>K621-I621-H621-G621</f>
        <v>-538</v>
      </c>
      <c r="K621" s="489">
        <v>-1960</v>
      </c>
      <c r="L621" s="490">
        <v>-408</v>
      </c>
      <c r="M621" s="490">
        <v>-488</v>
      </c>
      <c r="N621" s="490">
        <v>-500</v>
      </c>
      <c r="O621" s="490">
        <f>P621-N621-M621-L621</f>
        <v>-460</v>
      </c>
      <c r="P621" s="489">
        <v>-1856</v>
      </c>
      <c r="Q621" s="490">
        <v>-435</v>
      </c>
      <c r="R621" s="490">
        <v>-456</v>
      </c>
      <c r="S621" s="490">
        <v>-469</v>
      </c>
      <c r="T621" s="490">
        <f>U621-S621-R621-Q621</f>
        <v>-524</v>
      </c>
      <c r="U621" s="489">
        <v>-1884</v>
      </c>
      <c r="V621" s="490">
        <v>-422</v>
      </c>
      <c r="W621" s="490">
        <v>-472</v>
      </c>
      <c r="X621" s="490">
        <v>-519</v>
      </c>
      <c r="Y621" s="490">
        <f>Z621-X621-W621-V621</f>
        <v>-500</v>
      </c>
      <c r="Z621" s="489">
        <v>-1913</v>
      </c>
      <c r="AA621" s="490">
        <v>-411</v>
      </c>
      <c r="AB621" s="497">
        <v>-483</v>
      </c>
      <c r="AC621" s="490">
        <v>-515</v>
      </c>
      <c r="AD621" s="490">
        <f>AE621-AC621-AB621-AA621</f>
        <v>-541</v>
      </c>
      <c r="AE621" s="489">
        <v>-1950</v>
      </c>
      <c r="AF621" s="490">
        <v>-455</v>
      </c>
      <c r="AG621" s="497">
        <v>-538</v>
      </c>
      <c r="AH621" s="490">
        <v>-511</v>
      </c>
      <c r="AI621" s="490">
        <f>AJ621-AH621-AG621-AF621</f>
        <v>-554</v>
      </c>
      <c r="AJ621" s="489">
        <v>-2058</v>
      </c>
      <c r="AK621" s="491"/>
      <c r="AL621" s="491"/>
      <c r="AM621" s="491"/>
      <c r="AN621" s="491"/>
      <c r="AO621" s="492"/>
      <c r="AP621" s="491"/>
      <c r="AQ621" s="491"/>
      <c r="AR621" s="491"/>
      <c r="AS621" s="491"/>
      <c r="AT621" s="492"/>
      <c r="AU621" s="491"/>
      <c r="AV621" s="491"/>
      <c r="AW621" s="692"/>
      <c r="AX621" s="491"/>
      <c r="AY621" s="492"/>
      <c r="AZ621" s="491"/>
      <c r="BA621" s="491"/>
      <c r="BB621" s="491"/>
      <c r="BC621" s="491"/>
      <c r="BD621" s="492"/>
      <c r="BE621" s="492"/>
      <c r="BF621" s="492"/>
      <c r="BG621" s="492"/>
      <c r="BH621" s="484"/>
    </row>
    <row r="622" spans="1:60" s="49" customFormat="1" hidden="1" outlineLevel="1" x14ac:dyDescent="0.25">
      <c r="A622" s="483" t="s">
        <v>36</v>
      </c>
      <c r="B622" s="514"/>
      <c r="C622" s="489">
        <v>-1148</v>
      </c>
      <c r="D622" s="489">
        <v>-1139</v>
      </c>
      <c r="E622" s="489">
        <v>-1165</v>
      </c>
      <c r="F622" s="489">
        <v>-1241</v>
      </c>
      <c r="G622" s="490">
        <v>-335</v>
      </c>
      <c r="H622" s="490">
        <v>-348</v>
      </c>
      <c r="I622" s="490">
        <v>-341</v>
      </c>
      <c r="J622" s="490">
        <f>K622-I622-H622-G622</f>
        <v>-346</v>
      </c>
      <c r="K622" s="489">
        <v>-1370</v>
      </c>
      <c r="L622" s="490">
        <v>-366</v>
      </c>
      <c r="M622" s="490">
        <v>-369</v>
      </c>
      <c r="N622" s="490">
        <v>-358</v>
      </c>
      <c r="O622" s="490">
        <f>P622-N622-M622-L622</f>
        <v>-379</v>
      </c>
      <c r="P622" s="489">
        <v>-1472</v>
      </c>
      <c r="Q622" s="490">
        <v>-387</v>
      </c>
      <c r="R622" s="490">
        <v>-375</v>
      </c>
      <c r="S622" s="490">
        <v>-364</v>
      </c>
      <c r="T622" s="490">
        <f>U622-S622-R622-Q622</f>
        <v>-391</v>
      </c>
      <c r="U622" s="489">
        <v>-1517</v>
      </c>
      <c r="V622" s="490">
        <v>-403</v>
      </c>
      <c r="W622" s="490">
        <v>-405</v>
      </c>
      <c r="X622" s="490">
        <v>-427</v>
      </c>
      <c r="Y622" s="490">
        <f>Z622-X622-W622-V622</f>
        <v>-486</v>
      </c>
      <c r="Z622" s="489">
        <v>-1721</v>
      </c>
      <c r="AA622" s="490">
        <v>-485</v>
      </c>
      <c r="AB622" s="497">
        <v>-480</v>
      </c>
      <c r="AC622" s="490">
        <v>-521</v>
      </c>
      <c r="AD622" s="490">
        <f>AE622-AC622-AB622-AA622</f>
        <v>-513</v>
      </c>
      <c r="AE622" s="489">
        <v>-1999</v>
      </c>
      <c r="AF622" s="490">
        <v>-534</v>
      </c>
      <c r="AG622" s="497">
        <v>-537</v>
      </c>
      <c r="AH622" s="490">
        <v>-531</v>
      </c>
      <c r="AI622" s="490">
        <f>AJ622-AH622-AG622-AF622</f>
        <v>-554</v>
      </c>
      <c r="AJ622" s="489">
        <v>-2156</v>
      </c>
      <c r="AK622" s="491"/>
      <c r="AL622" s="491"/>
      <c r="AM622" s="491"/>
      <c r="AN622" s="491"/>
      <c r="AO622" s="492"/>
      <c r="AP622" s="491"/>
      <c r="AQ622" s="491"/>
      <c r="AR622" s="491"/>
      <c r="AS622" s="491"/>
      <c r="AT622" s="492"/>
      <c r="AU622" s="491"/>
      <c r="AV622" s="491"/>
      <c r="AW622" s="692"/>
      <c r="AX622" s="491"/>
      <c r="AY622" s="492"/>
      <c r="AZ622" s="491"/>
      <c r="BA622" s="491"/>
      <c r="BB622" s="491"/>
      <c r="BC622" s="491"/>
      <c r="BD622" s="492"/>
      <c r="BE622" s="492"/>
      <c r="BF622" s="492"/>
      <c r="BG622" s="492"/>
      <c r="BH622" s="484"/>
    </row>
    <row r="623" spans="1:60" s="49" customFormat="1" hidden="1" outlineLevel="1" x14ac:dyDescent="0.25">
      <c r="A623" s="218" t="s">
        <v>37</v>
      </c>
      <c r="B623" s="573"/>
      <c r="C623" s="322"/>
      <c r="D623" s="322"/>
      <c r="E623" s="322"/>
      <c r="F623" s="322"/>
      <c r="G623" s="321"/>
      <c r="H623" s="321"/>
      <c r="I623" s="321"/>
      <c r="J623" s="319">
        <f>K623-I623-H623-G623</f>
        <v>0</v>
      </c>
      <c r="K623" s="322"/>
      <c r="L623" s="321"/>
      <c r="M623" s="321"/>
      <c r="N623" s="321"/>
      <c r="O623" s="319">
        <f>P623-N623-M623-L623</f>
        <v>-2</v>
      </c>
      <c r="P623" s="318">
        <v>-2</v>
      </c>
      <c r="Q623" s="321"/>
      <c r="R623" s="321"/>
      <c r="S623" s="321"/>
      <c r="T623" s="319">
        <f>U623-S623-R623-Q623</f>
        <v>0</v>
      </c>
      <c r="U623" s="322"/>
      <c r="V623" s="321"/>
      <c r="W623" s="321"/>
      <c r="X623" s="321"/>
      <c r="Y623" s="319">
        <f>Z623-X623-W623-V623</f>
        <v>-3</v>
      </c>
      <c r="Z623" s="318">
        <v>-3</v>
      </c>
      <c r="AA623" s="319">
        <v>-2</v>
      </c>
      <c r="AB623" s="320">
        <v>-3</v>
      </c>
      <c r="AC623" s="319">
        <v>-3</v>
      </c>
      <c r="AD623" s="319">
        <f>AE623-AC623-AB623-AA623</f>
        <v>-17</v>
      </c>
      <c r="AE623" s="318">
        <v>-25</v>
      </c>
      <c r="AF623" s="319">
        <v>-7</v>
      </c>
      <c r="AG623" s="320">
        <v>-7</v>
      </c>
      <c r="AH623" s="319">
        <v>-5</v>
      </c>
      <c r="AI623" s="319">
        <f>AJ623-AH623-AG623-AF623</f>
        <v>-4</v>
      </c>
      <c r="AJ623" s="318">
        <v>-23</v>
      </c>
      <c r="AK623" s="321"/>
      <c r="AL623" s="321"/>
      <c r="AM623" s="321"/>
      <c r="AN623" s="321"/>
      <c r="AO623" s="322"/>
      <c r="AP623" s="321"/>
      <c r="AQ623" s="321"/>
      <c r="AR623" s="321"/>
      <c r="AS623" s="321"/>
      <c r="AT623" s="322"/>
      <c r="AU623" s="321"/>
      <c r="AV623" s="321"/>
      <c r="AW623" s="693"/>
      <c r="AX623" s="321"/>
      <c r="AY623" s="322"/>
      <c r="AZ623" s="321"/>
      <c r="BA623" s="321"/>
      <c r="BB623" s="321"/>
      <c r="BC623" s="321"/>
      <c r="BD623" s="322"/>
      <c r="BE623" s="322"/>
      <c r="BF623" s="322"/>
      <c r="BG623" s="322"/>
      <c r="BH623" s="484"/>
    </row>
    <row r="624" spans="1:60" s="52" customFormat="1" hidden="1" outlineLevel="1" x14ac:dyDescent="0.25">
      <c r="A624" s="501" t="s">
        <v>143</v>
      </c>
      <c r="B624" s="264"/>
      <c r="C624" s="502">
        <f t="shared" ref="C624:AJ624" si="686">SUM(C619:C623)</f>
        <v>1418</v>
      </c>
      <c r="D624" s="502">
        <f t="shared" si="686"/>
        <v>1318</v>
      </c>
      <c r="E624" s="502">
        <f t="shared" si="686"/>
        <v>1553</v>
      </c>
      <c r="F624" s="502">
        <f t="shared" si="686"/>
        <v>1902</v>
      </c>
      <c r="G624" s="503">
        <f t="shared" si="686"/>
        <v>577</v>
      </c>
      <c r="H624" s="503">
        <f t="shared" si="686"/>
        <v>383</v>
      </c>
      <c r="I624" s="503">
        <f t="shared" si="686"/>
        <v>689</v>
      </c>
      <c r="J624" s="503">
        <f t="shared" si="686"/>
        <v>571</v>
      </c>
      <c r="K624" s="502">
        <f t="shared" si="686"/>
        <v>2220</v>
      </c>
      <c r="L624" s="503">
        <f t="shared" si="686"/>
        <v>671</v>
      </c>
      <c r="M624" s="503">
        <f t="shared" si="686"/>
        <v>457</v>
      </c>
      <c r="N624" s="503">
        <f t="shared" si="686"/>
        <v>848</v>
      </c>
      <c r="O624" s="503">
        <f t="shared" si="686"/>
        <v>687</v>
      </c>
      <c r="P624" s="502">
        <f t="shared" si="686"/>
        <v>2663</v>
      </c>
      <c r="Q624" s="503">
        <f t="shared" si="686"/>
        <v>805</v>
      </c>
      <c r="R624" s="503">
        <f t="shared" si="686"/>
        <v>566</v>
      </c>
      <c r="S624" s="503">
        <f t="shared" si="686"/>
        <v>922</v>
      </c>
      <c r="T624" s="503">
        <f t="shared" si="686"/>
        <v>738</v>
      </c>
      <c r="U624" s="502">
        <f t="shared" si="686"/>
        <v>3031</v>
      </c>
      <c r="V624" s="503">
        <f t="shared" si="686"/>
        <v>981</v>
      </c>
      <c r="W624" s="503">
        <f t="shared" si="686"/>
        <v>624</v>
      </c>
      <c r="X624" s="503">
        <f t="shared" si="686"/>
        <v>994</v>
      </c>
      <c r="Y624" s="503">
        <f t="shared" si="686"/>
        <v>699</v>
      </c>
      <c r="Z624" s="502">
        <f t="shared" si="686"/>
        <v>3298</v>
      </c>
      <c r="AA624" s="503">
        <f t="shared" si="686"/>
        <v>1110</v>
      </c>
      <c r="AB624" s="504">
        <f t="shared" si="686"/>
        <v>750</v>
      </c>
      <c r="AC624" s="503">
        <f t="shared" si="686"/>
        <v>1168</v>
      </c>
      <c r="AD624" s="503">
        <f t="shared" si="686"/>
        <v>746</v>
      </c>
      <c r="AE624" s="502">
        <f t="shared" si="686"/>
        <v>3774</v>
      </c>
      <c r="AF624" s="503">
        <f t="shared" si="686"/>
        <v>1347</v>
      </c>
      <c r="AG624" s="504">
        <f t="shared" si="686"/>
        <v>954</v>
      </c>
      <c r="AH624" s="503">
        <f t="shared" si="686"/>
        <v>1339</v>
      </c>
      <c r="AI624" s="503">
        <f t="shared" si="686"/>
        <v>829</v>
      </c>
      <c r="AJ624" s="502">
        <f t="shared" si="686"/>
        <v>4469</v>
      </c>
      <c r="AK624" s="505"/>
      <c r="AL624" s="505"/>
      <c r="AM624" s="505"/>
      <c r="AN624" s="505"/>
      <c r="AO624" s="506"/>
      <c r="AP624" s="505"/>
      <c r="AQ624" s="505"/>
      <c r="AR624" s="505"/>
      <c r="AS624" s="505"/>
      <c r="AT624" s="506"/>
      <c r="AU624" s="505"/>
      <c r="AV624" s="505"/>
      <c r="AW624" s="694"/>
      <c r="AX624" s="505"/>
      <c r="AY624" s="506"/>
      <c r="AZ624" s="505"/>
      <c r="BA624" s="505"/>
      <c r="BB624" s="505"/>
      <c r="BC624" s="505"/>
      <c r="BD624" s="506"/>
      <c r="BE624" s="506"/>
      <c r="BF624" s="506"/>
      <c r="BG624" s="506"/>
      <c r="BH624" s="499"/>
    </row>
    <row r="625" spans="1:60" s="52" customFormat="1" hidden="1" outlineLevel="1" x14ac:dyDescent="0.25">
      <c r="A625" s="635"/>
      <c r="B625" s="264"/>
      <c r="C625" s="506"/>
      <c r="D625" s="506"/>
      <c r="E625" s="506"/>
      <c r="F625" s="506"/>
      <c r="G625" s="505"/>
      <c r="H625" s="505"/>
      <c r="I625" s="505"/>
      <c r="J625" s="505"/>
      <c r="K625" s="506"/>
      <c r="L625" s="505"/>
      <c r="M625" s="505"/>
      <c r="N625" s="505"/>
      <c r="O625" s="505"/>
      <c r="P625" s="506"/>
      <c r="Q625" s="505"/>
      <c r="R625" s="505"/>
      <c r="S625" s="505"/>
      <c r="T625" s="505"/>
      <c r="U625" s="506"/>
      <c r="V625" s="505"/>
      <c r="W625" s="505"/>
      <c r="X625" s="505"/>
      <c r="Y625" s="505"/>
      <c r="Z625" s="506"/>
      <c r="AA625" s="505"/>
      <c r="AB625" s="505"/>
      <c r="AC625" s="505"/>
      <c r="AD625" s="505"/>
      <c r="AE625" s="506"/>
      <c r="AF625" s="505"/>
      <c r="AG625" s="505"/>
      <c r="AH625" s="505"/>
      <c r="AI625" s="505"/>
      <c r="AJ625" s="506"/>
      <c r="AK625" s="505"/>
      <c r="AL625" s="505"/>
      <c r="AM625" s="505"/>
      <c r="AN625" s="505"/>
      <c r="AO625" s="506"/>
      <c r="AP625" s="505"/>
      <c r="AQ625" s="505"/>
      <c r="AR625" s="505"/>
      <c r="AS625" s="505"/>
      <c r="AT625" s="506"/>
      <c r="AU625" s="505"/>
      <c r="AV625" s="505"/>
      <c r="AW625" s="694"/>
      <c r="AX625" s="505"/>
      <c r="AY625" s="506"/>
      <c r="AZ625" s="505"/>
      <c r="BA625" s="505"/>
      <c r="BB625" s="505"/>
      <c r="BC625" s="505"/>
      <c r="BD625" s="506"/>
      <c r="BE625" s="506"/>
      <c r="BF625" s="506"/>
      <c r="BG625" s="506"/>
      <c r="BH625" s="499"/>
    </row>
    <row r="626" spans="1:60" s="343" customFormat="1" hidden="1" outlineLevel="1" x14ac:dyDescent="0.25">
      <c r="A626" s="168" t="s">
        <v>144</v>
      </c>
      <c r="B626" s="655"/>
      <c r="C626" s="339">
        <f t="shared" ref="C626:AJ626" si="687">C620/-C619</f>
        <v>0.62191806506046687</v>
      </c>
      <c r="D626" s="339">
        <f t="shared" si="687"/>
        <v>0.63070346622061146</v>
      </c>
      <c r="E626" s="339">
        <f t="shared" si="687"/>
        <v>0.62583707722302284</v>
      </c>
      <c r="F626" s="339">
        <f t="shared" si="687"/>
        <v>0.61362229102167187</v>
      </c>
      <c r="G626" s="340">
        <f t="shared" si="687"/>
        <v>0.60542612798584483</v>
      </c>
      <c r="H626" s="340">
        <f t="shared" si="687"/>
        <v>0.62658994548758329</v>
      </c>
      <c r="I626" s="340">
        <f t="shared" si="687"/>
        <v>0.58564437194127239</v>
      </c>
      <c r="J626" s="340">
        <f t="shared" si="687"/>
        <v>0.60844994617868675</v>
      </c>
      <c r="K626" s="339">
        <f t="shared" si="687"/>
        <v>0.60601973450699231</v>
      </c>
      <c r="L626" s="340">
        <f t="shared" si="687"/>
        <v>0.59827634139560748</v>
      </c>
      <c r="M626" s="340">
        <f t="shared" si="687"/>
        <v>0.63110612015721501</v>
      </c>
      <c r="N626" s="340">
        <f t="shared" si="687"/>
        <v>0.57135678391959799</v>
      </c>
      <c r="O626" s="340">
        <f t="shared" si="687"/>
        <v>0.6141414141414141</v>
      </c>
      <c r="P626" s="339">
        <f t="shared" si="687"/>
        <v>0.60308629710576855</v>
      </c>
      <c r="Q626" s="340">
        <f t="shared" si="687"/>
        <v>0.58388746803069058</v>
      </c>
      <c r="R626" s="340">
        <f t="shared" si="687"/>
        <v>0.62845744680851068</v>
      </c>
      <c r="S626" s="340">
        <f t="shared" si="687"/>
        <v>0.57516339869281041</v>
      </c>
      <c r="T626" s="340">
        <f t="shared" si="687"/>
        <v>0.62095849575785367</v>
      </c>
      <c r="U626" s="339">
        <f t="shared" si="687"/>
        <v>0.6020294518005197</v>
      </c>
      <c r="V626" s="340">
        <f t="shared" si="687"/>
        <v>0.57813594954449898</v>
      </c>
      <c r="W626" s="340">
        <f t="shared" si="687"/>
        <v>0.61787169042769863</v>
      </c>
      <c r="X626" s="340">
        <f t="shared" si="687"/>
        <v>0.55697647864809319</v>
      </c>
      <c r="Y626" s="340">
        <f t="shared" si="687"/>
        <v>0.61513907888736885</v>
      </c>
      <c r="Z626" s="339">
        <f t="shared" si="687"/>
        <v>0.59143395781783903</v>
      </c>
      <c r="AA626" s="340">
        <f t="shared" si="687"/>
        <v>0.55916575192096596</v>
      </c>
      <c r="AB626" s="341">
        <f t="shared" si="687"/>
        <v>0.60083740404745289</v>
      </c>
      <c r="AC626" s="340">
        <f t="shared" si="687"/>
        <v>0.54903964037597053</v>
      </c>
      <c r="AD626" s="340">
        <f t="shared" si="687"/>
        <v>0.61067066638097278</v>
      </c>
      <c r="AE626" s="339">
        <f t="shared" si="687"/>
        <v>0.57925604127070318</v>
      </c>
      <c r="AF626" s="340">
        <f t="shared" si="687"/>
        <v>0.5454016298020955</v>
      </c>
      <c r="AG626" s="341">
        <f t="shared" si="687"/>
        <v>0.58270137323221971</v>
      </c>
      <c r="AH626" s="340">
        <f t="shared" si="687"/>
        <v>0.54053533602927017</v>
      </c>
      <c r="AI626" s="340">
        <f t="shared" si="687"/>
        <v>0.61715976331360944</v>
      </c>
      <c r="AJ626" s="339">
        <f t="shared" si="687"/>
        <v>0.57104848245959794</v>
      </c>
      <c r="AK626" s="634"/>
      <c r="AL626" s="634"/>
      <c r="AM626" s="634"/>
      <c r="AN626" s="634"/>
      <c r="AO626" s="183"/>
      <c r="AP626" s="634"/>
      <c r="AQ626" s="634"/>
      <c r="AR626" s="634"/>
      <c r="AS626" s="634"/>
      <c r="AT626" s="183"/>
      <c r="AU626" s="634"/>
      <c r="AV626" s="634"/>
      <c r="AW626" s="691"/>
      <c r="AX626" s="634"/>
      <c r="AY626" s="183"/>
      <c r="AZ626" s="634"/>
      <c r="BA626" s="634"/>
      <c r="BB626" s="634"/>
      <c r="BC626" s="634"/>
      <c r="BD626" s="183"/>
      <c r="BE626" s="183"/>
      <c r="BF626" s="183"/>
      <c r="BG626" s="183"/>
      <c r="BH626" s="342"/>
    </row>
    <row r="627" spans="1:60" s="343" customFormat="1" hidden="1" outlineLevel="1" x14ac:dyDescent="0.25">
      <c r="A627" s="344" t="s">
        <v>145</v>
      </c>
      <c r="B627" s="749"/>
      <c r="C627" s="345">
        <f t="shared" ref="C627:AJ627" si="688">C621/-C619</f>
        <v>0.13752695228274117</v>
      </c>
      <c r="D627" s="345">
        <f t="shared" si="688"/>
        <v>0.1409720286218753</v>
      </c>
      <c r="E627" s="345">
        <f t="shared" si="688"/>
        <v>0.14376536407561244</v>
      </c>
      <c r="F627" s="345">
        <f t="shared" si="688"/>
        <v>0.14311145510835913</v>
      </c>
      <c r="G627" s="346">
        <f t="shared" si="688"/>
        <v>0.12562665880271306</v>
      </c>
      <c r="H627" s="346">
        <f t="shared" si="688"/>
        <v>0.15202907328891579</v>
      </c>
      <c r="I627" s="346">
        <f t="shared" si="688"/>
        <v>0.1343121261555193</v>
      </c>
      <c r="J627" s="346">
        <f t="shared" si="688"/>
        <v>0.14477933261571582</v>
      </c>
      <c r="K627" s="345">
        <f t="shared" si="688"/>
        <v>0.13913537303897211</v>
      </c>
      <c r="L627" s="346">
        <f t="shared" si="688"/>
        <v>0.1134278565471226</v>
      </c>
      <c r="M627" s="346">
        <f t="shared" si="688"/>
        <v>0.13700168444693991</v>
      </c>
      <c r="N627" s="346">
        <f t="shared" si="688"/>
        <v>0.12562814070351758</v>
      </c>
      <c r="O627" s="346">
        <f t="shared" si="688"/>
        <v>0.11616161616161616</v>
      </c>
      <c r="P627" s="345">
        <f t="shared" si="688"/>
        <v>0.12292204781773627</v>
      </c>
      <c r="Q627" s="346">
        <f t="shared" si="688"/>
        <v>0.11125319693094629</v>
      </c>
      <c r="R627" s="346">
        <f t="shared" si="688"/>
        <v>0.12127659574468085</v>
      </c>
      <c r="S627" s="346">
        <f t="shared" si="688"/>
        <v>0.11353183248608086</v>
      </c>
      <c r="T627" s="346">
        <f t="shared" si="688"/>
        <v>0.12015592753955515</v>
      </c>
      <c r="U627" s="345">
        <f t="shared" si="688"/>
        <v>0.11656973146887761</v>
      </c>
      <c r="V627" s="346">
        <f t="shared" si="688"/>
        <v>9.8575099275870118E-2</v>
      </c>
      <c r="W627" s="346">
        <f t="shared" si="688"/>
        <v>0.12016293279022404</v>
      </c>
      <c r="X627" s="346">
        <f t="shared" si="688"/>
        <v>0.11852021009362869</v>
      </c>
      <c r="Y627" s="346">
        <f t="shared" si="688"/>
        <v>0.11399908800729594</v>
      </c>
      <c r="Z627" s="345">
        <f t="shared" si="688"/>
        <v>0.11270177919170496</v>
      </c>
      <c r="AA627" s="346">
        <f t="shared" si="688"/>
        <v>9.0230515916575188E-2</v>
      </c>
      <c r="AB627" s="347">
        <f t="shared" si="688"/>
        <v>0.11235170969993022</v>
      </c>
      <c r="AC627" s="346">
        <f t="shared" si="688"/>
        <v>0.10523089497343686</v>
      </c>
      <c r="AD627" s="346">
        <f t="shared" si="688"/>
        <v>0.11592029140775659</v>
      </c>
      <c r="AE627" s="345">
        <f t="shared" si="688"/>
        <v>0.10589193592180288</v>
      </c>
      <c r="AF627" s="346">
        <f t="shared" si="688"/>
        <v>8.8280946837407837E-2</v>
      </c>
      <c r="AG627" s="347">
        <f t="shared" si="688"/>
        <v>0.11026849764295962</v>
      </c>
      <c r="AH627" s="346">
        <f t="shared" si="688"/>
        <v>9.8401694588869631E-2</v>
      </c>
      <c r="AI627" s="346">
        <f t="shared" si="688"/>
        <v>0.10927021696252466</v>
      </c>
      <c r="AJ627" s="345">
        <f t="shared" si="688"/>
        <v>0.10139929050059125</v>
      </c>
      <c r="AK627" s="738"/>
      <c r="AL627" s="738"/>
      <c r="AM627" s="738"/>
      <c r="AN627" s="738"/>
      <c r="AO627" s="348"/>
      <c r="AP627" s="738"/>
      <c r="AQ627" s="738"/>
      <c r="AR627" s="738"/>
      <c r="AS627" s="738"/>
      <c r="AT627" s="348"/>
      <c r="AU627" s="738"/>
      <c r="AV627" s="738"/>
      <c r="AW627" s="760"/>
      <c r="AX627" s="738"/>
      <c r="AY627" s="348"/>
      <c r="AZ627" s="738"/>
      <c r="BA627" s="738"/>
      <c r="BB627" s="738"/>
      <c r="BC627" s="738"/>
      <c r="BD627" s="348"/>
      <c r="BE627" s="348"/>
      <c r="BF627" s="348"/>
      <c r="BG627" s="348"/>
      <c r="BH627" s="342"/>
    </row>
    <row r="628" spans="1:60" s="355" customFormat="1" hidden="1" outlineLevel="1" x14ac:dyDescent="0.25">
      <c r="A628" s="349" t="s">
        <v>146</v>
      </c>
      <c r="B628" s="750"/>
      <c r="C628" s="350">
        <f t="shared" ref="C628:AJ628" si="689">C624/C619</f>
        <v>0.13293334583294272</v>
      </c>
      <c r="D628" s="350">
        <f t="shared" si="689"/>
        <v>0.12247932348294768</v>
      </c>
      <c r="E628" s="350">
        <f t="shared" si="689"/>
        <v>0.13164363821310501</v>
      </c>
      <c r="F628" s="350">
        <f t="shared" si="689"/>
        <v>0.14721362229102167</v>
      </c>
      <c r="G628" s="351">
        <f t="shared" si="689"/>
        <v>0.17015629607785315</v>
      </c>
      <c r="H628" s="351">
        <f t="shared" si="689"/>
        <v>0.11599030890369473</v>
      </c>
      <c r="I628" s="351">
        <f t="shared" si="689"/>
        <v>0.18733007069059271</v>
      </c>
      <c r="J628" s="351">
        <f t="shared" si="689"/>
        <v>0.15365984930032292</v>
      </c>
      <c r="K628" s="350">
        <f t="shared" si="689"/>
        <v>0.1575921061972031</v>
      </c>
      <c r="L628" s="351">
        <f t="shared" si="689"/>
        <v>0.18654434250764526</v>
      </c>
      <c r="M628" s="351">
        <f t="shared" si="689"/>
        <v>0.12829870859067941</v>
      </c>
      <c r="N628" s="351">
        <f t="shared" si="689"/>
        <v>0.21306532663316582</v>
      </c>
      <c r="O628" s="351">
        <f t="shared" si="689"/>
        <v>0.17348484848484849</v>
      </c>
      <c r="P628" s="350">
        <f t="shared" si="689"/>
        <v>0.17636929597986623</v>
      </c>
      <c r="Q628" s="351">
        <f t="shared" si="689"/>
        <v>0.20588235294117646</v>
      </c>
      <c r="R628" s="351">
        <f t="shared" si="689"/>
        <v>0.15053191489361703</v>
      </c>
      <c r="S628" s="351">
        <f t="shared" si="689"/>
        <v>0.22319051077221011</v>
      </c>
      <c r="T628" s="351">
        <f t="shared" si="689"/>
        <v>0.16922724145838111</v>
      </c>
      <c r="U628" s="350">
        <f t="shared" si="689"/>
        <v>0.18753867095656479</v>
      </c>
      <c r="V628" s="351">
        <f t="shared" si="689"/>
        <v>0.22915206727400139</v>
      </c>
      <c r="W628" s="351">
        <f t="shared" si="689"/>
        <v>0.15885947046843177</v>
      </c>
      <c r="X628" s="351">
        <f t="shared" si="689"/>
        <v>0.22699246403288423</v>
      </c>
      <c r="Y628" s="351">
        <f t="shared" si="689"/>
        <v>0.15937072503419972</v>
      </c>
      <c r="Z628" s="350">
        <f t="shared" si="689"/>
        <v>0.19429716036290798</v>
      </c>
      <c r="AA628" s="351">
        <f t="shared" si="689"/>
        <v>0.24368825466520308</v>
      </c>
      <c r="AB628" s="352">
        <f t="shared" si="689"/>
        <v>0.17445917655268667</v>
      </c>
      <c r="AC628" s="351">
        <f t="shared" si="689"/>
        <v>0.2386595831630568</v>
      </c>
      <c r="AD628" s="351">
        <f t="shared" si="689"/>
        <v>0.15984572530533533</v>
      </c>
      <c r="AE628" s="350">
        <f t="shared" si="689"/>
        <v>0.2049416236763508</v>
      </c>
      <c r="AF628" s="351">
        <f t="shared" si="689"/>
        <v>0.26135040745052385</v>
      </c>
      <c r="AG628" s="352">
        <f t="shared" si="689"/>
        <v>0.19553187128509941</v>
      </c>
      <c r="AH628" s="351">
        <f t="shared" si="689"/>
        <v>0.25784710186789911</v>
      </c>
      <c r="AI628" s="351">
        <f t="shared" si="689"/>
        <v>0.16351084812623273</v>
      </c>
      <c r="AJ628" s="350">
        <f t="shared" si="689"/>
        <v>0.22019117067402444</v>
      </c>
      <c r="AK628" s="353"/>
      <c r="AL628" s="353"/>
      <c r="AM628" s="353"/>
      <c r="AN628" s="353"/>
      <c r="AO628" s="354"/>
      <c r="AP628" s="353"/>
      <c r="AQ628" s="353"/>
      <c r="AR628" s="353"/>
      <c r="AS628" s="353"/>
      <c r="AT628" s="354"/>
      <c r="AU628" s="353"/>
      <c r="AV628" s="353"/>
      <c r="AW628" s="761"/>
      <c r="AX628" s="353"/>
      <c r="AY628" s="354"/>
      <c r="AZ628" s="353"/>
      <c r="BA628" s="353"/>
      <c r="BB628" s="353"/>
      <c r="BC628" s="353"/>
      <c r="BD628" s="354"/>
      <c r="BE628" s="354"/>
      <c r="BF628" s="354"/>
      <c r="BG628" s="354"/>
      <c r="BH628" s="303"/>
    </row>
    <row r="629" spans="1:60" s="44" customFormat="1" hidden="1" outlineLevel="1" x14ac:dyDescent="0.25">
      <c r="A629" s="748"/>
      <c r="B629" s="246"/>
      <c r="C629" s="478"/>
      <c r="D629" s="478"/>
      <c r="E629" s="478"/>
      <c r="F629" s="478"/>
      <c r="G629" s="480"/>
      <c r="H629" s="480"/>
      <c r="I629" s="480"/>
      <c r="J629" s="480"/>
      <c r="K629" s="478"/>
      <c r="L629" s="480"/>
      <c r="M629" s="480"/>
      <c r="N629" s="480"/>
      <c r="O629" s="480"/>
      <c r="P629" s="478"/>
      <c r="Q629" s="480"/>
      <c r="R629" s="480"/>
      <c r="S629" s="480"/>
      <c r="T629" s="480"/>
      <c r="U629" s="478"/>
      <c r="V629" s="480"/>
      <c r="W629" s="480"/>
      <c r="X629" s="480"/>
      <c r="Y629" s="480"/>
      <c r="Z629" s="478"/>
      <c r="AA629" s="480"/>
      <c r="AB629" s="480"/>
      <c r="AC629" s="480"/>
      <c r="AD629" s="480"/>
      <c r="AE629" s="478"/>
      <c r="AF629" s="480"/>
      <c r="AG629" s="480"/>
      <c r="AH629" s="480"/>
      <c r="AI629" s="480"/>
      <c r="AJ629" s="478"/>
      <c r="AK629" s="480"/>
      <c r="AL629" s="480"/>
      <c r="AM629" s="480"/>
      <c r="AN629" s="480"/>
      <c r="AO629" s="478"/>
      <c r="AP629" s="480"/>
      <c r="AQ629" s="480"/>
      <c r="AR629" s="480"/>
      <c r="AS629" s="480"/>
      <c r="AT629" s="478"/>
      <c r="AU629" s="480"/>
      <c r="AV629" s="480"/>
      <c r="AW629" s="708"/>
      <c r="AX629" s="480"/>
      <c r="AY629" s="478"/>
      <c r="AZ629" s="480"/>
      <c r="BA629" s="480"/>
      <c r="BB629" s="480"/>
      <c r="BC629" s="480"/>
      <c r="BD629" s="478"/>
      <c r="BE629" s="478"/>
      <c r="BF629" s="478"/>
      <c r="BG629" s="478"/>
      <c r="BH629" s="473"/>
    </row>
    <row r="630" spans="1:60" s="49" customFormat="1" hidden="1" outlineLevel="1" x14ac:dyDescent="0.25">
      <c r="A630" s="483" t="s">
        <v>147</v>
      </c>
      <c r="B630" s="234"/>
      <c r="C630" s="39">
        <v>1039</v>
      </c>
      <c r="D630" s="39">
        <v>1295</v>
      </c>
      <c r="E630" s="39">
        <v>2294</v>
      </c>
      <c r="F630" s="39">
        <v>2242</v>
      </c>
      <c r="G630" s="484">
        <v>242</v>
      </c>
      <c r="H630" s="484">
        <v>481</v>
      </c>
      <c r="I630" s="484">
        <v>752</v>
      </c>
      <c r="J630" s="484">
        <f>K630</f>
        <v>1140</v>
      </c>
      <c r="K630" s="39">
        <v>1140</v>
      </c>
      <c r="L630" s="484">
        <v>215</v>
      </c>
      <c r="M630" s="484">
        <v>464</v>
      </c>
      <c r="N630" s="484">
        <v>809</v>
      </c>
      <c r="O630" s="484">
        <f>P630</f>
        <v>1184</v>
      </c>
      <c r="P630" s="39">
        <v>1184</v>
      </c>
      <c r="Q630" s="484">
        <v>239</v>
      </c>
      <c r="R630" s="484">
        <v>606</v>
      </c>
      <c r="S630" s="484">
        <v>1002</v>
      </c>
      <c r="T630" s="484">
        <f>U630</f>
        <v>1457</v>
      </c>
      <c r="U630" s="39">
        <v>1457</v>
      </c>
      <c r="V630" s="484">
        <v>627</v>
      </c>
      <c r="W630" s="484">
        <v>1131</v>
      </c>
      <c r="X630" s="484">
        <v>1619</v>
      </c>
      <c r="Y630" s="484">
        <f>Z630</f>
        <v>2180</v>
      </c>
      <c r="Z630" s="39">
        <v>2180</v>
      </c>
      <c r="AA630" s="484">
        <v>609</v>
      </c>
      <c r="AB630" s="191">
        <v>1093</v>
      </c>
      <c r="AC630" s="484">
        <v>1682</v>
      </c>
      <c r="AD630" s="484">
        <f>AE630</f>
        <v>2375</v>
      </c>
      <c r="AE630" s="39">
        <v>2375</v>
      </c>
      <c r="AF630" s="484">
        <v>641</v>
      </c>
      <c r="AG630" s="191">
        <v>1413</v>
      </c>
      <c r="AH630" s="484">
        <v>2368</v>
      </c>
      <c r="AI630" s="484">
        <f>AJ630</f>
        <v>3212</v>
      </c>
      <c r="AJ630" s="39">
        <v>3212</v>
      </c>
      <c r="AK630" s="113"/>
      <c r="AL630" s="113"/>
      <c r="AM630" s="113"/>
      <c r="AN630" s="113"/>
      <c r="AO630" s="104"/>
      <c r="AP630" s="113"/>
      <c r="AQ630" s="113"/>
      <c r="AR630" s="113"/>
      <c r="AS630" s="113"/>
      <c r="AT630" s="104"/>
      <c r="AU630" s="113"/>
      <c r="AV630" s="113"/>
      <c r="AW630" s="699"/>
      <c r="AX630" s="113"/>
      <c r="AY630" s="104"/>
      <c r="AZ630" s="113"/>
      <c r="BA630" s="113"/>
      <c r="BB630" s="113"/>
      <c r="BC630" s="113"/>
      <c r="BD630" s="104"/>
      <c r="BE630" s="104"/>
      <c r="BF630" s="104"/>
      <c r="BG630" s="104"/>
      <c r="BH630" s="484"/>
    </row>
    <row r="631" spans="1:60" s="49" customFormat="1" hidden="1" outlineLevel="1" x14ac:dyDescent="0.25">
      <c r="A631" s="218" t="s">
        <v>148</v>
      </c>
      <c r="B631" s="536"/>
      <c r="C631" s="219">
        <v>143</v>
      </c>
      <c r="D631" s="219">
        <v>238</v>
      </c>
      <c r="E631" s="219">
        <v>429</v>
      </c>
      <c r="F631" s="219">
        <v>641</v>
      </c>
      <c r="G631" s="220">
        <v>176</v>
      </c>
      <c r="H631" s="220">
        <v>359</v>
      </c>
      <c r="I631" s="220">
        <v>623</v>
      </c>
      <c r="J631" s="220">
        <f>K631</f>
        <v>970</v>
      </c>
      <c r="K631" s="219">
        <v>970</v>
      </c>
      <c r="L631" s="220">
        <v>324</v>
      </c>
      <c r="M631" s="220">
        <v>651</v>
      </c>
      <c r="N631" s="220">
        <v>1056</v>
      </c>
      <c r="O631" s="220">
        <f>P631</f>
        <v>1504</v>
      </c>
      <c r="P631" s="219">
        <v>1504</v>
      </c>
      <c r="Q631" s="220">
        <v>638</v>
      </c>
      <c r="R631" s="220">
        <v>1054</v>
      </c>
      <c r="S631" s="220">
        <v>1644</v>
      </c>
      <c r="T631" s="220">
        <f>U631</f>
        <v>2147</v>
      </c>
      <c r="U631" s="219">
        <v>2147</v>
      </c>
      <c r="V631" s="220">
        <v>607</v>
      </c>
      <c r="W631" s="220">
        <v>1172</v>
      </c>
      <c r="X631" s="220">
        <v>1689</v>
      </c>
      <c r="Y631" s="220">
        <f>Z631</f>
        <v>2035</v>
      </c>
      <c r="Z631" s="219">
        <v>2035</v>
      </c>
      <c r="AA631" s="220">
        <v>291</v>
      </c>
      <c r="AB631" s="221">
        <v>579</v>
      </c>
      <c r="AC631" s="220">
        <v>721</v>
      </c>
      <c r="AD631" s="220">
        <f>AE631</f>
        <v>816</v>
      </c>
      <c r="AE631" s="219">
        <v>816</v>
      </c>
      <c r="AF631" s="220">
        <v>147</v>
      </c>
      <c r="AG631" s="221">
        <v>307</v>
      </c>
      <c r="AH631" s="220">
        <v>466</v>
      </c>
      <c r="AI631" s="220">
        <f>AJ631</f>
        <v>671</v>
      </c>
      <c r="AJ631" s="219">
        <v>671</v>
      </c>
      <c r="AK631" s="215"/>
      <c r="AL631" s="215"/>
      <c r="AM631" s="215"/>
      <c r="AN631" s="215"/>
      <c r="AO631" s="230"/>
      <c r="AP631" s="215"/>
      <c r="AQ631" s="215"/>
      <c r="AR631" s="215"/>
      <c r="AS631" s="215"/>
      <c r="AT631" s="230"/>
      <c r="AU631" s="215"/>
      <c r="AV631" s="215"/>
      <c r="AW631" s="774"/>
      <c r="AX631" s="215"/>
      <c r="AY631" s="230"/>
      <c r="AZ631" s="215"/>
      <c r="BA631" s="215"/>
      <c r="BB631" s="215"/>
      <c r="BC631" s="215"/>
      <c r="BD631" s="230"/>
      <c r="BE631" s="230"/>
      <c r="BF631" s="230"/>
      <c r="BG631" s="230"/>
      <c r="BH631" s="484"/>
    </row>
    <row r="632" spans="1:60" s="52" customFormat="1" hidden="1" outlineLevel="1" x14ac:dyDescent="0.25">
      <c r="A632" s="501" t="s">
        <v>149</v>
      </c>
      <c r="B632" s="764"/>
      <c r="C632" s="51">
        <f t="shared" ref="C632:AJ632" si="690">SUM(C630:C631)</f>
        <v>1182</v>
      </c>
      <c r="D632" s="51">
        <f t="shared" si="690"/>
        <v>1533</v>
      </c>
      <c r="E632" s="51">
        <f t="shared" si="690"/>
        <v>2723</v>
      </c>
      <c r="F632" s="51">
        <f t="shared" si="690"/>
        <v>2883</v>
      </c>
      <c r="G632" s="499">
        <f t="shared" si="690"/>
        <v>418</v>
      </c>
      <c r="H632" s="499">
        <f t="shared" si="690"/>
        <v>840</v>
      </c>
      <c r="I632" s="499">
        <f t="shared" si="690"/>
        <v>1375</v>
      </c>
      <c r="J632" s="499">
        <f t="shared" si="690"/>
        <v>2110</v>
      </c>
      <c r="K632" s="51">
        <f t="shared" si="690"/>
        <v>2110</v>
      </c>
      <c r="L632" s="499">
        <f t="shared" si="690"/>
        <v>539</v>
      </c>
      <c r="M632" s="499">
        <f t="shared" si="690"/>
        <v>1115</v>
      </c>
      <c r="N632" s="499">
        <f t="shared" si="690"/>
        <v>1865</v>
      </c>
      <c r="O632" s="499">
        <f t="shared" si="690"/>
        <v>2688</v>
      </c>
      <c r="P632" s="51">
        <f t="shared" si="690"/>
        <v>2688</v>
      </c>
      <c r="Q632" s="499">
        <f t="shared" si="690"/>
        <v>877</v>
      </c>
      <c r="R632" s="499">
        <f t="shared" si="690"/>
        <v>1660</v>
      </c>
      <c r="S632" s="499">
        <f t="shared" si="690"/>
        <v>2646</v>
      </c>
      <c r="T632" s="499">
        <f t="shared" si="690"/>
        <v>3604</v>
      </c>
      <c r="U632" s="51">
        <f t="shared" si="690"/>
        <v>3604</v>
      </c>
      <c r="V632" s="499">
        <f t="shared" si="690"/>
        <v>1234</v>
      </c>
      <c r="W632" s="499">
        <f t="shared" si="690"/>
        <v>2303</v>
      </c>
      <c r="X632" s="499">
        <f t="shared" si="690"/>
        <v>3308</v>
      </c>
      <c r="Y632" s="499">
        <f t="shared" si="690"/>
        <v>4215</v>
      </c>
      <c r="Z632" s="51">
        <f t="shared" si="690"/>
        <v>4215</v>
      </c>
      <c r="AA632" s="499">
        <f t="shared" si="690"/>
        <v>900</v>
      </c>
      <c r="AB632" s="194">
        <f t="shared" si="690"/>
        <v>1672</v>
      </c>
      <c r="AC632" s="499">
        <f t="shared" si="690"/>
        <v>2403</v>
      </c>
      <c r="AD632" s="499">
        <f t="shared" si="690"/>
        <v>3191</v>
      </c>
      <c r="AE632" s="51">
        <f t="shared" si="690"/>
        <v>3191</v>
      </c>
      <c r="AF632" s="499">
        <f t="shared" si="690"/>
        <v>788</v>
      </c>
      <c r="AG632" s="194">
        <f t="shared" si="690"/>
        <v>1720</v>
      </c>
      <c r="AH632" s="499">
        <f t="shared" si="690"/>
        <v>2834</v>
      </c>
      <c r="AI632" s="499">
        <f t="shared" si="690"/>
        <v>3883</v>
      </c>
      <c r="AJ632" s="51">
        <f t="shared" si="690"/>
        <v>3883</v>
      </c>
      <c r="AK632" s="114"/>
      <c r="AL632" s="114"/>
      <c r="AM632" s="114"/>
      <c r="AN632" s="114"/>
      <c r="AO632" s="111"/>
      <c r="AP632" s="114"/>
      <c r="AQ632" s="114"/>
      <c r="AR632" s="114"/>
      <c r="AS632" s="114"/>
      <c r="AT632" s="111"/>
      <c r="AU632" s="114"/>
      <c r="AV632" s="114"/>
      <c r="AW632" s="765"/>
      <c r="AX632" s="114"/>
      <c r="AY632" s="111"/>
      <c r="AZ632" s="114"/>
      <c r="BA632" s="114"/>
      <c r="BB632" s="114"/>
      <c r="BC632" s="114"/>
      <c r="BD632" s="111"/>
      <c r="BE632" s="111"/>
      <c r="BF632" s="111"/>
      <c r="BG632" s="111"/>
      <c r="BH632" s="499"/>
    </row>
    <row r="633" spans="1:60" s="49" customFormat="1" hidden="1" outlineLevel="1" collapsed="1" x14ac:dyDescent="0.25">
      <c r="A633" s="483" t="s">
        <v>150</v>
      </c>
      <c r="B633" s="234"/>
      <c r="C633" s="39">
        <f t="shared" ref="C633:G634" si="691">C630</f>
        <v>1039</v>
      </c>
      <c r="D633" s="39">
        <f t="shared" si="691"/>
        <v>1295</v>
      </c>
      <c r="E633" s="39">
        <f t="shared" si="691"/>
        <v>2294</v>
      </c>
      <c r="F633" s="39">
        <f t="shared" si="691"/>
        <v>2242</v>
      </c>
      <c r="G633" s="484">
        <f t="shared" si="691"/>
        <v>242</v>
      </c>
      <c r="H633" s="484">
        <f t="shared" ref="H633:J634" si="692">H630-G630</f>
        <v>239</v>
      </c>
      <c r="I633" s="484">
        <f t="shared" si="692"/>
        <v>271</v>
      </c>
      <c r="J633" s="484">
        <f t="shared" si="692"/>
        <v>388</v>
      </c>
      <c r="K633" s="39">
        <f>K630</f>
        <v>1140</v>
      </c>
      <c r="L633" s="484">
        <f>L630</f>
        <v>215</v>
      </c>
      <c r="M633" s="484">
        <f t="shared" ref="M633:O634" si="693">M630-L630</f>
        <v>249</v>
      </c>
      <c r="N633" s="484">
        <f t="shared" si="693"/>
        <v>345</v>
      </c>
      <c r="O633" s="484">
        <f t="shared" si="693"/>
        <v>375</v>
      </c>
      <c r="P633" s="39">
        <f>P630</f>
        <v>1184</v>
      </c>
      <c r="Q633" s="484">
        <f>Q630</f>
        <v>239</v>
      </c>
      <c r="R633" s="484">
        <f t="shared" ref="R633:T634" si="694">R630-Q630</f>
        <v>367</v>
      </c>
      <c r="S633" s="484">
        <f t="shared" si="694"/>
        <v>396</v>
      </c>
      <c r="T633" s="484">
        <f t="shared" si="694"/>
        <v>455</v>
      </c>
      <c r="U633" s="39">
        <f>U630</f>
        <v>1457</v>
      </c>
      <c r="V633" s="484">
        <f>V630</f>
        <v>627</v>
      </c>
      <c r="W633" s="484">
        <f t="shared" ref="W633:Y634" si="695">W630-V630</f>
        <v>504</v>
      </c>
      <c r="X633" s="484">
        <f t="shared" si="695"/>
        <v>488</v>
      </c>
      <c r="Y633" s="484">
        <f t="shared" si="695"/>
        <v>561</v>
      </c>
      <c r="Z633" s="39">
        <f>Z630</f>
        <v>2180</v>
      </c>
      <c r="AA633" s="484">
        <f>AA630</f>
        <v>609</v>
      </c>
      <c r="AB633" s="191">
        <f t="shared" ref="AB633:AD634" si="696">AB630-AA630</f>
        <v>484</v>
      </c>
      <c r="AC633" s="484">
        <f t="shared" si="696"/>
        <v>589</v>
      </c>
      <c r="AD633" s="484">
        <f t="shared" si="696"/>
        <v>693</v>
      </c>
      <c r="AE633" s="39">
        <f>AE630</f>
        <v>2375</v>
      </c>
      <c r="AF633" s="484">
        <f>AF630</f>
        <v>641</v>
      </c>
      <c r="AG633" s="191">
        <f t="shared" ref="AG633:AI634" si="697">AG630-AF630</f>
        <v>772</v>
      </c>
      <c r="AH633" s="484">
        <f t="shared" si="697"/>
        <v>955</v>
      </c>
      <c r="AI633" s="484">
        <f t="shared" si="697"/>
        <v>844</v>
      </c>
      <c r="AJ633" s="39">
        <f>AJ630</f>
        <v>3212</v>
      </c>
      <c r="AK633" s="113"/>
      <c r="AL633" s="113"/>
      <c r="AM633" s="113"/>
      <c r="AN633" s="113"/>
      <c r="AO633" s="104"/>
      <c r="AP633" s="113"/>
      <c r="AQ633" s="113"/>
      <c r="AR633" s="113"/>
      <c r="AS633" s="113"/>
      <c r="AT633" s="104"/>
      <c r="AU633" s="113"/>
      <c r="AV633" s="113"/>
      <c r="AW633" s="699"/>
      <c r="AX633" s="113"/>
      <c r="AY633" s="104"/>
      <c r="AZ633" s="113"/>
      <c r="BA633" s="113"/>
      <c r="BB633" s="113"/>
      <c r="BC633" s="113"/>
      <c r="BD633" s="104"/>
      <c r="BE633" s="104"/>
      <c r="BF633" s="104"/>
      <c r="BG633" s="104"/>
      <c r="BH633" s="484"/>
    </row>
    <row r="634" spans="1:60" s="49" customFormat="1" hidden="1" outlineLevel="1" x14ac:dyDescent="0.25">
      <c r="A634" s="218" t="s">
        <v>151</v>
      </c>
      <c r="B634" s="536"/>
      <c r="C634" s="219">
        <f t="shared" si="691"/>
        <v>143</v>
      </c>
      <c r="D634" s="219">
        <f t="shared" si="691"/>
        <v>238</v>
      </c>
      <c r="E634" s="219">
        <f t="shared" si="691"/>
        <v>429</v>
      </c>
      <c r="F634" s="219">
        <f t="shared" si="691"/>
        <v>641</v>
      </c>
      <c r="G634" s="220">
        <f t="shared" si="691"/>
        <v>176</v>
      </c>
      <c r="H634" s="220">
        <f t="shared" si="692"/>
        <v>183</v>
      </c>
      <c r="I634" s="220">
        <f t="shared" si="692"/>
        <v>264</v>
      </c>
      <c r="J634" s="220">
        <f t="shared" si="692"/>
        <v>347</v>
      </c>
      <c r="K634" s="219">
        <f>K631</f>
        <v>970</v>
      </c>
      <c r="L634" s="220">
        <f>L631</f>
        <v>324</v>
      </c>
      <c r="M634" s="220">
        <f t="shared" si="693"/>
        <v>327</v>
      </c>
      <c r="N634" s="220">
        <f t="shared" si="693"/>
        <v>405</v>
      </c>
      <c r="O634" s="220">
        <f t="shared" si="693"/>
        <v>448</v>
      </c>
      <c r="P634" s="219">
        <f>P631</f>
        <v>1504</v>
      </c>
      <c r="Q634" s="220">
        <f>Q631</f>
        <v>638</v>
      </c>
      <c r="R634" s="220">
        <f t="shared" si="694"/>
        <v>416</v>
      </c>
      <c r="S634" s="220">
        <f t="shared" si="694"/>
        <v>590</v>
      </c>
      <c r="T634" s="220">
        <f t="shared" si="694"/>
        <v>503</v>
      </c>
      <c r="U634" s="219">
        <f>U631</f>
        <v>2147</v>
      </c>
      <c r="V634" s="220">
        <f>V631</f>
        <v>607</v>
      </c>
      <c r="W634" s="220">
        <f t="shared" si="695"/>
        <v>565</v>
      </c>
      <c r="X634" s="220">
        <f t="shared" si="695"/>
        <v>517</v>
      </c>
      <c r="Y634" s="220">
        <f t="shared" si="695"/>
        <v>346</v>
      </c>
      <c r="Z634" s="219">
        <f>Z631</f>
        <v>2035</v>
      </c>
      <c r="AA634" s="220">
        <f>AA631</f>
        <v>291</v>
      </c>
      <c r="AB634" s="221">
        <f t="shared" si="696"/>
        <v>288</v>
      </c>
      <c r="AC634" s="220">
        <f t="shared" si="696"/>
        <v>142</v>
      </c>
      <c r="AD634" s="220">
        <f t="shared" si="696"/>
        <v>95</v>
      </c>
      <c r="AE634" s="219">
        <f>AE631</f>
        <v>816</v>
      </c>
      <c r="AF634" s="220">
        <f>AF631</f>
        <v>147</v>
      </c>
      <c r="AG634" s="221">
        <f t="shared" si="697"/>
        <v>160</v>
      </c>
      <c r="AH634" s="220">
        <f t="shared" si="697"/>
        <v>159</v>
      </c>
      <c r="AI634" s="220">
        <f t="shared" si="697"/>
        <v>205</v>
      </c>
      <c r="AJ634" s="219">
        <f>AJ631</f>
        <v>671</v>
      </c>
      <c r="AK634" s="215"/>
      <c r="AL634" s="215"/>
      <c r="AM634" s="215"/>
      <c r="AN634" s="215"/>
      <c r="AO634" s="230"/>
      <c r="AP634" s="215"/>
      <c r="AQ634" s="215"/>
      <c r="AR634" s="215"/>
      <c r="AS634" s="215"/>
      <c r="AT634" s="230"/>
      <c r="AU634" s="215"/>
      <c r="AV634" s="215"/>
      <c r="AW634" s="774"/>
      <c r="AX634" s="215"/>
      <c r="AY634" s="230"/>
      <c r="AZ634" s="215"/>
      <c r="BA634" s="215"/>
      <c r="BB634" s="215"/>
      <c r="BC634" s="215"/>
      <c r="BD634" s="230"/>
      <c r="BE634" s="230"/>
      <c r="BF634" s="230"/>
      <c r="BG634" s="230"/>
      <c r="BH634" s="484"/>
    </row>
    <row r="635" spans="1:60" s="52" customFormat="1" hidden="1" outlineLevel="1" x14ac:dyDescent="0.25">
      <c r="A635" s="501" t="s">
        <v>152</v>
      </c>
      <c r="B635" s="764"/>
      <c r="C635" s="51">
        <f t="shared" ref="C635:AJ635" si="698">SUM(C633:C634)</f>
        <v>1182</v>
      </c>
      <c r="D635" s="51">
        <f t="shared" si="698"/>
        <v>1533</v>
      </c>
      <c r="E635" s="51">
        <f t="shared" si="698"/>
        <v>2723</v>
      </c>
      <c r="F635" s="51">
        <f t="shared" si="698"/>
        <v>2883</v>
      </c>
      <c r="G635" s="499">
        <f t="shared" si="698"/>
        <v>418</v>
      </c>
      <c r="H635" s="499">
        <f t="shared" si="698"/>
        <v>422</v>
      </c>
      <c r="I635" s="499">
        <f t="shared" si="698"/>
        <v>535</v>
      </c>
      <c r="J635" s="499">
        <f t="shared" si="698"/>
        <v>735</v>
      </c>
      <c r="K635" s="51">
        <f t="shared" si="698"/>
        <v>2110</v>
      </c>
      <c r="L635" s="499">
        <f t="shared" si="698"/>
        <v>539</v>
      </c>
      <c r="M635" s="499">
        <f t="shared" si="698"/>
        <v>576</v>
      </c>
      <c r="N635" s="499">
        <f t="shared" si="698"/>
        <v>750</v>
      </c>
      <c r="O635" s="499">
        <f t="shared" si="698"/>
        <v>823</v>
      </c>
      <c r="P635" s="51">
        <f t="shared" si="698"/>
        <v>2688</v>
      </c>
      <c r="Q635" s="499">
        <f t="shared" si="698"/>
        <v>877</v>
      </c>
      <c r="R635" s="499">
        <f t="shared" si="698"/>
        <v>783</v>
      </c>
      <c r="S635" s="499">
        <f t="shared" si="698"/>
        <v>986</v>
      </c>
      <c r="T635" s="499">
        <f t="shared" si="698"/>
        <v>958</v>
      </c>
      <c r="U635" s="51">
        <f t="shared" si="698"/>
        <v>3604</v>
      </c>
      <c r="V635" s="499">
        <f t="shared" si="698"/>
        <v>1234</v>
      </c>
      <c r="W635" s="499">
        <f t="shared" si="698"/>
        <v>1069</v>
      </c>
      <c r="X635" s="499">
        <f t="shared" si="698"/>
        <v>1005</v>
      </c>
      <c r="Y635" s="499">
        <f t="shared" si="698"/>
        <v>907</v>
      </c>
      <c r="Z635" s="51">
        <f t="shared" si="698"/>
        <v>4215</v>
      </c>
      <c r="AA635" s="499">
        <f t="shared" si="698"/>
        <v>900</v>
      </c>
      <c r="AB635" s="194">
        <f t="shared" si="698"/>
        <v>772</v>
      </c>
      <c r="AC635" s="499">
        <f t="shared" si="698"/>
        <v>731</v>
      </c>
      <c r="AD635" s="499">
        <f t="shared" si="698"/>
        <v>788</v>
      </c>
      <c r="AE635" s="51">
        <f t="shared" si="698"/>
        <v>3191</v>
      </c>
      <c r="AF635" s="499">
        <f t="shared" si="698"/>
        <v>788</v>
      </c>
      <c r="AG635" s="194">
        <f t="shared" si="698"/>
        <v>932</v>
      </c>
      <c r="AH635" s="499">
        <f t="shared" si="698"/>
        <v>1114</v>
      </c>
      <c r="AI635" s="499">
        <f t="shared" si="698"/>
        <v>1049</v>
      </c>
      <c r="AJ635" s="51">
        <f t="shared" si="698"/>
        <v>3883</v>
      </c>
      <c r="AK635" s="114"/>
      <c r="AL635" s="114"/>
      <c r="AM635" s="114"/>
      <c r="AN635" s="114"/>
      <c r="AO635" s="111"/>
      <c r="AP635" s="114"/>
      <c r="AQ635" s="114"/>
      <c r="AR635" s="114"/>
      <c r="AS635" s="114"/>
      <c r="AT635" s="111"/>
      <c r="AU635" s="114"/>
      <c r="AV635" s="114"/>
      <c r="AW635" s="765"/>
      <c r="AX635" s="114"/>
      <c r="AY635" s="111"/>
      <c r="AZ635" s="114"/>
      <c r="BA635" s="114"/>
      <c r="BB635" s="114"/>
      <c r="BC635" s="114"/>
      <c r="BD635" s="111"/>
      <c r="BE635" s="111"/>
      <c r="BF635" s="111"/>
      <c r="BG635" s="111"/>
      <c r="BH635" s="499"/>
    </row>
    <row r="636" spans="1:60" s="44" customFormat="1" hidden="1" outlineLevel="1" x14ac:dyDescent="0.25">
      <c r="A636" s="748"/>
      <c r="B636" s="246"/>
      <c r="C636" s="478"/>
      <c r="D636" s="478"/>
      <c r="E636" s="478"/>
      <c r="F636" s="478"/>
      <c r="G636" s="480"/>
      <c r="H636" s="480"/>
      <c r="I636" s="480"/>
      <c r="J636" s="480"/>
      <c r="K636" s="478"/>
      <c r="L636" s="480"/>
      <c r="M636" s="480"/>
      <c r="N636" s="480"/>
      <c r="O636" s="480"/>
      <c r="P636" s="478"/>
      <c r="Q636" s="480"/>
      <c r="R636" s="480"/>
      <c r="S636" s="480"/>
      <c r="T636" s="480"/>
      <c r="U636" s="478"/>
      <c r="V636" s="480"/>
      <c r="W636" s="480"/>
      <c r="X636" s="480"/>
      <c r="Y636" s="480"/>
      <c r="Z636" s="478"/>
      <c r="AA636" s="480"/>
      <c r="AB636" s="480"/>
      <c r="AC636" s="480"/>
      <c r="AD636" s="480"/>
      <c r="AE636" s="478"/>
      <c r="AF636" s="480"/>
      <c r="AG636" s="480"/>
      <c r="AH636" s="480"/>
      <c r="AI636" s="480"/>
      <c r="AJ636" s="478"/>
      <c r="AK636" s="480"/>
      <c r="AL636" s="480"/>
      <c r="AM636" s="480"/>
      <c r="AN636" s="480"/>
      <c r="AO636" s="478"/>
      <c r="AP636" s="480"/>
      <c r="AQ636" s="480"/>
      <c r="AR636" s="480"/>
      <c r="AS636" s="480"/>
      <c r="AT636" s="478"/>
      <c r="AU636" s="480"/>
      <c r="AV636" s="480"/>
      <c r="AW636" s="708"/>
      <c r="AX636" s="480"/>
      <c r="AY636" s="478"/>
      <c r="AZ636" s="480"/>
      <c r="BA636" s="480"/>
      <c r="BB636" s="480"/>
      <c r="BC636" s="480"/>
      <c r="BD636" s="478"/>
      <c r="BE636" s="478"/>
      <c r="BF636" s="478"/>
      <c r="BG636" s="478"/>
      <c r="BH636" s="473"/>
    </row>
    <row r="637" spans="1:60" s="19" customFormat="1" hidden="1" outlineLevel="1" x14ac:dyDescent="0.25">
      <c r="A637" s="956" t="s">
        <v>513</v>
      </c>
      <c r="B637" s="956"/>
      <c r="C637" s="986"/>
      <c r="D637" s="986"/>
      <c r="E637" s="986"/>
      <c r="F637" s="986"/>
      <c r="G637" s="986"/>
      <c r="H637" s="986"/>
      <c r="I637" s="986"/>
      <c r="J637" s="986"/>
      <c r="K637" s="986"/>
      <c r="L637" s="986"/>
      <c r="M637" s="986"/>
      <c r="N637" s="986"/>
      <c r="O637" s="986"/>
      <c r="P637" s="986"/>
      <c r="Q637" s="986"/>
      <c r="R637" s="986"/>
      <c r="S637" s="986"/>
      <c r="T637" s="986"/>
      <c r="U637" s="986"/>
      <c r="V637" s="986"/>
      <c r="W637" s="986"/>
      <c r="X637" s="986"/>
      <c r="Y637" s="986"/>
      <c r="Z637" s="986"/>
      <c r="AA637" s="986"/>
      <c r="AB637" s="986"/>
      <c r="AC637" s="986"/>
      <c r="AD637" s="986"/>
      <c r="AE637" s="986"/>
      <c r="AF637" s="986"/>
      <c r="AG637" s="986"/>
      <c r="AH637" s="986"/>
      <c r="AI637" s="986"/>
      <c r="AJ637" s="986"/>
      <c r="AK637" s="986"/>
      <c r="AL637" s="986"/>
      <c r="AM637" s="986"/>
      <c r="AN637" s="986"/>
      <c r="AO637" s="986"/>
      <c r="AP637" s="986"/>
      <c r="AQ637" s="986"/>
      <c r="AR637" s="986"/>
      <c r="AS637" s="986"/>
      <c r="AT637" s="986"/>
      <c r="AU637" s="986"/>
      <c r="AV637" s="986"/>
      <c r="AW637" s="987"/>
      <c r="AX637" s="986"/>
      <c r="AY637" s="986"/>
      <c r="AZ637" s="986"/>
      <c r="BA637" s="986"/>
      <c r="BB637" s="986"/>
      <c r="BC637" s="986"/>
      <c r="BD637" s="986"/>
      <c r="BE637" s="986"/>
      <c r="BF637" s="986"/>
      <c r="BG637" s="986"/>
      <c r="BH637" s="730"/>
    </row>
    <row r="638" spans="1:60" s="333" customFormat="1" hidden="1" outlineLevel="1" x14ac:dyDescent="0.25">
      <c r="A638" s="334" t="s">
        <v>153</v>
      </c>
      <c r="B638" s="329"/>
      <c r="C638" s="330">
        <v>0.02</v>
      </c>
      <c r="D638" s="330">
        <v>-0.01</v>
      </c>
      <c r="E638" s="330">
        <v>0.01</v>
      </c>
      <c r="F638" s="330">
        <v>0.03</v>
      </c>
      <c r="G638" s="331">
        <v>0.04</v>
      </c>
      <c r="H638" s="331">
        <v>0.08</v>
      </c>
      <c r="I638" s="331">
        <v>0.03</v>
      </c>
      <c r="J638" s="331"/>
      <c r="K638" s="330">
        <v>0.04</v>
      </c>
      <c r="L638" s="331">
        <v>0</v>
      </c>
      <c r="M638" s="331">
        <v>0.03</v>
      </c>
      <c r="N638" s="331">
        <v>0.03</v>
      </c>
      <c r="O638" s="331"/>
      <c r="P638" s="330">
        <v>0.03</v>
      </c>
      <c r="Q638" s="331">
        <v>7.0000000000000007E-2</v>
      </c>
      <c r="R638" s="331">
        <v>0.02</v>
      </c>
      <c r="S638" s="331">
        <v>0.04</v>
      </c>
      <c r="T638" s="331"/>
      <c r="U638" s="330">
        <v>7.0000000000000007E-2</v>
      </c>
      <c r="V638" s="331">
        <v>0.1</v>
      </c>
      <c r="W638" s="331">
        <v>0</v>
      </c>
      <c r="X638" s="331">
        <v>-0.04</v>
      </c>
      <c r="Y638" s="331"/>
      <c r="Z638" s="330">
        <v>-0.01</v>
      </c>
      <c r="AA638" s="331">
        <v>-0.05</v>
      </c>
      <c r="AB638" s="331">
        <v>0.04</v>
      </c>
      <c r="AC638" s="331">
        <v>0.08</v>
      </c>
      <c r="AD638" s="331"/>
      <c r="AE638" s="330">
        <v>0.02</v>
      </c>
      <c r="AF638" s="331">
        <v>0.06</v>
      </c>
      <c r="AG638" s="331">
        <v>0.05</v>
      </c>
      <c r="AH638" s="332">
        <v>0.01</v>
      </c>
      <c r="AI638" s="331"/>
      <c r="AJ638" s="942">
        <v>0.04</v>
      </c>
      <c r="AK638" s="331"/>
      <c r="AL638" s="331"/>
      <c r="AM638" s="331"/>
      <c r="AN638" s="331"/>
      <c r="AO638" s="330"/>
      <c r="AP638" s="331"/>
      <c r="AQ638" s="331"/>
      <c r="AR638" s="331"/>
      <c r="AS638" s="331"/>
      <c r="AT638" s="330"/>
      <c r="AU638" s="331"/>
      <c r="AV638" s="331"/>
      <c r="AW638" s="702"/>
      <c r="AX638" s="331"/>
      <c r="AY638" s="330"/>
      <c r="AZ638" s="331"/>
      <c r="BA638" s="331"/>
      <c r="BB638" s="331"/>
      <c r="BC638" s="331"/>
      <c r="BD638" s="330"/>
      <c r="BE638" s="330"/>
      <c r="BF638" s="330"/>
      <c r="BG638" s="330"/>
      <c r="BH638" s="332"/>
    </row>
    <row r="639" spans="1:60" s="333" customFormat="1" hidden="1" outlineLevel="1" x14ac:dyDescent="0.25">
      <c r="A639" s="334" t="s">
        <v>154</v>
      </c>
      <c r="B639" s="329"/>
      <c r="C639" s="330">
        <v>-0.06</v>
      </c>
      <c r="D639" s="330">
        <v>0.03</v>
      </c>
      <c r="E639" s="330">
        <v>0.08</v>
      </c>
      <c r="F639" s="330">
        <v>7.0000000000000007E-2</v>
      </c>
      <c r="G639" s="331">
        <v>0.06</v>
      </c>
      <c r="H639" s="331">
        <v>0.1</v>
      </c>
      <c r="I639" s="331">
        <v>7.0000000000000007E-2</v>
      </c>
      <c r="J639" s="331"/>
      <c r="K639" s="330">
        <v>0.08</v>
      </c>
      <c r="L639" s="331">
        <v>0.08</v>
      </c>
      <c r="M639" s="331">
        <v>0.04</v>
      </c>
      <c r="N639" s="331">
        <v>0.08</v>
      </c>
      <c r="O639" s="331"/>
      <c r="P639" s="330">
        <v>7.0000000000000007E-2</v>
      </c>
      <c r="Q639" s="331">
        <v>0.04</v>
      </c>
      <c r="R639" s="331">
        <v>7.0000000000000007E-2</v>
      </c>
      <c r="S639" s="331">
        <v>0.02</v>
      </c>
      <c r="T639" s="331"/>
      <c r="U639" s="330">
        <v>0.04</v>
      </c>
      <c r="V639" s="331">
        <v>7.0000000000000007E-2</v>
      </c>
      <c r="W639" s="331">
        <v>0.08</v>
      </c>
      <c r="X639" s="331">
        <v>0.08</v>
      </c>
      <c r="Y639" s="331"/>
      <c r="Z639" s="330">
        <v>7.0000000000000007E-2</v>
      </c>
      <c r="AA639" s="331">
        <v>7.0000000000000007E-2</v>
      </c>
      <c r="AB639" s="331">
        <v>0</v>
      </c>
      <c r="AC639" s="331">
        <v>0.02</v>
      </c>
      <c r="AD639" s="331"/>
      <c r="AE639" s="330">
        <v>0.02</v>
      </c>
      <c r="AF639" s="331">
        <v>7.0000000000000007E-2</v>
      </c>
      <c r="AG639" s="331">
        <v>0.06</v>
      </c>
      <c r="AH639" s="332">
        <v>0.05</v>
      </c>
      <c r="AI639" s="331"/>
      <c r="AJ639" s="942">
        <v>0.06</v>
      </c>
      <c r="AK639" s="331"/>
      <c r="AL639" s="331"/>
      <c r="AM639" s="331"/>
      <c r="AN639" s="331"/>
      <c r="AO639" s="330"/>
      <c r="AP639" s="331"/>
      <c r="AQ639" s="331"/>
      <c r="AR639" s="331"/>
      <c r="AS639" s="331"/>
      <c r="AT639" s="330"/>
      <c r="AU639" s="331"/>
      <c r="AV639" s="331"/>
      <c r="AW639" s="702"/>
      <c r="AX639" s="331"/>
      <c r="AY639" s="330"/>
      <c r="AZ639" s="331"/>
      <c r="BA639" s="331"/>
      <c r="BB639" s="331"/>
      <c r="BC639" s="331"/>
      <c r="BD639" s="330"/>
      <c r="BE639" s="330"/>
      <c r="BF639" s="330"/>
      <c r="BG639" s="330"/>
      <c r="BH639" s="332"/>
    </row>
    <row r="640" spans="1:60" s="312" customFormat="1" hidden="1" outlineLevel="1" x14ac:dyDescent="0.25">
      <c r="A640" s="315"/>
      <c r="B640" s="308"/>
      <c r="C640" s="309"/>
      <c r="D640" s="309"/>
      <c r="E640" s="309"/>
      <c r="F640" s="309"/>
      <c r="G640" s="310"/>
      <c r="H640" s="310"/>
      <c r="I640" s="310"/>
      <c r="J640" s="310"/>
      <c r="K640" s="309"/>
      <c r="L640" s="310"/>
      <c r="M640" s="310"/>
      <c r="N640" s="310"/>
      <c r="O640" s="310"/>
      <c r="P640" s="309"/>
      <c r="Q640" s="310"/>
      <c r="R640" s="310"/>
      <c r="S640" s="310"/>
      <c r="T640" s="310"/>
      <c r="U640" s="309"/>
      <c r="V640" s="310"/>
      <c r="W640" s="310"/>
      <c r="X640" s="310"/>
      <c r="Y640" s="310"/>
      <c r="Z640" s="309"/>
      <c r="AA640" s="310"/>
      <c r="AB640" s="310"/>
      <c r="AC640" s="310"/>
      <c r="AD640" s="310"/>
      <c r="AE640" s="309"/>
      <c r="AF640" s="310"/>
      <c r="AG640" s="310"/>
      <c r="AH640" s="310"/>
      <c r="AI640" s="310"/>
      <c r="AJ640" s="309"/>
      <c r="AK640" s="310"/>
      <c r="AL640" s="310"/>
      <c r="AM640" s="310"/>
      <c r="AN640" s="310"/>
      <c r="AO640" s="309"/>
      <c r="AP640" s="310"/>
      <c r="AQ640" s="310"/>
      <c r="AR640" s="310"/>
      <c r="AS640" s="310"/>
      <c r="AT640" s="309"/>
      <c r="AU640" s="310"/>
      <c r="AV640" s="310"/>
      <c r="AW640" s="695"/>
      <c r="AX640" s="310"/>
      <c r="AY640" s="309"/>
      <c r="AZ640" s="310"/>
      <c r="BA640" s="310"/>
      <c r="BB640" s="310"/>
      <c r="BC640" s="310"/>
      <c r="BD640" s="309"/>
      <c r="BE640" s="309"/>
      <c r="BF640" s="309"/>
      <c r="BG640" s="309"/>
      <c r="BH640" s="311"/>
    </row>
    <row r="641" spans="1:60" s="86" customFormat="1" hidden="1" outlineLevel="1" x14ac:dyDescent="0.25">
      <c r="A641" s="313" t="s">
        <v>155</v>
      </c>
      <c r="B641" s="233"/>
      <c r="C641" s="107">
        <v>0.87</v>
      </c>
      <c r="D641" s="107">
        <v>0.82</v>
      </c>
      <c r="E641" s="107">
        <v>0.82</v>
      </c>
      <c r="F641" s="107">
        <v>0.81</v>
      </c>
      <c r="G641" s="127">
        <v>0.81</v>
      </c>
      <c r="H641" s="127">
        <v>0.8</v>
      </c>
      <c r="I641" s="127">
        <v>0.79</v>
      </c>
      <c r="J641" s="127">
        <f>K641*4-SUM(G641,H641,I641)</f>
        <v>0.75999999999999979</v>
      </c>
      <c r="K641" s="107">
        <v>0.79</v>
      </c>
      <c r="L641" s="127">
        <v>0.81</v>
      </c>
      <c r="M641" s="127">
        <v>0.86</v>
      </c>
      <c r="N641" s="127">
        <v>0.82</v>
      </c>
      <c r="O641" s="127">
        <f>P641*4-SUM(L641,M641,N641)</f>
        <v>0.83000000000000007</v>
      </c>
      <c r="P641" s="107">
        <v>0.83</v>
      </c>
      <c r="Q641" s="127">
        <v>0.89</v>
      </c>
      <c r="R641" s="127">
        <v>0.89</v>
      </c>
      <c r="S641" s="127">
        <v>0.87</v>
      </c>
      <c r="T641" s="127">
        <f>U641*4-SUM(Q641,R641,S641)</f>
        <v>0.83000000000000007</v>
      </c>
      <c r="U641" s="107">
        <v>0.87</v>
      </c>
      <c r="V641" s="127">
        <v>0.92</v>
      </c>
      <c r="W641" s="127">
        <v>0.88</v>
      </c>
      <c r="X641" s="127">
        <v>0.9</v>
      </c>
      <c r="Y641" s="127">
        <f>Z641*4-SUM(V641,W641,X641)</f>
        <v>0.85999999999999988</v>
      </c>
      <c r="Z641" s="107">
        <v>0.89</v>
      </c>
      <c r="AA641" s="127">
        <v>0.91</v>
      </c>
      <c r="AB641" s="127">
        <v>0.88</v>
      </c>
      <c r="AC641" s="127">
        <v>0.88</v>
      </c>
      <c r="AD641" s="127">
        <f>AE641*4-SUM(AA641,AB641,AC641)</f>
        <v>0.85000000000000009</v>
      </c>
      <c r="AE641" s="107">
        <v>0.88</v>
      </c>
      <c r="AF641" s="127">
        <v>0.91</v>
      </c>
      <c r="AG641" s="127">
        <v>0.9</v>
      </c>
      <c r="AH641" s="68">
        <v>0.86</v>
      </c>
      <c r="AI641" s="127">
        <f>AJ641*4-SUM(AF641,AG641,AH641)</f>
        <v>0.85000000000000009</v>
      </c>
      <c r="AJ641" s="933">
        <v>0.88</v>
      </c>
      <c r="AK641" s="127"/>
      <c r="AL641" s="127"/>
      <c r="AM641" s="127"/>
      <c r="AN641" s="127"/>
      <c r="AO641" s="107"/>
      <c r="AP641" s="127"/>
      <c r="AQ641" s="127"/>
      <c r="AR641" s="127"/>
      <c r="AS641" s="127"/>
      <c r="AT641" s="107"/>
      <c r="AU641" s="127"/>
      <c r="AV641" s="127"/>
      <c r="AW641" s="703"/>
      <c r="AX641" s="127"/>
      <c r="AY641" s="107"/>
      <c r="AZ641" s="127"/>
      <c r="BA641" s="127"/>
      <c r="BB641" s="127"/>
      <c r="BC641" s="127"/>
      <c r="BD641" s="107"/>
      <c r="BE641" s="107"/>
      <c r="BF641" s="107"/>
      <c r="BG641" s="107"/>
      <c r="BH641" s="291"/>
    </row>
    <row r="642" spans="1:60" s="49" customFormat="1" hidden="1" outlineLevel="1" x14ac:dyDescent="0.25">
      <c r="A642" s="314" t="s">
        <v>156</v>
      </c>
      <c r="B642" s="234"/>
      <c r="C642" s="104">
        <v>9549</v>
      </c>
      <c r="D642" s="104">
        <v>9629</v>
      </c>
      <c r="E642" s="104">
        <v>9625</v>
      </c>
      <c r="F642" s="104">
        <v>9850</v>
      </c>
      <c r="G642" s="113">
        <v>2623</v>
      </c>
      <c r="H642" s="113">
        <v>2645</v>
      </c>
      <c r="I642" s="113">
        <v>2653</v>
      </c>
      <c r="J642" s="113">
        <f>K642-SUM(G642,H642,I642)</f>
        <v>2637</v>
      </c>
      <c r="K642" s="104">
        <v>10558</v>
      </c>
      <c r="L642" s="113">
        <v>2620</v>
      </c>
      <c r="M642" s="113">
        <v>2625</v>
      </c>
      <c r="N642" s="113">
        <v>2620</v>
      </c>
      <c r="O642" s="113">
        <f>P642-SUM(L642,M642,N642)</f>
        <v>2605</v>
      </c>
      <c r="P642" s="104">
        <v>10470</v>
      </c>
      <c r="Q642" s="113">
        <v>2591</v>
      </c>
      <c r="R642" s="113">
        <v>2596</v>
      </c>
      <c r="S642" s="113">
        <v>2622</v>
      </c>
      <c r="T642" s="113">
        <f>U642-SUM(Q642,R642,S642)</f>
        <v>2835</v>
      </c>
      <c r="U642" s="104">
        <v>10644</v>
      </c>
      <c r="V642" s="113">
        <v>2608</v>
      </c>
      <c r="W642" s="113">
        <v>2584</v>
      </c>
      <c r="X642" s="113">
        <v>2597</v>
      </c>
      <c r="Y642" s="113">
        <f>Z642-SUM(V642,W642,X642)</f>
        <v>2593</v>
      </c>
      <c r="Z642" s="104">
        <v>10382</v>
      </c>
      <c r="AA642" s="113">
        <v>2569</v>
      </c>
      <c r="AB642" s="113">
        <v>2561</v>
      </c>
      <c r="AC642" s="113">
        <v>2533</v>
      </c>
      <c r="AD642" s="113">
        <f>AE642-SUM(AA642,AB642,AC642)</f>
        <v>2542</v>
      </c>
      <c r="AE642" s="104">
        <v>10205</v>
      </c>
      <c r="AF642" s="113">
        <v>2516</v>
      </c>
      <c r="AG642" s="113">
        <v>2509</v>
      </c>
      <c r="AH642" s="484">
        <v>2517</v>
      </c>
      <c r="AI642" s="113">
        <f>AJ642-SUM(AF642,AG642,AH642)</f>
        <v>2503</v>
      </c>
      <c r="AJ642" s="39">
        <v>10045</v>
      </c>
      <c r="AK642" s="113"/>
      <c r="AL642" s="113"/>
      <c r="AM642" s="113"/>
      <c r="AN642" s="113"/>
      <c r="AO642" s="104"/>
      <c r="AP642" s="113"/>
      <c r="AQ642" s="113"/>
      <c r="AR642" s="113"/>
      <c r="AS642" s="113"/>
      <c r="AT642" s="104"/>
      <c r="AU642" s="113"/>
      <c r="AV642" s="113"/>
      <c r="AW642" s="699"/>
      <c r="AX642" s="113"/>
      <c r="AY642" s="104"/>
      <c r="AZ642" s="113"/>
      <c r="BA642" s="113"/>
      <c r="BB642" s="113"/>
      <c r="BC642" s="113"/>
      <c r="BD642" s="104"/>
      <c r="BE642" s="104"/>
      <c r="BF642" s="104"/>
      <c r="BG642" s="104"/>
      <c r="BH642" s="484"/>
    </row>
    <row r="643" spans="1:60" s="312" customFormat="1" hidden="1" outlineLevel="1" x14ac:dyDescent="0.25">
      <c r="A643" s="315" t="s">
        <v>157</v>
      </c>
      <c r="B643" s="308"/>
      <c r="C643" s="309">
        <v>214</v>
      </c>
      <c r="D643" s="309">
        <v>224</v>
      </c>
      <c r="E643" s="309">
        <v>241</v>
      </c>
      <c r="F643" s="309">
        <v>257</v>
      </c>
      <c r="G643" s="310">
        <v>265</v>
      </c>
      <c r="H643" s="310">
        <v>268</v>
      </c>
      <c r="I643" s="310">
        <v>279</v>
      </c>
      <c r="J643" s="310">
        <f>K643*4-SUM(G643,H643,I643)</f>
        <v>256</v>
      </c>
      <c r="K643" s="309">
        <v>267</v>
      </c>
      <c r="L643" s="310">
        <v>278</v>
      </c>
      <c r="M643" s="310">
        <v>275</v>
      </c>
      <c r="N643" s="310">
        <v>298</v>
      </c>
      <c r="O643" s="310">
        <f>P643*4-SUM(L643,M643,N643)</f>
        <v>269</v>
      </c>
      <c r="P643" s="309">
        <v>280</v>
      </c>
      <c r="Q643" s="310">
        <v>288</v>
      </c>
      <c r="R643" s="310">
        <v>292</v>
      </c>
      <c r="S643" s="310">
        <v>310</v>
      </c>
      <c r="T643" s="310">
        <f>U643*4-SUM(Q643,R643,S643)</f>
        <v>290</v>
      </c>
      <c r="U643" s="309">
        <v>295</v>
      </c>
      <c r="V643" s="310">
        <v>314</v>
      </c>
      <c r="W643" s="310">
        <v>308</v>
      </c>
      <c r="X643" s="310">
        <v>306</v>
      </c>
      <c r="Y643" s="310">
        <f>Z643*4-SUM(V643,W643,X643)</f>
        <v>292</v>
      </c>
      <c r="Z643" s="309">
        <v>305</v>
      </c>
      <c r="AA643" s="310">
        <v>324</v>
      </c>
      <c r="AB643" s="310">
        <v>310</v>
      </c>
      <c r="AC643" s="310">
        <v>330</v>
      </c>
      <c r="AD643" s="310">
        <f>AE643*4-SUM(AA643,AB643,AC643)</f>
        <v>304</v>
      </c>
      <c r="AE643" s="309">
        <v>317</v>
      </c>
      <c r="AF643" s="310">
        <v>344</v>
      </c>
      <c r="AG643" s="310">
        <v>347</v>
      </c>
      <c r="AH643" s="311">
        <v>357</v>
      </c>
      <c r="AI643" s="310">
        <f>AJ643*4-SUM(AF643,AG643,AH643)</f>
        <v>332</v>
      </c>
      <c r="AJ643" s="934">
        <v>345</v>
      </c>
      <c r="AK643" s="310"/>
      <c r="AL643" s="310"/>
      <c r="AM643" s="310"/>
      <c r="AN643" s="310"/>
      <c r="AO643" s="309"/>
      <c r="AP643" s="310"/>
      <c r="AQ643" s="310"/>
      <c r="AR643" s="310"/>
      <c r="AS643" s="310"/>
      <c r="AT643" s="309"/>
      <c r="AU643" s="310"/>
      <c r="AV643" s="310"/>
      <c r="AW643" s="695"/>
      <c r="AX643" s="310"/>
      <c r="AY643" s="309"/>
      <c r="AZ643" s="310"/>
      <c r="BA643" s="310"/>
      <c r="BB643" s="310"/>
      <c r="BC643" s="310"/>
      <c r="BD643" s="309"/>
      <c r="BE643" s="309"/>
      <c r="BF643" s="309"/>
      <c r="BG643" s="309"/>
      <c r="BH643" s="311"/>
    </row>
    <row r="644" spans="1:60" s="312" customFormat="1" hidden="1" outlineLevel="1" x14ac:dyDescent="0.25">
      <c r="A644" s="315"/>
      <c r="B644" s="308"/>
      <c r="C644" s="309"/>
      <c r="D644" s="309"/>
      <c r="E644" s="309"/>
      <c r="F644" s="309"/>
      <c r="G644" s="310"/>
      <c r="H644" s="310"/>
      <c r="I644" s="310"/>
      <c r="J644" s="310"/>
      <c r="K644" s="309"/>
      <c r="L644" s="310"/>
      <c r="M644" s="310"/>
      <c r="N644" s="310"/>
      <c r="O644" s="310"/>
      <c r="P644" s="309"/>
      <c r="Q644" s="310"/>
      <c r="R644" s="310"/>
      <c r="S644" s="310"/>
      <c r="T644" s="310"/>
      <c r="U644" s="309"/>
      <c r="V644" s="310"/>
      <c r="W644" s="310"/>
      <c r="X644" s="310"/>
      <c r="Y644" s="310"/>
      <c r="Z644" s="309"/>
      <c r="AA644" s="310"/>
      <c r="AB644" s="310"/>
      <c r="AC644" s="310"/>
      <c r="AD644" s="310"/>
      <c r="AE644" s="309"/>
      <c r="AF644" s="310"/>
      <c r="AG644" s="310"/>
      <c r="AH644" s="310"/>
      <c r="AI644" s="310"/>
      <c r="AJ644" s="309"/>
      <c r="AK644" s="310"/>
      <c r="AL644" s="310"/>
      <c r="AM644" s="310"/>
      <c r="AN644" s="310"/>
      <c r="AO644" s="309"/>
      <c r="AP644" s="310"/>
      <c r="AQ644" s="310"/>
      <c r="AR644" s="310"/>
      <c r="AS644" s="310"/>
      <c r="AT644" s="309"/>
      <c r="AU644" s="310"/>
      <c r="AV644" s="310"/>
      <c r="AW644" s="695"/>
      <c r="AX644" s="310"/>
      <c r="AY644" s="309"/>
      <c r="AZ644" s="310"/>
      <c r="BA644" s="310"/>
      <c r="BB644" s="310"/>
      <c r="BC644" s="310"/>
      <c r="BD644" s="309"/>
      <c r="BE644" s="309"/>
      <c r="BF644" s="309"/>
      <c r="BG644" s="309"/>
      <c r="BH644" s="311"/>
    </row>
    <row r="645" spans="1:60" s="333" customFormat="1" hidden="1" outlineLevel="1" x14ac:dyDescent="0.25">
      <c r="A645" s="334" t="s">
        <v>158</v>
      </c>
      <c r="B645" s="329"/>
      <c r="C645" s="330">
        <v>0.01</v>
      </c>
      <c r="D645" s="330">
        <v>0.01</v>
      </c>
      <c r="E645" s="330">
        <v>0.06</v>
      </c>
      <c r="F645" s="330">
        <v>0.06</v>
      </c>
      <c r="G645" s="331">
        <v>-0.01</v>
      </c>
      <c r="H645" s="331">
        <v>0.06</v>
      </c>
      <c r="I645" s="331">
        <v>-0.02</v>
      </c>
      <c r="J645" s="331"/>
      <c r="K645" s="330">
        <v>-0.02</v>
      </c>
      <c r="L645" s="331">
        <v>-0.02</v>
      </c>
      <c r="M645" s="331">
        <v>0</v>
      </c>
      <c r="N645" s="331">
        <v>-0.04</v>
      </c>
      <c r="O645" s="331"/>
      <c r="P645" s="330">
        <v>-0.03</v>
      </c>
      <c r="Q645" s="331">
        <v>0.04</v>
      </c>
      <c r="R645" s="331">
        <v>-0.02</v>
      </c>
      <c r="S645" s="331">
        <v>-0.01</v>
      </c>
      <c r="T645" s="331"/>
      <c r="U645" s="330">
        <v>0</v>
      </c>
      <c r="V645" s="331">
        <v>-7.0000000000000007E-2</v>
      </c>
      <c r="W645" s="331">
        <v>-7.0000000000000007E-2</v>
      </c>
      <c r="X645" s="331">
        <v>0.01</v>
      </c>
      <c r="Y645" s="331"/>
      <c r="Z645" s="330">
        <v>0.05</v>
      </c>
      <c r="AA645" s="331">
        <v>0.5</v>
      </c>
      <c r="AB645" s="331">
        <v>0.7</v>
      </c>
      <c r="AC645" s="331">
        <v>0.72</v>
      </c>
      <c r="AD645" s="331"/>
      <c r="AE645" s="330">
        <v>0.47</v>
      </c>
      <c r="AF645" s="331">
        <v>0.1</v>
      </c>
      <c r="AG645" s="331">
        <v>0.01</v>
      </c>
      <c r="AH645" s="332">
        <v>0.02</v>
      </c>
      <c r="AI645" s="331"/>
      <c r="AJ645" s="942">
        <v>0.04</v>
      </c>
      <c r="AK645" s="331"/>
      <c r="AL645" s="331"/>
      <c r="AM645" s="331"/>
      <c r="AN645" s="331"/>
      <c r="AO645" s="330"/>
      <c r="AP645" s="331"/>
      <c r="AQ645" s="331"/>
      <c r="AR645" s="331"/>
      <c r="AS645" s="331"/>
      <c r="AT645" s="330"/>
      <c r="AU645" s="331"/>
      <c r="AV645" s="331"/>
      <c r="AW645" s="702"/>
      <c r="AX645" s="331"/>
      <c r="AY645" s="330"/>
      <c r="AZ645" s="331"/>
      <c r="BA645" s="331"/>
      <c r="BB645" s="331"/>
      <c r="BC645" s="331"/>
      <c r="BD645" s="330"/>
      <c r="BE645" s="330"/>
      <c r="BF645" s="330"/>
      <c r="BG645" s="330"/>
      <c r="BH645" s="332"/>
    </row>
    <row r="646" spans="1:60" s="333" customFormat="1" hidden="1" outlineLevel="1" x14ac:dyDescent="0.25">
      <c r="A646" s="334" t="s">
        <v>159</v>
      </c>
      <c r="B646" s="329"/>
      <c r="C646" s="330">
        <v>-0.12</v>
      </c>
      <c r="D646" s="330">
        <v>0.02</v>
      </c>
      <c r="E646" s="330">
        <v>0.02</v>
      </c>
      <c r="F646" s="330">
        <v>0.01</v>
      </c>
      <c r="G646" s="331">
        <v>0.02</v>
      </c>
      <c r="H646" s="331">
        <v>0.06</v>
      </c>
      <c r="I646" s="331">
        <v>0</v>
      </c>
      <c r="J646" s="331"/>
      <c r="K646" s="330">
        <v>0.04</v>
      </c>
      <c r="L646" s="331">
        <v>0.05</v>
      </c>
      <c r="M646" s="331">
        <v>0.05</v>
      </c>
      <c r="N646" s="331">
        <v>0.09</v>
      </c>
      <c r="O646" s="331"/>
      <c r="P646" s="330">
        <v>7.0000000000000007E-2</v>
      </c>
      <c r="Q646" s="331">
        <v>0.05</v>
      </c>
      <c r="R646" s="331">
        <v>0.08</v>
      </c>
      <c r="S646" s="331">
        <v>0.04</v>
      </c>
      <c r="T646" s="331"/>
      <c r="U646" s="330">
        <v>0.05</v>
      </c>
      <c r="V646" s="331">
        <v>0.05</v>
      </c>
      <c r="W646" s="331">
        <v>0.03</v>
      </c>
      <c r="X646" s="331">
        <v>0.04</v>
      </c>
      <c r="Y646" s="331"/>
      <c r="Z646" s="330">
        <v>0.05</v>
      </c>
      <c r="AA646" s="331">
        <v>-0.03</v>
      </c>
      <c r="AB646" s="331">
        <v>0</v>
      </c>
      <c r="AC646" s="331">
        <v>-0.01</v>
      </c>
      <c r="AD646" s="331"/>
      <c r="AE646" s="330">
        <v>-0.01</v>
      </c>
      <c r="AF646" s="331">
        <v>0.09</v>
      </c>
      <c r="AG646" s="331">
        <v>0.1</v>
      </c>
      <c r="AH646" s="332">
        <v>0.04</v>
      </c>
      <c r="AI646" s="331"/>
      <c r="AJ646" s="942">
        <v>0.05</v>
      </c>
      <c r="AK646" s="331"/>
      <c r="AL646" s="331"/>
      <c r="AM646" s="331"/>
      <c r="AN646" s="331"/>
      <c r="AO646" s="330"/>
      <c r="AP646" s="331"/>
      <c r="AQ646" s="331"/>
      <c r="AR646" s="331"/>
      <c r="AS646" s="331"/>
      <c r="AT646" s="330"/>
      <c r="AU646" s="331"/>
      <c r="AV646" s="331"/>
      <c r="AW646" s="702"/>
      <c r="AX646" s="331"/>
      <c r="AY646" s="330"/>
      <c r="AZ646" s="331"/>
      <c r="BA646" s="331"/>
      <c r="BB646" s="331"/>
      <c r="BC646" s="331"/>
      <c r="BD646" s="330"/>
      <c r="BE646" s="330"/>
      <c r="BF646" s="330"/>
      <c r="BG646" s="330"/>
      <c r="BH646" s="332"/>
    </row>
    <row r="647" spans="1:60" s="44" customFormat="1" hidden="1" outlineLevel="1" x14ac:dyDescent="0.25">
      <c r="A647" s="748"/>
      <c r="B647" s="246"/>
      <c r="C647" s="478"/>
      <c r="D647" s="478"/>
      <c r="E647" s="478"/>
      <c r="F647" s="478"/>
      <c r="G647" s="480"/>
      <c r="H647" s="480"/>
      <c r="I647" s="480"/>
      <c r="J647" s="480"/>
      <c r="K647" s="478"/>
      <c r="L647" s="480"/>
      <c r="M647" s="480"/>
      <c r="N647" s="480"/>
      <c r="O647" s="480"/>
      <c r="P647" s="478"/>
      <c r="Q647" s="480"/>
      <c r="R647" s="480"/>
      <c r="S647" s="480"/>
      <c r="T647" s="480"/>
      <c r="U647" s="478"/>
      <c r="V647" s="480"/>
      <c r="W647" s="480"/>
      <c r="X647" s="480"/>
      <c r="Y647" s="480"/>
      <c r="Z647" s="478"/>
      <c r="AA647" s="480"/>
      <c r="AB647" s="480"/>
      <c r="AC647" s="480"/>
      <c r="AD647" s="480"/>
      <c r="AE647" s="478"/>
      <c r="AF647" s="480"/>
      <c r="AG647" s="480"/>
      <c r="AH647" s="480"/>
      <c r="AI647" s="480"/>
      <c r="AJ647" s="478"/>
      <c r="AK647" s="480"/>
      <c r="AL647" s="480"/>
      <c r="AM647" s="480"/>
      <c r="AN647" s="480"/>
      <c r="AO647" s="478"/>
      <c r="AP647" s="480"/>
      <c r="AQ647" s="480"/>
      <c r="AR647" s="480"/>
      <c r="AS647" s="480"/>
      <c r="AT647" s="478"/>
      <c r="AU647" s="480"/>
      <c r="AV647" s="480"/>
      <c r="AW647" s="708"/>
      <c r="AX647" s="480"/>
      <c r="AY647" s="478"/>
      <c r="AZ647" s="480"/>
      <c r="BA647" s="480"/>
      <c r="BB647" s="480"/>
      <c r="BC647" s="480"/>
      <c r="BD647" s="478"/>
      <c r="BE647" s="478"/>
      <c r="BF647" s="478"/>
      <c r="BG647" s="478"/>
      <c r="BH647" s="473"/>
    </row>
    <row r="648" spans="1:60" s="86" customFormat="1" hidden="1" outlineLevel="1" x14ac:dyDescent="0.25">
      <c r="A648" s="316" t="s">
        <v>160</v>
      </c>
      <c r="B648" s="233"/>
      <c r="C648" s="933">
        <v>0.85</v>
      </c>
      <c r="D648" s="933">
        <v>0.85</v>
      </c>
      <c r="E648" s="933">
        <v>0.88</v>
      </c>
      <c r="F648" s="933">
        <v>0.85</v>
      </c>
      <c r="G648" s="68">
        <v>0.84</v>
      </c>
      <c r="H648" s="68">
        <v>0.75</v>
      </c>
      <c r="I648" s="68">
        <v>0.85</v>
      </c>
      <c r="J648" s="68">
        <f>K648*4-SUM(G648,H648,I648)</f>
        <v>0.80000000000000027</v>
      </c>
      <c r="K648" s="933">
        <v>0.81</v>
      </c>
      <c r="L648" s="68">
        <v>0.76</v>
      </c>
      <c r="M648" s="68">
        <v>0.75</v>
      </c>
      <c r="N648" s="68">
        <v>0.83</v>
      </c>
      <c r="O648" s="68">
        <f>P648*4-SUM(L648,M648,N648)</f>
        <v>0.78000000000000025</v>
      </c>
      <c r="P648" s="933">
        <v>0.78</v>
      </c>
      <c r="Q648" s="68">
        <v>0.79</v>
      </c>
      <c r="R648" s="68">
        <v>0.78</v>
      </c>
      <c r="S648" s="68">
        <v>0.81</v>
      </c>
      <c r="T648" s="68">
        <f>U648*4-SUM(Q648,R648,S648)</f>
        <v>0.78000000000000025</v>
      </c>
      <c r="U648" s="933">
        <v>0.79</v>
      </c>
      <c r="V648" s="68">
        <v>0.77</v>
      </c>
      <c r="W648" s="68">
        <v>0.8</v>
      </c>
      <c r="X648" s="68">
        <v>0.81</v>
      </c>
      <c r="Y648" s="68">
        <f>Z648*4-SUM(V648,W648,X648)</f>
        <v>0.74000000000000021</v>
      </c>
      <c r="Z648" s="933">
        <v>0.78</v>
      </c>
      <c r="AA648" s="68">
        <v>0.79</v>
      </c>
      <c r="AB648" s="917">
        <v>0.82</v>
      </c>
      <c r="AC648" s="68">
        <v>0.84</v>
      </c>
      <c r="AD648" s="68">
        <f>AE648*4-SUM(AA648,AB648,AC648)</f>
        <v>0.75000000000000044</v>
      </c>
      <c r="AE648" s="933">
        <v>0.8</v>
      </c>
      <c r="AF648" s="68">
        <v>0.84</v>
      </c>
      <c r="AG648" s="68">
        <v>0.84</v>
      </c>
      <c r="AH648" s="68">
        <v>0.87</v>
      </c>
      <c r="AI648" s="68">
        <f>AJ648*4-SUM(AF648,AG648,AH648)</f>
        <v>0.81</v>
      </c>
      <c r="AJ648" s="933">
        <v>0.84</v>
      </c>
      <c r="AK648" s="127"/>
      <c r="AL648" s="127"/>
      <c r="AM648" s="127"/>
      <c r="AN648" s="127"/>
      <c r="AO648" s="107"/>
      <c r="AP648" s="127"/>
      <c r="AQ648" s="127"/>
      <c r="AR648" s="127"/>
      <c r="AS648" s="127"/>
      <c r="AT648" s="107"/>
      <c r="AU648" s="127"/>
      <c r="AV648" s="127"/>
      <c r="AW648" s="703"/>
      <c r="AX648" s="127"/>
      <c r="AY648" s="107"/>
      <c r="AZ648" s="127"/>
      <c r="BA648" s="127"/>
      <c r="BB648" s="127"/>
      <c r="BC648" s="127"/>
      <c r="BD648" s="107"/>
      <c r="BE648" s="107"/>
      <c r="BF648" s="107"/>
      <c r="BG648" s="107"/>
      <c r="BH648" s="291"/>
    </row>
    <row r="649" spans="1:60" s="49" customFormat="1" hidden="1" outlineLevel="1" x14ac:dyDescent="0.25">
      <c r="A649" s="205" t="s">
        <v>161</v>
      </c>
      <c r="B649" s="234"/>
      <c r="C649" s="39">
        <v>2473</v>
      </c>
      <c r="D649" s="39">
        <v>2466</v>
      </c>
      <c r="E649" s="39">
        <v>2466</v>
      </c>
      <c r="F649" s="39">
        <v>2468</v>
      </c>
      <c r="G649" s="484">
        <v>621</v>
      </c>
      <c r="H649" s="484">
        <v>609</v>
      </c>
      <c r="I649" s="484">
        <v>615</v>
      </c>
      <c r="J649" s="484">
        <f>K649-SUM(G649,H649,I649)</f>
        <v>621</v>
      </c>
      <c r="K649" s="39">
        <v>2466</v>
      </c>
      <c r="L649" s="484">
        <v>621</v>
      </c>
      <c r="M649" s="484">
        <v>609</v>
      </c>
      <c r="N649" s="484">
        <v>615</v>
      </c>
      <c r="O649" s="484">
        <f>P649-SUM(L649,M649,N649)</f>
        <v>621</v>
      </c>
      <c r="P649" s="39">
        <v>2466</v>
      </c>
      <c r="Q649" s="484">
        <v>621</v>
      </c>
      <c r="R649" s="484">
        <v>609</v>
      </c>
      <c r="S649" s="484">
        <v>615</v>
      </c>
      <c r="T649" s="484">
        <f>U649-SUM(Q649,R649,S649)</f>
        <v>628</v>
      </c>
      <c r="U649" s="39">
        <v>2473</v>
      </c>
      <c r="V649" s="484">
        <v>620</v>
      </c>
      <c r="W649" s="484">
        <v>614</v>
      </c>
      <c r="X649" s="484">
        <v>635</v>
      </c>
      <c r="Y649" s="484">
        <f>Z649-SUM(V649,W649,X649)</f>
        <v>731</v>
      </c>
      <c r="Z649" s="39">
        <v>2600</v>
      </c>
      <c r="AA649" s="484">
        <v>731</v>
      </c>
      <c r="AB649" s="191">
        <v>719</v>
      </c>
      <c r="AC649" s="484">
        <v>772</v>
      </c>
      <c r="AD649" s="484">
        <f>AE649-SUM(AA649,AB649,AC649)</f>
        <v>800</v>
      </c>
      <c r="AE649" s="39">
        <v>3022</v>
      </c>
      <c r="AF649" s="484">
        <v>799</v>
      </c>
      <c r="AG649" s="484">
        <v>787</v>
      </c>
      <c r="AH649" s="484">
        <v>793</v>
      </c>
      <c r="AI649" s="484">
        <f>AJ649-SUM(AF649,AG649,AH649)</f>
        <v>800</v>
      </c>
      <c r="AJ649" s="39">
        <v>3179</v>
      </c>
      <c r="AK649" s="113"/>
      <c r="AL649" s="113"/>
      <c r="AM649" s="113"/>
      <c r="AN649" s="113"/>
      <c r="AO649" s="104"/>
      <c r="AP649" s="113"/>
      <c r="AQ649" s="113"/>
      <c r="AR649" s="113"/>
      <c r="AS649" s="113"/>
      <c r="AT649" s="104"/>
      <c r="AU649" s="113"/>
      <c r="AV649" s="113"/>
      <c r="AW649" s="699"/>
      <c r="AX649" s="113"/>
      <c r="AY649" s="104"/>
      <c r="AZ649" s="113"/>
      <c r="BA649" s="113"/>
      <c r="BB649" s="113"/>
      <c r="BC649" s="113"/>
      <c r="BD649" s="104"/>
      <c r="BE649" s="104"/>
      <c r="BF649" s="104"/>
      <c r="BG649" s="104"/>
      <c r="BH649" s="484"/>
    </row>
    <row r="650" spans="1:60" s="312" customFormat="1" hidden="1" outlineLevel="1" x14ac:dyDescent="0.25">
      <c r="A650" s="317" t="s">
        <v>162</v>
      </c>
      <c r="B650" s="308"/>
      <c r="C650" s="934">
        <v>261</v>
      </c>
      <c r="D650" s="934">
        <v>273</v>
      </c>
      <c r="E650" s="934">
        <v>294</v>
      </c>
      <c r="F650" s="934">
        <v>299</v>
      </c>
      <c r="G650" s="311">
        <v>292</v>
      </c>
      <c r="H650" s="311">
        <v>261</v>
      </c>
      <c r="I650" s="311">
        <v>325</v>
      </c>
      <c r="J650" s="311">
        <f>K650*4-SUM(G650,H650,I650)</f>
        <v>370</v>
      </c>
      <c r="K650" s="934">
        <v>312</v>
      </c>
      <c r="L650" s="311">
        <v>330</v>
      </c>
      <c r="M650" s="311">
        <v>267</v>
      </c>
      <c r="N650" s="311">
        <v>343</v>
      </c>
      <c r="O650" s="311">
        <f>P650*4-SUM(L650,M650,N650)</f>
        <v>372</v>
      </c>
      <c r="P650" s="934">
        <v>328</v>
      </c>
      <c r="Q650" s="311">
        <v>319</v>
      </c>
      <c r="R650" s="311">
        <v>235</v>
      </c>
      <c r="S650" s="311">
        <v>351</v>
      </c>
      <c r="T650" s="311">
        <f>U650*4-SUM(Q650,R650,S650)</f>
        <v>435</v>
      </c>
      <c r="U650" s="934">
        <v>335</v>
      </c>
      <c r="V650" s="311">
        <v>311</v>
      </c>
      <c r="W650" s="311">
        <v>226</v>
      </c>
      <c r="X650" s="311">
        <v>281</v>
      </c>
      <c r="Y650" s="311">
        <f>Z650*4-SUM(V650,W650,X650)</f>
        <v>322</v>
      </c>
      <c r="Z650" s="934">
        <v>285</v>
      </c>
      <c r="AA650" s="311">
        <v>289</v>
      </c>
      <c r="AB650" s="928">
        <v>231</v>
      </c>
      <c r="AC650" s="311">
        <v>311</v>
      </c>
      <c r="AD650" s="311">
        <f>AE650*4-SUM(AA650,AB650,AC650)</f>
        <v>337</v>
      </c>
      <c r="AE650" s="934">
        <v>292</v>
      </c>
      <c r="AF650" s="311">
        <v>293</v>
      </c>
      <c r="AG650" s="311">
        <v>252</v>
      </c>
      <c r="AH650" s="311">
        <v>301</v>
      </c>
      <c r="AI650" s="311">
        <f>AJ650*4-SUM(AF650,AG650,AH650)</f>
        <v>342</v>
      </c>
      <c r="AJ650" s="934">
        <v>297</v>
      </c>
      <c r="AK650" s="310"/>
      <c r="AL650" s="310"/>
      <c r="AM650" s="310"/>
      <c r="AN650" s="310"/>
      <c r="AO650" s="309"/>
      <c r="AP650" s="310"/>
      <c r="AQ650" s="310"/>
      <c r="AR650" s="310"/>
      <c r="AS650" s="310"/>
      <c r="AT650" s="309"/>
      <c r="AU650" s="310"/>
      <c r="AV650" s="310"/>
      <c r="AW650" s="695"/>
      <c r="AX650" s="310"/>
      <c r="AY650" s="309"/>
      <c r="AZ650" s="310"/>
      <c r="BA650" s="310"/>
      <c r="BB650" s="310"/>
      <c r="BC650" s="310"/>
      <c r="BD650" s="309"/>
      <c r="BE650" s="309"/>
      <c r="BF650" s="309"/>
      <c r="BG650" s="309"/>
      <c r="BH650" s="311"/>
    </row>
    <row r="651" spans="1:60" s="312" customFormat="1" hidden="1" outlineLevel="1" collapsed="1" x14ac:dyDescent="0.25">
      <c r="A651" s="315"/>
      <c r="B651" s="308"/>
      <c r="C651" s="309"/>
      <c r="D651" s="309"/>
      <c r="E651" s="309"/>
      <c r="F651" s="309"/>
      <c r="G651" s="310"/>
      <c r="H651" s="310"/>
      <c r="I651" s="310"/>
      <c r="J651" s="310"/>
      <c r="K651" s="309"/>
      <c r="L651" s="310"/>
      <c r="M651" s="310"/>
      <c r="N651" s="310"/>
      <c r="O651" s="310"/>
      <c r="P651" s="309"/>
      <c r="Q651" s="310"/>
      <c r="R651" s="310"/>
      <c r="S651" s="310"/>
      <c r="T651" s="310"/>
      <c r="U651" s="309"/>
      <c r="V651" s="310"/>
      <c r="W651" s="310"/>
      <c r="X651" s="310"/>
      <c r="Y651" s="310"/>
      <c r="Z651" s="309"/>
      <c r="AA651" s="310"/>
      <c r="AB651" s="310"/>
      <c r="AC651" s="310"/>
      <c r="AD651" s="310"/>
      <c r="AE651" s="309"/>
      <c r="AF651" s="310"/>
      <c r="AG651" s="310"/>
      <c r="AH651" s="310"/>
      <c r="AI651" s="310"/>
      <c r="AJ651" s="309"/>
      <c r="AK651" s="310"/>
      <c r="AL651" s="310"/>
      <c r="AM651" s="310"/>
      <c r="AN651" s="310"/>
      <c r="AO651" s="309"/>
      <c r="AP651" s="310"/>
      <c r="AQ651" s="310"/>
      <c r="AR651" s="310"/>
      <c r="AS651" s="310"/>
      <c r="AT651" s="309"/>
      <c r="AU651" s="310"/>
      <c r="AV651" s="310"/>
      <c r="AW651" s="695"/>
      <c r="AX651" s="310"/>
      <c r="AY651" s="309"/>
      <c r="AZ651" s="310"/>
      <c r="BA651" s="310"/>
      <c r="BB651" s="310"/>
      <c r="BC651" s="310"/>
      <c r="BD651" s="309"/>
      <c r="BE651" s="309"/>
      <c r="BF651" s="309"/>
      <c r="BG651" s="309"/>
      <c r="BH651" s="311"/>
    </row>
    <row r="652" spans="1:60" s="19" customFormat="1" hidden="1" outlineLevel="1" x14ac:dyDescent="0.25">
      <c r="A652" s="956" t="s">
        <v>163</v>
      </c>
      <c r="B652" s="956"/>
      <c r="C652" s="986"/>
      <c r="D652" s="986"/>
      <c r="E652" s="986"/>
      <c r="F652" s="986"/>
      <c r="G652" s="986"/>
      <c r="H652" s="986"/>
      <c r="I652" s="986"/>
      <c r="J652" s="986"/>
      <c r="K652" s="986"/>
      <c r="L652" s="986"/>
      <c r="M652" s="986"/>
      <c r="N652" s="986"/>
      <c r="O652" s="986"/>
      <c r="P652" s="986"/>
      <c r="Q652" s="986"/>
      <c r="R652" s="986"/>
      <c r="S652" s="986"/>
      <c r="T652" s="986"/>
      <c r="U652" s="986"/>
      <c r="V652" s="986"/>
      <c r="W652" s="986"/>
      <c r="X652" s="986"/>
      <c r="Y652" s="986"/>
      <c r="Z652" s="986"/>
      <c r="AA652" s="986"/>
      <c r="AB652" s="986"/>
      <c r="AC652" s="986"/>
      <c r="AD652" s="986"/>
      <c r="AE652" s="986"/>
      <c r="AF652" s="986"/>
      <c r="AG652" s="986"/>
      <c r="AH652" s="986"/>
      <c r="AI652" s="986"/>
      <c r="AJ652" s="986"/>
      <c r="AK652" s="986"/>
      <c r="AL652" s="986"/>
      <c r="AM652" s="986"/>
      <c r="AN652" s="986"/>
      <c r="AO652" s="986"/>
      <c r="AP652" s="986"/>
      <c r="AQ652" s="986"/>
      <c r="AR652" s="986"/>
      <c r="AS652" s="986"/>
      <c r="AT652" s="986"/>
      <c r="AU652" s="986"/>
      <c r="AV652" s="986"/>
      <c r="AW652" s="987"/>
      <c r="AX652" s="986"/>
      <c r="AY652" s="986"/>
      <c r="AZ652" s="986"/>
      <c r="BA652" s="986"/>
      <c r="BB652" s="986"/>
      <c r="BC652" s="986"/>
      <c r="BD652" s="986"/>
      <c r="BE652" s="986"/>
      <c r="BF652" s="986"/>
      <c r="BG652" s="986"/>
      <c r="BH652" s="730"/>
    </row>
    <row r="653" spans="1:60" s="49" customFormat="1" hidden="1" outlineLevel="1" x14ac:dyDescent="0.25">
      <c r="A653" s="483" t="s">
        <v>83</v>
      </c>
      <c r="B653" s="514"/>
      <c r="C653" s="489">
        <v>1325</v>
      </c>
      <c r="D653" s="489">
        <v>2050</v>
      </c>
      <c r="E653" s="489">
        <v>1733</v>
      </c>
      <c r="F653" s="489">
        <v>1470</v>
      </c>
      <c r="G653" s="490">
        <v>304</v>
      </c>
      <c r="H653" s="490">
        <v>346</v>
      </c>
      <c r="I653" s="490">
        <v>761</v>
      </c>
      <c r="J653" s="490">
        <f>K653-I653-H653-G653</f>
        <v>459</v>
      </c>
      <c r="K653" s="489">
        <v>1870</v>
      </c>
      <c r="L653" s="490">
        <v>626</v>
      </c>
      <c r="M653" s="490">
        <v>467</v>
      </c>
      <c r="N653" s="490">
        <v>753</v>
      </c>
      <c r="O653" s="490">
        <f>P653-N653-M653-L653</f>
        <v>585</v>
      </c>
      <c r="P653" s="489">
        <v>2431</v>
      </c>
      <c r="Q653" s="490">
        <v>336</v>
      </c>
      <c r="R653" s="490">
        <v>434</v>
      </c>
      <c r="S653" s="490">
        <v>1034</v>
      </c>
      <c r="T653" s="490">
        <f>U653-S653-R653-Q653</f>
        <v>517</v>
      </c>
      <c r="U653" s="489">
        <v>2321</v>
      </c>
      <c r="V653" s="490">
        <v>1017</v>
      </c>
      <c r="W653" s="490">
        <v>732</v>
      </c>
      <c r="X653" s="490">
        <v>1510</v>
      </c>
      <c r="Y653" s="490">
        <f>Z653-X653-W653-V653</f>
        <v>413</v>
      </c>
      <c r="Z653" s="489">
        <v>3672</v>
      </c>
      <c r="AA653" s="490">
        <v>961</v>
      </c>
      <c r="AB653" s="497">
        <v>710</v>
      </c>
      <c r="AC653" s="490">
        <v>1044</v>
      </c>
      <c r="AD653" s="490">
        <f>AE653-AC653-AB653-AA653</f>
        <v>188</v>
      </c>
      <c r="AE653" s="489">
        <v>2903</v>
      </c>
      <c r="AF653" s="490">
        <v>1169</v>
      </c>
      <c r="AG653" s="497">
        <v>956</v>
      </c>
      <c r="AH653" s="490">
        <v>1505</v>
      </c>
      <c r="AI653" s="490">
        <f>AJ653-AH653-AG653-AF653</f>
        <v>673</v>
      </c>
      <c r="AJ653" s="489">
        <v>4303</v>
      </c>
      <c r="AK653" s="491"/>
      <c r="AL653" s="491"/>
      <c r="AM653" s="491"/>
      <c r="AN653" s="491"/>
      <c r="AO653" s="492"/>
      <c r="AP653" s="491"/>
      <c r="AQ653" s="491"/>
      <c r="AR653" s="491"/>
      <c r="AS653" s="491"/>
      <c r="AT653" s="492"/>
      <c r="AU653" s="491"/>
      <c r="AV653" s="491"/>
      <c r="AW653" s="692"/>
      <c r="AX653" s="491"/>
      <c r="AY653" s="492"/>
      <c r="AZ653" s="491"/>
      <c r="BA653" s="491"/>
      <c r="BB653" s="491"/>
      <c r="BC653" s="491"/>
      <c r="BD653" s="492"/>
      <c r="BE653" s="492"/>
      <c r="BF653" s="492"/>
      <c r="BG653" s="492"/>
      <c r="BH653" s="484"/>
    </row>
    <row r="654" spans="1:60" s="49" customFormat="1" hidden="1" outlineLevel="1" x14ac:dyDescent="0.25">
      <c r="A654" s="483" t="s">
        <v>84</v>
      </c>
      <c r="B654" s="514"/>
      <c r="C654" s="489">
        <v>2762</v>
      </c>
      <c r="D654" s="489">
        <v>2666</v>
      </c>
      <c r="E654" s="489">
        <v>2435</v>
      </c>
      <c r="F654" s="489">
        <v>2221</v>
      </c>
      <c r="G654" s="490">
        <v>677</v>
      </c>
      <c r="H654" s="490">
        <v>427</v>
      </c>
      <c r="I654" s="490">
        <v>273</v>
      </c>
      <c r="J654" s="490">
        <f>K654-I654-H654-G654</f>
        <v>373</v>
      </c>
      <c r="K654" s="489">
        <v>1750</v>
      </c>
      <c r="L654" s="490">
        <v>616</v>
      </c>
      <c r="M654" s="490">
        <v>624</v>
      </c>
      <c r="N654" s="490">
        <v>398</v>
      </c>
      <c r="O654" s="490">
        <f>P654-N654-M654-L654</f>
        <v>456</v>
      </c>
      <c r="P654" s="489">
        <v>2094</v>
      </c>
      <c r="Q654" s="490">
        <v>678</v>
      </c>
      <c r="R654" s="490">
        <v>457</v>
      </c>
      <c r="S654" s="490">
        <v>282</v>
      </c>
      <c r="T654" s="490">
        <f>U654-S654-R654-Q654</f>
        <v>382</v>
      </c>
      <c r="U654" s="489">
        <v>1799</v>
      </c>
      <c r="V654" s="490">
        <v>722</v>
      </c>
      <c r="W654" s="490">
        <v>396</v>
      </c>
      <c r="X654" s="490">
        <v>610</v>
      </c>
      <c r="Y654" s="490">
        <f>Z654-X654-W654-V654</f>
        <v>380</v>
      </c>
      <c r="Z654" s="489">
        <v>2108</v>
      </c>
      <c r="AA654" s="490">
        <v>547</v>
      </c>
      <c r="AB654" s="497">
        <v>419</v>
      </c>
      <c r="AC654" s="490">
        <v>488</v>
      </c>
      <c r="AD654" s="490">
        <f>AE654-AC654-AB654-AA654</f>
        <v>344</v>
      </c>
      <c r="AE654" s="489">
        <v>1798</v>
      </c>
      <c r="AF654" s="490">
        <v>390</v>
      </c>
      <c r="AG654" s="497">
        <v>494</v>
      </c>
      <c r="AH654" s="490">
        <v>415</v>
      </c>
      <c r="AI654" s="490">
        <f>AJ654-AH654-AG654-AF654</f>
        <v>451</v>
      </c>
      <c r="AJ654" s="489">
        <v>1750</v>
      </c>
      <c r="AK654" s="491"/>
      <c r="AL654" s="491"/>
      <c r="AM654" s="491"/>
      <c r="AN654" s="491"/>
      <c r="AO654" s="492"/>
      <c r="AP654" s="491"/>
      <c r="AQ654" s="491"/>
      <c r="AR654" s="491"/>
      <c r="AS654" s="491"/>
      <c r="AT654" s="492"/>
      <c r="AU654" s="491"/>
      <c r="AV654" s="491"/>
      <c r="AW654" s="692"/>
      <c r="AX654" s="491"/>
      <c r="AY654" s="492"/>
      <c r="AZ654" s="491"/>
      <c r="BA654" s="491"/>
      <c r="BB654" s="491"/>
      <c r="BC654" s="491"/>
      <c r="BD654" s="492"/>
      <c r="BE654" s="492"/>
      <c r="BF654" s="492"/>
      <c r="BG654" s="492"/>
      <c r="BH654" s="484"/>
    </row>
    <row r="655" spans="1:60" s="49" customFormat="1" hidden="1" outlineLevel="1" x14ac:dyDescent="0.25">
      <c r="A655" s="218" t="s">
        <v>46</v>
      </c>
      <c r="B655" s="573"/>
      <c r="C655" s="318">
        <v>2049</v>
      </c>
      <c r="D655" s="318">
        <v>1985</v>
      </c>
      <c r="E655" s="318">
        <v>2183</v>
      </c>
      <c r="F655" s="318">
        <v>2134</v>
      </c>
      <c r="G655" s="319">
        <v>564</v>
      </c>
      <c r="H655" s="319">
        <v>565</v>
      </c>
      <c r="I655" s="319">
        <v>556</v>
      </c>
      <c r="J655" s="319">
        <f>K655-I655-H655-G655</f>
        <v>674</v>
      </c>
      <c r="K655" s="318">
        <v>2359</v>
      </c>
      <c r="L655" s="319">
        <v>651</v>
      </c>
      <c r="M655" s="319">
        <v>709</v>
      </c>
      <c r="N655" s="319">
        <v>656</v>
      </c>
      <c r="O655" s="319">
        <f>P655-N655-M655-L655</f>
        <v>737</v>
      </c>
      <c r="P655" s="318">
        <v>2753</v>
      </c>
      <c r="Q655" s="319">
        <v>844</v>
      </c>
      <c r="R655" s="319">
        <v>794</v>
      </c>
      <c r="S655" s="319">
        <v>724</v>
      </c>
      <c r="T655" s="319">
        <f>U655-S655-R655-Q655</f>
        <v>884</v>
      </c>
      <c r="U655" s="318">
        <v>3246</v>
      </c>
      <c r="V655" s="319">
        <v>982</v>
      </c>
      <c r="W655" s="319">
        <v>934</v>
      </c>
      <c r="X655" s="319">
        <v>727</v>
      </c>
      <c r="Y655" s="319">
        <f>Z655-X655-W655-V655</f>
        <v>1018</v>
      </c>
      <c r="Z655" s="318">
        <v>3661</v>
      </c>
      <c r="AA655" s="319">
        <v>1012</v>
      </c>
      <c r="AB655" s="320">
        <v>905</v>
      </c>
      <c r="AC655" s="319">
        <v>861</v>
      </c>
      <c r="AD655" s="319">
        <f>AE655-AC655-AB655-AA655</f>
        <v>900</v>
      </c>
      <c r="AE655" s="318">
        <v>3678</v>
      </c>
      <c r="AF655" s="319">
        <v>945</v>
      </c>
      <c r="AG655" s="320">
        <v>1004</v>
      </c>
      <c r="AH655" s="319">
        <v>958</v>
      </c>
      <c r="AI655" s="319">
        <f>AJ655-AH655-AG655-AF655</f>
        <v>1027</v>
      </c>
      <c r="AJ655" s="318">
        <v>3934</v>
      </c>
      <c r="AK655" s="321"/>
      <c r="AL655" s="321"/>
      <c r="AM655" s="321"/>
      <c r="AN655" s="321"/>
      <c r="AO655" s="322"/>
      <c r="AP655" s="321"/>
      <c r="AQ655" s="321"/>
      <c r="AR655" s="321"/>
      <c r="AS655" s="321"/>
      <c r="AT655" s="322"/>
      <c r="AU655" s="321"/>
      <c r="AV655" s="321"/>
      <c r="AW655" s="693"/>
      <c r="AX655" s="321"/>
      <c r="AY655" s="322"/>
      <c r="AZ655" s="321"/>
      <c r="BA655" s="321"/>
      <c r="BB655" s="321"/>
      <c r="BC655" s="321"/>
      <c r="BD655" s="322"/>
      <c r="BE655" s="322"/>
      <c r="BF655" s="322"/>
      <c r="BG655" s="322"/>
      <c r="BH655" s="484"/>
    </row>
    <row r="656" spans="1:60" s="52" customFormat="1" hidden="1" outlineLevel="1" x14ac:dyDescent="0.25">
      <c r="A656" s="501" t="s">
        <v>86</v>
      </c>
      <c r="B656" s="264"/>
      <c r="C656" s="502">
        <f t="shared" ref="C656:AJ656" si="699">SUM(C653:C655)</f>
        <v>6136</v>
      </c>
      <c r="D656" s="502">
        <f t="shared" si="699"/>
        <v>6701</v>
      </c>
      <c r="E656" s="502">
        <f t="shared" si="699"/>
        <v>6351</v>
      </c>
      <c r="F656" s="502">
        <f t="shared" si="699"/>
        <v>5825</v>
      </c>
      <c r="G656" s="503">
        <f t="shared" si="699"/>
        <v>1545</v>
      </c>
      <c r="H656" s="503">
        <f t="shared" si="699"/>
        <v>1338</v>
      </c>
      <c r="I656" s="503">
        <f t="shared" si="699"/>
        <v>1590</v>
      </c>
      <c r="J656" s="503">
        <f t="shared" si="699"/>
        <v>1506</v>
      </c>
      <c r="K656" s="502">
        <f t="shared" si="699"/>
        <v>5979</v>
      </c>
      <c r="L656" s="503">
        <f t="shared" si="699"/>
        <v>1893</v>
      </c>
      <c r="M656" s="503">
        <f t="shared" si="699"/>
        <v>1800</v>
      </c>
      <c r="N656" s="503">
        <f t="shared" si="699"/>
        <v>1807</v>
      </c>
      <c r="O656" s="503">
        <f t="shared" si="699"/>
        <v>1778</v>
      </c>
      <c r="P656" s="502">
        <f t="shared" si="699"/>
        <v>7278</v>
      </c>
      <c r="Q656" s="503">
        <f t="shared" si="699"/>
        <v>1858</v>
      </c>
      <c r="R656" s="503">
        <f t="shared" si="699"/>
        <v>1685</v>
      </c>
      <c r="S656" s="503">
        <f t="shared" si="699"/>
        <v>2040</v>
      </c>
      <c r="T656" s="503">
        <f t="shared" si="699"/>
        <v>1783</v>
      </c>
      <c r="U656" s="502">
        <f t="shared" si="699"/>
        <v>7366</v>
      </c>
      <c r="V656" s="503">
        <f t="shared" si="699"/>
        <v>2721</v>
      </c>
      <c r="W656" s="503">
        <f t="shared" si="699"/>
        <v>2062</v>
      </c>
      <c r="X656" s="503">
        <f t="shared" si="699"/>
        <v>2847</v>
      </c>
      <c r="Y656" s="503">
        <f t="shared" si="699"/>
        <v>1811</v>
      </c>
      <c r="Z656" s="502">
        <f t="shared" si="699"/>
        <v>9441</v>
      </c>
      <c r="AA656" s="503">
        <f t="shared" si="699"/>
        <v>2520</v>
      </c>
      <c r="AB656" s="504">
        <f t="shared" si="699"/>
        <v>2034</v>
      </c>
      <c r="AC656" s="503">
        <f t="shared" si="699"/>
        <v>2393</v>
      </c>
      <c r="AD656" s="503">
        <f t="shared" si="699"/>
        <v>1432</v>
      </c>
      <c r="AE656" s="502">
        <f t="shared" si="699"/>
        <v>8379</v>
      </c>
      <c r="AF656" s="503">
        <f t="shared" si="699"/>
        <v>2504</v>
      </c>
      <c r="AG656" s="504">
        <f t="shared" si="699"/>
        <v>2454</v>
      </c>
      <c r="AH656" s="503">
        <f t="shared" si="699"/>
        <v>2878</v>
      </c>
      <c r="AI656" s="503">
        <f t="shared" si="699"/>
        <v>2151</v>
      </c>
      <c r="AJ656" s="502">
        <f t="shared" si="699"/>
        <v>9987</v>
      </c>
      <c r="AK656" s="505"/>
      <c r="AL656" s="505"/>
      <c r="AM656" s="505"/>
      <c r="AN656" s="505"/>
      <c r="AO656" s="506"/>
      <c r="AP656" s="505"/>
      <c r="AQ656" s="505"/>
      <c r="AR656" s="505"/>
      <c r="AS656" s="505"/>
      <c r="AT656" s="506"/>
      <c r="AU656" s="505"/>
      <c r="AV656" s="505"/>
      <c r="AW656" s="694"/>
      <c r="AX656" s="505"/>
      <c r="AY656" s="506"/>
      <c r="AZ656" s="505"/>
      <c r="BA656" s="505"/>
      <c r="BB656" s="505"/>
      <c r="BC656" s="505"/>
      <c r="BD656" s="506"/>
      <c r="BE656" s="506"/>
      <c r="BF656" s="506"/>
      <c r="BG656" s="506"/>
      <c r="BH656" s="499"/>
    </row>
    <row r="657" spans="1:60" s="49" customFormat="1" hidden="1" outlineLevel="1" x14ac:dyDescent="0.25">
      <c r="A657" s="483" t="s">
        <v>34</v>
      </c>
      <c r="B657" s="514"/>
      <c r="C657" s="489">
        <v>-3210</v>
      </c>
      <c r="D657" s="489">
        <v>-3469</v>
      </c>
      <c r="E657" s="489">
        <v>-3253</v>
      </c>
      <c r="F657" s="489">
        <v>-2908</v>
      </c>
      <c r="G657" s="490">
        <v>-717</v>
      </c>
      <c r="H657" s="490">
        <v>-671</v>
      </c>
      <c r="I657" s="490">
        <v>-767</v>
      </c>
      <c r="J657" s="490">
        <f>K657-I657-H657-G657</f>
        <v>-857</v>
      </c>
      <c r="K657" s="489">
        <v>-3012</v>
      </c>
      <c r="L657" s="490">
        <v>-784</v>
      </c>
      <c r="M657" s="490">
        <v>-669</v>
      </c>
      <c r="N657" s="490">
        <v>-824</v>
      </c>
      <c r="O657" s="490">
        <f>P657-N657-M657-L657</f>
        <v>-860</v>
      </c>
      <c r="P657" s="489">
        <v>-3137</v>
      </c>
      <c r="Q657" s="490">
        <v>-758</v>
      </c>
      <c r="R657" s="490">
        <v>-666</v>
      </c>
      <c r="S657" s="490">
        <v>-926</v>
      </c>
      <c r="T657" s="490">
        <f>U657-S657-R657-Q657</f>
        <v>-700</v>
      </c>
      <c r="U657" s="489">
        <v>-3050</v>
      </c>
      <c r="V657" s="490">
        <v>-1064</v>
      </c>
      <c r="W657" s="490">
        <v>-877</v>
      </c>
      <c r="X657" s="490">
        <v>-1259</v>
      </c>
      <c r="Y657" s="490">
        <f>Z657-X657-W657-V657</f>
        <v>-791</v>
      </c>
      <c r="Z657" s="489">
        <v>-3991</v>
      </c>
      <c r="AA657" s="490">
        <v>-1007</v>
      </c>
      <c r="AB657" s="497">
        <v>-864</v>
      </c>
      <c r="AC657" s="490">
        <v>-1099</v>
      </c>
      <c r="AD657" s="490">
        <f>AE657-AC657-AB657-AA657</f>
        <v>-697</v>
      </c>
      <c r="AE657" s="489">
        <v>-3667</v>
      </c>
      <c r="AF657" s="490">
        <v>-996</v>
      </c>
      <c r="AG657" s="497">
        <v>-956</v>
      </c>
      <c r="AH657" s="490">
        <v>-1403</v>
      </c>
      <c r="AI657" s="490">
        <f>AJ657-AH657-AG657-AF657</f>
        <v>-971</v>
      </c>
      <c r="AJ657" s="489">
        <v>-4326</v>
      </c>
      <c r="AK657" s="491"/>
      <c r="AL657" s="491"/>
      <c r="AM657" s="491"/>
      <c r="AN657" s="491"/>
      <c r="AO657" s="492"/>
      <c r="AP657" s="491"/>
      <c r="AQ657" s="491"/>
      <c r="AR657" s="491"/>
      <c r="AS657" s="491"/>
      <c r="AT657" s="492"/>
      <c r="AU657" s="491"/>
      <c r="AV657" s="491"/>
      <c r="AW657" s="692"/>
      <c r="AX657" s="491"/>
      <c r="AY657" s="492"/>
      <c r="AZ657" s="491"/>
      <c r="BA657" s="491"/>
      <c r="BB657" s="491"/>
      <c r="BC657" s="491"/>
      <c r="BD657" s="492"/>
      <c r="BE657" s="492"/>
      <c r="BF657" s="492"/>
      <c r="BG657" s="492"/>
      <c r="BH657" s="484"/>
    </row>
    <row r="658" spans="1:60" s="49" customFormat="1" hidden="1" outlineLevel="1" x14ac:dyDescent="0.25">
      <c r="A658" s="483" t="s">
        <v>35</v>
      </c>
      <c r="B658" s="514"/>
      <c r="C658" s="489">
        <v>-2687</v>
      </c>
      <c r="D658" s="489">
        <v>-2450</v>
      </c>
      <c r="E658" s="489">
        <v>-2348</v>
      </c>
      <c r="F658" s="489">
        <v>-2053</v>
      </c>
      <c r="G658" s="490">
        <v>-570</v>
      </c>
      <c r="H658" s="490">
        <v>-515</v>
      </c>
      <c r="I658" s="490">
        <v>-562</v>
      </c>
      <c r="J658" s="490">
        <f>K658-I658-H658-G658</f>
        <v>-498</v>
      </c>
      <c r="K658" s="489">
        <v>-2145</v>
      </c>
      <c r="L658" s="490">
        <v>-665</v>
      </c>
      <c r="M658" s="490">
        <v>-618</v>
      </c>
      <c r="N658" s="490">
        <v>-541</v>
      </c>
      <c r="O658" s="490">
        <f>P658-N658-M658-L658</f>
        <v>-632</v>
      </c>
      <c r="P658" s="489">
        <v>-2456</v>
      </c>
      <c r="Q658" s="490">
        <v>-521</v>
      </c>
      <c r="R658" s="490">
        <v>-558</v>
      </c>
      <c r="S658" s="490">
        <v>-608</v>
      </c>
      <c r="T658" s="490">
        <f>U658-S658-R658-Q658</f>
        <v>-517</v>
      </c>
      <c r="U658" s="489">
        <v>-2204</v>
      </c>
      <c r="V658" s="490">
        <v>-610</v>
      </c>
      <c r="W658" s="490">
        <v>-613</v>
      </c>
      <c r="X658" s="490">
        <v>-790</v>
      </c>
      <c r="Y658" s="490">
        <f>Z658-X658-W658-V658</f>
        <v>-609</v>
      </c>
      <c r="Z658" s="489">
        <v>-2622</v>
      </c>
      <c r="AA658" s="490">
        <v>-643</v>
      </c>
      <c r="AB658" s="497">
        <v>-487</v>
      </c>
      <c r="AC658" s="490">
        <v>-626</v>
      </c>
      <c r="AD658" s="490">
        <f>AE658-AC658-AB658-AA658</f>
        <v>-486</v>
      </c>
      <c r="AE658" s="489">
        <v>-2242</v>
      </c>
      <c r="AF658" s="490">
        <v>-649</v>
      </c>
      <c r="AG658" s="497">
        <v>-623</v>
      </c>
      <c r="AH658" s="490">
        <v>-736</v>
      </c>
      <c r="AI658" s="490">
        <f>AJ658-AH658-AG658-AF658</f>
        <v>-554</v>
      </c>
      <c r="AJ658" s="489">
        <v>-2562</v>
      </c>
      <c r="AK658" s="491"/>
      <c r="AL658" s="491"/>
      <c r="AM658" s="491"/>
      <c r="AN658" s="491"/>
      <c r="AO658" s="492"/>
      <c r="AP658" s="491"/>
      <c r="AQ658" s="491"/>
      <c r="AR658" s="491"/>
      <c r="AS658" s="491"/>
      <c r="AT658" s="492"/>
      <c r="AU658" s="491"/>
      <c r="AV658" s="491"/>
      <c r="AW658" s="692"/>
      <c r="AX658" s="491"/>
      <c r="AY658" s="492"/>
      <c r="AZ658" s="491"/>
      <c r="BA658" s="491"/>
      <c r="BB658" s="491"/>
      <c r="BC658" s="491"/>
      <c r="BD658" s="492"/>
      <c r="BE658" s="492"/>
      <c r="BF658" s="492"/>
      <c r="BG658" s="492"/>
      <c r="BH658" s="484"/>
    </row>
    <row r="659" spans="1:60" s="49" customFormat="1" hidden="1" outlineLevel="1" x14ac:dyDescent="0.25">
      <c r="A659" s="483" t="s">
        <v>36</v>
      </c>
      <c r="B659" s="514"/>
      <c r="C659" s="489">
        <v>-60</v>
      </c>
      <c r="D659" s="489">
        <v>-89</v>
      </c>
      <c r="E659" s="489">
        <v>-132</v>
      </c>
      <c r="F659" s="489">
        <v>-142</v>
      </c>
      <c r="G659" s="490">
        <v>-24</v>
      </c>
      <c r="H659" s="490">
        <v>-34</v>
      </c>
      <c r="I659" s="490">
        <v>-60</v>
      </c>
      <c r="J659" s="490">
        <f>K659-I659-H659-G659</f>
        <v>-43</v>
      </c>
      <c r="K659" s="489">
        <v>-161</v>
      </c>
      <c r="L659" s="490">
        <v>-35</v>
      </c>
      <c r="M659" s="490">
        <v>-38</v>
      </c>
      <c r="N659" s="490">
        <v>-31</v>
      </c>
      <c r="O659" s="490">
        <f>P659-N659-M659-L659</f>
        <v>-32</v>
      </c>
      <c r="P659" s="489">
        <v>-136</v>
      </c>
      <c r="Q659" s="490">
        <v>-35</v>
      </c>
      <c r="R659" s="490">
        <v>-34</v>
      </c>
      <c r="S659" s="490">
        <v>-34</v>
      </c>
      <c r="T659" s="490">
        <f>U659-S659-R659-Q659</f>
        <v>-36</v>
      </c>
      <c r="U659" s="489">
        <v>-139</v>
      </c>
      <c r="V659" s="490">
        <v>-33</v>
      </c>
      <c r="W659" s="490">
        <v>-30</v>
      </c>
      <c r="X659" s="490">
        <v>-32</v>
      </c>
      <c r="Y659" s="490">
        <f>Z659-X659-W659-V659</f>
        <v>-30</v>
      </c>
      <c r="Z659" s="489">
        <v>-125</v>
      </c>
      <c r="AA659" s="490">
        <v>-28</v>
      </c>
      <c r="AB659" s="497">
        <v>-27</v>
      </c>
      <c r="AC659" s="490">
        <v>-29</v>
      </c>
      <c r="AD659" s="490">
        <f>AE659-AC659-AB659-AA659</f>
        <v>-31</v>
      </c>
      <c r="AE659" s="489">
        <v>-115</v>
      </c>
      <c r="AF659" s="490">
        <v>-30</v>
      </c>
      <c r="AG659" s="497">
        <v>-28</v>
      </c>
      <c r="AH659" s="490">
        <v>-31</v>
      </c>
      <c r="AI659" s="490">
        <f>AJ659-AH659-AG659-AF659</f>
        <v>-30</v>
      </c>
      <c r="AJ659" s="489">
        <v>-119</v>
      </c>
      <c r="AK659" s="491"/>
      <c r="AL659" s="491"/>
      <c r="AM659" s="491"/>
      <c r="AN659" s="491"/>
      <c r="AO659" s="492"/>
      <c r="AP659" s="491"/>
      <c r="AQ659" s="491"/>
      <c r="AR659" s="491"/>
      <c r="AS659" s="491"/>
      <c r="AT659" s="492"/>
      <c r="AU659" s="491"/>
      <c r="AV659" s="491"/>
      <c r="AW659" s="692"/>
      <c r="AX659" s="491"/>
      <c r="AY659" s="492"/>
      <c r="AZ659" s="491"/>
      <c r="BA659" s="491"/>
      <c r="BB659" s="491"/>
      <c r="BC659" s="491"/>
      <c r="BD659" s="492"/>
      <c r="BE659" s="492"/>
      <c r="BF659" s="492"/>
      <c r="BG659" s="492"/>
      <c r="BH659" s="484"/>
    </row>
    <row r="660" spans="1:60" s="49" customFormat="1" hidden="1" outlineLevel="1" x14ac:dyDescent="0.25">
      <c r="A660" s="218" t="s">
        <v>37</v>
      </c>
      <c r="B660" s="573"/>
      <c r="C660" s="318">
        <v>-4</v>
      </c>
      <c r="D660" s="322"/>
      <c r="E660" s="322"/>
      <c r="F660" s="322"/>
      <c r="G660" s="321"/>
      <c r="H660" s="321"/>
      <c r="I660" s="321"/>
      <c r="J660" s="321"/>
      <c r="K660" s="322"/>
      <c r="L660" s="321"/>
      <c r="M660" s="321"/>
      <c r="N660" s="321"/>
      <c r="O660" s="321"/>
      <c r="P660" s="322"/>
      <c r="Q660" s="321"/>
      <c r="R660" s="321"/>
      <c r="S660" s="321"/>
      <c r="T660" s="321"/>
      <c r="U660" s="322"/>
      <c r="V660" s="321"/>
      <c r="W660" s="321"/>
      <c r="X660" s="321"/>
      <c r="Y660" s="321"/>
      <c r="Z660" s="322"/>
      <c r="AA660" s="321"/>
      <c r="AB660" s="321"/>
      <c r="AC660" s="321"/>
      <c r="AD660" s="321"/>
      <c r="AE660" s="322"/>
      <c r="AF660" s="321"/>
      <c r="AG660" s="321"/>
      <c r="AH660" s="321"/>
      <c r="AI660" s="321"/>
      <c r="AJ660" s="322"/>
      <c r="AK660" s="321"/>
      <c r="AL660" s="321"/>
      <c r="AM660" s="321"/>
      <c r="AN660" s="321"/>
      <c r="AO660" s="322"/>
      <c r="AP660" s="321"/>
      <c r="AQ660" s="321"/>
      <c r="AR660" s="321"/>
      <c r="AS660" s="321"/>
      <c r="AT660" s="322"/>
      <c r="AU660" s="321"/>
      <c r="AV660" s="321"/>
      <c r="AW660" s="693"/>
      <c r="AX660" s="321"/>
      <c r="AY660" s="322"/>
      <c r="AZ660" s="321"/>
      <c r="BA660" s="321"/>
      <c r="BB660" s="321"/>
      <c r="BC660" s="321"/>
      <c r="BD660" s="322"/>
      <c r="BE660" s="322"/>
      <c r="BF660" s="322"/>
      <c r="BG660" s="322"/>
      <c r="BH660" s="484"/>
    </row>
    <row r="661" spans="1:60" s="52" customFormat="1" hidden="1" outlineLevel="1" x14ac:dyDescent="0.25">
      <c r="A661" s="501" t="s">
        <v>87</v>
      </c>
      <c r="B661" s="264"/>
      <c r="C661" s="502">
        <f t="shared" ref="C661:AJ661" si="700">SUM(C656:C660)</f>
        <v>175</v>
      </c>
      <c r="D661" s="502">
        <f t="shared" si="700"/>
        <v>693</v>
      </c>
      <c r="E661" s="502">
        <f t="shared" si="700"/>
        <v>618</v>
      </c>
      <c r="F661" s="502">
        <f t="shared" si="700"/>
        <v>722</v>
      </c>
      <c r="G661" s="503">
        <f t="shared" si="700"/>
        <v>234</v>
      </c>
      <c r="H661" s="503">
        <f t="shared" si="700"/>
        <v>118</v>
      </c>
      <c r="I661" s="503">
        <f t="shared" si="700"/>
        <v>201</v>
      </c>
      <c r="J661" s="503">
        <f t="shared" si="700"/>
        <v>108</v>
      </c>
      <c r="K661" s="502">
        <f t="shared" si="700"/>
        <v>661</v>
      </c>
      <c r="L661" s="503">
        <f t="shared" si="700"/>
        <v>409</v>
      </c>
      <c r="M661" s="503">
        <f t="shared" si="700"/>
        <v>475</v>
      </c>
      <c r="N661" s="503">
        <f t="shared" si="700"/>
        <v>411</v>
      </c>
      <c r="O661" s="503">
        <f t="shared" si="700"/>
        <v>254</v>
      </c>
      <c r="P661" s="502">
        <f t="shared" si="700"/>
        <v>1549</v>
      </c>
      <c r="Q661" s="503">
        <f t="shared" si="700"/>
        <v>544</v>
      </c>
      <c r="R661" s="503">
        <f t="shared" si="700"/>
        <v>427</v>
      </c>
      <c r="S661" s="503">
        <f t="shared" si="700"/>
        <v>472</v>
      </c>
      <c r="T661" s="503">
        <f t="shared" si="700"/>
        <v>530</v>
      </c>
      <c r="U661" s="502">
        <f t="shared" si="700"/>
        <v>1973</v>
      </c>
      <c r="V661" s="503">
        <f t="shared" si="700"/>
        <v>1014</v>
      </c>
      <c r="W661" s="503">
        <f t="shared" si="700"/>
        <v>542</v>
      </c>
      <c r="X661" s="503">
        <f t="shared" si="700"/>
        <v>766</v>
      </c>
      <c r="Y661" s="503">
        <f t="shared" si="700"/>
        <v>381</v>
      </c>
      <c r="Z661" s="502">
        <f t="shared" si="700"/>
        <v>2703</v>
      </c>
      <c r="AA661" s="503">
        <f t="shared" si="700"/>
        <v>842</v>
      </c>
      <c r="AB661" s="504">
        <f t="shared" si="700"/>
        <v>656</v>
      </c>
      <c r="AC661" s="503">
        <f t="shared" si="700"/>
        <v>639</v>
      </c>
      <c r="AD661" s="503">
        <f t="shared" si="700"/>
        <v>218</v>
      </c>
      <c r="AE661" s="502">
        <f t="shared" si="700"/>
        <v>2355</v>
      </c>
      <c r="AF661" s="503">
        <f t="shared" si="700"/>
        <v>829</v>
      </c>
      <c r="AG661" s="504">
        <f t="shared" si="700"/>
        <v>847</v>
      </c>
      <c r="AH661" s="503">
        <f t="shared" si="700"/>
        <v>708</v>
      </c>
      <c r="AI661" s="503">
        <f t="shared" si="700"/>
        <v>596</v>
      </c>
      <c r="AJ661" s="502">
        <f t="shared" si="700"/>
        <v>2980</v>
      </c>
      <c r="AK661" s="505"/>
      <c r="AL661" s="505"/>
      <c r="AM661" s="505"/>
      <c r="AN661" s="505"/>
      <c r="AO661" s="506"/>
      <c r="AP661" s="505"/>
      <c r="AQ661" s="505"/>
      <c r="AR661" s="505"/>
      <c r="AS661" s="505"/>
      <c r="AT661" s="506"/>
      <c r="AU661" s="505"/>
      <c r="AV661" s="505"/>
      <c r="AW661" s="694"/>
      <c r="AX661" s="505"/>
      <c r="AY661" s="506"/>
      <c r="AZ661" s="505"/>
      <c r="BA661" s="505"/>
      <c r="BB661" s="505"/>
      <c r="BC661" s="505"/>
      <c r="BD661" s="506"/>
      <c r="BE661" s="506"/>
      <c r="BF661" s="506"/>
      <c r="BG661" s="506"/>
      <c r="BH661" s="499"/>
    </row>
    <row r="662" spans="1:60" s="52" customFormat="1" hidden="1" outlineLevel="1" x14ac:dyDescent="0.25">
      <c r="A662" s="635"/>
      <c r="B662" s="264"/>
      <c r="C662" s="506"/>
      <c r="D662" s="506"/>
      <c r="E662" s="506"/>
      <c r="F662" s="506"/>
      <c r="G662" s="505"/>
      <c r="H662" s="505"/>
      <c r="I662" s="505"/>
      <c r="J662" s="505"/>
      <c r="K662" s="506"/>
      <c r="L662" s="505"/>
      <c r="M662" s="505"/>
      <c r="N662" s="505"/>
      <c r="O662" s="505"/>
      <c r="P662" s="506"/>
      <c r="Q662" s="505"/>
      <c r="R662" s="505"/>
      <c r="S662" s="505"/>
      <c r="T662" s="505"/>
      <c r="U662" s="506"/>
      <c r="V662" s="505"/>
      <c r="W662" s="505"/>
      <c r="X662" s="505"/>
      <c r="Y662" s="505"/>
      <c r="Z662" s="506"/>
      <c r="AA662" s="505"/>
      <c r="AB662" s="505"/>
      <c r="AC662" s="505"/>
      <c r="AD662" s="505"/>
      <c r="AE662" s="506"/>
      <c r="AF662" s="505"/>
      <c r="AG662" s="505"/>
      <c r="AH662" s="505"/>
      <c r="AI662" s="505"/>
      <c r="AJ662" s="506"/>
      <c r="AK662" s="505"/>
      <c r="AL662" s="505"/>
      <c r="AM662" s="505"/>
      <c r="AN662" s="505"/>
      <c r="AO662" s="506"/>
      <c r="AP662" s="505"/>
      <c r="AQ662" s="505"/>
      <c r="AR662" s="505"/>
      <c r="AS662" s="505"/>
      <c r="AT662" s="506"/>
      <c r="AU662" s="505"/>
      <c r="AV662" s="505"/>
      <c r="AW662" s="694"/>
      <c r="AX662" s="505"/>
      <c r="AY662" s="506"/>
      <c r="AZ662" s="505"/>
      <c r="BA662" s="505"/>
      <c r="BB662" s="505"/>
      <c r="BC662" s="505"/>
      <c r="BD662" s="506"/>
      <c r="BE662" s="506"/>
      <c r="BF662" s="506"/>
      <c r="BG662" s="506"/>
      <c r="BH662" s="499"/>
    </row>
    <row r="663" spans="1:60" s="52" customFormat="1" hidden="1" outlineLevel="1" x14ac:dyDescent="0.25">
      <c r="A663" s="168" t="s">
        <v>88</v>
      </c>
      <c r="B663" s="655"/>
      <c r="C663" s="339">
        <f t="shared" ref="C663:AJ663" si="701">C657/-C656</f>
        <v>0.52314211212516293</v>
      </c>
      <c r="D663" s="339">
        <f t="shared" si="701"/>
        <v>0.51768392777197436</v>
      </c>
      <c r="E663" s="339">
        <f t="shared" si="701"/>
        <v>0.51220280270823493</v>
      </c>
      <c r="F663" s="339">
        <f t="shared" si="701"/>
        <v>0.49922746781115879</v>
      </c>
      <c r="G663" s="340">
        <f t="shared" si="701"/>
        <v>0.4640776699029126</v>
      </c>
      <c r="H663" s="340">
        <f t="shared" si="701"/>
        <v>0.50149476831091178</v>
      </c>
      <c r="I663" s="340">
        <f t="shared" si="701"/>
        <v>0.48238993710691824</v>
      </c>
      <c r="J663" s="340">
        <f t="shared" si="701"/>
        <v>0.56905710491367867</v>
      </c>
      <c r="K663" s="339">
        <f t="shared" si="701"/>
        <v>0.50376317109884594</v>
      </c>
      <c r="L663" s="340">
        <f t="shared" si="701"/>
        <v>0.41415742208135237</v>
      </c>
      <c r="M663" s="340">
        <f t="shared" si="701"/>
        <v>0.37166666666666665</v>
      </c>
      <c r="N663" s="340">
        <f t="shared" si="701"/>
        <v>0.45600442722744883</v>
      </c>
      <c r="O663" s="340">
        <f t="shared" si="701"/>
        <v>0.48368953880764903</v>
      </c>
      <c r="P663" s="339">
        <f t="shared" si="701"/>
        <v>0.43102500687001921</v>
      </c>
      <c r="Q663" s="340">
        <f t="shared" si="701"/>
        <v>0.40796555435952636</v>
      </c>
      <c r="R663" s="340">
        <f t="shared" si="701"/>
        <v>0.39525222551928785</v>
      </c>
      <c r="S663" s="340">
        <f t="shared" si="701"/>
        <v>0.45392156862745098</v>
      </c>
      <c r="T663" s="340">
        <f t="shared" si="701"/>
        <v>0.39259674705552439</v>
      </c>
      <c r="U663" s="339">
        <f t="shared" si="701"/>
        <v>0.41406462123269072</v>
      </c>
      <c r="V663" s="340">
        <f t="shared" si="701"/>
        <v>0.3910327085630283</v>
      </c>
      <c r="W663" s="340">
        <f t="shared" si="701"/>
        <v>0.42531522793404464</v>
      </c>
      <c r="X663" s="340">
        <f t="shared" si="701"/>
        <v>0.44221988057604494</v>
      </c>
      <c r="Y663" s="340">
        <f t="shared" si="701"/>
        <v>0.43677526228602981</v>
      </c>
      <c r="Z663" s="339">
        <f t="shared" si="701"/>
        <v>0.4227306429403665</v>
      </c>
      <c r="AA663" s="340">
        <f t="shared" si="701"/>
        <v>0.39960317460317463</v>
      </c>
      <c r="AB663" s="341">
        <f t="shared" si="701"/>
        <v>0.4247787610619469</v>
      </c>
      <c r="AC663" s="340">
        <f t="shared" si="701"/>
        <v>0.45925616381111578</v>
      </c>
      <c r="AD663" s="340">
        <f t="shared" si="701"/>
        <v>0.48673184357541899</v>
      </c>
      <c r="AE663" s="339">
        <f t="shared" si="701"/>
        <v>0.43764172335600909</v>
      </c>
      <c r="AF663" s="340">
        <f t="shared" si="701"/>
        <v>0.39776357827476039</v>
      </c>
      <c r="AG663" s="341">
        <f t="shared" si="701"/>
        <v>0.38956805215973922</v>
      </c>
      <c r="AH663" s="340">
        <f t="shared" si="701"/>
        <v>0.48749131341209173</v>
      </c>
      <c r="AI663" s="340">
        <f t="shared" si="701"/>
        <v>0.45141794514179451</v>
      </c>
      <c r="AJ663" s="339">
        <f t="shared" si="701"/>
        <v>0.43316311204565938</v>
      </c>
      <c r="AK663" s="634"/>
      <c r="AL663" s="634"/>
      <c r="AM663" s="634"/>
      <c r="AN663" s="634"/>
      <c r="AO663" s="183"/>
      <c r="AP663" s="634"/>
      <c r="AQ663" s="634"/>
      <c r="AR663" s="634"/>
      <c r="AS663" s="634"/>
      <c r="AT663" s="183"/>
      <c r="AU663" s="634"/>
      <c r="AV663" s="634"/>
      <c r="AW663" s="691"/>
      <c r="AX663" s="634"/>
      <c r="AY663" s="183"/>
      <c r="AZ663" s="634"/>
      <c r="BA663" s="634"/>
      <c r="BB663" s="634"/>
      <c r="BC663" s="634"/>
      <c r="BD663" s="183"/>
      <c r="BE663" s="183"/>
      <c r="BF663" s="183"/>
      <c r="BG663" s="183"/>
      <c r="BH663" s="499"/>
    </row>
    <row r="664" spans="1:60" s="52" customFormat="1" hidden="1" outlineLevel="1" x14ac:dyDescent="0.25">
      <c r="A664" s="344" t="s">
        <v>89</v>
      </c>
      <c r="B664" s="749"/>
      <c r="C664" s="345">
        <f t="shared" ref="C664:AJ664" si="702">C658/-C656</f>
        <v>0.43790743155149936</v>
      </c>
      <c r="D664" s="345">
        <f t="shared" si="702"/>
        <v>0.36561707207879424</v>
      </c>
      <c r="E664" s="345">
        <f t="shared" si="702"/>
        <v>0.36970555817981421</v>
      </c>
      <c r="F664" s="345">
        <f t="shared" si="702"/>
        <v>0.35244635193133045</v>
      </c>
      <c r="G664" s="346">
        <f t="shared" si="702"/>
        <v>0.36893203883495146</v>
      </c>
      <c r="H664" s="346">
        <f t="shared" si="702"/>
        <v>0.38490284005979075</v>
      </c>
      <c r="I664" s="346">
        <f t="shared" si="702"/>
        <v>0.35345911949685532</v>
      </c>
      <c r="J664" s="346">
        <f t="shared" si="702"/>
        <v>0.33067729083665337</v>
      </c>
      <c r="K664" s="345">
        <f t="shared" si="702"/>
        <v>0.35875564475664828</v>
      </c>
      <c r="L664" s="346">
        <f t="shared" si="702"/>
        <v>0.35129424194400422</v>
      </c>
      <c r="M664" s="346">
        <f t="shared" si="702"/>
        <v>0.34333333333333332</v>
      </c>
      <c r="N664" s="346">
        <f t="shared" si="702"/>
        <v>0.2993912562257886</v>
      </c>
      <c r="O664" s="346">
        <f t="shared" si="702"/>
        <v>0.35545556805399325</v>
      </c>
      <c r="P664" s="345">
        <f t="shared" si="702"/>
        <v>0.33745534487496565</v>
      </c>
      <c r="Q664" s="346">
        <f t="shared" si="702"/>
        <v>0.28040904198062433</v>
      </c>
      <c r="R664" s="346">
        <f t="shared" si="702"/>
        <v>0.3311572700296736</v>
      </c>
      <c r="S664" s="346">
        <f t="shared" si="702"/>
        <v>0.29803921568627451</v>
      </c>
      <c r="T664" s="346">
        <f t="shared" si="702"/>
        <v>0.28996074032529445</v>
      </c>
      <c r="U664" s="345">
        <f t="shared" si="702"/>
        <v>0.29921259842519687</v>
      </c>
      <c r="V664" s="346">
        <f t="shared" si="702"/>
        <v>0.22418228592429254</v>
      </c>
      <c r="W664" s="346">
        <f t="shared" si="702"/>
        <v>0.29728419010669255</v>
      </c>
      <c r="X664" s="346">
        <f t="shared" si="702"/>
        <v>0.27748507200561995</v>
      </c>
      <c r="Y664" s="346">
        <f t="shared" si="702"/>
        <v>0.33627829928216457</v>
      </c>
      <c r="Z664" s="345">
        <f t="shared" si="702"/>
        <v>0.27772481728630444</v>
      </c>
      <c r="AA664" s="346">
        <f t="shared" si="702"/>
        <v>0.25515873015873014</v>
      </c>
      <c r="AB664" s="347">
        <f t="shared" si="702"/>
        <v>0.23942969518190757</v>
      </c>
      <c r="AC664" s="346">
        <f t="shared" si="702"/>
        <v>0.26159632260760551</v>
      </c>
      <c r="AD664" s="346">
        <f t="shared" si="702"/>
        <v>0.33938547486033521</v>
      </c>
      <c r="AE664" s="345">
        <f t="shared" si="702"/>
        <v>0.26757369614512472</v>
      </c>
      <c r="AF664" s="346">
        <f t="shared" si="702"/>
        <v>0.25918530351437702</v>
      </c>
      <c r="AG664" s="347">
        <f t="shared" si="702"/>
        <v>0.25387123064384676</v>
      </c>
      <c r="AH664" s="346">
        <f t="shared" si="702"/>
        <v>0.25573314801945796</v>
      </c>
      <c r="AI664" s="346">
        <f t="shared" si="702"/>
        <v>0.25755462575546256</v>
      </c>
      <c r="AJ664" s="345">
        <f t="shared" si="702"/>
        <v>0.2565334935416041</v>
      </c>
      <c r="AK664" s="738"/>
      <c r="AL664" s="738"/>
      <c r="AM664" s="738"/>
      <c r="AN664" s="738"/>
      <c r="AO664" s="348"/>
      <c r="AP664" s="738"/>
      <c r="AQ664" s="738"/>
      <c r="AR664" s="738"/>
      <c r="AS664" s="738"/>
      <c r="AT664" s="348"/>
      <c r="AU664" s="738"/>
      <c r="AV664" s="738"/>
      <c r="AW664" s="760"/>
      <c r="AX664" s="738"/>
      <c r="AY664" s="348"/>
      <c r="AZ664" s="738"/>
      <c r="BA664" s="738"/>
      <c r="BB664" s="738"/>
      <c r="BC664" s="738"/>
      <c r="BD664" s="348"/>
      <c r="BE664" s="348"/>
      <c r="BF664" s="348"/>
      <c r="BG664" s="348"/>
      <c r="BH664" s="499"/>
    </row>
    <row r="665" spans="1:60" s="52" customFormat="1" hidden="1" outlineLevel="1" x14ac:dyDescent="0.25">
      <c r="A665" s="349" t="s">
        <v>90</v>
      </c>
      <c r="B665" s="750"/>
      <c r="C665" s="350">
        <f t="shared" ref="C665:AJ665" si="703">C661/C656</f>
        <v>2.8520208604954366E-2</v>
      </c>
      <c r="D665" s="350">
        <f t="shared" si="703"/>
        <v>0.10341740038800179</v>
      </c>
      <c r="E665" s="350">
        <f t="shared" si="703"/>
        <v>9.7307510628247523E-2</v>
      </c>
      <c r="F665" s="350">
        <f t="shared" si="703"/>
        <v>0.12394849785407726</v>
      </c>
      <c r="G665" s="351">
        <f t="shared" si="703"/>
        <v>0.15145631067961166</v>
      </c>
      <c r="H665" s="351">
        <f t="shared" si="703"/>
        <v>8.8191330343796712E-2</v>
      </c>
      <c r="I665" s="351">
        <f t="shared" si="703"/>
        <v>0.12641509433962264</v>
      </c>
      <c r="J665" s="351">
        <f t="shared" si="703"/>
        <v>7.1713147410358571E-2</v>
      </c>
      <c r="K665" s="350">
        <f t="shared" si="703"/>
        <v>0.11055360428165245</v>
      </c>
      <c r="L665" s="351">
        <f t="shared" si="703"/>
        <v>0.21605916534601163</v>
      </c>
      <c r="M665" s="351">
        <f t="shared" si="703"/>
        <v>0.2638888888888889</v>
      </c>
      <c r="N665" s="351">
        <f t="shared" si="703"/>
        <v>0.22744881018262314</v>
      </c>
      <c r="O665" s="351">
        <f t="shared" si="703"/>
        <v>0.14285714285714285</v>
      </c>
      <c r="P665" s="350">
        <f t="shared" si="703"/>
        <v>0.21283319593294861</v>
      </c>
      <c r="Q665" s="351">
        <f t="shared" si="703"/>
        <v>0.29278794402583425</v>
      </c>
      <c r="R665" s="351">
        <f t="shared" si="703"/>
        <v>0.25341246290801189</v>
      </c>
      <c r="S665" s="351">
        <f t="shared" si="703"/>
        <v>0.23137254901960785</v>
      </c>
      <c r="T665" s="351">
        <f t="shared" si="703"/>
        <v>0.29725182277061135</v>
      </c>
      <c r="U665" s="350">
        <f t="shared" si="703"/>
        <v>0.2678522943252783</v>
      </c>
      <c r="V665" s="351">
        <f t="shared" si="703"/>
        <v>0.37265711135611906</v>
      </c>
      <c r="W665" s="351">
        <f t="shared" si="703"/>
        <v>0.26285160038797284</v>
      </c>
      <c r="X665" s="351">
        <f t="shared" si="703"/>
        <v>0.26905514576747452</v>
      </c>
      <c r="Y665" s="351">
        <f t="shared" si="703"/>
        <v>0.21038100496963003</v>
      </c>
      <c r="Z665" s="350">
        <f t="shared" si="703"/>
        <v>0.28630441690498887</v>
      </c>
      <c r="AA665" s="351">
        <f t="shared" si="703"/>
        <v>0.33412698412698411</v>
      </c>
      <c r="AB665" s="352">
        <f t="shared" si="703"/>
        <v>0.3225172074729597</v>
      </c>
      <c r="AC665" s="351">
        <f t="shared" si="703"/>
        <v>0.26702883409945677</v>
      </c>
      <c r="AD665" s="351">
        <f t="shared" si="703"/>
        <v>0.15223463687150837</v>
      </c>
      <c r="AE665" s="350">
        <f t="shared" si="703"/>
        <v>0.28105979233798783</v>
      </c>
      <c r="AF665" s="351">
        <f t="shared" si="703"/>
        <v>0.33107028753993611</v>
      </c>
      <c r="AG665" s="352">
        <f t="shared" si="703"/>
        <v>0.34515077424612878</v>
      </c>
      <c r="AH665" s="351">
        <f t="shared" si="703"/>
        <v>0.24600416956219598</v>
      </c>
      <c r="AI665" s="351">
        <f t="shared" si="703"/>
        <v>0.27708042770804275</v>
      </c>
      <c r="AJ665" s="350">
        <f t="shared" si="703"/>
        <v>0.29838790427555822</v>
      </c>
      <c r="AK665" s="353"/>
      <c r="AL665" s="353"/>
      <c r="AM665" s="353"/>
      <c r="AN665" s="353"/>
      <c r="AO665" s="354"/>
      <c r="AP665" s="353"/>
      <c r="AQ665" s="353"/>
      <c r="AR665" s="353"/>
      <c r="AS665" s="353"/>
      <c r="AT665" s="354"/>
      <c r="AU665" s="353"/>
      <c r="AV665" s="353"/>
      <c r="AW665" s="761"/>
      <c r="AX665" s="353"/>
      <c r="AY665" s="354"/>
      <c r="AZ665" s="353"/>
      <c r="BA665" s="353"/>
      <c r="BB665" s="353"/>
      <c r="BC665" s="353"/>
      <c r="BD665" s="354"/>
      <c r="BE665" s="354"/>
      <c r="BF665" s="354"/>
      <c r="BG665" s="354"/>
      <c r="BH665" s="499"/>
    </row>
    <row r="666" spans="1:60" s="44" customFormat="1" hidden="1" outlineLevel="1" x14ac:dyDescent="0.25">
      <c r="A666" s="748"/>
      <c r="B666" s="246"/>
      <c r="C666" s="478"/>
      <c r="D666" s="478"/>
      <c r="E666" s="478"/>
      <c r="F666" s="478"/>
      <c r="G666" s="480"/>
      <c r="H666" s="480"/>
      <c r="I666" s="480"/>
      <c r="J666" s="480"/>
      <c r="K666" s="478"/>
      <c r="L666" s="480"/>
      <c r="M666" s="480"/>
      <c r="N666" s="480"/>
      <c r="O666" s="480"/>
      <c r="P666" s="478"/>
      <c r="Q666" s="480"/>
      <c r="R666" s="480"/>
      <c r="S666" s="480"/>
      <c r="T666" s="480"/>
      <c r="U666" s="478"/>
      <c r="V666" s="480"/>
      <c r="W666" s="480"/>
      <c r="X666" s="480"/>
      <c r="Y666" s="480"/>
      <c r="Z666" s="478"/>
      <c r="AA666" s="480"/>
      <c r="AB666" s="480"/>
      <c r="AC666" s="480"/>
      <c r="AD666" s="480"/>
      <c r="AE666" s="478"/>
      <c r="AF666" s="480"/>
      <c r="AG666" s="480"/>
      <c r="AH666" s="480"/>
      <c r="AI666" s="480"/>
      <c r="AJ666" s="478"/>
      <c r="AK666" s="480"/>
      <c r="AL666" s="480"/>
      <c r="AM666" s="480"/>
      <c r="AN666" s="480"/>
      <c r="AO666" s="478"/>
      <c r="AP666" s="480"/>
      <c r="AQ666" s="480"/>
      <c r="AR666" s="480"/>
      <c r="AS666" s="480"/>
      <c r="AT666" s="478"/>
      <c r="AU666" s="480"/>
      <c r="AV666" s="480"/>
      <c r="AW666" s="708"/>
      <c r="AX666" s="480"/>
      <c r="AY666" s="478"/>
      <c r="AZ666" s="480"/>
      <c r="BA666" s="480"/>
      <c r="BB666" s="480"/>
      <c r="BC666" s="480"/>
      <c r="BD666" s="478"/>
      <c r="BE666" s="478"/>
      <c r="BF666" s="478"/>
      <c r="BG666" s="478"/>
      <c r="BH666" s="473"/>
    </row>
    <row r="667" spans="1:60" s="52" customFormat="1" hidden="1" outlineLevel="1" x14ac:dyDescent="0.25">
      <c r="A667" s="501" t="s">
        <v>164</v>
      </c>
      <c r="B667" s="764"/>
      <c r="C667" s="51">
        <v>135</v>
      </c>
      <c r="D667" s="51">
        <v>102</v>
      </c>
      <c r="E667" s="51">
        <v>118</v>
      </c>
      <c r="F667" s="51">
        <v>79</v>
      </c>
      <c r="G667" s="499">
        <v>10</v>
      </c>
      <c r="H667" s="499">
        <v>27</v>
      </c>
      <c r="I667" s="499">
        <v>41</v>
      </c>
      <c r="J667" s="499">
        <f>K667</f>
        <v>78</v>
      </c>
      <c r="K667" s="51">
        <v>78</v>
      </c>
      <c r="L667" s="499">
        <v>13</v>
      </c>
      <c r="M667" s="499">
        <v>32</v>
      </c>
      <c r="N667" s="499">
        <v>44</v>
      </c>
      <c r="O667" s="499">
        <f>P667</f>
        <v>63</v>
      </c>
      <c r="P667" s="51">
        <v>63</v>
      </c>
      <c r="Q667" s="499">
        <v>24</v>
      </c>
      <c r="R667" s="499">
        <v>52</v>
      </c>
      <c r="S667" s="499">
        <v>84</v>
      </c>
      <c r="T667" s="499">
        <f>U667</f>
        <v>107</v>
      </c>
      <c r="U667" s="51">
        <v>107</v>
      </c>
      <c r="V667" s="499">
        <v>27</v>
      </c>
      <c r="W667" s="499">
        <v>44</v>
      </c>
      <c r="X667" s="499">
        <v>67</v>
      </c>
      <c r="Y667" s="499">
        <f>Z667</f>
        <v>86</v>
      </c>
      <c r="Z667" s="51">
        <v>86</v>
      </c>
      <c r="AA667" s="499">
        <v>27</v>
      </c>
      <c r="AB667" s="194">
        <v>47</v>
      </c>
      <c r="AC667" s="499">
        <v>64</v>
      </c>
      <c r="AD667" s="499">
        <f>AE667</f>
        <v>85</v>
      </c>
      <c r="AE667" s="51">
        <v>85</v>
      </c>
      <c r="AF667" s="499">
        <v>22</v>
      </c>
      <c r="AG667" s="194">
        <v>52</v>
      </c>
      <c r="AH667" s="499">
        <v>72</v>
      </c>
      <c r="AI667" s="499">
        <f>AJ667</f>
        <v>96</v>
      </c>
      <c r="AJ667" s="51">
        <v>96</v>
      </c>
      <c r="AK667" s="114"/>
      <c r="AL667" s="114"/>
      <c r="AM667" s="114"/>
      <c r="AN667" s="114"/>
      <c r="AO667" s="111"/>
      <c r="AP667" s="114"/>
      <c r="AQ667" s="114"/>
      <c r="AR667" s="114"/>
      <c r="AS667" s="114"/>
      <c r="AT667" s="111"/>
      <c r="AU667" s="114"/>
      <c r="AV667" s="114"/>
      <c r="AW667" s="765"/>
      <c r="AX667" s="114"/>
      <c r="AY667" s="111"/>
      <c r="AZ667" s="114"/>
      <c r="BA667" s="114"/>
      <c r="BB667" s="114"/>
      <c r="BC667" s="114"/>
      <c r="BD667" s="111"/>
      <c r="BE667" s="111"/>
      <c r="BF667" s="111"/>
      <c r="BG667" s="111"/>
      <c r="BH667" s="499"/>
    </row>
    <row r="668" spans="1:60" s="52" customFormat="1" hidden="1" outlineLevel="1" collapsed="1" x14ac:dyDescent="0.25">
      <c r="A668" s="501" t="s">
        <v>165</v>
      </c>
      <c r="B668" s="764"/>
      <c r="C668" s="51">
        <f>C667</f>
        <v>135</v>
      </c>
      <c r="D668" s="51">
        <f>D667</f>
        <v>102</v>
      </c>
      <c r="E668" s="51">
        <f>E667</f>
        <v>118</v>
      </c>
      <c r="F668" s="51">
        <f>F667</f>
        <v>79</v>
      </c>
      <c r="G668" s="499">
        <f>G667</f>
        <v>10</v>
      </c>
      <c r="H668" s="499">
        <f>H667-G667</f>
        <v>17</v>
      </c>
      <c r="I668" s="499">
        <f>I667-H667</f>
        <v>14</v>
      </c>
      <c r="J668" s="499">
        <f>J667-I667</f>
        <v>37</v>
      </c>
      <c r="K668" s="51">
        <f>K667</f>
        <v>78</v>
      </c>
      <c r="L668" s="499">
        <f>L667</f>
        <v>13</v>
      </c>
      <c r="M668" s="499">
        <f>M667-L667</f>
        <v>19</v>
      </c>
      <c r="N668" s="499">
        <f>N667-M667</f>
        <v>12</v>
      </c>
      <c r="O668" s="499">
        <f>O667-N667</f>
        <v>19</v>
      </c>
      <c r="P668" s="51">
        <f>P667</f>
        <v>63</v>
      </c>
      <c r="Q668" s="499">
        <f>Q667</f>
        <v>24</v>
      </c>
      <c r="R668" s="499">
        <f>R667-Q667</f>
        <v>28</v>
      </c>
      <c r="S668" s="499">
        <f>S667-R667</f>
        <v>32</v>
      </c>
      <c r="T668" s="499">
        <f>T667-S667</f>
        <v>23</v>
      </c>
      <c r="U668" s="51">
        <f>U667</f>
        <v>107</v>
      </c>
      <c r="V668" s="499">
        <f>V667</f>
        <v>27</v>
      </c>
      <c r="W668" s="499">
        <f>W667-V667</f>
        <v>17</v>
      </c>
      <c r="X668" s="499">
        <f>X667-W667</f>
        <v>23</v>
      </c>
      <c r="Y668" s="499">
        <f>Y667-X667</f>
        <v>19</v>
      </c>
      <c r="Z668" s="51">
        <f>Z667</f>
        <v>86</v>
      </c>
      <c r="AA668" s="499">
        <f>AA667</f>
        <v>27</v>
      </c>
      <c r="AB668" s="194">
        <f>AB667-AA667</f>
        <v>20</v>
      </c>
      <c r="AC668" s="499">
        <f>AC667-AB667</f>
        <v>17</v>
      </c>
      <c r="AD668" s="499">
        <f>AD667-AC667</f>
        <v>21</v>
      </c>
      <c r="AE668" s="51">
        <f>AE667</f>
        <v>85</v>
      </c>
      <c r="AF668" s="499">
        <f>AF667</f>
        <v>22</v>
      </c>
      <c r="AG668" s="194">
        <f>AG667-AF667</f>
        <v>30</v>
      </c>
      <c r="AH668" s="499">
        <f>AH667-AG667</f>
        <v>20</v>
      </c>
      <c r="AI668" s="499">
        <f>AI667-AH667</f>
        <v>24</v>
      </c>
      <c r="AJ668" s="51">
        <f>AJ667</f>
        <v>96</v>
      </c>
      <c r="AK668" s="114"/>
      <c r="AL668" s="114"/>
      <c r="AM668" s="114"/>
      <c r="AN668" s="114"/>
      <c r="AO668" s="111"/>
      <c r="AP668" s="114"/>
      <c r="AQ668" s="114"/>
      <c r="AR668" s="114"/>
      <c r="AS668" s="114"/>
      <c r="AT668" s="111"/>
      <c r="AU668" s="114"/>
      <c r="AV668" s="114"/>
      <c r="AW668" s="765"/>
      <c r="AX668" s="114"/>
      <c r="AY668" s="111"/>
      <c r="AZ668" s="114"/>
      <c r="BA668" s="114"/>
      <c r="BB668" s="114"/>
      <c r="BC668" s="114"/>
      <c r="BD668" s="111"/>
      <c r="BE668" s="111"/>
      <c r="BF668" s="111"/>
      <c r="BG668" s="111"/>
      <c r="BH668" s="499"/>
    </row>
    <row r="669" spans="1:60" s="312" customFormat="1" hidden="1" outlineLevel="1" collapsed="1" x14ac:dyDescent="0.25">
      <c r="A669" s="315"/>
      <c r="B669" s="308"/>
      <c r="C669" s="309"/>
      <c r="D669" s="309"/>
      <c r="E669" s="309"/>
      <c r="F669" s="309"/>
      <c r="G669" s="310"/>
      <c r="H669" s="310"/>
      <c r="I669" s="310"/>
      <c r="J669" s="310"/>
      <c r="K669" s="309"/>
      <c r="L669" s="310"/>
      <c r="M669" s="310"/>
      <c r="N669" s="310"/>
      <c r="O669" s="310"/>
      <c r="P669" s="309"/>
      <c r="Q669" s="310"/>
      <c r="R669" s="310"/>
      <c r="S669" s="310"/>
      <c r="T669" s="310"/>
      <c r="U669" s="309"/>
      <c r="V669" s="310"/>
      <c r="W669" s="310"/>
      <c r="X669" s="310"/>
      <c r="Y669" s="310"/>
      <c r="Z669" s="309"/>
      <c r="AA669" s="310"/>
      <c r="AB669" s="310"/>
      <c r="AC669" s="310"/>
      <c r="AD669" s="310"/>
      <c r="AE669" s="309"/>
      <c r="AF669" s="310"/>
      <c r="AG669" s="310"/>
      <c r="AH669" s="310"/>
      <c r="AI669" s="310"/>
      <c r="AJ669" s="309"/>
      <c r="AK669" s="310"/>
      <c r="AL669" s="310"/>
      <c r="AM669" s="310"/>
      <c r="AN669" s="310"/>
      <c r="AO669" s="309"/>
      <c r="AP669" s="310"/>
      <c r="AQ669" s="310"/>
      <c r="AR669" s="310"/>
      <c r="AS669" s="310"/>
      <c r="AT669" s="309"/>
      <c r="AU669" s="310"/>
      <c r="AV669" s="310"/>
      <c r="AW669" s="695"/>
      <c r="AX669" s="310"/>
      <c r="AY669" s="309"/>
      <c r="AZ669" s="310"/>
      <c r="BA669" s="310"/>
      <c r="BB669" s="310"/>
      <c r="BC669" s="310"/>
      <c r="BD669" s="309"/>
      <c r="BE669" s="309"/>
      <c r="BF669" s="309"/>
      <c r="BG669" s="309"/>
      <c r="BH669" s="311"/>
    </row>
    <row r="670" spans="1:60" s="19" customFormat="1" hidden="1" outlineLevel="1" x14ac:dyDescent="0.25">
      <c r="A670" s="956" t="s">
        <v>166</v>
      </c>
      <c r="B670" s="956"/>
      <c r="C670" s="986"/>
      <c r="D670" s="986"/>
      <c r="E670" s="986"/>
      <c r="F670" s="986"/>
      <c r="G670" s="986"/>
      <c r="H670" s="986"/>
      <c r="I670" s="986"/>
      <c r="J670" s="986"/>
      <c r="K670" s="986"/>
      <c r="L670" s="986"/>
      <c r="M670" s="986"/>
      <c r="N670" s="986"/>
      <c r="O670" s="986"/>
      <c r="P670" s="986"/>
      <c r="Q670" s="986"/>
      <c r="R670" s="986"/>
      <c r="S670" s="986"/>
      <c r="T670" s="986"/>
      <c r="U670" s="986"/>
      <c r="V670" s="986"/>
      <c r="W670" s="986"/>
      <c r="X670" s="986"/>
      <c r="Y670" s="986"/>
      <c r="Z670" s="986"/>
      <c r="AA670" s="986"/>
      <c r="AB670" s="986"/>
      <c r="AC670" s="986"/>
      <c r="AD670" s="986"/>
      <c r="AE670" s="986"/>
      <c r="AF670" s="986"/>
      <c r="AG670" s="986"/>
      <c r="AH670" s="986"/>
      <c r="AI670" s="986"/>
      <c r="AJ670" s="986"/>
      <c r="AK670" s="986"/>
      <c r="AL670" s="986"/>
      <c r="AM670" s="986"/>
      <c r="AN670" s="986"/>
      <c r="AO670" s="986"/>
      <c r="AP670" s="986"/>
      <c r="AQ670" s="986"/>
      <c r="AR670" s="986"/>
      <c r="AS670" s="986"/>
      <c r="AT670" s="986"/>
      <c r="AU670" s="986"/>
      <c r="AV670" s="986"/>
      <c r="AW670" s="987"/>
      <c r="AX670" s="986"/>
      <c r="AY670" s="986"/>
      <c r="AZ670" s="986"/>
      <c r="BA670" s="986"/>
      <c r="BB670" s="986"/>
      <c r="BC670" s="986"/>
      <c r="BD670" s="986"/>
      <c r="BE670" s="986"/>
      <c r="BF670" s="986"/>
      <c r="BG670" s="986"/>
      <c r="BH670" s="730"/>
    </row>
    <row r="671" spans="1:60" s="49" customFormat="1" hidden="1" outlineLevel="1" x14ac:dyDescent="0.25">
      <c r="A671" s="483" t="s">
        <v>167</v>
      </c>
      <c r="B671" s="514"/>
      <c r="C671" s="489">
        <f>1584+565</f>
        <v>2149</v>
      </c>
      <c r="D671" s="489">
        <f>1725+563</f>
        <v>2288</v>
      </c>
      <c r="E671" s="489">
        <f>1933+768</f>
        <v>2701</v>
      </c>
      <c r="F671" s="489">
        <f>2056+613</f>
        <v>2669</v>
      </c>
      <c r="G671" s="490">
        <f>549+221</f>
        <v>770</v>
      </c>
      <c r="H671" s="490">
        <f>498+137</f>
        <v>635</v>
      </c>
      <c r="I671" s="490">
        <f>525+125</f>
        <v>650</v>
      </c>
      <c r="J671" s="490">
        <f>K671-I671-H671-G671</f>
        <v>1011</v>
      </c>
      <c r="K671" s="489">
        <f>2254+812</f>
        <v>3066</v>
      </c>
      <c r="L671" s="490">
        <f>634+336</f>
        <v>970</v>
      </c>
      <c r="M671" s="490">
        <f>572+211</f>
        <v>783</v>
      </c>
      <c r="N671" s="490">
        <f>586+204</f>
        <v>790</v>
      </c>
      <c r="O671" s="490">
        <f>P671-N671-M671-L671</f>
        <v>1051</v>
      </c>
      <c r="P671" s="489">
        <f>2538+1056</f>
        <v>3594</v>
      </c>
      <c r="Q671" s="490">
        <v>1109</v>
      </c>
      <c r="R671" s="490">
        <v>834</v>
      </c>
      <c r="S671" s="490">
        <v>791</v>
      </c>
      <c r="T671" s="490">
        <f>U671-S671-R671-Q671</f>
        <v>1116</v>
      </c>
      <c r="U671" s="489">
        <v>3850</v>
      </c>
      <c r="V671" s="490">
        <v>1300</v>
      </c>
      <c r="W671" s="490">
        <v>829</v>
      </c>
      <c r="X671" s="490">
        <v>776</v>
      </c>
      <c r="Y671" s="490">
        <f>Z671-X671-W671-V671</f>
        <v>914</v>
      </c>
      <c r="Z671" s="489">
        <v>3819</v>
      </c>
      <c r="AA671" s="490">
        <v>936</v>
      </c>
      <c r="AB671" s="497">
        <v>727</v>
      </c>
      <c r="AC671" s="490">
        <v>746</v>
      </c>
      <c r="AD671" s="490">
        <f>AE671-AC671-AB671-AA671</f>
        <v>847</v>
      </c>
      <c r="AE671" s="489">
        <v>3256</v>
      </c>
      <c r="AF671" s="490">
        <v>904</v>
      </c>
      <c r="AG671" s="497">
        <v>732</v>
      </c>
      <c r="AH671" s="490">
        <v>674</v>
      </c>
      <c r="AI671" s="490">
        <f>AJ671-AH671-AG671-AF671</f>
        <v>750</v>
      </c>
      <c r="AJ671" s="489">
        <v>3060</v>
      </c>
      <c r="AK671" s="491"/>
      <c r="AL671" s="491"/>
      <c r="AM671" s="491"/>
      <c r="AN671" s="491"/>
      <c r="AO671" s="492"/>
      <c r="AP671" s="491"/>
      <c r="AQ671" s="491"/>
      <c r="AR671" s="491"/>
      <c r="AS671" s="491"/>
      <c r="AT671" s="492"/>
      <c r="AU671" s="491"/>
      <c r="AV671" s="491"/>
      <c r="AW671" s="692"/>
      <c r="AX671" s="491"/>
      <c r="AY671" s="492"/>
      <c r="AZ671" s="491"/>
      <c r="BA671" s="491"/>
      <c r="BB671" s="491"/>
      <c r="BC671" s="491"/>
      <c r="BD671" s="492"/>
      <c r="BE671" s="492"/>
      <c r="BF671" s="492"/>
      <c r="BG671" s="492"/>
      <c r="BH671" s="484"/>
    </row>
    <row r="672" spans="1:60" s="49" customFormat="1" hidden="1" outlineLevel="1" x14ac:dyDescent="0.25">
      <c r="A672" s="218" t="s">
        <v>168</v>
      </c>
      <c r="B672" s="573"/>
      <c r="C672" s="318">
        <f>841+147</f>
        <v>988</v>
      </c>
      <c r="D672" s="318">
        <f>953+198</f>
        <v>1151</v>
      </c>
      <c r="E672" s="318">
        <f>1116+214</f>
        <v>1330</v>
      </c>
      <c r="F672" s="318">
        <f>1196+232</f>
        <v>1428</v>
      </c>
      <c r="G672" s="319">
        <f>464+70</f>
        <v>534</v>
      </c>
      <c r="H672" s="319">
        <f>265+57</f>
        <v>322</v>
      </c>
      <c r="I672" s="319">
        <f>250+58</f>
        <v>308</v>
      </c>
      <c r="J672" s="319">
        <f>K672-I672-H672-G672</f>
        <v>389</v>
      </c>
      <c r="K672" s="318">
        <f>1301+252</f>
        <v>1553</v>
      </c>
      <c r="L672" s="319">
        <f>492+67</f>
        <v>559</v>
      </c>
      <c r="M672" s="319">
        <f>313+57</f>
        <v>370</v>
      </c>
      <c r="N672" s="319">
        <f>316+62</f>
        <v>378</v>
      </c>
      <c r="O672" s="319">
        <f>P672-N672-M672-L672</f>
        <v>383</v>
      </c>
      <c r="P672" s="318">
        <f>1447+243</f>
        <v>1690</v>
      </c>
      <c r="Q672" s="319">
        <v>654</v>
      </c>
      <c r="R672" s="319">
        <v>372</v>
      </c>
      <c r="S672" s="319">
        <v>371</v>
      </c>
      <c r="T672" s="319">
        <f>U672-S672-R672-Q672</f>
        <v>426</v>
      </c>
      <c r="U672" s="318">
        <v>1823</v>
      </c>
      <c r="V672" s="319">
        <v>610</v>
      </c>
      <c r="W672" s="319">
        <v>357</v>
      </c>
      <c r="X672" s="319">
        <v>369</v>
      </c>
      <c r="Y672" s="319">
        <f>Z672-X672-W672-V672</f>
        <v>373</v>
      </c>
      <c r="Z672" s="318">
        <v>1709</v>
      </c>
      <c r="AA672" s="319">
        <v>540</v>
      </c>
      <c r="AB672" s="320">
        <v>330</v>
      </c>
      <c r="AC672" s="319">
        <v>339</v>
      </c>
      <c r="AD672" s="319">
        <f>AE672-AC672-AB672-AA672</f>
        <v>368</v>
      </c>
      <c r="AE672" s="318">
        <v>1577</v>
      </c>
      <c r="AF672" s="319">
        <v>546</v>
      </c>
      <c r="AG672" s="320">
        <v>345</v>
      </c>
      <c r="AH672" s="319">
        <v>327</v>
      </c>
      <c r="AI672" s="319">
        <f>AJ672-AH672-AG672-AF672</f>
        <v>373</v>
      </c>
      <c r="AJ672" s="318">
        <v>1591</v>
      </c>
      <c r="AK672" s="321"/>
      <c r="AL672" s="321"/>
      <c r="AM672" s="321"/>
      <c r="AN672" s="321"/>
      <c r="AO672" s="322"/>
      <c r="AP672" s="321"/>
      <c r="AQ672" s="321"/>
      <c r="AR672" s="321"/>
      <c r="AS672" s="321"/>
      <c r="AT672" s="322"/>
      <c r="AU672" s="321"/>
      <c r="AV672" s="321"/>
      <c r="AW672" s="693"/>
      <c r="AX672" s="321"/>
      <c r="AY672" s="322"/>
      <c r="AZ672" s="321"/>
      <c r="BA672" s="321"/>
      <c r="BB672" s="321"/>
      <c r="BC672" s="321"/>
      <c r="BD672" s="322"/>
      <c r="BE672" s="322"/>
      <c r="BF672" s="322"/>
      <c r="BG672" s="322"/>
      <c r="BH672" s="484"/>
    </row>
    <row r="673" spans="1:60" s="52" customFormat="1" hidden="1" outlineLevel="1" x14ac:dyDescent="0.25">
      <c r="A673" s="501" t="s">
        <v>169</v>
      </c>
      <c r="B673" s="264"/>
      <c r="C673" s="502">
        <f t="shared" ref="C673:AJ673" si="704">SUM(C671:C672)</f>
        <v>3137</v>
      </c>
      <c r="D673" s="502">
        <f t="shared" si="704"/>
        <v>3439</v>
      </c>
      <c r="E673" s="502">
        <f t="shared" si="704"/>
        <v>4031</v>
      </c>
      <c r="F673" s="502">
        <f t="shared" si="704"/>
        <v>4097</v>
      </c>
      <c r="G673" s="503">
        <f t="shared" si="704"/>
        <v>1304</v>
      </c>
      <c r="H673" s="503">
        <f t="shared" si="704"/>
        <v>957</v>
      </c>
      <c r="I673" s="503">
        <f t="shared" si="704"/>
        <v>958</v>
      </c>
      <c r="J673" s="503">
        <f t="shared" si="704"/>
        <v>1400</v>
      </c>
      <c r="K673" s="502">
        <f t="shared" si="704"/>
        <v>4619</v>
      </c>
      <c r="L673" s="503">
        <f t="shared" si="704"/>
        <v>1529</v>
      </c>
      <c r="M673" s="503">
        <f t="shared" si="704"/>
        <v>1153</v>
      </c>
      <c r="N673" s="503">
        <f t="shared" si="704"/>
        <v>1168</v>
      </c>
      <c r="O673" s="503">
        <f t="shared" si="704"/>
        <v>1434</v>
      </c>
      <c r="P673" s="502">
        <f t="shared" si="704"/>
        <v>5284</v>
      </c>
      <c r="Q673" s="503">
        <f t="shared" si="704"/>
        <v>1763</v>
      </c>
      <c r="R673" s="503">
        <f t="shared" si="704"/>
        <v>1206</v>
      </c>
      <c r="S673" s="503">
        <f t="shared" si="704"/>
        <v>1162</v>
      </c>
      <c r="T673" s="503">
        <f t="shared" si="704"/>
        <v>1542</v>
      </c>
      <c r="U673" s="502">
        <f t="shared" si="704"/>
        <v>5673</v>
      </c>
      <c r="V673" s="503">
        <f t="shared" si="704"/>
        <v>1910</v>
      </c>
      <c r="W673" s="503">
        <f t="shared" si="704"/>
        <v>1186</v>
      </c>
      <c r="X673" s="503">
        <f t="shared" si="704"/>
        <v>1145</v>
      </c>
      <c r="Y673" s="503">
        <f t="shared" si="704"/>
        <v>1287</v>
      </c>
      <c r="Z673" s="502">
        <f t="shared" si="704"/>
        <v>5528</v>
      </c>
      <c r="AA673" s="503">
        <f t="shared" si="704"/>
        <v>1476</v>
      </c>
      <c r="AB673" s="504">
        <f t="shared" si="704"/>
        <v>1057</v>
      </c>
      <c r="AC673" s="503">
        <f t="shared" si="704"/>
        <v>1085</v>
      </c>
      <c r="AD673" s="503">
        <f t="shared" si="704"/>
        <v>1215</v>
      </c>
      <c r="AE673" s="502">
        <f t="shared" si="704"/>
        <v>4833</v>
      </c>
      <c r="AF673" s="503">
        <f t="shared" si="704"/>
        <v>1450</v>
      </c>
      <c r="AG673" s="504">
        <f t="shared" si="704"/>
        <v>1077</v>
      </c>
      <c r="AH673" s="503">
        <f t="shared" si="704"/>
        <v>1001</v>
      </c>
      <c r="AI673" s="503">
        <f t="shared" si="704"/>
        <v>1123</v>
      </c>
      <c r="AJ673" s="502">
        <f t="shared" si="704"/>
        <v>4651</v>
      </c>
      <c r="AK673" s="505"/>
      <c r="AL673" s="505"/>
      <c r="AM673" s="505"/>
      <c r="AN673" s="505"/>
      <c r="AO673" s="506"/>
      <c r="AP673" s="505"/>
      <c r="AQ673" s="505"/>
      <c r="AR673" s="505"/>
      <c r="AS673" s="505"/>
      <c r="AT673" s="506"/>
      <c r="AU673" s="505"/>
      <c r="AV673" s="505"/>
      <c r="AW673" s="694"/>
      <c r="AX673" s="505"/>
      <c r="AY673" s="506"/>
      <c r="AZ673" s="505"/>
      <c r="BA673" s="505"/>
      <c r="BB673" s="505"/>
      <c r="BC673" s="505"/>
      <c r="BD673" s="506"/>
      <c r="BE673" s="506"/>
      <c r="BF673" s="506"/>
      <c r="BG673" s="506"/>
      <c r="BH673" s="499"/>
    </row>
    <row r="674" spans="1:60" s="49" customFormat="1" hidden="1" outlineLevel="1" x14ac:dyDescent="0.25">
      <c r="A674" s="483" t="s">
        <v>34</v>
      </c>
      <c r="B674" s="514"/>
      <c r="C674" s="489">
        <f>-1182-623</f>
        <v>-1805</v>
      </c>
      <c r="D674" s="489">
        <f>-1236-581</f>
        <v>-1817</v>
      </c>
      <c r="E674" s="489">
        <f>-1334-675</f>
        <v>-2009</v>
      </c>
      <c r="F674" s="489">
        <f>-1514-583</f>
        <v>-2097</v>
      </c>
      <c r="G674" s="490">
        <f>-463-163</f>
        <v>-626</v>
      </c>
      <c r="H674" s="490">
        <f>-346-132</f>
        <v>-478</v>
      </c>
      <c r="I674" s="490">
        <f>-343-131</f>
        <v>-474</v>
      </c>
      <c r="J674" s="490">
        <f>K674-I674-H674-G674</f>
        <v>-646</v>
      </c>
      <c r="K674" s="489">
        <f>-1566-658</f>
        <v>-2224</v>
      </c>
      <c r="L674" s="490">
        <f>-475-217</f>
        <v>-692</v>
      </c>
      <c r="M674" s="490">
        <f>-383-149</f>
        <v>-532</v>
      </c>
      <c r="N674" s="490">
        <f>-398-135</f>
        <v>-533</v>
      </c>
      <c r="O674" s="490">
        <f>P674-N674-M674-L674</f>
        <v>-626</v>
      </c>
      <c r="P674" s="489">
        <f>-1683-700</f>
        <v>-2383</v>
      </c>
      <c r="Q674" s="490">
        <v>-725</v>
      </c>
      <c r="R674" s="490">
        <v>-521</v>
      </c>
      <c r="S674" s="490">
        <v>-493</v>
      </c>
      <c r="T674" s="490">
        <f>U674-S674-R674-Q674</f>
        <v>-695</v>
      </c>
      <c r="U674" s="489">
        <v>-2434</v>
      </c>
      <c r="V674" s="490">
        <v>-729</v>
      </c>
      <c r="W674" s="490">
        <v>-509</v>
      </c>
      <c r="X674" s="490">
        <v>-501</v>
      </c>
      <c r="Y674" s="490">
        <f>Z674-X674-W674-V674</f>
        <v>-524</v>
      </c>
      <c r="Z674" s="489">
        <v>-2263</v>
      </c>
      <c r="AA674" s="490">
        <v>-554</v>
      </c>
      <c r="AB674" s="497">
        <v>-421</v>
      </c>
      <c r="AC674" s="490">
        <v>-431</v>
      </c>
      <c r="AD674" s="490">
        <f>AE674-AC674-AB674-AA674</f>
        <v>-498</v>
      </c>
      <c r="AE674" s="489">
        <v>-1904</v>
      </c>
      <c r="AF674" s="490">
        <v>-560</v>
      </c>
      <c r="AG674" s="497">
        <v>-436</v>
      </c>
      <c r="AH674" s="490">
        <v>-413</v>
      </c>
      <c r="AI674" s="490">
        <f>AJ674-AH674-AG674-AF674</f>
        <v>-473</v>
      </c>
      <c r="AJ674" s="489">
        <v>-1882</v>
      </c>
      <c r="AK674" s="491"/>
      <c r="AL674" s="491"/>
      <c r="AM674" s="491"/>
      <c r="AN674" s="491"/>
      <c r="AO674" s="492"/>
      <c r="AP674" s="491"/>
      <c r="AQ674" s="491"/>
      <c r="AR674" s="491"/>
      <c r="AS674" s="491"/>
      <c r="AT674" s="492"/>
      <c r="AU674" s="491"/>
      <c r="AV674" s="491"/>
      <c r="AW674" s="692"/>
      <c r="AX674" s="491"/>
      <c r="AY674" s="492"/>
      <c r="AZ674" s="491"/>
      <c r="BA674" s="491"/>
      <c r="BB674" s="491"/>
      <c r="BC674" s="491"/>
      <c r="BD674" s="492"/>
      <c r="BE674" s="492"/>
      <c r="BF674" s="492"/>
      <c r="BG674" s="492"/>
      <c r="BH674" s="484"/>
    </row>
    <row r="675" spans="1:60" s="49" customFormat="1" hidden="1" outlineLevel="1" x14ac:dyDescent="0.25">
      <c r="A675" s="483" t="s">
        <v>35</v>
      </c>
      <c r="B675" s="514"/>
      <c r="C675" s="489">
        <f>-597-336</f>
        <v>-933</v>
      </c>
      <c r="D675" s="489">
        <f>-687-371</f>
        <v>-1058</v>
      </c>
      <c r="E675" s="489">
        <f>-794-561</f>
        <v>-1355</v>
      </c>
      <c r="F675" s="489">
        <f>-686-429</f>
        <v>-1115</v>
      </c>
      <c r="G675" s="490">
        <f>-174-109</f>
        <v>-283</v>
      </c>
      <c r="H675" s="490">
        <f>-178-104</f>
        <v>-282</v>
      </c>
      <c r="I675" s="490">
        <f>-174-100</f>
        <v>-274</v>
      </c>
      <c r="J675" s="490">
        <f>K675-I675-H675-G675</f>
        <v>-341</v>
      </c>
      <c r="K675" s="489">
        <f>-731-449</f>
        <v>-1180</v>
      </c>
      <c r="L675" s="490">
        <f>-181-127</f>
        <v>-308</v>
      </c>
      <c r="M675" s="490">
        <f>-181-99</f>
        <v>-280</v>
      </c>
      <c r="N675" s="490">
        <f>-189-96</f>
        <v>-285</v>
      </c>
      <c r="O675" s="490">
        <f>P675-N675-M675-L675</f>
        <v>-365</v>
      </c>
      <c r="P675" s="489">
        <f>-778-460</f>
        <v>-1238</v>
      </c>
      <c r="Q675" s="490">
        <v>-291</v>
      </c>
      <c r="R675" s="490">
        <v>-252</v>
      </c>
      <c r="S675" s="490">
        <v>-275</v>
      </c>
      <c r="T675" s="490">
        <f>U675-S675-R675-Q675</f>
        <v>-354</v>
      </c>
      <c r="U675" s="489">
        <v>-1172</v>
      </c>
      <c r="V675" s="490">
        <v>-276</v>
      </c>
      <c r="W675" s="490">
        <v>-277</v>
      </c>
      <c r="X675" s="490">
        <v>-278</v>
      </c>
      <c r="Y675" s="490">
        <f>Z675-X675-W675-V675</f>
        <v>-294</v>
      </c>
      <c r="Z675" s="489">
        <v>-1125</v>
      </c>
      <c r="AA675" s="490">
        <v>-234</v>
      </c>
      <c r="AB675" s="497">
        <v>-225</v>
      </c>
      <c r="AC675" s="490">
        <v>-249</v>
      </c>
      <c r="AD675" s="490">
        <f>AE675-AC675-AB675-AA675</f>
        <v>-299</v>
      </c>
      <c r="AE675" s="489">
        <v>-1007</v>
      </c>
      <c r="AF675" s="490">
        <v>-232</v>
      </c>
      <c r="AG675" s="497">
        <v>-245</v>
      </c>
      <c r="AH675" s="490">
        <v>-222</v>
      </c>
      <c r="AI675" s="490">
        <f>AJ675-AH675-AG675-AF675</f>
        <v>-246</v>
      </c>
      <c r="AJ675" s="489">
        <v>-945</v>
      </c>
      <c r="AK675" s="491"/>
      <c r="AL675" s="491"/>
      <c r="AM675" s="491"/>
      <c r="AN675" s="491"/>
      <c r="AO675" s="492"/>
      <c r="AP675" s="491"/>
      <c r="AQ675" s="491"/>
      <c r="AR675" s="491"/>
      <c r="AS675" s="491"/>
      <c r="AT675" s="492"/>
      <c r="AU675" s="491"/>
      <c r="AV675" s="491"/>
      <c r="AW675" s="692"/>
      <c r="AX675" s="491"/>
      <c r="AY675" s="492"/>
      <c r="AZ675" s="491"/>
      <c r="BA675" s="491"/>
      <c r="BB675" s="491"/>
      <c r="BC675" s="491"/>
      <c r="BD675" s="492"/>
      <c r="BE675" s="492"/>
      <c r="BF675" s="492"/>
      <c r="BG675" s="492"/>
      <c r="BH675" s="484"/>
    </row>
    <row r="676" spans="1:60" s="49" customFormat="1" hidden="1" outlineLevel="1" x14ac:dyDescent="0.25">
      <c r="A676" s="483" t="s">
        <v>36</v>
      </c>
      <c r="B676" s="514"/>
      <c r="C676" s="489">
        <f>-39-50</f>
        <v>-89</v>
      </c>
      <c r="D676" s="489">
        <f>-78-43</f>
        <v>-121</v>
      </c>
      <c r="E676" s="489">
        <f>-105-54</f>
        <v>-159</v>
      </c>
      <c r="F676" s="489">
        <f>-115-49</f>
        <v>-164</v>
      </c>
      <c r="G676" s="490">
        <f>-30-10</f>
        <v>-40</v>
      </c>
      <c r="H676" s="490">
        <f>-39-12</f>
        <v>-51</v>
      </c>
      <c r="I676" s="490">
        <f>-39-10</f>
        <v>-49</v>
      </c>
      <c r="J676" s="490">
        <f>K676-I676-H676-G676</f>
        <v>-50</v>
      </c>
      <c r="K676" s="489">
        <f>-146-44</f>
        <v>-190</v>
      </c>
      <c r="L676" s="490">
        <f>-40-4</f>
        <v>-44</v>
      </c>
      <c r="M676" s="490">
        <f>-47-6</f>
        <v>-53</v>
      </c>
      <c r="N676" s="490">
        <f>-42-6</f>
        <v>-48</v>
      </c>
      <c r="O676" s="490">
        <f>P676-N676-M676-L676</f>
        <v>-46</v>
      </c>
      <c r="P676" s="489">
        <f>-168-23</f>
        <v>-191</v>
      </c>
      <c r="Q676" s="490">
        <v>-46</v>
      </c>
      <c r="R676" s="490">
        <v>-45</v>
      </c>
      <c r="S676" s="490">
        <v>-46</v>
      </c>
      <c r="T676" s="490">
        <f>U676-S676-R676-Q676</f>
        <v>-46</v>
      </c>
      <c r="U676" s="489">
        <v>-183</v>
      </c>
      <c r="V676" s="490">
        <v>-45</v>
      </c>
      <c r="W676" s="490">
        <v>-43</v>
      </c>
      <c r="X676" s="490">
        <v>-42</v>
      </c>
      <c r="Y676" s="490">
        <f>Z676-X676-W676-V676</f>
        <v>-45</v>
      </c>
      <c r="Z676" s="489">
        <v>-175</v>
      </c>
      <c r="AA676" s="490">
        <v>-47</v>
      </c>
      <c r="AB676" s="497">
        <v>-44</v>
      </c>
      <c r="AC676" s="490">
        <v>-43</v>
      </c>
      <c r="AD676" s="490">
        <f>AE676-AC676-AB676-AA676</f>
        <v>-45</v>
      </c>
      <c r="AE676" s="489">
        <v>-179</v>
      </c>
      <c r="AF676" s="490">
        <v>-41</v>
      </c>
      <c r="AG676" s="497">
        <v>-42</v>
      </c>
      <c r="AH676" s="490">
        <v>-42</v>
      </c>
      <c r="AI676" s="490">
        <f>AJ676-AH676-AG676-AF676</f>
        <v>-67</v>
      </c>
      <c r="AJ676" s="489">
        <v>-192</v>
      </c>
      <c r="AK676" s="491"/>
      <c r="AL676" s="491"/>
      <c r="AM676" s="491"/>
      <c r="AN676" s="491"/>
      <c r="AO676" s="492"/>
      <c r="AP676" s="491"/>
      <c r="AQ676" s="491"/>
      <c r="AR676" s="491"/>
      <c r="AS676" s="491"/>
      <c r="AT676" s="492"/>
      <c r="AU676" s="491"/>
      <c r="AV676" s="491"/>
      <c r="AW676" s="692"/>
      <c r="AX676" s="491"/>
      <c r="AY676" s="492"/>
      <c r="AZ676" s="491"/>
      <c r="BA676" s="491"/>
      <c r="BB676" s="491"/>
      <c r="BC676" s="491"/>
      <c r="BD676" s="492"/>
      <c r="BE676" s="492"/>
      <c r="BF676" s="492"/>
      <c r="BG676" s="492"/>
      <c r="BH676" s="484"/>
    </row>
    <row r="677" spans="1:60" s="49" customFormat="1" hidden="1" outlineLevel="1" x14ac:dyDescent="0.25">
      <c r="A677" s="218" t="s">
        <v>37</v>
      </c>
      <c r="B677" s="573"/>
      <c r="C677" s="318">
        <f>2+2</f>
        <v>4</v>
      </c>
      <c r="D677" s="322"/>
      <c r="E677" s="322"/>
      <c r="F677" s="322"/>
      <c r="G677" s="321"/>
      <c r="H677" s="321"/>
      <c r="I677" s="321"/>
      <c r="J677" s="319">
        <f>K677-I677-H677-G677</f>
        <v>0</v>
      </c>
      <c r="K677" s="322"/>
      <c r="L677" s="321"/>
      <c r="M677" s="321"/>
      <c r="N677" s="321"/>
      <c r="O677" s="319">
        <f>P677-N677-M677-L677</f>
        <v>0</v>
      </c>
      <c r="P677" s="322"/>
      <c r="Q677" s="321"/>
      <c r="R677" s="321"/>
      <c r="S677" s="321"/>
      <c r="T677" s="319">
        <f>U677-S677-R677-Q677</f>
        <v>0</v>
      </c>
      <c r="U677" s="322"/>
      <c r="V677" s="321"/>
      <c r="W677" s="321"/>
      <c r="X677" s="321"/>
      <c r="Y677" s="319">
        <f>Z677-X677-W677-V677</f>
        <v>0</v>
      </c>
      <c r="Z677" s="318">
        <v>0</v>
      </c>
      <c r="AA677" s="319">
        <v>1</v>
      </c>
      <c r="AB677" s="321"/>
      <c r="AC677" s="321"/>
      <c r="AD677" s="319">
        <f>AE677-AC677-AB677-AA677</f>
        <v>0</v>
      </c>
      <c r="AE677" s="318">
        <v>1</v>
      </c>
      <c r="AF677" s="321"/>
      <c r="AG677" s="321"/>
      <c r="AH677" s="321"/>
      <c r="AI677" s="319">
        <f>AJ677-AH677-AG677-AF677</f>
        <v>0</v>
      </c>
      <c r="AJ677" s="322"/>
      <c r="AK677" s="321"/>
      <c r="AL677" s="321"/>
      <c r="AM677" s="321"/>
      <c r="AN677" s="321"/>
      <c r="AO677" s="322"/>
      <c r="AP677" s="321"/>
      <c r="AQ677" s="321"/>
      <c r="AR677" s="321"/>
      <c r="AS677" s="321"/>
      <c r="AT677" s="322"/>
      <c r="AU677" s="321"/>
      <c r="AV677" s="321"/>
      <c r="AW677" s="693"/>
      <c r="AX677" s="321"/>
      <c r="AY677" s="322"/>
      <c r="AZ677" s="321"/>
      <c r="BA677" s="321"/>
      <c r="BB677" s="321"/>
      <c r="BC677" s="321"/>
      <c r="BD677" s="322"/>
      <c r="BE677" s="322"/>
      <c r="BF677" s="322"/>
      <c r="BG677" s="322"/>
      <c r="BH677" s="484"/>
    </row>
    <row r="678" spans="1:60" s="52" customFormat="1" hidden="1" outlineLevel="1" x14ac:dyDescent="0.25">
      <c r="A678" s="501" t="s">
        <v>170</v>
      </c>
      <c r="B678" s="264"/>
      <c r="C678" s="502">
        <f t="shared" ref="C678:AJ678" si="705">SUM(C673:C677)</f>
        <v>314</v>
      </c>
      <c r="D678" s="502">
        <f t="shared" si="705"/>
        <v>443</v>
      </c>
      <c r="E678" s="502">
        <f t="shared" si="705"/>
        <v>508</v>
      </c>
      <c r="F678" s="502">
        <f t="shared" si="705"/>
        <v>721</v>
      </c>
      <c r="G678" s="503">
        <f t="shared" si="705"/>
        <v>355</v>
      </c>
      <c r="H678" s="503">
        <f t="shared" si="705"/>
        <v>146</v>
      </c>
      <c r="I678" s="503">
        <f t="shared" si="705"/>
        <v>161</v>
      </c>
      <c r="J678" s="503">
        <f t="shared" si="705"/>
        <v>363</v>
      </c>
      <c r="K678" s="502">
        <f t="shared" si="705"/>
        <v>1025</v>
      </c>
      <c r="L678" s="503">
        <f t="shared" si="705"/>
        <v>485</v>
      </c>
      <c r="M678" s="503">
        <f t="shared" si="705"/>
        <v>288</v>
      </c>
      <c r="N678" s="503">
        <f t="shared" si="705"/>
        <v>302</v>
      </c>
      <c r="O678" s="503">
        <f t="shared" si="705"/>
        <v>397</v>
      </c>
      <c r="P678" s="502">
        <f t="shared" si="705"/>
        <v>1472</v>
      </c>
      <c r="Q678" s="503">
        <f t="shared" si="705"/>
        <v>701</v>
      </c>
      <c r="R678" s="503">
        <f t="shared" si="705"/>
        <v>388</v>
      </c>
      <c r="S678" s="503">
        <f t="shared" si="705"/>
        <v>348</v>
      </c>
      <c r="T678" s="503">
        <f t="shared" si="705"/>
        <v>447</v>
      </c>
      <c r="U678" s="502">
        <f t="shared" si="705"/>
        <v>1884</v>
      </c>
      <c r="V678" s="503">
        <f t="shared" si="705"/>
        <v>860</v>
      </c>
      <c r="W678" s="503">
        <f t="shared" si="705"/>
        <v>357</v>
      </c>
      <c r="X678" s="503">
        <f t="shared" si="705"/>
        <v>324</v>
      </c>
      <c r="Y678" s="503">
        <f t="shared" si="705"/>
        <v>424</v>
      </c>
      <c r="Z678" s="502">
        <f t="shared" si="705"/>
        <v>1965</v>
      </c>
      <c r="AA678" s="503">
        <f t="shared" si="705"/>
        <v>642</v>
      </c>
      <c r="AB678" s="504">
        <f t="shared" si="705"/>
        <v>367</v>
      </c>
      <c r="AC678" s="503">
        <f t="shared" si="705"/>
        <v>362</v>
      </c>
      <c r="AD678" s="503">
        <f t="shared" si="705"/>
        <v>373</v>
      </c>
      <c r="AE678" s="502">
        <f t="shared" si="705"/>
        <v>1744</v>
      </c>
      <c r="AF678" s="503">
        <f t="shared" si="705"/>
        <v>617</v>
      </c>
      <c r="AG678" s="504">
        <f t="shared" si="705"/>
        <v>354</v>
      </c>
      <c r="AH678" s="503">
        <f t="shared" si="705"/>
        <v>324</v>
      </c>
      <c r="AI678" s="503">
        <f t="shared" si="705"/>
        <v>337</v>
      </c>
      <c r="AJ678" s="502">
        <f t="shared" si="705"/>
        <v>1632</v>
      </c>
      <c r="AK678" s="505"/>
      <c r="AL678" s="505"/>
      <c r="AM678" s="505"/>
      <c r="AN678" s="505"/>
      <c r="AO678" s="506"/>
      <c r="AP678" s="505"/>
      <c r="AQ678" s="505"/>
      <c r="AR678" s="505"/>
      <c r="AS678" s="505"/>
      <c r="AT678" s="506"/>
      <c r="AU678" s="505"/>
      <c r="AV678" s="505"/>
      <c r="AW678" s="694"/>
      <c r="AX678" s="505"/>
      <c r="AY678" s="506"/>
      <c r="AZ678" s="505"/>
      <c r="BA678" s="505"/>
      <c r="BB678" s="505"/>
      <c r="BC678" s="505"/>
      <c r="BD678" s="506"/>
      <c r="BE678" s="506"/>
      <c r="BF678" s="506"/>
      <c r="BG678" s="506"/>
      <c r="BH678" s="499"/>
    </row>
    <row r="679" spans="1:60" s="52" customFormat="1" hidden="1" outlineLevel="1" x14ac:dyDescent="0.25">
      <c r="A679" s="635"/>
      <c r="B679" s="264"/>
      <c r="C679" s="506"/>
      <c r="D679" s="506"/>
      <c r="E679" s="506"/>
      <c r="F679" s="506"/>
      <c r="G679" s="505"/>
      <c r="H679" s="505"/>
      <c r="I679" s="505"/>
      <c r="J679" s="505"/>
      <c r="K679" s="506"/>
      <c r="L679" s="505"/>
      <c r="M679" s="505"/>
      <c r="N679" s="505"/>
      <c r="O679" s="505"/>
      <c r="P679" s="506"/>
      <c r="Q679" s="505"/>
      <c r="R679" s="505"/>
      <c r="S679" s="505"/>
      <c r="T679" s="505"/>
      <c r="U679" s="506"/>
      <c r="V679" s="505"/>
      <c r="W679" s="505"/>
      <c r="X679" s="505"/>
      <c r="Y679" s="505"/>
      <c r="Z679" s="506"/>
      <c r="AA679" s="505"/>
      <c r="AB679" s="505"/>
      <c r="AC679" s="505"/>
      <c r="AD679" s="505"/>
      <c r="AE679" s="506"/>
      <c r="AF679" s="505"/>
      <c r="AG679" s="505"/>
      <c r="AH679" s="505"/>
      <c r="AI679" s="505"/>
      <c r="AJ679" s="506"/>
      <c r="AK679" s="505"/>
      <c r="AL679" s="505"/>
      <c r="AM679" s="505"/>
      <c r="AN679" s="505"/>
      <c r="AO679" s="506"/>
      <c r="AP679" s="505"/>
      <c r="AQ679" s="505"/>
      <c r="AR679" s="505"/>
      <c r="AS679" s="505"/>
      <c r="AT679" s="506"/>
      <c r="AU679" s="505"/>
      <c r="AV679" s="505"/>
      <c r="AW679" s="694"/>
      <c r="AX679" s="505"/>
      <c r="AY679" s="506"/>
      <c r="AZ679" s="505"/>
      <c r="BA679" s="505"/>
      <c r="BB679" s="505"/>
      <c r="BC679" s="505"/>
      <c r="BD679" s="506"/>
      <c r="BE679" s="506"/>
      <c r="BF679" s="506"/>
      <c r="BG679" s="506"/>
      <c r="BH679" s="499"/>
    </row>
    <row r="680" spans="1:60" s="52" customFormat="1" hidden="1" outlineLevel="1" x14ac:dyDescent="0.25">
      <c r="A680" s="168" t="s">
        <v>171</v>
      </c>
      <c r="B680" s="655"/>
      <c r="C680" s="339">
        <f t="shared" ref="C680:AJ680" si="706">C674/-C673</f>
        <v>0.57539050047816387</v>
      </c>
      <c r="D680" s="339">
        <f t="shared" si="706"/>
        <v>0.52835126490258799</v>
      </c>
      <c r="E680" s="339">
        <f t="shared" si="706"/>
        <v>0.4983874968990325</v>
      </c>
      <c r="F680" s="339">
        <f t="shared" si="706"/>
        <v>0.51183793019282398</v>
      </c>
      <c r="G680" s="340">
        <f t="shared" si="706"/>
        <v>0.48006134969325154</v>
      </c>
      <c r="H680" s="340">
        <f t="shared" si="706"/>
        <v>0.4994775339602926</v>
      </c>
      <c r="I680" s="340">
        <f t="shared" si="706"/>
        <v>0.49478079331941544</v>
      </c>
      <c r="J680" s="340">
        <f t="shared" si="706"/>
        <v>0.46142857142857141</v>
      </c>
      <c r="K680" s="339">
        <f t="shared" si="706"/>
        <v>0.48148949989175144</v>
      </c>
      <c r="L680" s="340">
        <f t="shared" si="706"/>
        <v>0.45258338783518642</v>
      </c>
      <c r="M680" s="340">
        <f t="shared" si="706"/>
        <v>0.4614050303555941</v>
      </c>
      <c r="N680" s="340">
        <f t="shared" si="706"/>
        <v>0.45633561643835618</v>
      </c>
      <c r="O680" s="340">
        <f t="shared" si="706"/>
        <v>0.43654114365411434</v>
      </c>
      <c r="P680" s="339">
        <f t="shared" si="706"/>
        <v>0.45098410295230884</v>
      </c>
      <c r="Q680" s="340">
        <f t="shared" si="706"/>
        <v>0.41123085649461144</v>
      </c>
      <c r="R680" s="340">
        <f t="shared" si="706"/>
        <v>0.43200663349917079</v>
      </c>
      <c r="S680" s="340">
        <f t="shared" si="706"/>
        <v>0.42426850258175558</v>
      </c>
      <c r="T680" s="340">
        <f t="shared" si="706"/>
        <v>0.45071335927367057</v>
      </c>
      <c r="U680" s="339">
        <f t="shared" si="706"/>
        <v>0.4290498854221752</v>
      </c>
      <c r="V680" s="340">
        <f t="shared" si="706"/>
        <v>0.38167539267015704</v>
      </c>
      <c r="W680" s="340">
        <f t="shared" si="706"/>
        <v>0.42917369308600339</v>
      </c>
      <c r="X680" s="340">
        <f t="shared" si="706"/>
        <v>0.4375545851528384</v>
      </c>
      <c r="Y680" s="340">
        <f t="shared" si="706"/>
        <v>0.40714840714840717</v>
      </c>
      <c r="Z680" s="339">
        <f t="shared" si="706"/>
        <v>0.40937047756874095</v>
      </c>
      <c r="AA680" s="340">
        <f t="shared" si="706"/>
        <v>0.37533875338753386</v>
      </c>
      <c r="AB680" s="341">
        <f t="shared" si="706"/>
        <v>0.39829706717123936</v>
      </c>
      <c r="AC680" s="340">
        <f t="shared" si="706"/>
        <v>0.39723502304147468</v>
      </c>
      <c r="AD680" s="340">
        <f t="shared" si="706"/>
        <v>0.40987654320987654</v>
      </c>
      <c r="AE680" s="339">
        <f t="shared" si="706"/>
        <v>0.39395820401406995</v>
      </c>
      <c r="AF680" s="340">
        <f t="shared" si="706"/>
        <v>0.38620689655172413</v>
      </c>
      <c r="AG680" s="341">
        <f t="shared" si="706"/>
        <v>0.40482822655524603</v>
      </c>
      <c r="AH680" s="340">
        <f t="shared" si="706"/>
        <v>0.41258741258741261</v>
      </c>
      <c r="AI680" s="340">
        <f t="shared" si="706"/>
        <v>0.42119323241317896</v>
      </c>
      <c r="AJ680" s="339">
        <f t="shared" si="706"/>
        <v>0.40464416254568908</v>
      </c>
      <c r="AK680" s="634"/>
      <c r="AL680" s="634"/>
      <c r="AM680" s="634"/>
      <c r="AN680" s="634"/>
      <c r="AO680" s="183"/>
      <c r="AP680" s="634"/>
      <c r="AQ680" s="634"/>
      <c r="AR680" s="634"/>
      <c r="AS680" s="634"/>
      <c r="AT680" s="183"/>
      <c r="AU680" s="634"/>
      <c r="AV680" s="634"/>
      <c r="AW680" s="691"/>
      <c r="AX680" s="634"/>
      <c r="AY680" s="183"/>
      <c r="AZ680" s="634"/>
      <c r="BA680" s="634"/>
      <c r="BB680" s="634"/>
      <c r="BC680" s="634"/>
      <c r="BD680" s="183"/>
      <c r="BE680" s="183"/>
      <c r="BF680" s="183"/>
      <c r="BG680" s="183"/>
      <c r="BH680" s="499"/>
    </row>
    <row r="681" spans="1:60" s="52" customFormat="1" hidden="1" outlineLevel="1" x14ac:dyDescent="0.25">
      <c r="A681" s="344" t="s">
        <v>172</v>
      </c>
      <c r="B681" s="749"/>
      <c r="C681" s="345">
        <f t="shared" ref="C681:AJ681" si="707">C675/-C673</f>
        <v>0.29741791520561045</v>
      </c>
      <c r="D681" s="345">
        <f t="shared" si="707"/>
        <v>0.30764757196859555</v>
      </c>
      <c r="E681" s="345">
        <f t="shared" si="707"/>
        <v>0.33614487720168695</v>
      </c>
      <c r="F681" s="345">
        <f t="shared" si="707"/>
        <v>0.27215035391750059</v>
      </c>
      <c r="G681" s="346">
        <f t="shared" si="707"/>
        <v>0.21702453987730061</v>
      </c>
      <c r="H681" s="346">
        <f t="shared" si="707"/>
        <v>0.29467084639498431</v>
      </c>
      <c r="I681" s="346">
        <f t="shared" si="707"/>
        <v>0.28601252609603339</v>
      </c>
      <c r="J681" s="346">
        <f t="shared" si="707"/>
        <v>0.24357142857142858</v>
      </c>
      <c r="K681" s="345">
        <f t="shared" si="707"/>
        <v>0.25546655120155876</v>
      </c>
      <c r="L681" s="346">
        <f t="shared" si="707"/>
        <v>0.20143884892086331</v>
      </c>
      <c r="M681" s="346">
        <f t="shared" si="707"/>
        <v>0.24284475281873374</v>
      </c>
      <c r="N681" s="346">
        <f t="shared" si="707"/>
        <v>0.2440068493150685</v>
      </c>
      <c r="O681" s="346">
        <f t="shared" si="707"/>
        <v>0.25453277545327757</v>
      </c>
      <c r="P681" s="345">
        <f t="shared" si="707"/>
        <v>0.23429220287660862</v>
      </c>
      <c r="Q681" s="346">
        <f t="shared" si="707"/>
        <v>0.16505955757231991</v>
      </c>
      <c r="R681" s="346">
        <f t="shared" si="707"/>
        <v>0.20895522388059701</v>
      </c>
      <c r="S681" s="346">
        <f t="shared" si="707"/>
        <v>0.23666092943201378</v>
      </c>
      <c r="T681" s="346">
        <f t="shared" si="707"/>
        <v>0.22957198443579765</v>
      </c>
      <c r="U681" s="345">
        <f t="shared" si="707"/>
        <v>0.20659263176449849</v>
      </c>
      <c r="V681" s="346">
        <f t="shared" si="707"/>
        <v>0.14450261780104712</v>
      </c>
      <c r="W681" s="346">
        <f t="shared" si="707"/>
        <v>0.23355817875210794</v>
      </c>
      <c r="X681" s="346">
        <f t="shared" si="707"/>
        <v>0.2427947598253275</v>
      </c>
      <c r="Y681" s="346">
        <f t="shared" si="707"/>
        <v>0.22843822843822845</v>
      </c>
      <c r="Z681" s="345">
        <f t="shared" si="707"/>
        <v>0.2035094066570188</v>
      </c>
      <c r="AA681" s="346">
        <f t="shared" si="707"/>
        <v>0.15853658536585366</v>
      </c>
      <c r="AB681" s="347">
        <f t="shared" si="707"/>
        <v>0.21286660359508042</v>
      </c>
      <c r="AC681" s="346">
        <f t="shared" si="707"/>
        <v>0.2294930875576037</v>
      </c>
      <c r="AD681" s="346">
        <f t="shared" si="707"/>
        <v>0.24609053497942388</v>
      </c>
      <c r="AE681" s="345">
        <f t="shared" si="707"/>
        <v>0.20835919718601284</v>
      </c>
      <c r="AF681" s="346">
        <f t="shared" si="707"/>
        <v>0.16</v>
      </c>
      <c r="AG681" s="347">
        <f t="shared" si="707"/>
        <v>0.22748375116063138</v>
      </c>
      <c r="AH681" s="346">
        <f t="shared" si="707"/>
        <v>0.22177822177822179</v>
      </c>
      <c r="AI681" s="346">
        <f t="shared" si="707"/>
        <v>0.21905609973285842</v>
      </c>
      <c r="AJ681" s="345">
        <f t="shared" si="707"/>
        <v>0.20318211137389808</v>
      </c>
      <c r="AK681" s="738"/>
      <c r="AL681" s="738"/>
      <c r="AM681" s="738"/>
      <c r="AN681" s="738"/>
      <c r="AO681" s="348"/>
      <c r="AP681" s="738"/>
      <c r="AQ681" s="738"/>
      <c r="AR681" s="738"/>
      <c r="AS681" s="738"/>
      <c r="AT681" s="348"/>
      <c r="AU681" s="738"/>
      <c r="AV681" s="738"/>
      <c r="AW681" s="760"/>
      <c r="AX681" s="738"/>
      <c r="AY681" s="348"/>
      <c r="AZ681" s="738"/>
      <c r="BA681" s="738"/>
      <c r="BB681" s="738"/>
      <c r="BC681" s="738"/>
      <c r="BD681" s="348"/>
      <c r="BE681" s="348"/>
      <c r="BF681" s="348"/>
      <c r="BG681" s="348"/>
      <c r="BH681" s="499"/>
    </row>
    <row r="682" spans="1:60" s="52" customFormat="1" hidden="1" outlineLevel="1" x14ac:dyDescent="0.25">
      <c r="A682" s="349" t="s">
        <v>173</v>
      </c>
      <c r="B682" s="750"/>
      <c r="C682" s="350">
        <f t="shared" ref="C682:AJ682" si="708">C678/C673</f>
        <v>0.10009563277016258</v>
      </c>
      <c r="D682" s="350">
        <f t="shared" si="708"/>
        <v>0.12881651642919453</v>
      </c>
      <c r="E682" s="350">
        <f t="shared" si="708"/>
        <v>0.126023319275614</v>
      </c>
      <c r="F682" s="350">
        <f t="shared" si="708"/>
        <v>0.17598242616548695</v>
      </c>
      <c r="G682" s="351">
        <f t="shared" si="708"/>
        <v>0.27223926380368096</v>
      </c>
      <c r="H682" s="351">
        <f t="shared" si="708"/>
        <v>0.15256008359456635</v>
      </c>
      <c r="I682" s="351">
        <f t="shared" si="708"/>
        <v>0.16805845511482254</v>
      </c>
      <c r="J682" s="351">
        <f t="shared" si="708"/>
        <v>0.25928571428571429</v>
      </c>
      <c r="K682" s="350">
        <f t="shared" si="708"/>
        <v>0.221909504221693</v>
      </c>
      <c r="L682" s="351">
        <f t="shared" si="708"/>
        <v>0.31720078482668412</v>
      </c>
      <c r="M682" s="351">
        <f t="shared" si="708"/>
        <v>0.24978317432784042</v>
      </c>
      <c r="N682" s="351">
        <f t="shared" si="708"/>
        <v>0.25856164383561642</v>
      </c>
      <c r="O682" s="351">
        <f t="shared" si="708"/>
        <v>0.27684797768479774</v>
      </c>
      <c r="P682" s="350">
        <f t="shared" si="708"/>
        <v>0.27857683573050718</v>
      </c>
      <c r="Q682" s="351">
        <f t="shared" si="708"/>
        <v>0.39761769710720363</v>
      </c>
      <c r="R682" s="351">
        <f t="shared" si="708"/>
        <v>0.32172470978441126</v>
      </c>
      <c r="S682" s="351">
        <f t="shared" si="708"/>
        <v>0.29948364888123924</v>
      </c>
      <c r="T682" s="351">
        <f t="shared" si="708"/>
        <v>0.2898832684824903</v>
      </c>
      <c r="U682" s="350">
        <f t="shared" si="708"/>
        <v>0.33209941829719725</v>
      </c>
      <c r="V682" s="351">
        <f t="shared" si="708"/>
        <v>0.45026178010471202</v>
      </c>
      <c r="W682" s="351">
        <f t="shared" si="708"/>
        <v>0.30101180438448566</v>
      </c>
      <c r="X682" s="351">
        <f t="shared" si="708"/>
        <v>0.28296943231441046</v>
      </c>
      <c r="Y682" s="351">
        <f t="shared" si="708"/>
        <v>0.32944832944832947</v>
      </c>
      <c r="Z682" s="350">
        <f t="shared" si="708"/>
        <v>0.35546309696092621</v>
      </c>
      <c r="AA682" s="351">
        <f t="shared" si="708"/>
        <v>0.43495934959349591</v>
      </c>
      <c r="AB682" s="352">
        <f t="shared" si="708"/>
        <v>0.34720908230842007</v>
      </c>
      <c r="AC682" s="351">
        <f t="shared" si="708"/>
        <v>0.33364055299539169</v>
      </c>
      <c r="AD682" s="351">
        <f t="shared" si="708"/>
        <v>0.30699588477366258</v>
      </c>
      <c r="AE682" s="350">
        <f t="shared" si="708"/>
        <v>0.36085247258431619</v>
      </c>
      <c r="AF682" s="351">
        <f t="shared" si="708"/>
        <v>0.42551724137931035</v>
      </c>
      <c r="AG682" s="352">
        <f t="shared" si="708"/>
        <v>0.32869080779944287</v>
      </c>
      <c r="AH682" s="351">
        <f t="shared" si="708"/>
        <v>0.32367632367632365</v>
      </c>
      <c r="AI682" s="351">
        <f t="shared" si="708"/>
        <v>0.30008904719501334</v>
      </c>
      <c r="AJ682" s="350">
        <f t="shared" si="708"/>
        <v>0.35089228122984306</v>
      </c>
      <c r="AK682" s="353"/>
      <c r="AL682" s="353"/>
      <c r="AM682" s="353"/>
      <c r="AN682" s="353"/>
      <c r="AO682" s="354"/>
      <c r="AP682" s="353"/>
      <c r="AQ682" s="353"/>
      <c r="AR682" s="353"/>
      <c r="AS682" s="353"/>
      <c r="AT682" s="354"/>
      <c r="AU682" s="353"/>
      <c r="AV682" s="353"/>
      <c r="AW682" s="761"/>
      <c r="AX682" s="353"/>
      <c r="AY682" s="354"/>
      <c r="AZ682" s="353"/>
      <c r="BA682" s="353"/>
      <c r="BB682" s="353"/>
      <c r="BC682" s="353"/>
      <c r="BD682" s="354"/>
      <c r="BE682" s="354"/>
      <c r="BF682" s="354"/>
      <c r="BG682" s="354"/>
      <c r="BH682" s="499"/>
    </row>
    <row r="683" spans="1:60" s="44" customFormat="1" hidden="1" outlineLevel="1" x14ac:dyDescent="0.25">
      <c r="A683" s="748"/>
      <c r="B683" s="246"/>
      <c r="C683" s="478"/>
      <c r="D683" s="478"/>
      <c r="E683" s="478"/>
      <c r="F683" s="478"/>
      <c r="G683" s="480"/>
      <c r="H683" s="480"/>
      <c r="I683" s="480"/>
      <c r="J683" s="480"/>
      <c r="K683" s="478"/>
      <c r="L683" s="480"/>
      <c r="M683" s="480"/>
      <c r="N683" s="480"/>
      <c r="O683" s="480"/>
      <c r="P683" s="478"/>
      <c r="Q683" s="480"/>
      <c r="R683" s="480"/>
      <c r="S683" s="480"/>
      <c r="T683" s="480"/>
      <c r="U683" s="478"/>
      <c r="V683" s="480"/>
      <c r="W683" s="480"/>
      <c r="X683" s="480"/>
      <c r="Y683" s="480"/>
      <c r="Z683" s="478"/>
      <c r="AA683" s="480"/>
      <c r="AB683" s="480"/>
      <c r="AC683" s="480"/>
      <c r="AD683" s="480"/>
      <c r="AE683" s="478"/>
      <c r="AF683" s="480"/>
      <c r="AG683" s="480"/>
      <c r="AH683" s="480"/>
      <c r="AI683" s="480"/>
      <c r="AJ683" s="478"/>
      <c r="AK683" s="480"/>
      <c r="AL683" s="480"/>
      <c r="AM683" s="480"/>
      <c r="AN683" s="480"/>
      <c r="AO683" s="478"/>
      <c r="AP683" s="480"/>
      <c r="AQ683" s="480"/>
      <c r="AR683" s="480"/>
      <c r="AS683" s="480"/>
      <c r="AT683" s="478"/>
      <c r="AU683" s="480"/>
      <c r="AV683" s="480"/>
      <c r="AW683" s="708"/>
      <c r="AX683" s="480"/>
      <c r="AY683" s="478"/>
      <c r="AZ683" s="480"/>
      <c r="BA683" s="480"/>
      <c r="BB683" s="480"/>
      <c r="BC683" s="480"/>
      <c r="BD683" s="478"/>
      <c r="BE683" s="478"/>
      <c r="BF683" s="478"/>
      <c r="BG683" s="478"/>
      <c r="BH683" s="473"/>
    </row>
    <row r="684" spans="1:60" s="52" customFormat="1" hidden="1" outlineLevel="1" x14ac:dyDescent="0.25">
      <c r="A684" s="501" t="s">
        <v>174</v>
      </c>
      <c r="B684" s="764"/>
      <c r="C684" s="51">
        <f>46+21</f>
        <v>67</v>
      </c>
      <c r="D684" s="51">
        <f>97+17</f>
        <v>114</v>
      </c>
      <c r="E684" s="51">
        <f>115+21</f>
        <v>136</v>
      </c>
      <c r="F684" s="51">
        <f>69+27</f>
        <v>96</v>
      </c>
      <c r="G684" s="499">
        <f>6+3</f>
        <v>9</v>
      </c>
      <c r="H684" s="499">
        <f>14+6</f>
        <v>20</v>
      </c>
      <c r="I684" s="499">
        <f>27+11</f>
        <v>38</v>
      </c>
      <c r="J684" s="499">
        <f>K684</f>
        <v>58</v>
      </c>
      <c r="K684" s="51">
        <f>45+13</f>
        <v>58</v>
      </c>
      <c r="L684" s="499">
        <v>6</v>
      </c>
      <c r="M684" s="499">
        <f>10+2</f>
        <v>12</v>
      </c>
      <c r="N684" s="499">
        <f>23+3</f>
        <v>26</v>
      </c>
      <c r="O684" s="499">
        <f>P684</f>
        <v>48</v>
      </c>
      <c r="P684" s="51">
        <f>43+5</f>
        <v>48</v>
      </c>
      <c r="Q684" s="499">
        <v>5</v>
      </c>
      <c r="R684" s="499">
        <v>26</v>
      </c>
      <c r="S684" s="499">
        <v>46</v>
      </c>
      <c r="T684" s="499">
        <f>U684</f>
        <v>87</v>
      </c>
      <c r="U684" s="51">
        <v>87</v>
      </c>
      <c r="V684" s="499">
        <v>13</v>
      </c>
      <c r="W684" s="499">
        <v>20</v>
      </c>
      <c r="X684" s="499">
        <v>33</v>
      </c>
      <c r="Y684" s="499">
        <f>Z684</f>
        <v>53</v>
      </c>
      <c r="Z684" s="51">
        <v>53</v>
      </c>
      <c r="AA684" s="499">
        <v>6</v>
      </c>
      <c r="AB684" s="194">
        <v>8</v>
      </c>
      <c r="AC684" s="499">
        <v>17</v>
      </c>
      <c r="AD684" s="499">
        <f>AE684</f>
        <v>30</v>
      </c>
      <c r="AE684" s="51">
        <v>30</v>
      </c>
      <c r="AF684" s="499">
        <v>7</v>
      </c>
      <c r="AG684" s="194">
        <v>10</v>
      </c>
      <c r="AH684" s="499">
        <v>14</v>
      </c>
      <c r="AI684" s="499">
        <f>AJ684</f>
        <v>18</v>
      </c>
      <c r="AJ684" s="51">
        <v>18</v>
      </c>
      <c r="AK684" s="114"/>
      <c r="AL684" s="114"/>
      <c r="AM684" s="114"/>
      <c r="AN684" s="114"/>
      <c r="AO684" s="111"/>
      <c r="AP684" s="114"/>
      <c r="AQ684" s="114"/>
      <c r="AR684" s="114"/>
      <c r="AS684" s="114"/>
      <c r="AT684" s="111"/>
      <c r="AU684" s="114"/>
      <c r="AV684" s="114"/>
      <c r="AW684" s="765"/>
      <c r="AX684" s="114"/>
      <c r="AY684" s="111"/>
      <c r="AZ684" s="114"/>
      <c r="BA684" s="114"/>
      <c r="BB684" s="114"/>
      <c r="BC684" s="114"/>
      <c r="BD684" s="111"/>
      <c r="BE684" s="111"/>
      <c r="BF684" s="111"/>
      <c r="BG684" s="111"/>
      <c r="BH684" s="499"/>
    </row>
    <row r="685" spans="1:60" s="52" customFormat="1" hidden="1" outlineLevel="1" collapsed="1" x14ac:dyDescent="0.25">
      <c r="A685" s="501" t="s">
        <v>175</v>
      </c>
      <c r="B685" s="764"/>
      <c r="C685" s="51">
        <f>C684</f>
        <v>67</v>
      </c>
      <c r="D685" s="51">
        <f>D684</f>
        <v>114</v>
      </c>
      <c r="E685" s="51">
        <f>E684</f>
        <v>136</v>
      </c>
      <c r="F685" s="51">
        <f>F684</f>
        <v>96</v>
      </c>
      <c r="G685" s="499">
        <f>G684</f>
        <v>9</v>
      </c>
      <c r="H685" s="499">
        <f>H684-G684</f>
        <v>11</v>
      </c>
      <c r="I685" s="499">
        <f>I684-H684</f>
        <v>18</v>
      </c>
      <c r="J685" s="499">
        <f>J684-I684</f>
        <v>20</v>
      </c>
      <c r="K685" s="51">
        <f>K684</f>
        <v>58</v>
      </c>
      <c r="L685" s="499">
        <f>L684</f>
        <v>6</v>
      </c>
      <c r="M685" s="499">
        <f>M684-L684</f>
        <v>6</v>
      </c>
      <c r="N685" s="499">
        <f>N684-M684</f>
        <v>14</v>
      </c>
      <c r="O685" s="499">
        <f>O684-N684</f>
        <v>22</v>
      </c>
      <c r="P685" s="51">
        <f>P684</f>
        <v>48</v>
      </c>
      <c r="Q685" s="499">
        <f>Q684</f>
        <v>5</v>
      </c>
      <c r="R685" s="499">
        <f>R684-Q684</f>
        <v>21</v>
      </c>
      <c r="S685" s="499">
        <f>S684-R684</f>
        <v>20</v>
      </c>
      <c r="T685" s="499">
        <f>T684-S684</f>
        <v>41</v>
      </c>
      <c r="U685" s="51">
        <f>U684</f>
        <v>87</v>
      </c>
      <c r="V685" s="499">
        <f>V684</f>
        <v>13</v>
      </c>
      <c r="W685" s="499">
        <f>W684-V684</f>
        <v>7</v>
      </c>
      <c r="X685" s="499">
        <f>X684-W684</f>
        <v>13</v>
      </c>
      <c r="Y685" s="499">
        <f>Y684-X684</f>
        <v>20</v>
      </c>
      <c r="Z685" s="51">
        <f>Z684</f>
        <v>53</v>
      </c>
      <c r="AA685" s="499">
        <f>AA684</f>
        <v>6</v>
      </c>
      <c r="AB685" s="499">
        <f>AB684-AA684</f>
        <v>2</v>
      </c>
      <c r="AC685" s="499">
        <f>AC684-AB684</f>
        <v>9</v>
      </c>
      <c r="AD685" s="499">
        <f>AD684-AC684</f>
        <v>13</v>
      </c>
      <c r="AE685" s="51">
        <f>AE684</f>
        <v>30</v>
      </c>
      <c r="AF685" s="499">
        <f>AF684</f>
        <v>7</v>
      </c>
      <c r="AG685" s="499">
        <f>AG684-AF684</f>
        <v>3</v>
      </c>
      <c r="AH685" s="499">
        <f>AH684-AG684</f>
        <v>4</v>
      </c>
      <c r="AI685" s="499">
        <f>AI684-AH684</f>
        <v>4</v>
      </c>
      <c r="AJ685" s="51">
        <f>AJ684</f>
        <v>18</v>
      </c>
      <c r="AK685" s="114"/>
      <c r="AL685" s="114"/>
      <c r="AM685" s="114"/>
      <c r="AN685" s="114"/>
      <c r="AO685" s="111"/>
      <c r="AP685" s="114"/>
      <c r="AQ685" s="114"/>
      <c r="AR685" s="114"/>
      <c r="AS685" s="114"/>
      <c r="AT685" s="111"/>
      <c r="AU685" s="114"/>
      <c r="AV685" s="114"/>
      <c r="AW685" s="765"/>
      <c r="AX685" s="114"/>
      <c r="AY685" s="111"/>
      <c r="AZ685" s="114"/>
      <c r="BA685" s="114"/>
      <c r="BB685" s="114"/>
      <c r="BC685" s="114"/>
      <c r="BD685" s="111"/>
      <c r="BE685" s="111"/>
      <c r="BF685" s="111"/>
      <c r="BG685" s="111"/>
      <c r="BH685" s="499"/>
    </row>
    <row r="686" spans="1:60" s="338" customFormat="1" hidden="1" outlineLevel="1" collapsed="1" x14ac:dyDescent="0.25">
      <c r="A686" s="776"/>
      <c r="B686" s="777"/>
      <c r="C686" s="336"/>
      <c r="D686" s="336"/>
      <c r="E686" s="336"/>
      <c r="F686" s="336"/>
      <c r="G686" s="739"/>
      <c r="H686" s="739"/>
      <c r="I686" s="739"/>
      <c r="J686" s="739"/>
      <c r="K686" s="336"/>
      <c r="L686" s="739"/>
      <c r="M686" s="739"/>
      <c r="N686" s="739"/>
      <c r="O686" s="739"/>
      <c r="P686" s="336"/>
      <c r="Q686" s="739"/>
      <c r="R686" s="739"/>
      <c r="S686" s="739"/>
      <c r="T686" s="739"/>
      <c r="U686" s="336"/>
      <c r="V686" s="739"/>
      <c r="W686" s="739"/>
      <c r="X686" s="739"/>
      <c r="Y686" s="739"/>
      <c r="Z686" s="336"/>
      <c r="AA686" s="739"/>
      <c r="AB686" s="739"/>
      <c r="AC686" s="739"/>
      <c r="AD686" s="739"/>
      <c r="AE686" s="336"/>
      <c r="AF686" s="739"/>
      <c r="AG686" s="739"/>
      <c r="AH686" s="739"/>
      <c r="AI686" s="739"/>
      <c r="AJ686" s="336"/>
      <c r="AK686" s="739"/>
      <c r="AL686" s="739"/>
      <c r="AM686" s="739"/>
      <c r="AN686" s="739"/>
      <c r="AO686" s="336"/>
      <c r="AP686" s="739"/>
      <c r="AQ686" s="739"/>
      <c r="AR686" s="739"/>
      <c r="AS686" s="739"/>
      <c r="AT686" s="336"/>
      <c r="AU686" s="739"/>
      <c r="AV686" s="739"/>
      <c r="AW686" s="778"/>
      <c r="AX686" s="739"/>
      <c r="AY686" s="336"/>
      <c r="AZ686" s="739"/>
      <c r="BA686" s="739"/>
      <c r="BB686" s="739"/>
      <c r="BC686" s="739"/>
      <c r="BD686" s="336"/>
      <c r="BE686" s="336"/>
      <c r="BF686" s="336"/>
      <c r="BG686" s="336"/>
      <c r="BH686" s="587"/>
    </row>
    <row r="687" spans="1:60" s="19" customFormat="1" hidden="1" outlineLevel="1" x14ac:dyDescent="0.25">
      <c r="A687" s="956" t="s">
        <v>176</v>
      </c>
      <c r="B687" s="956"/>
      <c r="C687" s="986"/>
      <c r="D687" s="986"/>
      <c r="E687" s="986"/>
      <c r="F687" s="986"/>
      <c r="G687" s="986"/>
      <c r="H687" s="986"/>
      <c r="I687" s="986"/>
      <c r="J687" s="986"/>
      <c r="K687" s="986"/>
      <c r="L687" s="986"/>
      <c r="M687" s="986"/>
      <c r="N687" s="986"/>
      <c r="O687" s="986"/>
      <c r="P687" s="986"/>
      <c r="Q687" s="986"/>
      <c r="R687" s="986"/>
      <c r="S687" s="986"/>
      <c r="T687" s="986"/>
      <c r="U687" s="986"/>
      <c r="V687" s="986"/>
      <c r="W687" s="986"/>
      <c r="X687" s="986"/>
      <c r="Y687" s="986"/>
      <c r="Z687" s="986"/>
      <c r="AA687" s="986"/>
      <c r="AB687" s="986"/>
      <c r="AC687" s="986"/>
      <c r="AD687" s="986"/>
      <c r="AE687" s="986"/>
      <c r="AF687" s="986"/>
      <c r="AG687" s="986"/>
      <c r="AH687" s="986"/>
      <c r="AI687" s="986"/>
      <c r="AJ687" s="986"/>
      <c r="AK687" s="986"/>
      <c r="AL687" s="986"/>
      <c r="AM687" s="986"/>
      <c r="AN687" s="986"/>
      <c r="AO687" s="986"/>
      <c r="AP687" s="986"/>
      <c r="AQ687" s="986"/>
      <c r="AR687" s="986"/>
      <c r="AS687" s="986"/>
      <c r="AT687" s="986"/>
      <c r="AU687" s="986"/>
      <c r="AV687" s="986"/>
      <c r="AW687" s="987"/>
      <c r="AX687" s="986"/>
      <c r="AY687" s="986"/>
      <c r="AZ687" s="986"/>
      <c r="BA687" s="986"/>
      <c r="BB687" s="986"/>
      <c r="BC687" s="986"/>
      <c r="BD687" s="986"/>
      <c r="BE687" s="986"/>
      <c r="BF687" s="986"/>
      <c r="BG687" s="986"/>
      <c r="BH687" s="730"/>
    </row>
    <row r="688" spans="1:60" s="52" customFormat="1" hidden="1" outlineLevel="1" x14ac:dyDescent="0.25">
      <c r="A688" s="500" t="s">
        <v>108</v>
      </c>
      <c r="B688" s="775"/>
      <c r="C688" s="53">
        <f t="shared" ref="C688:AJ688" si="709">C592+C624+C661+C678</f>
        <v>6672</v>
      </c>
      <c r="D688" s="53">
        <f t="shared" si="709"/>
        <v>7586</v>
      </c>
      <c r="E688" s="53">
        <f t="shared" si="709"/>
        <v>8825</v>
      </c>
      <c r="F688" s="53">
        <f t="shared" si="709"/>
        <v>9964</v>
      </c>
      <c r="G688" s="61">
        <f t="shared" si="709"/>
        <v>2380</v>
      </c>
      <c r="H688" s="61">
        <f t="shared" si="709"/>
        <v>2509</v>
      </c>
      <c r="I688" s="61">
        <f t="shared" si="709"/>
        <v>3351</v>
      </c>
      <c r="J688" s="61">
        <f t="shared" si="709"/>
        <v>2484</v>
      </c>
      <c r="K688" s="53">
        <f t="shared" si="709"/>
        <v>10724</v>
      </c>
      <c r="L688" s="61">
        <f t="shared" si="709"/>
        <v>3020</v>
      </c>
      <c r="M688" s="61">
        <f t="shared" si="709"/>
        <v>3353</v>
      </c>
      <c r="N688" s="61">
        <f t="shared" si="709"/>
        <v>3857</v>
      </c>
      <c r="O688" s="61">
        <f t="shared" si="709"/>
        <v>2775</v>
      </c>
      <c r="P688" s="53">
        <f t="shared" si="709"/>
        <v>13005</v>
      </c>
      <c r="Q688" s="61">
        <f t="shared" si="709"/>
        <v>3545</v>
      </c>
      <c r="R688" s="61">
        <f t="shared" si="709"/>
        <v>3482</v>
      </c>
      <c r="S688" s="61">
        <f t="shared" si="709"/>
        <v>4120</v>
      </c>
      <c r="T688" s="61">
        <f t="shared" si="709"/>
        <v>3534</v>
      </c>
      <c r="U688" s="53">
        <f t="shared" si="709"/>
        <v>14681</v>
      </c>
      <c r="V688" s="61">
        <f t="shared" si="709"/>
        <v>4267</v>
      </c>
      <c r="W688" s="61">
        <f t="shared" si="709"/>
        <v>3822</v>
      </c>
      <c r="X688" s="61">
        <f t="shared" si="709"/>
        <v>4456</v>
      </c>
      <c r="Y688" s="61">
        <f t="shared" si="709"/>
        <v>3176</v>
      </c>
      <c r="Z688" s="53">
        <f t="shared" si="709"/>
        <v>15721</v>
      </c>
      <c r="AA688" s="61">
        <f t="shared" si="709"/>
        <v>3956</v>
      </c>
      <c r="AB688" s="192">
        <f t="shared" si="709"/>
        <v>3996</v>
      </c>
      <c r="AC688" s="61">
        <f t="shared" si="709"/>
        <v>4011</v>
      </c>
      <c r="AD688" s="61">
        <f t="shared" si="709"/>
        <v>2812</v>
      </c>
      <c r="AE688" s="53">
        <f t="shared" si="709"/>
        <v>14775</v>
      </c>
      <c r="AF688" s="61">
        <f t="shared" si="709"/>
        <v>3986</v>
      </c>
      <c r="AG688" s="192">
        <f t="shared" si="709"/>
        <v>4237</v>
      </c>
      <c r="AH688" s="61">
        <f t="shared" si="709"/>
        <v>4193</v>
      </c>
      <c r="AI688" s="61">
        <f t="shared" si="709"/>
        <v>3290</v>
      </c>
      <c r="AJ688" s="53">
        <f t="shared" si="709"/>
        <v>15706</v>
      </c>
      <c r="AK688" s="105"/>
      <c r="AL688" s="105"/>
      <c r="AM688" s="105"/>
      <c r="AN688" s="105"/>
      <c r="AO688" s="106"/>
      <c r="AP688" s="105"/>
      <c r="AQ688" s="105"/>
      <c r="AR688" s="105"/>
      <c r="AS688" s="105"/>
      <c r="AT688" s="106"/>
      <c r="AU688" s="105"/>
      <c r="AV688" s="105"/>
      <c r="AW688" s="763"/>
      <c r="AX688" s="105"/>
      <c r="AY688" s="106"/>
      <c r="AZ688" s="105"/>
      <c r="BA688" s="105"/>
      <c r="BB688" s="105"/>
      <c r="BC688" s="105"/>
      <c r="BD688" s="106"/>
      <c r="BE688" s="106"/>
      <c r="BF688" s="106"/>
      <c r="BG688" s="106"/>
      <c r="BH688" s="499"/>
    </row>
    <row r="689" spans="1:60" s="49" customFormat="1" hidden="1" outlineLevel="1" x14ac:dyDescent="0.25">
      <c r="A689" s="96" t="s">
        <v>109</v>
      </c>
      <c r="B689" s="234"/>
      <c r="C689" s="104"/>
      <c r="D689" s="104"/>
      <c r="E689" s="104"/>
      <c r="F689" s="104"/>
      <c r="G689" s="113"/>
      <c r="H689" s="113"/>
      <c r="I689" s="113"/>
      <c r="J689" s="113"/>
      <c r="K689" s="39">
        <f t="shared" ref="K689:AJ689" si="710">K691-K690</f>
        <v>311</v>
      </c>
      <c r="L689" s="484">
        <f t="shared" si="710"/>
        <v>58</v>
      </c>
      <c r="M689" s="484">
        <f t="shared" si="710"/>
        <v>97</v>
      </c>
      <c r="N689" s="484">
        <f t="shared" si="710"/>
        <v>76</v>
      </c>
      <c r="O689" s="484">
        <f t="shared" si="710"/>
        <v>141</v>
      </c>
      <c r="P689" s="39">
        <f t="shared" si="710"/>
        <v>372</v>
      </c>
      <c r="Q689" s="484">
        <f t="shared" si="710"/>
        <v>64</v>
      </c>
      <c r="R689" s="484">
        <f t="shared" si="710"/>
        <v>109</v>
      </c>
      <c r="S689" s="484">
        <f t="shared" si="710"/>
        <v>83</v>
      </c>
      <c r="T689" s="484">
        <f t="shared" si="710"/>
        <v>138</v>
      </c>
      <c r="U689" s="39">
        <f t="shared" si="710"/>
        <v>394</v>
      </c>
      <c r="V689" s="484">
        <f t="shared" si="710"/>
        <v>73</v>
      </c>
      <c r="W689" s="484">
        <f t="shared" si="710"/>
        <v>101</v>
      </c>
      <c r="X689" s="484">
        <f t="shared" si="710"/>
        <v>98</v>
      </c>
      <c r="Y689" s="484">
        <f t="shared" si="710"/>
        <v>117</v>
      </c>
      <c r="Z689" s="39">
        <f t="shared" si="710"/>
        <v>389</v>
      </c>
      <c r="AA689" s="484">
        <f t="shared" si="710"/>
        <v>64</v>
      </c>
      <c r="AB689" s="191">
        <f t="shared" si="710"/>
        <v>100</v>
      </c>
      <c r="AC689" s="484">
        <f t="shared" si="710"/>
        <v>39</v>
      </c>
      <c r="AD689" s="484">
        <f t="shared" si="710"/>
        <v>127</v>
      </c>
      <c r="AE689" s="39">
        <f t="shared" si="710"/>
        <v>330</v>
      </c>
      <c r="AF689" s="484">
        <f t="shared" si="710"/>
        <v>96</v>
      </c>
      <c r="AG689" s="191">
        <f t="shared" si="710"/>
        <v>183</v>
      </c>
      <c r="AH689" s="484">
        <f t="shared" si="710"/>
        <v>207</v>
      </c>
      <c r="AI689" s="484">
        <f t="shared" si="710"/>
        <v>245</v>
      </c>
      <c r="AJ689" s="39">
        <f t="shared" si="710"/>
        <v>796</v>
      </c>
      <c r="AK689" s="113"/>
      <c r="AL689" s="113"/>
      <c r="AM689" s="113"/>
      <c r="AN689" s="113"/>
      <c r="AO689" s="104"/>
      <c r="AP689" s="113"/>
      <c r="AQ689" s="113"/>
      <c r="AR689" s="113"/>
      <c r="AS689" s="113"/>
      <c r="AT689" s="104"/>
      <c r="AU689" s="113"/>
      <c r="AV689" s="113"/>
      <c r="AW689" s="699"/>
      <c r="AX689" s="113"/>
      <c r="AY689" s="104"/>
      <c r="AZ689" s="113"/>
      <c r="BA689" s="113"/>
      <c r="BB689" s="113"/>
      <c r="BC689" s="113"/>
      <c r="BD689" s="104"/>
      <c r="BE689" s="104"/>
      <c r="BF689" s="104"/>
      <c r="BG689" s="104"/>
      <c r="BH689" s="484"/>
    </row>
    <row r="690" spans="1:60" s="49" customFormat="1" hidden="1" outlineLevel="1" x14ac:dyDescent="0.25">
      <c r="A690" s="363" t="s">
        <v>110</v>
      </c>
      <c r="B690" s="536"/>
      <c r="C690" s="230"/>
      <c r="D690" s="230"/>
      <c r="E690" s="230"/>
      <c r="F690" s="230"/>
      <c r="G690" s="215"/>
      <c r="H690" s="215"/>
      <c r="I690" s="215"/>
      <c r="J690" s="215"/>
      <c r="K690" s="219">
        <f t="shared" ref="K690:AJ690" si="711">K769+K590+K622+K659+K676</f>
        <v>220</v>
      </c>
      <c r="L690" s="220">
        <f t="shared" si="711"/>
        <v>58</v>
      </c>
      <c r="M690" s="220">
        <f t="shared" si="711"/>
        <v>58</v>
      </c>
      <c r="N690" s="220">
        <f t="shared" si="711"/>
        <v>61</v>
      </c>
      <c r="O690" s="220">
        <f t="shared" si="711"/>
        <v>62</v>
      </c>
      <c r="P690" s="219">
        <f t="shared" si="711"/>
        <v>239</v>
      </c>
      <c r="Q690" s="220">
        <f t="shared" si="711"/>
        <v>61</v>
      </c>
      <c r="R690" s="220">
        <f t="shared" si="711"/>
        <v>61</v>
      </c>
      <c r="S690" s="220">
        <f t="shared" si="711"/>
        <v>63</v>
      </c>
      <c r="T690" s="220">
        <f t="shared" si="711"/>
        <v>64</v>
      </c>
      <c r="U690" s="219">
        <f t="shared" si="711"/>
        <v>249</v>
      </c>
      <c r="V690" s="220">
        <f t="shared" si="711"/>
        <v>63</v>
      </c>
      <c r="W690" s="220">
        <f t="shared" si="711"/>
        <v>61</v>
      </c>
      <c r="X690" s="220">
        <f t="shared" si="711"/>
        <v>61</v>
      </c>
      <c r="Y690" s="220">
        <f t="shared" si="711"/>
        <v>66</v>
      </c>
      <c r="Z690" s="219">
        <f t="shared" si="711"/>
        <v>251</v>
      </c>
      <c r="AA690" s="220">
        <f t="shared" si="711"/>
        <v>68</v>
      </c>
      <c r="AB690" s="221">
        <f t="shared" si="711"/>
        <v>61</v>
      </c>
      <c r="AC690" s="220">
        <f t="shared" si="711"/>
        <v>60</v>
      </c>
      <c r="AD690" s="220">
        <f t="shared" si="711"/>
        <v>63</v>
      </c>
      <c r="AE690" s="219">
        <f t="shared" si="711"/>
        <v>252</v>
      </c>
      <c r="AF690" s="220">
        <f t="shared" si="711"/>
        <v>54</v>
      </c>
      <c r="AG690" s="221">
        <f t="shared" si="711"/>
        <v>11</v>
      </c>
      <c r="AH690" s="220">
        <f t="shared" si="711"/>
        <v>-11</v>
      </c>
      <c r="AI690" s="220">
        <f t="shared" si="711"/>
        <v>-24</v>
      </c>
      <c r="AJ690" s="219">
        <f t="shared" si="711"/>
        <v>-35</v>
      </c>
      <c r="AK690" s="215"/>
      <c r="AL690" s="215"/>
      <c r="AM690" s="215"/>
      <c r="AN690" s="215"/>
      <c r="AO690" s="230"/>
      <c r="AP690" s="215"/>
      <c r="AQ690" s="215"/>
      <c r="AR690" s="215"/>
      <c r="AS690" s="215"/>
      <c r="AT690" s="230"/>
      <c r="AU690" s="215"/>
      <c r="AV690" s="215"/>
      <c r="AW690" s="774"/>
      <c r="AX690" s="215"/>
      <c r="AY690" s="230"/>
      <c r="AZ690" s="215"/>
      <c r="BA690" s="215"/>
      <c r="BB690" s="215"/>
      <c r="BC690" s="215"/>
      <c r="BD690" s="230"/>
      <c r="BE690" s="230"/>
      <c r="BF690" s="230"/>
      <c r="BG690" s="230"/>
      <c r="BH690" s="484"/>
    </row>
    <row r="691" spans="1:60" s="49" customFormat="1" hidden="1" outlineLevel="1" x14ac:dyDescent="0.25">
      <c r="A691" s="483" t="s">
        <v>111</v>
      </c>
      <c r="B691" s="209"/>
      <c r="C691" s="39">
        <v>398</v>
      </c>
      <c r="D691" s="39">
        <v>420</v>
      </c>
      <c r="E691" s="39">
        <v>459</v>
      </c>
      <c r="F691" s="39">
        <v>474</v>
      </c>
      <c r="G691" s="484">
        <v>123</v>
      </c>
      <c r="H691" s="484">
        <v>129</v>
      </c>
      <c r="I691" s="484">
        <v>115</v>
      </c>
      <c r="J691" s="484">
        <f t="shared" ref="J691:J698" si="712">K691-I691-H691-G691</f>
        <v>164</v>
      </c>
      <c r="K691" s="39">
        <v>531</v>
      </c>
      <c r="L691" s="484">
        <v>116</v>
      </c>
      <c r="M691" s="484">
        <v>155</v>
      </c>
      <c r="N691" s="484">
        <v>137</v>
      </c>
      <c r="O691" s="484">
        <f t="shared" ref="O691:O698" si="713">P691-N691-M691-L691</f>
        <v>203</v>
      </c>
      <c r="P691" s="39">
        <v>611</v>
      </c>
      <c r="Q691" s="484">
        <v>125</v>
      </c>
      <c r="R691" s="484">
        <v>170</v>
      </c>
      <c r="S691" s="484">
        <v>146</v>
      </c>
      <c r="T691" s="484">
        <f t="shared" ref="T691:T698" si="714">U691-S691-R691-Q691</f>
        <v>202</v>
      </c>
      <c r="U691" s="39">
        <v>643</v>
      </c>
      <c r="V691" s="484">
        <v>136</v>
      </c>
      <c r="W691" s="484">
        <v>162</v>
      </c>
      <c r="X691" s="484">
        <v>159</v>
      </c>
      <c r="Y691" s="484">
        <f t="shared" ref="Y691:Y698" si="715">Z691-X691-W691-V691</f>
        <v>183</v>
      </c>
      <c r="Z691" s="39">
        <v>640</v>
      </c>
      <c r="AA691" s="484">
        <v>132</v>
      </c>
      <c r="AB691" s="191">
        <v>161</v>
      </c>
      <c r="AC691" s="484">
        <v>99</v>
      </c>
      <c r="AD691" s="484">
        <f t="shared" ref="AD691:AD698" si="716">AE691-AC691-AB691-AA691</f>
        <v>190</v>
      </c>
      <c r="AE691" s="39">
        <v>582</v>
      </c>
      <c r="AF691" s="484">
        <v>150</v>
      </c>
      <c r="AG691" s="191">
        <v>194</v>
      </c>
      <c r="AH691" s="484">
        <v>196</v>
      </c>
      <c r="AI691" s="484">
        <f t="shared" ref="AI691:AI698" si="717">AJ691-AH691-AG691-AF691</f>
        <v>221</v>
      </c>
      <c r="AJ691" s="39">
        <v>761</v>
      </c>
      <c r="AK691" s="113"/>
      <c r="AL691" s="113"/>
      <c r="AM691" s="113"/>
      <c r="AN691" s="113"/>
      <c r="AO691" s="104"/>
      <c r="AP691" s="113"/>
      <c r="AQ691" s="113"/>
      <c r="AR691" s="113"/>
      <c r="AS691" s="113"/>
      <c r="AT691" s="104"/>
      <c r="AU691" s="113"/>
      <c r="AV691" s="113"/>
      <c r="AW691" s="699"/>
      <c r="AX691" s="113"/>
      <c r="AY691" s="104"/>
      <c r="AZ691" s="113"/>
      <c r="BA691" s="113"/>
      <c r="BB691" s="113"/>
      <c r="BC691" s="113"/>
      <c r="BD691" s="104"/>
      <c r="BE691" s="104"/>
      <c r="BF691" s="104"/>
      <c r="BG691" s="104"/>
      <c r="BH691" s="484"/>
    </row>
    <row r="692" spans="1:60" s="49" customFormat="1" hidden="1" outlineLevel="1" x14ac:dyDescent="0.25">
      <c r="A692" s="483" t="s">
        <v>112</v>
      </c>
      <c r="B692" s="209"/>
      <c r="C692" s="39">
        <v>492</v>
      </c>
      <c r="D692" s="39">
        <v>270</v>
      </c>
      <c r="E692" s="39">
        <v>55</v>
      </c>
      <c r="F692" s="39">
        <v>100</v>
      </c>
      <c r="G692" s="113"/>
      <c r="H692" s="484">
        <v>61</v>
      </c>
      <c r="I692" s="484">
        <v>60</v>
      </c>
      <c r="J692" s="484">
        <f t="shared" si="712"/>
        <v>93</v>
      </c>
      <c r="K692" s="39">
        <v>214</v>
      </c>
      <c r="L692" s="484">
        <v>19</v>
      </c>
      <c r="M692" s="484">
        <v>48</v>
      </c>
      <c r="N692" s="113"/>
      <c r="O692" s="484">
        <f t="shared" si="713"/>
        <v>73</v>
      </c>
      <c r="P692" s="39">
        <v>140</v>
      </c>
      <c r="Q692" s="113"/>
      <c r="R692" s="113"/>
      <c r="S692" s="113"/>
      <c r="T692" s="484">
        <f t="shared" si="714"/>
        <v>53</v>
      </c>
      <c r="U692" s="39">
        <v>53</v>
      </c>
      <c r="V692" s="484">
        <v>81</v>
      </c>
      <c r="W692" s="113"/>
      <c r="X692" s="484">
        <v>44</v>
      </c>
      <c r="Y692" s="484">
        <f t="shared" si="715"/>
        <v>31</v>
      </c>
      <c r="Z692" s="39">
        <v>156</v>
      </c>
      <c r="AA692" s="113"/>
      <c r="AB692" s="113"/>
      <c r="AC692" s="113"/>
      <c r="AD692" s="484">
        <f t="shared" si="716"/>
        <v>98</v>
      </c>
      <c r="AE692" s="39">
        <v>98</v>
      </c>
      <c r="AF692" s="484">
        <v>15</v>
      </c>
      <c r="AG692" s="191">
        <v>13</v>
      </c>
      <c r="AH692" s="113"/>
      <c r="AI692" s="484">
        <f t="shared" si="717"/>
        <v>5</v>
      </c>
      <c r="AJ692" s="39">
        <v>33</v>
      </c>
      <c r="AK692" s="113"/>
      <c r="AL692" s="113"/>
      <c r="AM692" s="113"/>
      <c r="AN692" s="113"/>
      <c r="AO692" s="104"/>
      <c r="AP692" s="113"/>
      <c r="AQ692" s="113"/>
      <c r="AR692" s="113"/>
      <c r="AS692" s="113"/>
      <c r="AT692" s="104"/>
      <c r="AU692" s="113"/>
      <c r="AV692" s="113"/>
      <c r="AW692" s="699"/>
      <c r="AX692" s="113"/>
      <c r="AY692" s="104"/>
      <c r="AZ692" s="113"/>
      <c r="BA692" s="113"/>
      <c r="BB692" s="113"/>
      <c r="BC692" s="113"/>
      <c r="BD692" s="104"/>
      <c r="BE692" s="104"/>
      <c r="BF692" s="104"/>
      <c r="BG692" s="104"/>
      <c r="BH692" s="484"/>
    </row>
    <row r="693" spans="1:60" s="49" customFormat="1" hidden="1" outlineLevel="1" x14ac:dyDescent="0.25">
      <c r="A693" s="483" t="s">
        <v>113</v>
      </c>
      <c r="B693" s="209"/>
      <c r="C693" s="39">
        <v>-342</v>
      </c>
      <c r="D693" s="39">
        <v>-140</v>
      </c>
      <c r="E693" s="39">
        <v>-75</v>
      </c>
      <c r="F693" s="39">
        <v>-239</v>
      </c>
      <c r="G693" s="484">
        <v>102</v>
      </c>
      <c r="H693" s="484">
        <v>-10</v>
      </c>
      <c r="I693" s="113"/>
      <c r="J693" s="484">
        <f t="shared" si="712"/>
        <v>-23</v>
      </c>
      <c r="K693" s="39">
        <v>69</v>
      </c>
      <c r="L693" s="484">
        <v>-6</v>
      </c>
      <c r="M693" s="484">
        <v>37</v>
      </c>
      <c r="N693" s="113"/>
      <c r="O693" s="484">
        <f t="shared" si="713"/>
        <v>0</v>
      </c>
      <c r="P693" s="39">
        <v>31</v>
      </c>
      <c r="Q693" s="113"/>
      <c r="R693" s="113"/>
      <c r="S693" s="113"/>
      <c r="T693" s="484">
        <f t="shared" si="714"/>
        <v>0</v>
      </c>
      <c r="U693" s="104"/>
      <c r="V693" s="113"/>
      <c r="W693" s="113"/>
      <c r="X693" s="113"/>
      <c r="Y693" s="484">
        <f t="shared" si="715"/>
        <v>0</v>
      </c>
      <c r="Z693" s="104"/>
      <c r="AA693" s="113"/>
      <c r="AB693" s="113"/>
      <c r="AC693" s="484">
        <v>177</v>
      </c>
      <c r="AD693" s="484">
        <f t="shared" si="716"/>
        <v>-255</v>
      </c>
      <c r="AE693" s="39">
        <v>-78</v>
      </c>
      <c r="AF693" s="484">
        <v>-53</v>
      </c>
      <c r="AG693" s="191">
        <v>-41</v>
      </c>
      <c r="AH693" s="113"/>
      <c r="AI693" s="484">
        <f t="shared" si="717"/>
        <v>-507</v>
      </c>
      <c r="AJ693" s="39">
        <v>-601</v>
      </c>
      <c r="AK693" s="113"/>
      <c r="AL693" s="113"/>
      <c r="AM693" s="113"/>
      <c r="AN693" s="113"/>
      <c r="AO693" s="104"/>
      <c r="AP693" s="113"/>
      <c r="AQ693" s="113"/>
      <c r="AR693" s="113"/>
      <c r="AS693" s="113"/>
      <c r="AT693" s="104"/>
      <c r="AU693" s="113"/>
      <c r="AV693" s="113"/>
      <c r="AW693" s="699"/>
      <c r="AX693" s="113"/>
      <c r="AY693" s="104"/>
      <c r="AZ693" s="113"/>
      <c r="BA693" s="113"/>
      <c r="BB693" s="113"/>
      <c r="BC693" s="113"/>
      <c r="BD693" s="104"/>
      <c r="BE693" s="104"/>
      <c r="BF693" s="104"/>
      <c r="BG693" s="104"/>
      <c r="BH693" s="484"/>
    </row>
    <row r="694" spans="1:60" s="49" customFormat="1" hidden="1" outlineLevel="1" x14ac:dyDescent="0.25">
      <c r="A694" s="483" t="s">
        <v>114</v>
      </c>
      <c r="B694" s="209"/>
      <c r="C694" s="39">
        <v>466</v>
      </c>
      <c r="D694" s="39">
        <v>409</v>
      </c>
      <c r="E694" s="39">
        <v>343</v>
      </c>
      <c r="F694" s="39">
        <v>369</v>
      </c>
      <c r="G694" s="484">
        <v>72</v>
      </c>
      <c r="H694" s="484">
        <v>54</v>
      </c>
      <c r="I694" s="484">
        <v>83</v>
      </c>
      <c r="J694" s="484">
        <f t="shared" si="712"/>
        <v>26</v>
      </c>
      <c r="K694" s="39">
        <v>235</v>
      </c>
      <c r="L694" s="484">
        <v>-49</v>
      </c>
      <c r="M694" s="484">
        <v>-62</v>
      </c>
      <c r="N694" s="484">
        <v>50</v>
      </c>
      <c r="O694" s="484">
        <f t="shared" si="713"/>
        <v>38</v>
      </c>
      <c r="P694" s="39">
        <v>-23</v>
      </c>
      <c r="Q694" s="484">
        <v>58</v>
      </c>
      <c r="R694" s="484">
        <v>-8</v>
      </c>
      <c r="S694" s="484">
        <v>12</v>
      </c>
      <c r="T694" s="484">
        <f t="shared" si="714"/>
        <v>55</v>
      </c>
      <c r="U694" s="39">
        <v>117</v>
      </c>
      <c r="V694" s="484">
        <v>24</v>
      </c>
      <c r="W694" s="484">
        <v>67</v>
      </c>
      <c r="X694" s="484">
        <v>70</v>
      </c>
      <c r="Y694" s="484">
        <f t="shared" si="715"/>
        <v>99</v>
      </c>
      <c r="Z694" s="39">
        <v>260</v>
      </c>
      <c r="AA694" s="484">
        <v>99</v>
      </c>
      <c r="AB694" s="191">
        <v>84</v>
      </c>
      <c r="AC694" s="484">
        <v>117</v>
      </c>
      <c r="AD694" s="484">
        <f t="shared" si="716"/>
        <v>85</v>
      </c>
      <c r="AE694" s="39">
        <v>385</v>
      </c>
      <c r="AF694" s="484">
        <v>129</v>
      </c>
      <c r="AG694" s="191">
        <v>143</v>
      </c>
      <c r="AH694" s="484">
        <v>143</v>
      </c>
      <c r="AI694" s="484">
        <f t="shared" si="717"/>
        <v>159</v>
      </c>
      <c r="AJ694" s="39">
        <v>574</v>
      </c>
      <c r="AK694" s="113"/>
      <c r="AL694" s="113"/>
      <c r="AM694" s="113"/>
      <c r="AN694" s="113"/>
      <c r="AO694" s="104"/>
      <c r="AP694" s="113"/>
      <c r="AQ694" s="113"/>
      <c r="AR694" s="113"/>
      <c r="AS694" s="113"/>
      <c r="AT694" s="104"/>
      <c r="AU694" s="113"/>
      <c r="AV694" s="113"/>
      <c r="AW694" s="699"/>
      <c r="AX694" s="113"/>
      <c r="AY694" s="104"/>
      <c r="AZ694" s="113"/>
      <c r="BA694" s="113"/>
      <c r="BB694" s="113"/>
      <c r="BC694" s="113"/>
      <c r="BD694" s="104"/>
      <c r="BE694" s="104"/>
      <c r="BF694" s="104"/>
      <c r="BG694" s="104"/>
      <c r="BH694" s="484"/>
    </row>
    <row r="695" spans="1:60" s="49" customFormat="1" hidden="1" outlineLevel="1" x14ac:dyDescent="0.25">
      <c r="A695" s="483" t="s">
        <v>116</v>
      </c>
      <c r="B695" s="209"/>
      <c r="C695" s="104"/>
      <c r="D695" s="104"/>
      <c r="E695" s="104"/>
      <c r="F695" s="104"/>
      <c r="G695" s="113"/>
      <c r="H695" s="113"/>
      <c r="I695" s="113"/>
      <c r="J695" s="484">
        <f t="shared" si="712"/>
        <v>0</v>
      </c>
      <c r="K695" s="104"/>
      <c r="L695" s="113"/>
      <c r="M695" s="113"/>
      <c r="N695" s="113"/>
      <c r="O695" s="484">
        <f t="shared" si="713"/>
        <v>0</v>
      </c>
      <c r="P695" s="104"/>
      <c r="Q695" s="113"/>
      <c r="R695" s="113"/>
      <c r="S695" s="113"/>
      <c r="T695" s="484">
        <f t="shared" si="714"/>
        <v>0</v>
      </c>
      <c r="U695" s="104"/>
      <c r="V695" s="113"/>
      <c r="W695" s="113"/>
      <c r="X695" s="113"/>
      <c r="Y695" s="484">
        <f t="shared" si="715"/>
        <v>0</v>
      </c>
      <c r="Z695" s="104"/>
      <c r="AA695" s="113"/>
      <c r="AB695" s="113"/>
      <c r="AC695" s="113"/>
      <c r="AD695" s="484">
        <f t="shared" si="716"/>
        <v>0</v>
      </c>
      <c r="AE695" s="104"/>
      <c r="AF695" s="113"/>
      <c r="AG695" s="113"/>
      <c r="AH695" s="113"/>
      <c r="AI695" s="484">
        <f t="shared" si="717"/>
        <v>210</v>
      </c>
      <c r="AJ695" s="39">
        <v>210</v>
      </c>
      <c r="AK695" s="113"/>
      <c r="AL695" s="113"/>
      <c r="AM695" s="113"/>
      <c r="AN695" s="113"/>
      <c r="AO695" s="104"/>
      <c r="AP695" s="113"/>
      <c r="AQ695" s="113"/>
      <c r="AR695" s="113"/>
      <c r="AS695" s="113"/>
      <c r="AT695" s="104"/>
      <c r="AU695" s="113"/>
      <c r="AV695" s="113"/>
      <c r="AW695" s="699"/>
      <c r="AX695" s="113"/>
      <c r="AY695" s="104"/>
      <c r="AZ695" s="113"/>
      <c r="BA695" s="113"/>
      <c r="BB695" s="113"/>
      <c r="BC695" s="113"/>
      <c r="BD695" s="104"/>
      <c r="BE695" s="104"/>
      <c r="BF695" s="104"/>
      <c r="BG695" s="104"/>
      <c r="BH695" s="484"/>
    </row>
    <row r="696" spans="1:60" s="49" customFormat="1" hidden="1" outlineLevel="1" x14ac:dyDescent="0.25">
      <c r="A696" s="483" t="s">
        <v>177</v>
      </c>
      <c r="B696" s="209"/>
      <c r="C696" s="104"/>
      <c r="D696" s="104"/>
      <c r="E696" s="104"/>
      <c r="F696" s="104"/>
      <c r="G696" s="113"/>
      <c r="H696" s="113"/>
      <c r="I696" s="113"/>
      <c r="J696" s="484">
        <f t="shared" si="712"/>
        <v>0</v>
      </c>
      <c r="K696" s="104"/>
      <c r="L696" s="113"/>
      <c r="M696" s="113"/>
      <c r="N696" s="113"/>
      <c r="O696" s="484">
        <f t="shared" si="713"/>
        <v>0</v>
      </c>
      <c r="P696" s="104"/>
      <c r="Q696" s="113"/>
      <c r="R696" s="113"/>
      <c r="S696" s="113"/>
      <c r="T696" s="484">
        <f t="shared" si="714"/>
        <v>0</v>
      </c>
      <c r="U696" s="104"/>
      <c r="V696" s="484">
        <v>-332</v>
      </c>
      <c r="W696" s="113"/>
      <c r="X696" s="113"/>
      <c r="Y696" s="484">
        <f t="shared" si="715"/>
        <v>0</v>
      </c>
      <c r="Z696" s="39">
        <v>-332</v>
      </c>
      <c r="AA696" s="113"/>
      <c r="AB696" s="113"/>
      <c r="AC696" s="113"/>
      <c r="AD696" s="484">
        <f t="shared" si="716"/>
        <v>0</v>
      </c>
      <c r="AE696" s="104"/>
      <c r="AF696" s="113"/>
      <c r="AG696" s="113"/>
      <c r="AH696" s="113"/>
      <c r="AI696" s="484">
        <f t="shared" si="717"/>
        <v>0</v>
      </c>
      <c r="AJ696" s="104"/>
      <c r="AK696" s="113"/>
      <c r="AL696" s="113"/>
      <c r="AM696" s="113"/>
      <c r="AN696" s="113"/>
      <c r="AO696" s="104"/>
      <c r="AP696" s="113"/>
      <c r="AQ696" s="113"/>
      <c r="AR696" s="113"/>
      <c r="AS696" s="113"/>
      <c r="AT696" s="104"/>
      <c r="AU696" s="113"/>
      <c r="AV696" s="113"/>
      <c r="AW696" s="699"/>
      <c r="AX696" s="113"/>
      <c r="AY696" s="104"/>
      <c r="AZ696" s="113"/>
      <c r="BA696" s="113"/>
      <c r="BB696" s="113"/>
      <c r="BC696" s="113"/>
      <c r="BD696" s="104"/>
      <c r="BE696" s="104"/>
      <c r="BF696" s="104"/>
      <c r="BG696" s="104"/>
      <c r="BH696" s="484"/>
    </row>
    <row r="697" spans="1:60" s="49" customFormat="1" hidden="1" outlineLevel="1" x14ac:dyDescent="0.25">
      <c r="A697" s="483" t="s">
        <v>178</v>
      </c>
      <c r="B697" s="209"/>
      <c r="C697" s="104"/>
      <c r="D697" s="104"/>
      <c r="E697" s="104"/>
      <c r="F697" s="104"/>
      <c r="G697" s="113"/>
      <c r="H697" s="113"/>
      <c r="I697" s="113"/>
      <c r="J697" s="484">
        <f t="shared" si="712"/>
        <v>0</v>
      </c>
      <c r="K697" s="104"/>
      <c r="L697" s="113"/>
      <c r="M697" s="113"/>
      <c r="N697" s="113"/>
      <c r="O697" s="484">
        <f t="shared" si="713"/>
        <v>0</v>
      </c>
      <c r="P697" s="104"/>
      <c r="Q697" s="113"/>
      <c r="R697" s="113"/>
      <c r="S697" s="113"/>
      <c r="T697" s="484">
        <f t="shared" si="714"/>
        <v>0</v>
      </c>
      <c r="U697" s="104"/>
      <c r="V697" s="113"/>
      <c r="W697" s="484">
        <v>147</v>
      </c>
      <c r="X697" s="113"/>
      <c r="Y697" s="484">
        <f t="shared" si="715"/>
        <v>-18</v>
      </c>
      <c r="Z697" s="39">
        <v>129</v>
      </c>
      <c r="AA697" s="113"/>
      <c r="AB697" s="113"/>
      <c r="AC697" s="113"/>
      <c r="AD697" s="484">
        <f t="shared" si="716"/>
        <v>0</v>
      </c>
      <c r="AE697" s="104"/>
      <c r="AF697" s="113"/>
      <c r="AG697" s="113"/>
      <c r="AH697" s="113"/>
      <c r="AI697" s="484">
        <f t="shared" si="717"/>
        <v>0</v>
      </c>
      <c r="AJ697" s="104"/>
      <c r="AK697" s="113"/>
      <c r="AL697" s="113"/>
      <c r="AM697" s="113"/>
      <c r="AN697" s="113"/>
      <c r="AO697" s="104"/>
      <c r="AP697" s="113"/>
      <c r="AQ697" s="113"/>
      <c r="AR697" s="113"/>
      <c r="AS697" s="113"/>
      <c r="AT697" s="104"/>
      <c r="AU697" s="113"/>
      <c r="AV697" s="113"/>
      <c r="AW697" s="699"/>
      <c r="AX697" s="113"/>
      <c r="AY697" s="104"/>
      <c r="AZ697" s="113"/>
      <c r="BA697" s="113"/>
      <c r="BB697" s="113"/>
      <c r="BC697" s="113"/>
      <c r="BD697" s="104"/>
      <c r="BE697" s="104"/>
      <c r="BF697" s="104"/>
      <c r="BG697" s="104"/>
      <c r="BH697" s="484"/>
    </row>
    <row r="698" spans="1:60" s="49" customFormat="1" hidden="1" outlineLevel="1" x14ac:dyDescent="0.25">
      <c r="A698" s="483" t="s">
        <v>179</v>
      </c>
      <c r="B698" s="209"/>
      <c r="C698" s="104"/>
      <c r="D698" s="104"/>
      <c r="E698" s="104"/>
      <c r="F698" s="104"/>
      <c r="G698" s="484">
        <v>55</v>
      </c>
      <c r="H698" s="113"/>
      <c r="I698" s="113"/>
      <c r="J698" s="484">
        <f t="shared" si="712"/>
        <v>0</v>
      </c>
      <c r="K698" s="39">
        <v>55</v>
      </c>
      <c r="L698" s="113"/>
      <c r="M698" s="113"/>
      <c r="N698" s="113"/>
      <c r="O698" s="484">
        <f t="shared" si="713"/>
        <v>0</v>
      </c>
      <c r="P698" s="104"/>
      <c r="Q698" s="113"/>
      <c r="R698" s="113"/>
      <c r="S698" s="113"/>
      <c r="T698" s="484">
        <f t="shared" si="714"/>
        <v>0</v>
      </c>
      <c r="U698" s="104"/>
      <c r="V698" s="113"/>
      <c r="W698" s="113"/>
      <c r="X698" s="113"/>
      <c r="Y698" s="484">
        <f t="shared" si="715"/>
        <v>0</v>
      </c>
      <c r="Z698" s="104"/>
      <c r="AA698" s="113"/>
      <c r="AB698" s="113"/>
      <c r="AC698" s="113"/>
      <c r="AD698" s="484">
        <f t="shared" si="716"/>
        <v>0</v>
      </c>
      <c r="AE698" s="104"/>
      <c r="AF698" s="113"/>
      <c r="AG698" s="113"/>
      <c r="AH698" s="113"/>
      <c r="AI698" s="484">
        <f t="shared" si="717"/>
        <v>0</v>
      </c>
      <c r="AJ698" s="104"/>
      <c r="AK698" s="113"/>
      <c r="AL698" s="113"/>
      <c r="AM698" s="113"/>
      <c r="AN698" s="113"/>
      <c r="AO698" s="104"/>
      <c r="AP698" s="113"/>
      <c r="AQ698" s="113"/>
      <c r="AR698" s="113"/>
      <c r="AS698" s="113"/>
      <c r="AT698" s="104"/>
      <c r="AU698" s="113"/>
      <c r="AV698" s="113"/>
      <c r="AW698" s="699"/>
      <c r="AX698" s="113"/>
      <c r="AY698" s="104"/>
      <c r="AZ698" s="113"/>
      <c r="BA698" s="113"/>
      <c r="BB698" s="113"/>
      <c r="BC698" s="113"/>
      <c r="BD698" s="104"/>
      <c r="BE698" s="104"/>
      <c r="BF698" s="104"/>
      <c r="BG698" s="104"/>
      <c r="BH698" s="484"/>
    </row>
    <row r="699" spans="1:60" s="52" customFormat="1" hidden="1" outlineLevel="1" x14ac:dyDescent="0.25">
      <c r="A699" s="500" t="s">
        <v>119</v>
      </c>
      <c r="B699" s="775"/>
      <c r="C699" s="53">
        <f t="shared" ref="C699:AJ699" si="718">C688-SUM(C691:C698)</f>
        <v>5658</v>
      </c>
      <c r="D699" s="53">
        <f t="shared" si="718"/>
        <v>6627</v>
      </c>
      <c r="E699" s="53">
        <f t="shared" si="718"/>
        <v>8043</v>
      </c>
      <c r="F699" s="53">
        <f t="shared" si="718"/>
        <v>9260</v>
      </c>
      <c r="G699" s="61">
        <f t="shared" si="718"/>
        <v>2028</v>
      </c>
      <c r="H699" s="61">
        <f t="shared" si="718"/>
        <v>2275</v>
      </c>
      <c r="I699" s="61">
        <f t="shared" si="718"/>
        <v>3093</v>
      </c>
      <c r="J699" s="61">
        <f t="shared" si="718"/>
        <v>2224</v>
      </c>
      <c r="K699" s="53">
        <f t="shared" si="718"/>
        <v>9620</v>
      </c>
      <c r="L699" s="61">
        <f t="shared" si="718"/>
        <v>2940</v>
      </c>
      <c r="M699" s="61">
        <f t="shared" si="718"/>
        <v>3175</v>
      </c>
      <c r="N699" s="61">
        <f t="shared" si="718"/>
        <v>3670</v>
      </c>
      <c r="O699" s="61">
        <f t="shared" si="718"/>
        <v>2461</v>
      </c>
      <c r="P699" s="53">
        <f t="shared" si="718"/>
        <v>12246</v>
      </c>
      <c r="Q699" s="61">
        <f t="shared" si="718"/>
        <v>3362</v>
      </c>
      <c r="R699" s="61">
        <f t="shared" si="718"/>
        <v>3320</v>
      </c>
      <c r="S699" s="61">
        <f t="shared" si="718"/>
        <v>3962</v>
      </c>
      <c r="T699" s="61">
        <f t="shared" si="718"/>
        <v>3224</v>
      </c>
      <c r="U699" s="53">
        <f t="shared" si="718"/>
        <v>13868</v>
      </c>
      <c r="V699" s="61">
        <f t="shared" si="718"/>
        <v>4358</v>
      </c>
      <c r="W699" s="61">
        <f t="shared" si="718"/>
        <v>3446</v>
      </c>
      <c r="X699" s="61">
        <f t="shared" si="718"/>
        <v>4183</v>
      </c>
      <c r="Y699" s="61">
        <f t="shared" si="718"/>
        <v>2881</v>
      </c>
      <c r="Z699" s="53">
        <f t="shared" si="718"/>
        <v>14868</v>
      </c>
      <c r="AA699" s="61">
        <f t="shared" si="718"/>
        <v>3725</v>
      </c>
      <c r="AB699" s="192">
        <f t="shared" si="718"/>
        <v>3751</v>
      </c>
      <c r="AC699" s="61">
        <f t="shared" si="718"/>
        <v>3618</v>
      </c>
      <c r="AD699" s="61">
        <f t="shared" si="718"/>
        <v>2694</v>
      </c>
      <c r="AE699" s="53">
        <f t="shared" si="718"/>
        <v>13788</v>
      </c>
      <c r="AF699" s="61">
        <f t="shared" si="718"/>
        <v>3745</v>
      </c>
      <c r="AG699" s="192">
        <f t="shared" si="718"/>
        <v>3928</v>
      </c>
      <c r="AH699" s="61">
        <f t="shared" si="718"/>
        <v>3854</v>
      </c>
      <c r="AI699" s="61">
        <f t="shared" si="718"/>
        <v>3202</v>
      </c>
      <c r="AJ699" s="53">
        <f t="shared" si="718"/>
        <v>14729</v>
      </c>
      <c r="AK699" s="105"/>
      <c r="AL699" s="105"/>
      <c r="AM699" s="105"/>
      <c r="AN699" s="105"/>
      <c r="AO699" s="106"/>
      <c r="AP699" s="105"/>
      <c r="AQ699" s="105"/>
      <c r="AR699" s="105"/>
      <c r="AS699" s="105"/>
      <c r="AT699" s="106"/>
      <c r="AU699" s="105"/>
      <c r="AV699" s="105"/>
      <c r="AW699" s="763"/>
      <c r="AX699" s="105"/>
      <c r="AY699" s="106"/>
      <c r="AZ699" s="105"/>
      <c r="BA699" s="105"/>
      <c r="BB699" s="105"/>
      <c r="BC699" s="105"/>
      <c r="BD699" s="106"/>
      <c r="BE699" s="106"/>
      <c r="BF699" s="106"/>
      <c r="BG699" s="106"/>
      <c r="BH699" s="499"/>
    </row>
    <row r="700" spans="1:60" s="338" customFormat="1" hidden="1" outlineLevel="1" x14ac:dyDescent="0.25">
      <c r="A700" s="776"/>
      <c r="B700" s="777"/>
      <c r="C700" s="336"/>
      <c r="D700" s="336"/>
      <c r="E700" s="336"/>
      <c r="F700" s="336"/>
      <c r="G700" s="739"/>
      <c r="H700" s="739"/>
      <c r="I700" s="739"/>
      <c r="J700" s="739"/>
      <c r="K700" s="336"/>
      <c r="L700" s="739"/>
      <c r="M700" s="739"/>
      <c r="N700" s="739"/>
      <c r="O700" s="739"/>
      <c r="P700" s="336"/>
      <c r="Q700" s="739"/>
      <c r="R700" s="739"/>
      <c r="S700" s="739"/>
      <c r="T700" s="739"/>
      <c r="U700" s="336"/>
      <c r="V700" s="739"/>
      <c r="W700" s="739"/>
      <c r="X700" s="739"/>
      <c r="Y700" s="739"/>
      <c r="Z700" s="336"/>
      <c r="AA700" s="739"/>
      <c r="AB700" s="739"/>
      <c r="AC700" s="739"/>
      <c r="AD700" s="739"/>
      <c r="AE700" s="336"/>
      <c r="AF700" s="739"/>
      <c r="AG700" s="739"/>
      <c r="AH700" s="739"/>
      <c r="AI700" s="739"/>
      <c r="AJ700" s="336"/>
      <c r="AK700" s="739"/>
      <c r="AL700" s="739"/>
      <c r="AM700" s="739"/>
      <c r="AN700" s="739"/>
      <c r="AO700" s="336"/>
      <c r="AP700" s="739"/>
      <c r="AQ700" s="739"/>
      <c r="AR700" s="739"/>
      <c r="AS700" s="739"/>
      <c r="AT700" s="336"/>
      <c r="AU700" s="739"/>
      <c r="AV700" s="739"/>
      <c r="AW700" s="778"/>
      <c r="AX700" s="739"/>
      <c r="AY700" s="336"/>
      <c r="AZ700" s="739"/>
      <c r="BA700" s="739"/>
      <c r="BB700" s="739"/>
      <c r="BC700" s="739"/>
      <c r="BD700" s="336"/>
      <c r="BE700" s="336"/>
      <c r="BF700" s="336"/>
      <c r="BG700" s="336"/>
      <c r="BH700" s="587"/>
    </row>
    <row r="701" spans="1:60" s="52" customFormat="1" hidden="1" outlineLevel="1" x14ac:dyDescent="0.25">
      <c r="A701" s="501" t="s">
        <v>120</v>
      </c>
      <c r="B701" s="764"/>
      <c r="C701" s="51">
        <v>75</v>
      </c>
      <c r="D701" s="51">
        <v>137</v>
      </c>
      <c r="E701" s="51">
        <v>275</v>
      </c>
      <c r="F701" s="51">
        <v>471</v>
      </c>
      <c r="G701" s="499">
        <v>65</v>
      </c>
      <c r="H701" s="499">
        <v>141</v>
      </c>
      <c r="I701" s="499">
        <v>201</v>
      </c>
      <c r="J701" s="499">
        <f>K701</f>
        <v>287</v>
      </c>
      <c r="K701" s="51">
        <v>287</v>
      </c>
      <c r="L701" s="499">
        <v>55</v>
      </c>
      <c r="M701" s="499">
        <v>104</v>
      </c>
      <c r="N701" s="499">
        <v>160</v>
      </c>
      <c r="O701" s="499">
        <f>P701</f>
        <v>252</v>
      </c>
      <c r="P701" s="51">
        <v>252</v>
      </c>
      <c r="Q701" s="499">
        <v>70</v>
      </c>
      <c r="R701" s="499">
        <v>121</v>
      </c>
      <c r="S701" s="499">
        <v>197</v>
      </c>
      <c r="T701" s="499">
        <f>U701</f>
        <v>269</v>
      </c>
      <c r="U701" s="51">
        <v>269</v>
      </c>
      <c r="V701" s="499">
        <v>75</v>
      </c>
      <c r="W701" s="499">
        <v>112</v>
      </c>
      <c r="X701" s="499">
        <v>173</v>
      </c>
      <c r="Y701" s="499">
        <f>Z701</f>
        <v>253</v>
      </c>
      <c r="Z701" s="51">
        <v>253</v>
      </c>
      <c r="AA701" s="499">
        <v>39</v>
      </c>
      <c r="AB701" s="194">
        <v>103</v>
      </c>
      <c r="AC701" s="499">
        <v>130</v>
      </c>
      <c r="AD701" s="499">
        <f>AE701</f>
        <v>178</v>
      </c>
      <c r="AE701" s="51">
        <v>178</v>
      </c>
      <c r="AF701" s="499">
        <v>47</v>
      </c>
      <c r="AG701" s="194">
        <v>82</v>
      </c>
      <c r="AH701" s="499">
        <v>129</v>
      </c>
      <c r="AI701" s="499">
        <f>AJ701</f>
        <v>179</v>
      </c>
      <c r="AJ701" s="51">
        <v>179</v>
      </c>
      <c r="AK701" s="114"/>
      <c r="AL701" s="114"/>
      <c r="AM701" s="114"/>
      <c r="AN701" s="114"/>
      <c r="AO701" s="111"/>
      <c r="AP701" s="114"/>
      <c r="AQ701" s="114"/>
      <c r="AR701" s="114"/>
      <c r="AS701" s="114"/>
      <c r="AT701" s="111"/>
      <c r="AU701" s="114"/>
      <c r="AV701" s="114"/>
      <c r="AW701" s="765"/>
      <c r="AX701" s="114"/>
      <c r="AY701" s="111"/>
      <c r="AZ701" s="114"/>
      <c r="BA701" s="114"/>
      <c r="BB701" s="114"/>
      <c r="BC701" s="114"/>
      <c r="BD701" s="111"/>
      <c r="BE701" s="111"/>
      <c r="BF701" s="111"/>
      <c r="BG701" s="111"/>
      <c r="BH701" s="499"/>
    </row>
    <row r="702" spans="1:60" s="52" customFormat="1" hidden="1" outlineLevel="1" x14ac:dyDescent="0.25">
      <c r="A702" s="501" t="s">
        <v>180</v>
      </c>
      <c r="B702" s="764"/>
      <c r="C702" s="51">
        <f>C701</f>
        <v>75</v>
      </c>
      <c r="D702" s="51">
        <f>D701</f>
        <v>137</v>
      </c>
      <c r="E702" s="51">
        <f>E701</f>
        <v>275</v>
      </c>
      <c r="F702" s="51">
        <f>F701</f>
        <v>471</v>
      </c>
      <c r="G702" s="499">
        <f>G701</f>
        <v>65</v>
      </c>
      <c r="H702" s="499">
        <f>H701-G701</f>
        <v>76</v>
      </c>
      <c r="I702" s="499">
        <f>I701-H701</f>
        <v>60</v>
      </c>
      <c r="J702" s="499">
        <f>J701-I701</f>
        <v>86</v>
      </c>
      <c r="K702" s="51">
        <f>K701</f>
        <v>287</v>
      </c>
      <c r="L702" s="499">
        <f>L701</f>
        <v>55</v>
      </c>
      <c r="M702" s="499">
        <f>M701-L701</f>
        <v>49</v>
      </c>
      <c r="N702" s="499">
        <f>N701-M701</f>
        <v>56</v>
      </c>
      <c r="O702" s="499">
        <f>O701-N701</f>
        <v>92</v>
      </c>
      <c r="P702" s="51">
        <f>P701</f>
        <v>252</v>
      </c>
      <c r="Q702" s="499">
        <f>Q701</f>
        <v>70</v>
      </c>
      <c r="R702" s="499">
        <f>R701-Q701</f>
        <v>51</v>
      </c>
      <c r="S702" s="499">
        <f>S701-R701</f>
        <v>76</v>
      </c>
      <c r="T702" s="499">
        <f>T701-S701</f>
        <v>72</v>
      </c>
      <c r="U702" s="51">
        <f>U701</f>
        <v>269</v>
      </c>
      <c r="V702" s="499">
        <f>V701</f>
        <v>75</v>
      </c>
      <c r="W702" s="499">
        <f>W701-V701</f>
        <v>37</v>
      </c>
      <c r="X702" s="499">
        <f>X701-W701</f>
        <v>61</v>
      </c>
      <c r="Y702" s="499">
        <f>Y701-X701</f>
        <v>80</v>
      </c>
      <c r="Z702" s="51">
        <f>Z701</f>
        <v>253</v>
      </c>
      <c r="AA702" s="499">
        <f>AA701</f>
        <v>39</v>
      </c>
      <c r="AB702" s="194">
        <f>AB701-AA701</f>
        <v>64</v>
      </c>
      <c r="AC702" s="499">
        <f>AC701-AB701</f>
        <v>27</v>
      </c>
      <c r="AD702" s="499">
        <f>AD701-AC701</f>
        <v>48</v>
      </c>
      <c r="AE702" s="51">
        <f>AE701</f>
        <v>178</v>
      </c>
      <c r="AF702" s="499">
        <f>AF701</f>
        <v>47</v>
      </c>
      <c r="AG702" s="194">
        <f>AG701-AF701</f>
        <v>35</v>
      </c>
      <c r="AH702" s="499">
        <f>AH701-AG701</f>
        <v>47</v>
      </c>
      <c r="AI702" s="499">
        <f>AI701-AH701</f>
        <v>50</v>
      </c>
      <c r="AJ702" s="51">
        <f>AJ701</f>
        <v>179</v>
      </c>
      <c r="AK702" s="114"/>
      <c r="AL702" s="114"/>
      <c r="AM702" s="114"/>
      <c r="AN702" s="114"/>
      <c r="AO702" s="111"/>
      <c r="AP702" s="114"/>
      <c r="AQ702" s="114"/>
      <c r="AR702" s="114"/>
      <c r="AS702" s="114"/>
      <c r="AT702" s="111"/>
      <c r="AU702" s="114"/>
      <c r="AV702" s="114"/>
      <c r="AW702" s="765"/>
      <c r="AX702" s="114"/>
      <c r="AY702" s="111"/>
      <c r="AZ702" s="114"/>
      <c r="BA702" s="114"/>
      <c r="BB702" s="114"/>
      <c r="BC702" s="114"/>
      <c r="BD702" s="111"/>
      <c r="BE702" s="111"/>
      <c r="BF702" s="111"/>
      <c r="BG702" s="111"/>
      <c r="BH702" s="499"/>
    </row>
    <row r="703" spans="1:60" s="52" customFormat="1" collapsed="1" x14ac:dyDescent="0.25">
      <c r="A703" s="635"/>
      <c r="B703" s="764"/>
      <c r="C703" s="111"/>
      <c r="D703" s="111"/>
      <c r="E703" s="111"/>
      <c r="F703" s="111"/>
      <c r="G703" s="114"/>
      <c r="H703" s="114"/>
      <c r="I703" s="114"/>
      <c r="J703" s="114"/>
      <c r="K703" s="111"/>
      <c r="L703" s="114"/>
      <c r="M703" s="114"/>
      <c r="N703" s="114"/>
      <c r="O703" s="114"/>
      <c r="P703" s="111"/>
      <c r="Q703" s="114"/>
      <c r="R703" s="114"/>
      <c r="S703" s="114"/>
      <c r="T703" s="114"/>
      <c r="U703" s="111"/>
      <c r="V703" s="114"/>
      <c r="W703" s="114"/>
      <c r="X703" s="114"/>
      <c r="Y703" s="114"/>
      <c r="Z703" s="111"/>
      <c r="AA703" s="114"/>
      <c r="AB703" s="114"/>
      <c r="AC703" s="114"/>
      <c r="AD703" s="114"/>
      <c r="AE703" s="111"/>
      <c r="AF703" s="114"/>
      <c r="AG703" s="114"/>
      <c r="AH703" s="114"/>
      <c r="AI703" s="114"/>
      <c r="AJ703" s="111"/>
      <c r="AK703" s="114"/>
      <c r="AL703" s="114"/>
      <c r="AM703" s="114"/>
      <c r="AN703" s="114"/>
      <c r="AO703" s="111"/>
      <c r="AP703" s="114"/>
      <c r="AQ703" s="114"/>
      <c r="AR703" s="114"/>
      <c r="AS703" s="114"/>
      <c r="AT703" s="111"/>
      <c r="AU703" s="114"/>
      <c r="AV703" s="114"/>
      <c r="AW703" s="765"/>
      <c r="AX703" s="114"/>
      <c r="AY703" s="111"/>
      <c r="AZ703" s="114"/>
      <c r="BA703" s="114"/>
      <c r="BB703" s="114"/>
      <c r="BC703" s="114"/>
      <c r="BD703" s="111"/>
      <c r="BE703" s="111"/>
      <c r="BF703" s="111"/>
      <c r="BG703" s="111"/>
      <c r="BH703" s="499"/>
    </row>
    <row r="704" spans="1:60" s="44" customFormat="1" x14ac:dyDescent="0.25">
      <c r="A704" s="98" t="s">
        <v>181</v>
      </c>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c r="AA704" s="98"/>
      <c r="AB704" s="98"/>
      <c r="AC704" s="98"/>
      <c r="AD704" s="98"/>
      <c r="AE704" s="98"/>
      <c r="AF704" s="98"/>
      <c r="AG704" s="98"/>
      <c r="AH704" s="98"/>
      <c r="AI704" s="98"/>
      <c r="AJ704" s="98"/>
      <c r="AK704" s="98"/>
      <c r="AL704" s="98"/>
      <c r="AM704" s="98"/>
      <c r="AN704" s="98"/>
      <c r="AO704" s="98"/>
      <c r="AP704" s="98"/>
      <c r="AQ704" s="98"/>
      <c r="AR704" s="98"/>
      <c r="AS704" s="98"/>
      <c r="AT704" s="98"/>
      <c r="AU704" s="98"/>
      <c r="AV704" s="98"/>
      <c r="AW704" s="527"/>
      <c r="AX704" s="98"/>
      <c r="AY704" s="98"/>
      <c r="AZ704" s="98"/>
      <c r="BA704" s="98"/>
      <c r="BB704" s="98"/>
      <c r="BC704" s="98"/>
      <c r="BD704" s="98"/>
      <c r="BE704" s="98"/>
      <c r="BF704" s="98"/>
      <c r="BG704" s="98"/>
      <c r="BH704" s="473"/>
    </row>
    <row r="705" spans="1:60" s="44" customFormat="1" x14ac:dyDescent="0.25">
      <c r="A705" s="201" t="s">
        <v>182</v>
      </c>
      <c r="B705" s="246"/>
      <c r="C705" s="478"/>
      <c r="D705" s="478"/>
      <c r="E705" s="478"/>
      <c r="F705" s="478"/>
      <c r="G705" s="480"/>
      <c r="H705" s="480"/>
      <c r="I705" s="480"/>
      <c r="J705" s="480"/>
      <c r="K705" s="466">
        <f t="shared" ref="K705:AY705" si="719">K761/K$758</f>
        <v>0.5558047112630714</v>
      </c>
      <c r="L705" s="472">
        <f t="shared" si="719"/>
        <v>0.57397026565927367</v>
      </c>
      <c r="M705" s="472">
        <f t="shared" si="719"/>
        <v>0.5126620310756288</v>
      </c>
      <c r="N705" s="472">
        <f t="shared" si="719"/>
        <v>0.51050858334670302</v>
      </c>
      <c r="O705" s="472">
        <f t="shared" si="719"/>
        <v>0.5665509726370167</v>
      </c>
      <c r="P705" s="466">
        <f t="shared" si="719"/>
        <v>0.54124925736996288</v>
      </c>
      <c r="Q705" s="472">
        <f t="shared" si="719"/>
        <v>0.57172727951609292</v>
      </c>
      <c r="R705" s="472">
        <f t="shared" si="719"/>
        <v>0.53687505015648829</v>
      </c>
      <c r="S705" s="472">
        <f t="shared" si="719"/>
        <v>0.50858713075337758</v>
      </c>
      <c r="T705" s="472">
        <f t="shared" si="719"/>
        <v>0.54433096506808765</v>
      </c>
      <c r="U705" s="466">
        <f t="shared" si="719"/>
        <v>0.5406270847231488</v>
      </c>
      <c r="V705" s="472">
        <f t="shared" si="719"/>
        <v>0.56566517974284969</v>
      </c>
      <c r="W705" s="472">
        <f t="shared" si="719"/>
        <v>0.52926208651399487</v>
      </c>
      <c r="X705" s="472">
        <f t="shared" si="719"/>
        <v>0.50437767037893111</v>
      </c>
      <c r="Y705" s="472">
        <f t="shared" si="719"/>
        <v>0.55585146857403744</v>
      </c>
      <c r="Z705" s="466">
        <f t="shared" si="719"/>
        <v>0.53913215415588156</v>
      </c>
      <c r="AA705" s="472">
        <f t="shared" si="719"/>
        <v>0.56858766233766234</v>
      </c>
      <c r="AB705" s="482">
        <f t="shared" si="719"/>
        <v>0.5225704859028194</v>
      </c>
      <c r="AC705" s="472">
        <f t="shared" si="719"/>
        <v>0.54200028093833408</v>
      </c>
      <c r="AD705" s="472">
        <f t="shared" si="719"/>
        <v>0.56451991548634484</v>
      </c>
      <c r="AE705" s="466">
        <f t="shared" si="719"/>
        <v>0.54964905598781222</v>
      </c>
      <c r="AF705" s="472">
        <f t="shared" si="719"/>
        <v>0.56914858966842552</v>
      </c>
      <c r="AG705" s="482">
        <f t="shared" si="719"/>
        <v>0.51780313445147097</v>
      </c>
      <c r="AH705" s="472">
        <f t="shared" si="719"/>
        <v>0.54820068295245605</v>
      </c>
      <c r="AI705" s="472">
        <f t="shared" si="719"/>
        <v>0.56671559376528968</v>
      </c>
      <c r="AJ705" s="466">
        <f t="shared" si="719"/>
        <v>0.55062758690311941</v>
      </c>
      <c r="AK705" s="472">
        <f t="shared" si="719"/>
        <v>0.58818532313925376</v>
      </c>
      <c r="AL705" s="482">
        <f t="shared" si="719"/>
        <v>0.56131885806192194</v>
      </c>
      <c r="AM705" s="472">
        <f t="shared" si="719"/>
        <v>0.63319338108174861</v>
      </c>
      <c r="AN705" s="472">
        <f t="shared" si="719"/>
        <v>0.61895287958115186</v>
      </c>
      <c r="AO705" s="466">
        <f t="shared" si="719"/>
        <v>0.60396722725312635</v>
      </c>
      <c r="AP705" s="472">
        <f t="shared" si="719"/>
        <v>0.62402914948700738</v>
      </c>
      <c r="AQ705" s="482">
        <f t="shared" si="719"/>
        <v>0.66178022100061085</v>
      </c>
      <c r="AR705" s="472">
        <f t="shared" si="719"/>
        <v>0.67034553018083032</v>
      </c>
      <c r="AS705" s="472">
        <f>AS761/AS$758</f>
        <v>0.74882708914122531</v>
      </c>
      <c r="AT705" s="466">
        <f>AT761/AT$758</f>
        <v>0.67107114455251726</v>
      </c>
      <c r="AU705" s="472">
        <f>AU761/AU$758</f>
        <v>0.7246599790756354</v>
      </c>
      <c r="AV705" s="482">
        <f>AV761/AV$758</f>
        <v>0.6265291744059438</v>
      </c>
      <c r="AW705" s="874">
        <f>AW761/AW$758</f>
        <v>0.65991070379508876</v>
      </c>
      <c r="AX705" s="472">
        <f t="shared" si="719"/>
        <v>0.67575619723510372</v>
      </c>
      <c r="AY705" s="466">
        <f t="shared" si="719"/>
        <v>0.67221028911924752</v>
      </c>
      <c r="AZ705" s="472">
        <f>AZ761/AZ$758</f>
        <v>0.61331761130555318</v>
      </c>
      <c r="BA705" s="472">
        <f>BA761/BA$758</f>
        <v>0.65942936697660148</v>
      </c>
      <c r="BB705" s="472">
        <f>BB761/BB$758</f>
        <v>0.647524102038747</v>
      </c>
      <c r="BC705" s="472">
        <f>BC761/BC$758</f>
        <v>0.64789699486762631</v>
      </c>
      <c r="BD705" s="466">
        <f>BD761/BD$758</f>
        <v>0.64229640018380751</v>
      </c>
      <c r="BE705" s="466">
        <f>BE761/BE758</f>
        <v>0.62191948116676843</v>
      </c>
      <c r="BF705" s="466">
        <f>BF761/BF758</f>
        <v>0.62142440572377455</v>
      </c>
      <c r="BG705" s="466">
        <f>BG761/BG758</f>
        <v>0.62032574029420418</v>
      </c>
      <c r="BH705" s="473"/>
    </row>
    <row r="706" spans="1:60" s="177" customFormat="1" x14ac:dyDescent="0.25">
      <c r="A706" s="178" t="s">
        <v>183</v>
      </c>
      <c r="B706" s="179"/>
      <c r="C706" s="102"/>
      <c r="D706" s="102"/>
      <c r="E706" s="102"/>
      <c r="F706" s="102"/>
      <c r="G706" s="100"/>
      <c r="H706" s="100"/>
      <c r="I706" s="100"/>
      <c r="J706" s="100"/>
      <c r="K706" s="102">
        <f t="shared" ref="K706:AY706" si="720">1-K705</f>
        <v>0.4441952887369286</v>
      </c>
      <c r="L706" s="100">
        <f t="shared" si="720"/>
        <v>0.42602973434072633</v>
      </c>
      <c r="M706" s="100">
        <f t="shared" si="720"/>
        <v>0.4873379689243712</v>
      </c>
      <c r="N706" s="100">
        <f t="shared" si="720"/>
        <v>0.48949141665329698</v>
      </c>
      <c r="O706" s="100">
        <f t="shared" si="720"/>
        <v>0.4334490273629833</v>
      </c>
      <c r="P706" s="102">
        <f t="shared" si="720"/>
        <v>0.45875074263003712</v>
      </c>
      <c r="Q706" s="100">
        <f t="shared" si="720"/>
        <v>0.42827272048390708</v>
      </c>
      <c r="R706" s="100">
        <f t="shared" si="720"/>
        <v>0.46312494984351171</v>
      </c>
      <c r="S706" s="100">
        <f t="shared" si="720"/>
        <v>0.49141286924662242</v>
      </c>
      <c r="T706" s="100">
        <f t="shared" si="720"/>
        <v>0.45566903493191235</v>
      </c>
      <c r="U706" s="102">
        <f t="shared" si="720"/>
        <v>0.4593729152768512</v>
      </c>
      <c r="V706" s="100">
        <f t="shared" si="720"/>
        <v>0.43433482025715031</v>
      </c>
      <c r="W706" s="100">
        <f t="shared" si="720"/>
        <v>0.47073791348600513</v>
      </c>
      <c r="X706" s="100">
        <f t="shared" si="720"/>
        <v>0.49562232962106889</v>
      </c>
      <c r="Y706" s="100">
        <f t="shared" si="720"/>
        <v>0.44414853142596256</v>
      </c>
      <c r="Z706" s="102">
        <f t="shared" si="720"/>
        <v>0.46086784584411844</v>
      </c>
      <c r="AA706" s="100">
        <f t="shared" si="720"/>
        <v>0.43141233766233766</v>
      </c>
      <c r="AB706" s="100">
        <f t="shared" si="720"/>
        <v>0.4774295140971806</v>
      </c>
      <c r="AC706" s="100">
        <f t="shared" si="720"/>
        <v>0.45799971906166592</v>
      </c>
      <c r="AD706" s="100">
        <f t="shared" si="720"/>
        <v>0.43548008451365516</v>
      </c>
      <c r="AE706" s="102">
        <f t="shared" si="720"/>
        <v>0.45035094401218778</v>
      </c>
      <c r="AF706" s="100">
        <f t="shared" si="720"/>
        <v>0.43085141033157448</v>
      </c>
      <c r="AG706" s="100">
        <f t="shared" si="720"/>
        <v>0.48219686554852903</v>
      </c>
      <c r="AH706" s="100">
        <f t="shared" si="720"/>
        <v>0.45179931704754395</v>
      </c>
      <c r="AI706" s="100">
        <f t="shared" si="720"/>
        <v>0.43328440623471032</v>
      </c>
      <c r="AJ706" s="102">
        <f t="shared" si="720"/>
        <v>0.44937241309688059</v>
      </c>
      <c r="AK706" s="100">
        <f t="shared" si="720"/>
        <v>0.41181467686074624</v>
      </c>
      <c r="AL706" s="100">
        <f t="shared" si="720"/>
        <v>0.43868114193807806</v>
      </c>
      <c r="AM706" s="100">
        <f t="shared" si="720"/>
        <v>0.36680661891825139</v>
      </c>
      <c r="AN706" s="100">
        <f t="shared" si="720"/>
        <v>0.38104712041884814</v>
      </c>
      <c r="AO706" s="102">
        <f t="shared" si="720"/>
        <v>0.39603277274687365</v>
      </c>
      <c r="AP706" s="100">
        <f t="shared" si="720"/>
        <v>0.37597085051299262</v>
      </c>
      <c r="AQ706" s="100">
        <f t="shared" si="720"/>
        <v>0.33821977899938915</v>
      </c>
      <c r="AR706" s="100">
        <f t="shared" si="720"/>
        <v>0.32965446981916968</v>
      </c>
      <c r="AS706" s="100">
        <f>1-AS705</f>
        <v>0.25117291085877469</v>
      </c>
      <c r="AT706" s="102">
        <f>1-AT705</f>
        <v>0.32892885544748274</v>
      </c>
      <c r="AU706" s="100">
        <f>1-AU705</f>
        <v>0.2753400209243646</v>
      </c>
      <c r="AV706" s="100">
        <f>1-AV705</f>
        <v>0.3734708255940562</v>
      </c>
      <c r="AW706" s="704">
        <f>1-AW705</f>
        <v>0.34008929620491124</v>
      </c>
      <c r="AX706" s="100">
        <f t="shared" si="720"/>
        <v>0.32424380276489628</v>
      </c>
      <c r="AY706" s="102">
        <f t="shared" si="720"/>
        <v>0.32778971088075248</v>
      </c>
      <c r="AZ706" s="100">
        <f t="shared" ref="AZ706:BG706" si="721">1-AZ705</f>
        <v>0.38668238869444682</v>
      </c>
      <c r="BA706" s="100">
        <f t="shared" si="721"/>
        <v>0.34057063302339852</v>
      </c>
      <c r="BB706" s="100">
        <f t="shared" si="721"/>
        <v>0.352475897961253</v>
      </c>
      <c r="BC706" s="100">
        <f t="shared" si="721"/>
        <v>0.35210300513237369</v>
      </c>
      <c r="BD706" s="102">
        <f t="shared" si="721"/>
        <v>0.35770359981619249</v>
      </c>
      <c r="BE706" s="102">
        <f t="shared" si="721"/>
        <v>0.37808051883323157</v>
      </c>
      <c r="BF706" s="102">
        <f t="shared" si="721"/>
        <v>0.37857559427622545</v>
      </c>
      <c r="BG706" s="102">
        <f t="shared" si="721"/>
        <v>0.37967425970579582</v>
      </c>
      <c r="BH706" s="292"/>
    </row>
    <row r="707" spans="1:60" s="184" customFormat="1" x14ac:dyDescent="0.25">
      <c r="A707" s="180" t="s">
        <v>184</v>
      </c>
      <c r="B707" s="206"/>
      <c r="C707" s="181"/>
      <c r="D707" s="181"/>
      <c r="E707" s="181"/>
      <c r="F707" s="181"/>
      <c r="G707" s="182"/>
      <c r="H707" s="182"/>
      <c r="I707" s="182"/>
      <c r="J707" s="182"/>
      <c r="K707" s="181"/>
      <c r="L707" s="182"/>
      <c r="M707" s="182"/>
      <c r="N707" s="182"/>
      <c r="O707" s="182"/>
      <c r="P707" s="181"/>
      <c r="Q707" s="182"/>
      <c r="R707" s="182"/>
      <c r="S707" s="182"/>
      <c r="T707" s="182"/>
      <c r="U707" s="181"/>
      <c r="V707" s="182"/>
      <c r="W707" s="182"/>
      <c r="X707" s="182"/>
      <c r="Y707" s="182"/>
      <c r="Z707" s="181"/>
      <c r="AA707" s="182"/>
      <c r="AB707" s="182"/>
      <c r="AC707" s="182"/>
      <c r="AD707" s="182"/>
      <c r="AE707" s="181"/>
      <c r="AF707" s="182"/>
      <c r="AG707" s="182"/>
      <c r="AH707" s="182"/>
      <c r="AI707" s="182"/>
      <c r="AJ707" s="181"/>
      <c r="AK707" s="182"/>
      <c r="AL707" s="182"/>
      <c r="AM707" s="182"/>
      <c r="AN707" s="182"/>
      <c r="AO707" s="181"/>
      <c r="AP707" s="182"/>
      <c r="AQ707" s="182"/>
      <c r="AR707" s="182"/>
      <c r="AS707" s="182"/>
      <c r="AT707" s="181"/>
      <c r="AU707" s="182"/>
      <c r="AV707" s="182"/>
      <c r="AW707" s="705"/>
      <c r="AX707" s="182" t="str">
        <f t="shared" ref="AX707:BD707" ca="1" si="722">IFERROR(VLOOKUP($A707,tb_ConsensusEstimate,MATCH(AX$5,OFFSET(tb_ConsensusEstimate,0,0,1,COLUMNS(tb_ConsensusEstimate)),0),FALSE),"-")</f>
        <v>N/A</v>
      </c>
      <c r="AY707" s="183" t="str">
        <f t="shared" ca="1" si="722"/>
        <v>N/A</v>
      </c>
      <c r="AZ707" s="182" t="str">
        <f t="shared" ca="1" si="722"/>
        <v>N/A</v>
      </c>
      <c r="BA707" s="182" t="str">
        <f t="shared" ca="1" si="722"/>
        <v>N/A</v>
      </c>
      <c r="BB707" s="182" t="str">
        <f t="shared" ca="1" si="722"/>
        <v>N/A</v>
      </c>
      <c r="BC707" s="182" t="str">
        <f t="shared" ca="1" si="722"/>
        <v>N/A</v>
      </c>
      <c r="BD707" s="183" t="str">
        <f t="shared" ca="1" si="722"/>
        <v>N/A</v>
      </c>
      <c r="BE707" s="183" t="str">
        <f ca="1">IFERROR(VLOOKUP(A707,tb_ConsensusEstimate,MATCH(BE5,OFFSET(tb_ConsensusEstimate,0,0,1,COLUMNS(tb_ConsensusEstimate)),0),FALSE),"-")</f>
        <v>N/A</v>
      </c>
      <c r="BF707" s="183" t="str">
        <f ca="1">IFERROR(VLOOKUP(A707,tb_ConsensusEstimate,MATCH(BF5,OFFSET(tb_ConsensusEstimate,0,0,1,COLUMNS(tb_ConsensusEstimate)),0),FALSE),"-")</f>
        <v>N/A</v>
      </c>
      <c r="BG707" s="183" t="str">
        <f ca="1">IFERROR(VLOOKUP(A707,tb_ConsensusEstimate,MATCH(BG5,OFFSET(tb_ConsensusEstimate,0,0,1,COLUMNS(tb_ConsensusEstimate)),0),FALSE),"-")</f>
        <v>N/A</v>
      </c>
      <c r="BH707" s="182"/>
    </row>
    <row r="708" spans="1:60" s="44" customFormat="1" x14ac:dyDescent="0.25">
      <c r="A708" s="781"/>
      <c r="B708" s="246"/>
      <c r="C708" s="478"/>
      <c r="D708" s="478"/>
      <c r="E708" s="478"/>
      <c r="F708" s="478"/>
      <c r="G708" s="480"/>
      <c r="H708" s="480"/>
      <c r="I708" s="480"/>
      <c r="J708" s="480"/>
      <c r="K708" s="478"/>
      <c r="L708" s="480"/>
      <c r="M708" s="480"/>
      <c r="N708" s="480"/>
      <c r="O708" s="480"/>
      <c r="P708" s="478"/>
      <c r="Q708" s="480"/>
      <c r="R708" s="480"/>
      <c r="S708" s="480"/>
      <c r="T708" s="480"/>
      <c r="U708" s="478"/>
      <c r="V708" s="480"/>
      <c r="W708" s="480"/>
      <c r="X708" s="480"/>
      <c r="Y708" s="480"/>
      <c r="Z708" s="478"/>
      <c r="AA708" s="480"/>
      <c r="AB708" s="480"/>
      <c r="AC708" s="480"/>
      <c r="AD708" s="480"/>
      <c r="AE708" s="478"/>
      <c r="AF708" s="480"/>
      <c r="AG708" s="480"/>
      <c r="AH708" s="480"/>
      <c r="AI708" s="480"/>
      <c r="AJ708" s="478"/>
      <c r="AK708" s="480"/>
      <c r="AL708" s="480"/>
      <c r="AM708" s="480"/>
      <c r="AN708" s="480"/>
      <c r="AO708" s="478"/>
      <c r="AP708" s="480"/>
      <c r="AQ708" s="480"/>
      <c r="AR708" s="480"/>
      <c r="AS708" s="480"/>
      <c r="AT708" s="478"/>
      <c r="AU708" s="480"/>
      <c r="AV708" s="480"/>
      <c r="AW708" s="708"/>
      <c r="AX708" s="480"/>
      <c r="AY708" s="478"/>
      <c r="AZ708" s="480"/>
      <c r="BA708" s="480"/>
      <c r="BB708" s="480"/>
      <c r="BC708" s="480"/>
      <c r="BD708" s="478"/>
      <c r="BE708" s="478"/>
      <c r="BF708" s="478"/>
      <c r="BG708" s="478"/>
      <c r="BH708" s="473"/>
    </row>
    <row r="709" spans="1:60" s="44" customFormat="1" x14ac:dyDescent="0.25">
      <c r="A709" s="84" t="s">
        <v>185</v>
      </c>
      <c r="B709" s="246"/>
      <c r="C709" s="466">
        <f t="shared" ref="C709:AH709" si="723">C764/C$758</f>
        <v>0.83241583446291734</v>
      </c>
      <c r="D709" s="466">
        <f t="shared" si="723"/>
        <v>0.81302051861387703</v>
      </c>
      <c r="E709" s="466">
        <f t="shared" si="723"/>
        <v>0.79937886679871861</v>
      </c>
      <c r="F709" s="466">
        <f t="shared" si="723"/>
        <v>0.78071337338568525</v>
      </c>
      <c r="G709" s="472">
        <f t="shared" si="723"/>
        <v>0.80671898421655941</v>
      </c>
      <c r="H709" s="472">
        <f t="shared" si="723"/>
        <v>0.78178889520560924</v>
      </c>
      <c r="I709" s="472">
        <f t="shared" si="723"/>
        <v>0.7321644498186215</v>
      </c>
      <c r="J709" s="472">
        <f t="shared" si="723"/>
        <v>0.80497925311203322</v>
      </c>
      <c r="K709" s="466">
        <f t="shared" si="723"/>
        <v>0.17679447614395774</v>
      </c>
      <c r="L709" s="472">
        <f t="shared" si="723"/>
        <v>0.15614590949711593</v>
      </c>
      <c r="M709" s="472">
        <f t="shared" si="723"/>
        <v>0.17203193407159412</v>
      </c>
      <c r="N709" s="472">
        <f t="shared" si="723"/>
        <v>0.15618482271779238</v>
      </c>
      <c r="O709" s="472">
        <f t="shared" si="723"/>
        <v>0.18435709096779401</v>
      </c>
      <c r="P709" s="466">
        <f t="shared" si="723"/>
        <v>0.16710712310245221</v>
      </c>
      <c r="Q709" s="472">
        <f t="shared" si="723"/>
        <v>0.13673362706295272</v>
      </c>
      <c r="R709" s="472">
        <f t="shared" si="723"/>
        <v>0.15825375170532061</v>
      </c>
      <c r="S709" s="472">
        <f t="shared" si="723"/>
        <v>0.1530417525379742</v>
      </c>
      <c r="T709" s="472">
        <f t="shared" si="723"/>
        <v>0.17058910597986973</v>
      </c>
      <c r="U709" s="466">
        <f t="shared" si="723"/>
        <v>0.15463642428285523</v>
      </c>
      <c r="V709" s="472">
        <f t="shared" si="723"/>
        <v>0.12588559433219629</v>
      </c>
      <c r="W709" s="472">
        <f t="shared" si="723"/>
        <v>0.15714395867067624</v>
      </c>
      <c r="X709" s="472">
        <f t="shared" si="723"/>
        <v>0.1544442109686909</v>
      </c>
      <c r="Y709" s="472">
        <f t="shared" si="723"/>
        <v>0.16732612996499771</v>
      </c>
      <c r="Z709" s="466">
        <f t="shared" si="723"/>
        <v>0.1502911993097498</v>
      </c>
      <c r="AA709" s="472">
        <f t="shared" si="723"/>
        <v>0.12770562770562771</v>
      </c>
      <c r="AB709" s="482">
        <f t="shared" si="723"/>
        <v>0.13864727054589082</v>
      </c>
      <c r="AC709" s="472">
        <f t="shared" si="723"/>
        <v>0.13576344992274195</v>
      </c>
      <c r="AD709" s="472">
        <f t="shared" si="723"/>
        <v>0.16761874951091635</v>
      </c>
      <c r="AE709" s="466">
        <f t="shared" si="723"/>
        <v>0.14168344306001415</v>
      </c>
      <c r="AF709" s="472">
        <f t="shared" si="723"/>
        <v>0.12930753696827568</v>
      </c>
      <c r="AG709" s="482">
        <f t="shared" si="723"/>
        <v>0.14758042342590047</v>
      </c>
      <c r="AH709" s="472">
        <f t="shared" si="723"/>
        <v>0.1378381928027318</v>
      </c>
      <c r="AI709" s="472">
        <f t="shared" ref="AI709:AY709" si="724">AI764/AI$758</f>
        <v>0.15628713217306214</v>
      </c>
      <c r="AJ709" s="466">
        <f t="shared" si="724"/>
        <v>0.14246054446949558</v>
      </c>
      <c r="AK709" s="472">
        <f t="shared" si="724"/>
        <v>0.1346141279487682</v>
      </c>
      <c r="AL709" s="482">
        <f t="shared" si="724"/>
        <v>0.13027744270205066</v>
      </c>
      <c r="AM709" s="472">
        <f t="shared" si="724"/>
        <v>0.16033588540380342</v>
      </c>
      <c r="AN709" s="472">
        <f t="shared" si="724"/>
        <v>0.18727748691099477</v>
      </c>
      <c r="AO709" s="466">
        <f t="shared" si="724"/>
        <v>0.15567054764984908</v>
      </c>
      <c r="AP709" s="472">
        <f t="shared" si="724"/>
        <v>0.17202032793172883</v>
      </c>
      <c r="AQ709" s="482">
        <f t="shared" si="724"/>
        <v>0.18085401743572657</v>
      </c>
      <c r="AR709" s="472">
        <f t="shared" si="724"/>
        <v>0.19636641480601069</v>
      </c>
      <c r="AS709" s="472">
        <f>AS764/AS$758</f>
        <v>0.18188617665057455</v>
      </c>
      <c r="AT709" s="466">
        <f>AT764/AT$758</f>
        <v>0.18113415305560654</v>
      </c>
      <c r="AU709" s="472">
        <f>AU764/AU$758</f>
        <v>0.1712720782817404</v>
      </c>
      <c r="AV709" s="482">
        <f>AV764/AV$758</f>
        <v>0.1906744379683597</v>
      </c>
      <c r="AW709" s="874">
        <f>AW764/AW$758</f>
        <v>0.17682998472564915</v>
      </c>
      <c r="AX709" s="472">
        <f t="shared" si="724"/>
        <v>0.15775775440493961</v>
      </c>
      <c r="AY709" s="466">
        <f t="shared" si="724"/>
        <v>0.17315659623277044</v>
      </c>
      <c r="AZ709" s="472">
        <f>AZ764/AZ$758</f>
        <v>0.15239037687803686</v>
      </c>
      <c r="BA709" s="472">
        <f>BA764/BA$758</f>
        <v>0.16062190593437739</v>
      </c>
      <c r="BB709" s="472">
        <f>BB764/BB$758</f>
        <v>0.16059509040958189</v>
      </c>
      <c r="BC709" s="472">
        <f>BC764/BC$758</f>
        <v>0.15852149094622212</v>
      </c>
      <c r="BD709" s="466">
        <f>BD764/BD$758</f>
        <v>0.15809401641614448</v>
      </c>
      <c r="BE709" s="466">
        <f>BE764/BE758</f>
        <v>0.1570143252120754</v>
      </c>
      <c r="BF709" s="466">
        <f>BF764/BF758</f>
        <v>0.16031014841613736</v>
      </c>
      <c r="BG709" s="466">
        <f>BG764/BG758</f>
        <v>0.16966296514009993</v>
      </c>
      <c r="BH709" s="473"/>
    </row>
    <row r="710" spans="1:60" s="44" customFormat="1" x14ac:dyDescent="0.25">
      <c r="A710" s="85" t="s">
        <v>186</v>
      </c>
      <c r="B710" s="179"/>
      <c r="C710" s="50">
        <f t="shared" ref="C710:AH710" si="725">C765/C758</f>
        <v>0.16758416553708264</v>
      </c>
      <c r="D710" s="50">
        <f t="shared" si="725"/>
        <v>0.186979481386123</v>
      </c>
      <c r="E710" s="50">
        <f t="shared" si="725"/>
        <v>0.20062113320128139</v>
      </c>
      <c r="F710" s="50">
        <f t="shared" si="725"/>
        <v>0.21928662661431478</v>
      </c>
      <c r="G710" s="60">
        <f t="shared" si="725"/>
        <v>0.19328101578344062</v>
      </c>
      <c r="H710" s="60">
        <f t="shared" si="725"/>
        <v>0.21821110479439076</v>
      </c>
      <c r="I710" s="60">
        <f t="shared" si="725"/>
        <v>0.2678355501813785</v>
      </c>
      <c r="J710" s="60">
        <f t="shared" si="725"/>
        <v>0.19502074688796681</v>
      </c>
      <c r="K710" s="50">
        <f t="shared" si="725"/>
        <v>0.26740081259297083</v>
      </c>
      <c r="L710" s="60">
        <f t="shared" si="725"/>
        <v>0.26988382484361034</v>
      </c>
      <c r="M710" s="60">
        <f t="shared" si="725"/>
        <v>0.31530603485277708</v>
      </c>
      <c r="N710" s="60">
        <f t="shared" si="725"/>
        <v>0.33330659393550455</v>
      </c>
      <c r="O710" s="60">
        <f t="shared" si="725"/>
        <v>0.24909193639518928</v>
      </c>
      <c r="P710" s="50">
        <f t="shared" si="725"/>
        <v>0.29164361952758489</v>
      </c>
      <c r="Q710" s="60">
        <f t="shared" si="725"/>
        <v>0.29153909342095435</v>
      </c>
      <c r="R710" s="60">
        <f t="shared" si="725"/>
        <v>0.30487119813819114</v>
      </c>
      <c r="S710" s="60">
        <f t="shared" si="725"/>
        <v>0.33837111670864817</v>
      </c>
      <c r="T710" s="60">
        <f t="shared" si="725"/>
        <v>0.28507992895204265</v>
      </c>
      <c r="U710" s="50">
        <f t="shared" si="725"/>
        <v>0.30473649099399602</v>
      </c>
      <c r="V710" s="60">
        <f t="shared" si="725"/>
        <v>0.30844922592495411</v>
      </c>
      <c r="W710" s="60">
        <f t="shared" si="725"/>
        <v>0.31359395481532887</v>
      </c>
      <c r="X710" s="60">
        <f t="shared" si="725"/>
        <v>0.34117811865237796</v>
      </c>
      <c r="Y710" s="60">
        <f t="shared" si="725"/>
        <v>0.27682240146096487</v>
      </c>
      <c r="Z710" s="50">
        <f t="shared" si="725"/>
        <v>0.31057664653436873</v>
      </c>
      <c r="AA710" s="60">
        <f t="shared" si="725"/>
        <v>0.30370670995670995</v>
      </c>
      <c r="AB710" s="190">
        <f t="shared" si="725"/>
        <v>0.33878224355128972</v>
      </c>
      <c r="AC710" s="60">
        <f t="shared" si="725"/>
        <v>0.322236269138924</v>
      </c>
      <c r="AD710" s="60">
        <f t="shared" si="725"/>
        <v>0.26786133500273884</v>
      </c>
      <c r="AE710" s="50">
        <f t="shared" si="725"/>
        <v>0.30866750095217366</v>
      </c>
      <c r="AF710" s="60">
        <f t="shared" si="725"/>
        <v>0.3015438733632988</v>
      </c>
      <c r="AG710" s="190">
        <f t="shared" si="725"/>
        <v>0.33461644212262853</v>
      </c>
      <c r="AH710" s="60">
        <f t="shared" si="725"/>
        <v>0.31396112424481221</v>
      </c>
      <c r="AI710" s="60">
        <f t="shared" ref="AI710:AY710" si="726">AI765/AI758</f>
        <v>0.27699727406164815</v>
      </c>
      <c r="AJ710" s="50">
        <f t="shared" si="726"/>
        <v>0.30691186862738501</v>
      </c>
      <c r="AK710" s="60">
        <f t="shared" si="726"/>
        <v>0.27720054891197804</v>
      </c>
      <c r="AL710" s="190">
        <f t="shared" si="726"/>
        <v>0.30840369923602734</v>
      </c>
      <c r="AM710" s="60">
        <f t="shared" si="726"/>
        <v>0.206470733514448</v>
      </c>
      <c r="AN710" s="60">
        <f t="shared" si="726"/>
        <v>0.19376963350785339</v>
      </c>
      <c r="AO710" s="50">
        <f t="shared" si="726"/>
        <v>0.24036222509702457</v>
      </c>
      <c r="AP710" s="60">
        <f t="shared" si="726"/>
        <v>0.20395052258126378</v>
      </c>
      <c r="AQ710" s="190">
        <f t="shared" si="726"/>
        <v>0.15736576156366261</v>
      </c>
      <c r="AR710" s="60">
        <f t="shared" si="726"/>
        <v>0.13328805501315902</v>
      </c>
      <c r="AS710" s="60">
        <f>AS765/AS758</f>
        <v>6.9286734208200182E-2</v>
      </c>
      <c r="AT710" s="50">
        <f>AT765/AT758</f>
        <v>0.1477947023918762</v>
      </c>
      <c r="AU710" s="60">
        <f>AU765/AU758</f>
        <v>0.10406794264262416</v>
      </c>
      <c r="AV710" s="190">
        <f>AV765/AV758</f>
        <v>0.18279638762569653</v>
      </c>
      <c r="AW710" s="868">
        <f>AW765/AW758</f>
        <v>0.16325931147926212</v>
      </c>
      <c r="AX710" s="100">
        <f t="shared" si="726"/>
        <v>0.1664860483599567</v>
      </c>
      <c r="AY710" s="50">
        <f t="shared" si="726"/>
        <v>0.15463311464798202</v>
      </c>
      <c r="AZ710" s="100">
        <f t="shared" ref="AZ710:BG710" si="727">AZ765/AZ758</f>
        <v>0.23429201181640991</v>
      </c>
      <c r="BA710" s="100">
        <f t="shared" si="727"/>
        <v>0.17994872708902118</v>
      </c>
      <c r="BB710" s="100">
        <f t="shared" si="727"/>
        <v>0.19188080755167114</v>
      </c>
      <c r="BC710" s="100">
        <f t="shared" si="727"/>
        <v>0.19358151418615152</v>
      </c>
      <c r="BD710" s="50">
        <f t="shared" si="727"/>
        <v>0.19960958340004797</v>
      </c>
      <c r="BE710" s="102">
        <f t="shared" si="727"/>
        <v>0.22106619362115615</v>
      </c>
      <c r="BF710" s="102">
        <f t="shared" si="727"/>
        <v>0.21826544586008811</v>
      </c>
      <c r="BG710" s="102">
        <f t="shared" si="727"/>
        <v>0.21001129456569584</v>
      </c>
      <c r="BH710" s="473"/>
    </row>
    <row r="711" spans="1:60" s="44" customFormat="1" x14ac:dyDescent="0.25">
      <c r="A711" s="479" t="str">
        <f>CONCATENATE("Adjusted ",A710,IFERROR("  - "&amp;RIGHT(A766,FIND("(",A766)),""))</f>
        <v>Adjusted EBITDA Margin, %</v>
      </c>
      <c r="B711" s="246"/>
      <c r="C711" s="466">
        <f t="shared" ref="C711:AH711" si="728">C766/C758</f>
        <v>0.16758416553708264</v>
      </c>
      <c r="D711" s="466">
        <f t="shared" si="728"/>
        <v>0.186979481386123</v>
      </c>
      <c r="E711" s="466">
        <f t="shared" si="728"/>
        <v>0.20062113320128139</v>
      </c>
      <c r="F711" s="466">
        <f t="shared" si="728"/>
        <v>0.21928662661431478</v>
      </c>
      <c r="G711" s="472">
        <f t="shared" si="728"/>
        <v>0.19328101578344062</v>
      </c>
      <c r="H711" s="472">
        <f t="shared" si="728"/>
        <v>0.21821110479439076</v>
      </c>
      <c r="I711" s="472">
        <f t="shared" si="728"/>
        <v>0.2678355501813785</v>
      </c>
      <c r="J711" s="472">
        <f t="shared" si="728"/>
        <v>0.19502074688796681</v>
      </c>
      <c r="K711" s="466">
        <f t="shared" si="728"/>
        <v>0.26740081259297083</v>
      </c>
      <c r="L711" s="472">
        <f t="shared" si="728"/>
        <v>0.26988382484361034</v>
      </c>
      <c r="M711" s="472">
        <f t="shared" si="728"/>
        <v>0.31530603485277708</v>
      </c>
      <c r="N711" s="472">
        <f t="shared" si="728"/>
        <v>0.33330659393550455</v>
      </c>
      <c r="O711" s="472">
        <f t="shared" si="728"/>
        <v>0.24909193639518928</v>
      </c>
      <c r="P711" s="466">
        <f t="shared" si="728"/>
        <v>0.29164361952758489</v>
      </c>
      <c r="Q711" s="472">
        <f t="shared" si="728"/>
        <v>0.29153909342095435</v>
      </c>
      <c r="R711" s="472">
        <f t="shared" si="728"/>
        <v>0.30487119813819114</v>
      </c>
      <c r="S711" s="472">
        <f t="shared" si="728"/>
        <v>0.33837111670864817</v>
      </c>
      <c r="T711" s="472">
        <f t="shared" si="728"/>
        <v>0.28507992895204265</v>
      </c>
      <c r="U711" s="466">
        <f t="shared" si="728"/>
        <v>0.30473649099399602</v>
      </c>
      <c r="V711" s="472">
        <f t="shared" si="728"/>
        <v>0.30844922592495411</v>
      </c>
      <c r="W711" s="472">
        <f t="shared" si="728"/>
        <v>0.31359395481532887</v>
      </c>
      <c r="X711" s="472">
        <f t="shared" si="728"/>
        <v>0.34117811865237796</v>
      </c>
      <c r="Y711" s="472">
        <f t="shared" si="728"/>
        <v>0.27682240146096487</v>
      </c>
      <c r="Z711" s="466">
        <f t="shared" si="728"/>
        <v>0.31057664653436873</v>
      </c>
      <c r="AA711" s="472">
        <f t="shared" si="728"/>
        <v>0.30370670995670995</v>
      </c>
      <c r="AB711" s="482">
        <f t="shared" si="728"/>
        <v>0.33878224355128972</v>
      </c>
      <c r="AC711" s="472">
        <f t="shared" si="728"/>
        <v>0.322236269138924</v>
      </c>
      <c r="AD711" s="472">
        <f t="shared" si="728"/>
        <v>0.26786133500273884</v>
      </c>
      <c r="AE711" s="466">
        <f t="shared" si="728"/>
        <v>0.30866750095217366</v>
      </c>
      <c r="AF711" s="472">
        <f t="shared" si="728"/>
        <v>0.3015438733632988</v>
      </c>
      <c r="AG711" s="482">
        <f t="shared" si="728"/>
        <v>0.33461644212262853</v>
      </c>
      <c r="AH711" s="472">
        <f t="shared" si="728"/>
        <v>0.31396112424481221</v>
      </c>
      <c r="AI711" s="472">
        <f t="shared" ref="AI711:AY711" si="729">AI766/AI758</f>
        <v>0.27699727406164815</v>
      </c>
      <c r="AJ711" s="466">
        <f t="shared" si="729"/>
        <v>0.30691186862738501</v>
      </c>
      <c r="AK711" s="472">
        <f t="shared" si="729"/>
        <v>0.27720054891197804</v>
      </c>
      <c r="AL711" s="482">
        <f t="shared" si="729"/>
        <v>0.30840369923602734</v>
      </c>
      <c r="AM711" s="472">
        <f t="shared" si="729"/>
        <v>0.206470733514448</v>
      </c>
      <c r="AN711" s="472">
        <f t="shared" si="729"/>
        <v>0.19376963350785339</v>
      </c>
      <c r="AO711" s="466">
        <f t="shared" si="729"/>
        <v>0.24036222509702457</v>
      </c>
      <c r="AP711" s="472">
        <f t="shared" si="729"/>
        <v>0.20395052258126378</v>
      </c>
      <c r="AQ711" s="482">
        <f t="shared" si="729"/>
        <v>0.15736576156366261</v>
      </c>
      <c r="AR711" s="472">
        <f t="shared" si="729"/>
        <v>0.13328805501315902</v>
      </c>
      <c r="AS711" s="472">
        <f>AS766/AS758</f>
        <v>6.9286734208200182E-2</v>
      </c>
      <c r="AT711" s="466">
        <f>AT766/AT758</f>
        <v>0.1477947023918762</v>
      </c>
      <c r="AU711" s="472">
        <f>AU766/AU758</f>
        <v>0.10406794264262416</v>
      </c>
      <c r="AV711" s="482">
        <f>AV766/AV758</f>
        <v>0.18279638762569653</v>
      </c>
      <c r="AW711" s="874">
        <f>AW766/AW758</f>
        <v>0.16325931147926212</v>
      </c>
      <c r="AX711" s="480">
        <f t="shared" si="729"/>
        <v>0.1664860483599567</v>
      </c>
      <c r="AY711" s="466">
        <f t="shared" si="729"/>
        <v>0.15463311464798205</v>
      </c>
      <c r="AZ711" s="480">
        <f t="shared" ref="AZ711:BG711" si="730">AZ766/AZ758</f>
        <v>0.22712610021338264</v>
      </c>
      <c r="BA711" s="480">
        <f t="shared" si="730"/>
        <v>0.17994872708902118</v>
      </c>
      <c r="BB711" s="480">
        <f t="shared" si="730"/>
        <v>0.19188080755167114</v>
      </c>
      <c r="BC711" s="480">
        <f t="shared" si="730"/>
        <v>0.19358151418615152</v>
      </c>
      <c r="BD711" s="466">
        <f t="shared" si="730"/>
        <v>0.19791780548671109</v>
      </c>
      <c r="BE711" s="478">
        <f t="shared" si="730"/>
        <v>0.22106619362115615</v>
      </c>
      <c r="BF711" s="478">
        <f t="shared" si="730"/>
        <v>0.21826544586008811</v>
      </c>
      <c r="BG711" s="478">
        <f t="shared" si="730"/>
        <v>0.21001129456569584</v>
      </c>
      <c r="BH711" s="473"/>
    </row>
    <row r="712" spans="1:60" s="170" customFormat="1" x14ac:dyDescent="0.25">
      <c r="A712" s="168" t="s">
        <v>187</v>
      </c>
      <c r="B712" s="782"/>
      <c r="C712" s="169"/>
      <c r="D712" s="169"/>
      <c r="E712" s="169"/>
      <c r="F712" s="169"/>
      <c r="G712" s="210"/>
      <c r="H712" s="210"/>
      <c r="I712" s="210"/>
      <c r="J712" s="210"/>
      <c r="K712" s="169"/>
      <c r="L712" s="210"/>
      <c r="M712" s="210"/>
      <c r="N712" s="210"/>
      <c r="O712" s="210"/>
      <c r="P712" s="169"/>
      <c r="Q712" s="210"/>
      <c r="R712" s="210"/>
      <c r="S712" s="210"/>
      <c r="T712" s="210"/>
      <c r="U712" s="169"/>
      <c r="V712" s="210"/>
      <c r="W712" s="210"/>
      <c r="X712" s="210"/>
      <c r="Y712" s="210"/>
      <c r="Z712" s="169"/>
      <c r="AA712" s="210"/>
      <c r="AB712" s="210"/>
      <c r="AC712" s="210"/>
      <c r="AD712" s="210"/>
      <c r="AE712" s="169"/>
      <c r="AF712" s="210"/>
      <c r="AG712" s="210"/>
      <c r="AH712" s="210"/>
      <c r="AI712" s="210"/>
      <c r="AJ712" s="169"/>
      <c r="AK712" s="210"/>
      <c r="AL712" s="210"/>
      <c r="AM712" s="210"/>
      <c r="AN712" s="210"/>
      <c r="AO712" s="169"/>
      <c r="AP712" s="210"/>
      <c r="AQ712" s="210"/>
      <c r="AR712" s="210"/>
      <c r="AS712" s="210"/>
      <c r="AT712" s="169"/>
      <c r="AU712" s="210"/>
      <c r="AV712" s="210"/>
      <c r="AW712" s="783"/>
      <c r="AX712" s="210">
        <f ca="1">IFERROR(AX767/AX759,0)</f>
        <v>0</v>
      </c>
      <c r="AY712" s="167">
        <f ca="1">IFERROR(AY767/AY759,0)</f>
        <v>0</v>
      </c>
      <c r="AZ712" s="210">
        <f t="shared" ref="AZ712:BG712" ca="1" si="731">IFERROR(AZ767/AZ759,0)</f>
        <v>0</v>
      </c>
      <c r="BA712" s="210">
        <f t="shared" ca="1" si="731"/>
        <v>0</v>
      </c>
      <c r="BB712" s="210">
        <f t="shared" ca="1" si="731"/>
        <v>0</v>
      </c>
      <c r="BC712" s="210">
        <f t="shared" ca="1" si="731"/>
        <v>0</v>
      </c>
      <c r="BD712" s="167">
        <f t="shared" ca="1" si="731"/>
        <v>0</v>
      </c>
      <c r="BE712" s="169">
        <f t="shared" ca="1" si="731"/>
        <v>0</v>
      </c>
      <c r="BF712" s="169">
        <f t="shared" ca="1" si="731"/>
        <v>0</v>
      </c>
      <c r="BG712" s="169">
        <f t="shared" ca="1" si="731"/>
        <v>0</v>
      </c>
      <c r="BH712" s="168"/>
    </row>
    <row r="713" spans="1:60" s="83" customFormat="1" x14ac:dyDescent="0.25">
      <c r="A713" s="186"/>
      <c r="B713" s="245"/>
      <c r="C713" s="832"/>
      <c r="D713" s="832"/>
      <c r="E713" s="832"/>
      <c r="F713" s="832"/>
      <c r="G713" s="784"/>
      <c r="H713" s="784"/>
      <c r="I713" s="784"/>
      <c r="J713" s="784"/>
      <c r="K713" s="832"/>
      <c r="L713" s="784"/>
      <c r="M713" s="784"/>
      <c r="N713" s="784"/>
      <c r="O713" s="784"/>
      <c r="P713" s="832"/>
      <c r="Q713" s="784"/>
      <c r="R713" s="784"/>
      <c r="S713" s="784"/>
      <c r="T713" s="784"/>
      <c r="U713" s="832"/>
      <c r="V713" s="784"/>
      <c r="W713" s="784"/>
      <c r="X713" s="784"/>
      <c r="Y713" s="784"/>
      <c r="Z713" s="832"/>
      <c r="AA713" s="784"/>
      <c r="AB713" s="784"/>
      <c r="AC713" s="784"/>
      <c r="AD713" s="784"/>
      <c r="AE713" s="832"/>
      <c r="AF713" s="784"/>
      <c r="AG713" s="784"/>
      <c r="AH713" s="784"/>
      <c r="AI713" s="784"/>
      <c r="AJ713" s="832"/>
      <c r="AK713" s="784"/>
      <c r="AL713" s="784"/>
      <c r="AM713" s="784"/>
      <c r="AN713" s="784"/>
      <c r="AO713" s="832"/>
      <c r="AP713" s="784"/>
      <c r="AQ713" s="784"/>
      <c r="AR713" s="784"/>
      <c r="AS713" s="784"/>
      <c r="AT713" s="832"/>
      <c r="AU713" s="784"/>
      <c r="AV713" s="784"/>
      <c r="AW713" s="785"/>
      <c r="AX713" s="784"/>
      <c r="AY713" s="835"/>
      <c r="AZ713" s="784"/>
      <c r="BA713" s="784"/>
      <c r="BB713" s="784"/>
      <c r="BC713" s="784"/>
      <c r="BD713" s="835"/>
      <c r="BE713" s="835"/>
      <c r="BF713" s="835"/>
      <c r="BG713" s="835"/>
      <c r="BH713" s="477"/>
    </row>
    <row r="714" spans="1:60" s="19" customFormat="1" x14ac:dyDescent="0.25">
      <c r="A714" s="956" t="s">
        <v>188</v>
      </c>
      <c r="B714" s="956"/>
      <c r="C714" s="986"/>
      <c r="D714" s="986"/>
      <c r="E714" s="986"/>
      <c r="F714" s="986"/>
      <c r="G714" s="986"/>
      <c r="H714" s="986"/>
      <c r="I714" s="986"/>
      <c r="J714" s="986"/>
      <c r="K714" s="986"/>
      <c r="L714" s="986"/>
      <c r="M714" s="986"/>
      <c r="N714" s="986"/>
      <c r="O714" s="986"/>
      <c r="P714" s="986"/>
      <c r="Q714" s="986"/>
      <c r="R714" s="986"/>
      <c r="S714" s="986"/>
      <c r="T714" s="986"/>
      <c r="U714" s="986"/>
      <c r="V714" s="986"/>
      <c r="W714" s="986"/>
      <c r="X714" s="986"/>
      <c r="Y714" s="986"/>
      <c r="Z714" s="986"/>
      <c r="AA714" s="986"/>
      <c r="AB714" s="986"/>
      <c r="AC714" s="986"/>
      <c r="AD714" s="986"/>
      <c r="AE714" s="986"/>
      <c r="AF714" s="986"/>
      <c r="AG714" s="986"/>
      <c r="AH714" s="986"/>
      <c r="AI714" s="986"/>
      <c r="AJ714" s="986"/>
      <c r="AK714" s="986"/>
      <c r="AL714" s="986"/>
      <c r="AM714" s="986"/>
      <c r="AN714" s="986"/>
      <c r="AO714" s="986"/>
      <c r="AP714" s="988" t="s">
        <v>701</v>
      </c>
      <c r="AQ714" s="988" t="s">
        <v>701</v>
      </c>
      <c r="AR714" s="986"/>
      <c r="AS714" s="986"/>
      <c r="AT714" s="986"/>
      <c r="AU714" s="988"/>
      <c r="AV714" s="988"/>
      <c r="AW714" s="987"/>
      <c r="AX714" s="986"/>
      <c r="AY714" s="986"/>
      <c r="AZ714" s="986"/>
      <c r="BA714" s="986"/>
      <c r="BB714" s="986"/>
      <c r="BC714" s="986"/>
      <c r="BD714" s="986"/>
      <c r="BE714" s="986"/>
      <c r="BF714" s="986"/>
      <c r="BG714" s="986"/>
      <c r="BH714" s="730"/>
    </row>
    <row r="715" spans="1:60" s="49" customFormat="1" hidden="1" outlineLevel="1" x14ac:dyDescent="0.25">
      <c r="A715" s="483" t="s">
        <v>189</v>
      </c>
      <c r="B715" s="209"/>
      <c r="C715" s="39">
        <v>0</v>
      </c>
      <c r="D715" s="39">
        <v>0</v>
      </c>
      <c r="E715" s="39">
        <v>0</v>
      </c>
      <c r="F715" s="39">
        <v>0</v>
      </c>
      <c r="G715" s="484">
        <v>0</v>
      </c>
      <c r="H715" s="484">
        <v>0</v>
      </c>
      <c r="I715" s="484">
        <v>0</v>
      </c>
      <c r="J715" s="484">
        <v>0</v>
      </c>
      <c r="K715" s="39">
        <v>37280</v>
      </c>
      <c r="L715" s="484">
        <v>9857</v>
      </c>
      <c r="M715" s="484">
        <v>9601</v>
      </c>
      <c r="N715" s="484">
        <v>10531</v>
      </c>
      <c r="O715" s="484">
        <f>P715-SUM(L715,M715,N715)</f>
        <v>10257</v>
      </c>
      <c r="P715" s="39">
        <v>40246</v>
      </c>
      <c r="Q715" s="484">
        <v>10727</v>
      </c>
      <c r="R715" s="484">
        <v>10552</v>
      </c>
      <c r="S715" s="484">
        <v>11308</v>
      </c>
      <c r="T715" s="484">
        <f>U715-SUM(Q715,R715,S715)</f>
        <v>11307</v>
      </c>
      <c r="U715" s="39">
        <v>43894</v>
      </c>
      <c r="V715" s="484">
        <v>12622</v>
      </c>
      <c r="W715" s="484">
        <v>11171</v>
      </c>
      <c r="X715" s="484">
        <v>12113</v>
      </c>
      <c r="Y715" s="484">
        <f>Z715-SUM(V715,W715,X715)</f>
        <v>11224</v>
      </c>
      <c r="Z715" s="39">
        <v>47130</v>
      </c>
      <c r="AA715" s="484">
        <v>12406</v>
      </c>
      <c r="AB715" s="191">
        <v>11487</v>
      </c>
      <c r="AC715" s="484">
        <v>12097</v>
      </c>
      <c r="AD715" s="484">
        <f>AE715-SUM(AA715,AB715,AC715)</f>
        <v>10853</v>
      </c>
      <c r="AE715" s="39">
        <v>46843</v>
      </c>
      <c r="AF715" s="484">
        <v>12984</v>
      </c>
      <c r="AG715" s="191">
        <v>12520</v>
      </c>
      <c r="AH715" s="484">
        <v>13142</v>
      </c>
      <c r="AI715" s="484">
        <f>AJ715-SUM(AF715,AG715,AH715)</f>
        <v>12223</v>
      </c>
      <c r="AJ715" s="39">
        <v>50869</v>
      </c>
      <c r="AK715" s="484">
        <v>12866</v>
      </c>
      <c r="AL715" s="191">
        <v>13006</v>
      </c>
      <c r="AM715" s="484">
        <v>18022</v>
      </c>
      <c r="AN715" s="484">
        <f>AO715-SUM(AK715,AL715,AM715)</f>
        <v>16648</v>
      </c>
      <c r="AO715" s="39">
        <v>60542</v>
      </c>
      <c r="AP715" s="484">
        <v>18075</v>
      </c>
      <c r="AQ715" s="191">
        <v>16174</v>
      </c>
      <c r="AR715" s="484">
        <v>11235</v>
      </c>
      <c r="AS715" s="484">
        <f>AT715-SUM(AP715,AQ715,AR715)</f>
        <v>13781</v>
      </c>
      <c r="AT715" s="39">
        <v>59265</v>
      </c>
      <c r="AU715" s="484">
        <v>14871</v>
      </c>
      <c r="AV715" s="191">
        <v>14522</v>
      </c>
      <c r="AW715" s="289">
        <v>15585</v>
      </c>
      <c r="AX715" s="113"/>
      <c r="AY715" s="104"/>
      <c r="AZ715" s="113"/>
      <c r="BA715" s="113"/>
      <c r="BB715" s="113"/>
      <c r="BC715" s="113"/>
      <c r="BD715" s="104"/>
      <c r="BE715" s="104"/>
      <c r="BF715" s="104"/>
      <c r="BG715" s="104"/>
      <c r="BH715" s="484"/>
    </row>
    <row r="716" spans="1:60" s="49" customFormat="1" hidden="1" outlineLevel="1" x14ac:dyDescent="0.25">
      <c r="A716" s="483" t="s">
        <v>190</v>
      </c>
      <c r="B716" s="209"/>
      <c r="C716" s="104"/>
      <c r="D716" s="104"/>
      <c r="E716" s="104"/>
      <c r="F716" s="104"/>
      <c r="G716" s="113"/>
      <c r="H716" s="113"/>
      <c r="I716" s="113"/>
      <c r="J716" s="113"/>
      <c r="K716" s="39">
        <v>7761</v>
      </c>
      <c r="L716" s="484">
        <v>2452</v>
      </c>
      <c r="M716" s="484">
        <v>2048</v>
      </c>
      <c r="N716" s="484">
        <v>1935</v>
      </c>
      <c r="O716" s="484">
        <f>P716-SUM(L716,M716,N716)</f>
        <v>2132</v>
      </c>
      <c r="P716" s="39">
        <v>8567</v>
      </c>
      <c r="Q716" s="484">
        <v>2664</v>
      </c>
      <c r="R716" s="484">
        <v>1909</v>
      </c>
      <c r="S716" s="484">
        <v>1793</v>
      </c>
      <c r="T716" s="484">
        <f>U716-SUM(Q716,R716,S716)</f>
        <v>2205</v>
      </c>
      <c r="U716" s="39">
        <v>8571</v>
      </c>
      <c r="V716" s="484">
        <v>2622</v>
      </c>
      <c r="W716" s="484">
        <v>1798</v>
      </c>
      <c r="X716" s="484">
        <v>2164</v>
      </c>
      <c r="Y716" s="484">
        <f>Z716-SUM(V716,W716,X716)</f>
        <v>1918</v>
      </c>
      <c r="Z716" s="39">
        <v>8502</v>
      </c>
      <c r="AA716" s="484">
        <v>2378</v>
      </c>
      <c r="AB716" s="191">
        <v>1849</v>
      </c>
      <c r="AC716" s="484">
        <v>2141</v>
      </c>
      <c r="AD716" s="484">
        <f>AE716-SUM(AA716,AB716,AC716)</f>
        <v>1926</v>
      </c>
      <c r="AE716" s="39">
        <v>8294</v>
      </c>
      <c r="AF716" s="484">
        <v>2367</v>
      </c>
      <c r="AG716" s="191">
        <v>2028</v>
      </c>
      <c r="AH716" s="484">
        <v>2086</v>
      </c>
      <c r="AI716" s="484">
        <f>AJ716-SUM(AF716,AG716,AH716)</f>
        <v>2084</v>
      </c>
      <c r="AJ716" s="39">
        <v>8565</v>
      </c>
      <c r="AK716" s="484">
        <v>2437</v>
      </c>
      <c r="AL716" s="191">
        <v>1916</v>
      </c>
      <c r="AM716" s="484">
        <v>2223</v>
      </c>
      <c r="AN716" s="484">
        <f>AO716-SUM(AK716,AL716,AM716)</f>
        <v>2452</v>
      </c>
      <c r="AO716" s="39">
        <v>9028</v>
      </c>
      <c r="AP716" s="484">
        <v>2783</v>
      </c>
      <c r="AQ716" s="191">
        <v>1835</v>
      </c>
      <c r="AR716" s="484">
        <v>544</v>
      </c>
      <c r="AS716" s="484">
        <f t="shared" ref="AS716" si="732">+AS717-AS715</f>
        <v>926</v>
      </c>
      <c r="AT716" s="39">
        <v>6123</v>
      </c>
      <c r="AU716" s="484">
        <v>1378</v>
      </c>
      <c r="AV716" s="191">
        <v>1091</v>
      </c>
      <c r="AW716" s="289">
        <v>1437</v>
      </c>
      <c r="AX716" s="113"/>
      <c r="AY716" s="104"/>
      <c r="AZ716" s="113"/>
      <c r="BA716" s="113"/>
      <c r="BB716" s="113"/>
      <c r="BC716" s="113"/>
      <c r="BD716" s="104"/>
      <c r="BE716" s="104"/>
      <c r="BF716" s="104"/>
      <c r="BG716" s="104"/>
      <c r="BH716" s="484"/>
    </row>
    <row r="717" spans="1:60" s="52" customFormat="1" hidden="1" outlineLevel="1" x14ac:dyDescent="0.25">
      <c r="A717" s="500" t="s">
        <v>191</v>
      </c>
      <c r="B717" s="775"/>
      <c r="C717" s="53">
        <v>36149</v>
      </c>
      <c r="D717" s="53">
        <v>38063</v>
      </c>
      <c r="E717" s="53">
        <v>40893</v>
      </c>
      <c r="F717" s="53">
        <v>42278</v>
      </c>
      <c r="G717" s="61">
        <v>11341</v>
      </c>
      <c r="H717" s="61">
        <v>10554</v>
      </c>
      <c r="I717" s="61">
        <v>11578</v>
      </c>
      <c r="J717" s="61">
        <f>K717-SUM(G717,H717,I717)</f>
        <v>11568</v>
      </c>
      <c r="K717" s="53">
        <f t="shared" ref="K717:AP717" si="733">SUM(K715:K716)</f>
        <v>45041</v>
      </c>
      <c r="L717" s="61">
        <f t="shared" si="733"/>
        <v>12309</v>
      </c>
      <c r="M717" s="61">
        <f t="shared" si="733"/>
        <v>11649</v>
      </c>
      <c r="N717" s="61">
        <f t="shared" si="733"/>
        <v>12466</v>
      </c>
      <c r="O717" s="61">
        <f t="shared" si="733"/>
        <v>12389</v>
      </c>
      <c r="P717" s="53">
        <f t="shared" si="733"/>
        <v>48813</v>
      </c>
      <c r="Q717" s="61">
        <f t="shared" si="733"/>
        <v>13391</v>
      </c>
      <c r="R717" s="61">
        <f t="shared" si="733"/>
        <v>12461</v>
      </c>
      <c r="S717" s="61">
        <f t="shared" si="733"/>
        <v>13101</v>
      </c>
      <c r="T717" s="61">
        <f t="shared" si="733"/>
        <v>13512</v>
      </c>
      <c r="U717" s="53">
        <f t="shared" si="733"/>
        <v>52465</v>
      </c>
      <c r="V717" s="61">
        <f t="shared" si="733"/>
        <v>15244</v>
      </c>
      <c r="W717" s="61">
        <f t="shared" si="733"/>
        <v>12969</v>
      </c>
      <c r="X717" s="61">
        <f t="shared" si="733"/>
        <v>14277</v>
      </c>
      <c r="Y717" s="61">
        <f t="shared" si="733"/>
        <v>13142</v>
      </c>
      <c r="Z717" s="53">
        <f t="shared" si="733"/>
        <v>55632</v>
      </c>
      <c r="AA717" s="105">
        <f t="shared" si="733"/>
        <v>14784</v>
      </c>
      <c r="AB717" s="192">
        <f t="shared" si="733"/>
        <v>13336</v>
      </c>
      <c r="AC717" s="61">
        <f t="shared" si="733"/>
        <v>14238</v>
      </c>
      <c r="AD717" s="61">
        <f t="shared" si="733"/>
        <v>12779</v>
      </c>
      <c r="AE717" s="53">
        <f t="shared" si="733"/>
        <v>55137</v>
      </c>
      <c r="AF717" s="105">
        <f t="shared" si="733"/>
        <v>15351</v>
      </c>
      <c r="AG717" s="192">
        <f t="shared" si="733"/>
        <v>14548</v>
      </c>
      <c r="AH717" s="61">
        <f t="shared" si="733"/>
        <v>15228</v>
      </c>
      <c r="AI717" s="61">
        <f t="shared" si="733"/>
        <v>14307</v>
      </c>
      <c r="AJ717" s="53">
        <f t="shared" si="733"/>
        <v>59434</v>
      </c>
      <c r="AK717" s="105">
        <f t="shared" si="733"/>
        <v>15303</v>
      </c>
      <c r="AL717" s="192">
        <f t="shared" si="733"/>
        <v>14922</v>
      </c>
      <c r="AM717" s="61">
        <f t="shared" si="733"/>
        <v>20245</v>
      </c>
      <c r="AN717" s="61">
        <f t="shared" si="733"/>
        <v>19100</v>
      </c>
      <c r="AO717" s="53">
        <f t="shared" si="733"/>
        <v>69570</v>
      </c>
      <c r="AP717" s="61">
        <f t="shared" si="733"/>
        <v>20858</v>
      </c>
      <c r="AQ717" s="192">
        <v>18009</v>
      </c>
      <c r="AR717" s="61">
        <f t="shared" ref="AR717:AY717" si="734">SUM(AR715:AR716)</f>
        <v>11779</v>
      </c>
      <c r="AS717" s="61">
        <v>14707</v>
      </c>
      <c r="AT717" s="53">
        <v>65388</v>
      </c>
      <c r="AU717" s="61">
        <f t="shared" ref="AU717" si="735">SUM(AU715:AU716)</f>
        <v>16249</v>
      </c>
      <c r="AV717" s="192">
        <f>+AV715+AV716</f>
        <v>15613</v>
      </c>
      <c r="AW717" s="872">
        <f>+AW715+AW716</f>
        <v>17022</v>
      </c>
      <c r="AX717" s="105">
        <f t="shared" si="734"/>
        <v>0</v>
      </c>
      <c r="AY717" s="106">
        <f t="shared" si="734"/>
        <v>0</v>
      </c>
      <c r="AZ717" s="105">
        <f t="shared" ref="AZ717:BG717" si="736">SUM(AZ715:AZ716)</f>
        <v>0</v>
      </c>
      <c r="BA717" s="105">
        <f t="shared" si="736"/>
        <v>0</v>
      </c>
      <c r="BB717" s="105">
        <f t="shared" si="736"/>
        <v>0</v>
      </c>
      <c r="BC717" s="105">
        <f t="shared" si="736"/>
        <v>0</v>
      </c>
      <c r="BD717" s="106">
        <f t="shared" si="736"/>
        <v>0</v>
      </c>
      <c r="BE717" s="106">
        <f t="shared" si="736"/>
        <v>0</v>
      </c>
      <c r="BF717" s="106">
        <f t="shared" si="736"/>
        <v>0</v>
      </c>
      <c r="BG717" s="106">
        <f t="shared" si="736"/>
        <v>0</v>
      </c>
      <c r="BH717" s="499"/>
    </row>
    <row r="718" spans="1:60" s="49" customFormat="1" hidden="1" outlineLevel="1" x14ac:dyDescent="0.25">
      <c r="A718" s="483" t="s">
        <v>192</v>
      </c>
      <c r="B718" s="209"/>
      <c r="C718" s="104"/>
      <c r="D718" s="104"/>
      <c r="E718" s="104"/>
      <c r="F718" s="104"/>
      <c r="G718" s="113"/>
      <c r="H718" s="113"/>
      <c r="I718" s="113"/>
      <c r="J718" s="113"/>
      <c r="K718" s="39">
        <v>-20090</v>
      </c>
      <c r="L718" s="484">
        <v>-5614</v>
      </c>
      <c r="M718" s="484">
        <v>-4786</v>
      </c>
      <c r="N718" s="484">
        <v>-5217</v>
      </c>
      <c r="O718" s="484">
        <f>P718-SUM(L718,M718,N718)</f>
        <v>-5739</v>
      </c>
      <c r="P718" s="39">
        <v>-21356</v>
      </c>
      <c r="Q718" s="484">
        <v>-6134</v>
      </c>
      <c r="R718" s="484">
        <v>-5543</v>
      </c>
      <c r="S718" s="484">
        <v>-5547</v>
      </c>
      <c r="T718" s="484">
        <f>U718-SUM(Q718,R718,S718)</f>
        <v>-5967</v>
      </c>
      <c r="U718" s="39">
        <v>-23191</v>
      </c>
      <c r="V718" s="484">
        <v>-7056</v>
      </c>
      <c r="W718" s="484">
        <v>-5566</v>
      </c>
      <c r="X718" s="484">
        <v>-5946</v>
      </c>
      <c r="Y718" s="484">
        <f>Z718-SUM(V718,W718,X718)</f>
        <v>-6085</v>
      </c>
      <c r="Z718" s="39">
        <v>-24653</v>
      </c>
      <c r="AA718" s="484">
        <v>-7020</v>
      </c>
      <c r="AB718" s="191">
        <v>-5839</v>
      </c>
      <c r="AC718" s="484">
        <v>-6469</v>
      </c>
      <c r="AD718" s="484">
        <f>AE718-SUM(AA718,AB718,AC718)</f>
        <v>-5992</v>
      </c>
      <c r="AE718" s="39">
        <v>-25320</v>
      </c>
      <c r="AF718" s="484">
        <v>-7334</v>
      </c>
      <c r="AG718" s="191">
        <v>-6304</v>
      </c>
      <c r="AH718" s="484">
        <v>-7124</v>
      </c>
      <c r="AI718" s="484">
        <f>AJ718-SUM(AF718,AG718,AH718)</f>
        <v>-6766</v>
      </c>
      <c r="AJ718" s="39">
        <v>-27528</v>
      </c>
      <c r="AK718" s="484">
        <v>-7564</v>
      </c>
      <c r="AL718" s="191">
        <v>-7167</v>
      </c>
      <c r="AM718" s="484">
        <v>-11445</v>
      </c>
      <c r="AN718" s="484">
        <f>AO718-SUM(AK718,AL718,AM718)</f>
        <v>-10274</v>
      </c>
      <c r="AO718" s="39">
        <v>-36450</v>
      </c>
      <c r="AP718" s="484">
        <v>-11377</v>
      </c>
      <c r="AQ718" s="484">
        <v>-10664</v>
      </c>
      <c r="AR718" s="484">
        <v>-7209</v>
      </c>
      <c r="AS718" s="484">
        <f>AT718--29287</f>
        <v>-10119</v>
      </c>
      <c r="AT718" s="39">
        <v>-39406</v>
      </c>
      <c r="AU718" s="484">
        <v>-10738</v>
      </c>
      <c r="AV718" s="484">
        <v>-8932</v>
      </c>
      <c r="AW718" s="289">
        <v>-10251</v>
      </c>
      <c r="AX718" s="113"/>
      <c r="AY718" s="104"/>
      <c r="AZ718" s="113"/>
      <c r="BA718" s="113"/>
      <c r="BB718" s="113"/>
      <c r="BC718" s="113"/>
      <c r="BD718" s="104"/>
      <c r="BE718" s="104"/>
      <c r="BF718" s="104"/>
      <c r="BG718" s="104"/>
      <c r="BH718" s="484"/>
    </row>
    <row r="719" spans="1:60" s="49" customFormat="1" hidden="1" outlineLevel="1" x14ac:dyDescent="0.25">
      <c r="A719" s="483" t="s">
        <v>193</v>
      </c>
      <c r="B719" s="209"/>
      <c r="C719" s="104"/>
      <c r="D719" s="104"/>
      <c r="E719" s="104"/>
      <c r="F719" s="104"/>
      <c r="G719" s="113"/>
      <c r="H719" s="113"/>
      <c r="I719" s="113"/>
      <c r="J719" s="113"/>
      <c r="K719" s="39">
        <v>-4944</v>
      </c>
      <c r="L719" s="484">
        <v>-1451</v>
      </c>
      <c r="M719" s="484">
        <v>-1186</v>
      </c>
      <c r="N719" s="484">
        <v>-1147</v>
      </c>
      <c r="O719" s="484">
        <f>P719-SUM(L719,M719,N719)</f>
        <v>-1280</v>
      </c>
      <c r="P719" s="39">
        <v>-5064</v>
      </c>
      <c r="Q719" s="484">
        <v>-1522</v>
      </c>
      <c r="R719" s="484">
        <v>-1147</v>
      </c>
      <c r="S719" s="484">
        <v>-1116</v>
      </c>
      <c r="T719" s="484">
        <f>U719-SUM(Q719,R719,S719)</f>
        <v>-1388</v>
      </c>
      <c r="U719" s="39">
        <v>-5173</v>
      </c>
      <c r="V719" s="484">
        <v>-1567</v>
      </c>
      <c r="W719" s="484">
        <v>-1298</v>
      </c>
      <c r="X719" s="484">
        <v>-1255</v>
      </c>
      <c r="Y719" s="484">
        <f>Z719-SUM(V719,W719,X719)</f>
        <v>-1220</v>
      </c>
      <c r="Z719" s="39">
        <v>-5340</v>
      </c>
      <c r="AA719" s="484">
        <v>-1386</v>
      </c>
      <c r="AB719" s="191">
        <v>-1130</v>
      </c>
      <c r="AC719" s="484">
        <v>-1248</v>
      </c>
      <c r="AD719" s="484">
        <f>AE719-SUM(AA719,AB719,AC719)</f>
        <v>-1222</v>
      </c>
      <c r="AE719" s="39">
        <v>-4986</v>
      </c>
      <c r="AF719" s="484">
        <v>-1403</v>
      </c>
      <c r="AG719" s="191">
        <v>-1229</v>
      </c>
      <c r="AH719" s="484">
        <v>-1224</v>
      </c>
      <c r="AI719" s="484">
        <f>AJ719-SUM(AF719,AG719,AH719)</f>
        <v>-1342</v>
      </c>
      <c r="AJ719" s="39">
        <v>-5198</v>
      </c>
      <c r="AK719" s="484">
        <v>-1437</v>
      </c>
      <c r="AL719" s="191">
        <v>-1209</v>
      </c>
      <c r="AM719" s="484">
        <v>-1374</v>
      </c>
      <c r="AN719" s="484">
        <f>AO719-SUM(AK719,AL719,AM719)</f>
        <v>-1548</v>
      </c>
      <c r="AO719" s="39">
        <v>-5568</v>
      </c>
      <c r="AP719" s="484">
        <v>-1639</v>
      </c>
      <c r="AQ719" s="484">
        <v>-1254</v>
      </c>
      <c r="AR719" s="484">
        <v>-687</v>
      </c>
      <c r="AS719" s="484">
        <f>AT719--3580</f>
        <v>-894</v>
      </c>
      <c r="AT719" s="39">
        <v>-4474</v>
      </c>
      <c r="AU719" s="484">
        <v>-1037</v>
      </c>
      <c r="AV719" s="484">
        <v>-850</v>
      </c>
      <c r="AW719" s="289">
        <v>-982</v>
      </c>
      <c r="AX719" s="113"/>
      <c r="AY719" s="104"/>
      <c r="AZ719" s="113"/>
      <c r="BA719" s="113"/>
      <c r="BB719" s="113"/>
      <c r="BC719" s="113"/>
      <c r="BD719" s="104"/>
      <c r="BE719" s="104"/>
      <c r="BF719" s="104"/>
      <c r="BG719" s="104"/>
      <c r="BH719" s="484"/>
    </row>
    <row r="720" spans="1:60" s="49" customFormat="1" hidden="1" outlineLevel="1" x14ac:dyDescent="0.25">
      <c r="A720" s="483" t="s">
        <v>194</v>
      </c>
      <c r="B720" s="209"/>
      <c r="C720" s="104"/>
      <c r="D720" s="104"/>
      <c r="E720" s="104"/>
      <c r="F720" s="104"/>
      <c r="G720" s="113"/>
      <c r="H720" s="113"/>
      <c r="I720" s="113"/>
      <c r="J720" s="113"/>
      <c r="K720" s="39">
        <v>-8365</v>
      </c>
      <c r="L720" s="484">
        <v>-2018</v>
      </c>
      <c r="M720" s="484">
        <v>-2116</v>
      </c>
      <c r="N720" s="484">
        <v>-2047</v>
      </c>
      <c r="O720" s="484">
        <f>P720-SUM(L720,M720,N720)</f>
        <v>-2384</v>
      </c>
      <c r="P720" s="39">
        <v>-8565</v>
      </c>
      <c r="Q720" s="484">
        <v>-1935</v>
      </c>
      <c r="R720" s="484">
        <v>-2081</v>
      </c>
      <c r="S720" s="484">
        <v>-2101</v>
      </c>
      <c r="T720" s="484">
        <f>U720-SUM(Q720,R720,S720)</f>
        <v>-2406</v>
      </c>
      <c r="U720" s="39">
        <v>-8523</v>
      </c>
      <c r="V720" s="484">
        <v>-2025</v>
      </c>
      <c r="W720" s="484">
        <v>-2137</v>
      </c>
      <c r="X720" s="484">
        <v>-2305</v>
      </c>
      <c r="Y720" s="484">
        <f>Z720-SUM(V720,W720,X720)</f>
        <v>-2287</v>
      </c>
      <c r="Z720" s="39">
        <v>-8754</v>
      </c>
      <c r="AA720" s="484">
        <v>-1985</v>
      </c>
      <c r="AB720" s="191">
        <v>-1941</v>
      </c>
      <c r="AC720" s="484">
        <v>-2022</v>
      </c>
      <c r="AD720" s="484">
        <f>AE720-SUM(AA720,AB720,AC720)</f>
        <v>-2228</v>
      </c>
      <c r="AE720" s="39">
        <v>-8176</v>
      </c>
      <c r="AF720" s="484">
        <v>-2079</v>
      </c>
      <c r="AG720" s="191">
        <v>-2247</v>
      </c>
      <c r="AH720" s="484">
        <v>-2212</v>
      </c>
      <c r="AI720" s="484">
        <f>AJ720-SUM(AF720,AG720,AH720)</f>
        <v>-2322</v>
      </c>
      <c r="AJ720" s="39">
        <v>-8860</v>
      </c>
      <c r="AK720" s="484">
        <v>-2152</v>
      </c>
      <c r="AL720" s="191">
        <v>-2327</v>
      </c>
      <c r="AM720" s="484">
        <v>-3362</v>
      </c>
      <c r="AN720" s="484">
        <f>+AO720+7844</f>
        <v>-3697</v>
      </c>
      <c r="AO720" s="39">
        <v>-11541</v>
      </c>
      <c r="AP720" s="484">
        <v>-3703</v>
      </c>
      <c r="AQ720" s="484">
        <v>-3388</v>
      </c>
      <c r="AR720" s="484">
        <v>-2455</v>
      </c>
      <c r="AS720" s="484">
        <f>AT720--9557</f>
        <v>-2812</v>
      </c>
      <c r="AT720" s="39">
        <v>-12369</v>
      </c>
      <c r="AU720" s="484">
        <v>-2917</v>
      </c>
      <c r="AV720" s="484">
        <v>-3113</v>
      </c>
      <c r="AW720" s="289">
        <v>-3168</v>
      </c>
      <c r="AX720" s="113"/>
      <c r="AY720" s="104"/>
      <c r="AZ720" s="113"/>
      <c r="BA720" s="113"/>
      <c r="BB720" s="113"/>
      <c r="BC720" s="113"/>
      <c r="BD720" s="104"/>
      <c r="BE720" s="104"/>
      <c r="BF720" s="104"/>
      <c r="BG720" s="104"/>
      <c r="BH720" s="484"/>
    </row>
    <row r="721" spans="1:60" s="49" customFormat="1" hidden="1" outlineLevel="1" x14ac:dyDescent="0.25">
      <c r="A721" s="483" t="s">
        <v>195</v>
      </c>
      <c r="B721" s="209"/>
      <c r="C721" s="104"/>
      <c r="D721" s="104"/>
      <c r="E721" s="104"/>
      <c r="F721" s="104"/>
      <c r="G721" s="113"/>
      <c r="H721" s="113"/>
      <c r="I721" s="113"/>
      <c r="J721" s="113"/>
      <c r="K721" s="39">
        <v>-2192</v>
      </c>
      <c r="L721" s="484">
        <v>-561</v>
      </c>
      <c r="M721" s="484">
        <v>-580</v>
      </c>
      <c r="N721" s="484">
        <v>-557</v>
      </c>
      <c r="O721" s="484">
        <f>P721-SUM(L721,M721,N721)</f>
        <v>-590</v>
      </c>
      <c r="P721" s="39">
        <v>-2288</v>
      </c>
      <c r="Q721" s="484">
        <v>-592</v>
      </c>
      <c r="R721" s="484">
        <v>-584</v>
      </c>
      <c r="S721" s="484">
        <v>-575</v>
      </c>
      <c r="T721" s="484">
        <f>U721-SUM(Q721,R721,S721)</f>
        <v>-603</v>
      </c>
      <c r="U721" s="39">
        <v>-2354</v>
      </c>
      <c r="V721" s="484">
        <v>-607</v>
      </c>
      <c r="W721" s="484">
        <v>-605</v>
      </c>
      <c r="X721" s="484">
        <v>-626</v>
      </c>
      <c r="Y721" s="484">
        <f>Z721-SUM(V721,W721,X721)</f>
        <v>-689</v>
      </c>
      <c r="Z721" s="39">
        <v>-2527</v>
      </c>
      <c r="AA721" s="484">
        <v>-687</v>
      </c>
      <c r="AB721" s="191">
        <v>-676</v>
      </c>
      <c r="AC721" s="484">
        <v>-711</v>
      </c>
      <c r="AD721" s="484">
        <f>AE721-SUM(AA721,AB721,AC721)</f>
        <v>-708</v>
      </c>
      <c r="AE721" s="39">
        <v>-2782</v>
      </c>
      <c r="AF721" s="484">
        <v>-742</v>
      </c>
      <c r="AG721" s="191">
        <v>-731</v>
      </c>
      <c r="AH721" s="484">
        <v>-744</v>
      </c>
      <c r="AI721" s="484">
        <f>AJ721-SUM(AF721,AG721,AH721)</f>
        <v>-794</v>
      </c>
      <c r="AJ721" s="39">
        <v>-3011</v>
      </c>
      <c r="AK721" s="484">
        <v>-732</v>
      </c>
      <c r="AL721" s="191">
        <v>-828</v>
      </c>
      <c r="AM721" s="484">
        <v>-1304</v>
      </c>
      <c r="AN721" s="484">
        <f>AO721-SUM(AK721,AL721,AM721)</f>
        <v>-1296</v>
      </c>
      <c r="AO721" s="39">
        <v>-4160</v>
      </c>
      <c r="AP721" s="484">
        <v>-1298</v>
      </c>
      <c r="AQ721" s="484">
        <v>-1333</v>
      </c>
      <c r="AR721" s="484">
        <v>-1377</v>
      </c>
      <c r="AS721" s="484">
        <f>AT721--4010</f>
        <v>-1335</v>
      </c>
      <c r="AT721" s="39">
        <v>-5345</v>
      </c>
      <c r="AU721" s="484">
        <v>-1298</v>
      </c>
      <c r="AV721" s="484">
        <v>-1272</v>
      </c>
      <c r="AW721" s="289">
        <v>-1266</v>
      </c>
      <c r="AX721" s="113"/>
      <c r="AY721" s="104"/>
      <c r="AZ721" s="113"/>
      <c r="BA721" s="113"/>
      <c r="BB721" s="113"/>
      <c r="BC721" s="113"/>
      <c r="BD721" s="104"/>
      <c r="BE721" s="104"/>
      <c r="BF721" s="104"/>
      <c r="BG721" s="104"/>
      <c r="BH721" s="484"/>
    </row>
    <row r="722" spans="1:60" s="52" customFormat="1" hidden="1" outlineLevel="1" x14ac:dyDescent="0.25">
      <c r="A722" s="500" t="s">
        <v>196</v>
      </c>
      <c r="B722" s="775"/>
      <c r="C722" s="53">
        <v>-30452</v>
      </c>
      <c r="D722" s="53">
        <v>-31337</v>
      </c>
      <c r="E722" s="53">
        <v>-33112</v>
      </c>
      <c r="F722" s="53">
        <v>-33415</v>
      </c>
      <c r="G722" s="61">
        <v>-9249</v>
      </c>
      <c r="H722" s="61">
        <v>-8359</v>
      </c>
      <c r="I722" s="61">
        <v>-8574</v>
      </c>
      <c r="J722" s="61">
        <f>K722-SUM(G722,H722,I722)</f>
        <v>-9409</v>
      </c>
      <c r="K722" s="53">
        <f t="shared" ref="K722:AY722" si="737">SUM(K718:K721)</f>
        <v>-35591</v>
      </c>
      <c r="L722" s="61">
        <f t="shared" si="737"/>
        <v>-9644</v>
      </c>
      <c r="M722" s="61">
        <f t="shared" si="737"/>
        <v>-8668</v>
      </c>
      <c r="N722" s="61">
        <f t="shared" si="737"/>
        <v>-8968</v>
      </c>
      <c r="O722" s="61">
        <f t="shared" si="737"/>
        <v>-9993</v>
      </c>
      <c r="P722" s="53">
        <f t="shared" si="737"/>
        <v>-37273</v>
      </c>
      <c r="Q722" s="61">
        <f t="shared" si="737"/>
        <v>-10183</v>
      </c>
      <c r="R722" s="61">
        <f t="shared" si="737"/>
        <v>-9355</v>
      </c>
      <c r="S722" s="61">
        <f t="shared" si="737"/>
        <v>-9339</v>
      </c>
      <c r="T722" s="61">
        <f t="shared" si="737"/>
        <v>-10364</v>
      </c>
      <c r="U722" s="53">
        <f t="shared" si="737"/>
        <v>-39241</v>
      </c>
      <c r="V722" s="61">
        <f t="shared" si="737"/>
        <v>-11255</v>
      </c>
      <c r="W722" s="61">
        <f t="shared" si="737"/>
        <v>-9606</v>
      </c>
      <c r="X722" s="61">
        <f t="shared" si="737"/>
        <v>-10132</v>
      </c>
      <c r="Y722" s="61">
        <f t="shared" si="737"/>
        <v>-10281</v>
      </c>
      <c r="Z722" s="53">
        <f t="shared" si="737"/>
        <v>-41274</v>
      </c>
      <c r="AA722" s="105">
        <f t="shared" si="737"/>
        <v>-11078</v>
      </c>
      <c r="AB722" s="192">
        <f t="shared" si="737"/>
        <v>-9586</v>
      </c>
      <c r="AC722" s="61">
        <f t="shared" si="737"/>
        <v>-10450</v>
      </c>
      <c r="AD722" s="61">
        <f t="shared" si="737"/>
        <v>-10150</v>
      </c>
      <c r="AE722" s="53">
        <f t="shared" si="737"/>
        <v>-41264</v>
      </c>
      <c r="AF722" s="105">
        <f t="shared" si="737"/>
        <v>-11558</v>
      </c>
      <c r="AG722" s="192">
        <f t="shared" si="737"/>
        <v>-10511</v>
      </c>
      <c r="AH722" s="61">
        <f t="shared" si="737"/>
        <v>-11304</v>
      </c>
      <c r="AI722" s="61">
        <f t="shared" si="737"/>
        <v>-11224</v>
      </c>
      <c r="AJ722" s="53">
        <f t="shared" si="737"/>
        <v>-44597</v>
      </c>
      <c r="AK722" s="105">
        <f t="shared" si="737"/>
        <v>-11885</v>
      </c>
      <c r="AL722" s="192">
        <f t="shared" si="737"/>
        <v>-11531</v>
      </c>
      <c r="AM722" s="61">
        <f t="shared" si="737"/>
        <v>-17485</v>
      </c>
      <c r="AN722" s="61">
        <f t="shared" si="737"/>
        <v>-16815</v>
      </c>
      <c r="AO722" s="53">
        <f t="shared" si="737"/>
        <v>-57719</v>
      </c>
      <c r="AP722" s="105">
        <f t="shared" si="737"/>
        <v>-18017</v>
      </c>
      <c r="AQ722" s="192">
        <f t="shared" si="737"/>
        <v>-16639</v>
      </c>
      <c r="AR722" s="61">
        <f t="shared" si="737"/>
        <v>-11728</v>
      </c>
      <c r="AS722" s="61">
        <f t="shared" si="737"/>
        <v>-15160</v>
      </c>
      <c r="AT722" s="53">
        <f t="shared" si="737"/>
        <v>-61594</v>
      </c>
      <c r="AU722" s="105">
        <f t="shared" si="737"/>
        <v>-15990</v>
      </c>
      <c r="AV722" s="192">
        <f>SUM(AV718:AV721)</f>
        <v>-14167</v>
      </c>
      <c r="AW722" s="872">
        <f>SUM(AW718:AW721)</f>
        <v>-15667</v>
      </c>
      <c r="AX722" s="105">
        <f t="shared" si="737"/>
        <v>0</v>
      </c>
      <c r="AY722" s="106">
        <f t="shared" si="737"/>
        <v>0</v>
      </c>
      <c r="AZ722" s="105">
        <f t="shared" ref="AZ722:BG722" si="738">SUM(AZ718:AZ721)</f>
        <v>0</v>
      </c>
      <c r="BA722" s="105">
        <f t="shared" si="738"/>
        <v>0</v>
      </c>
      <c r="BB722" s="105">
        <f t="shared" si="738"/>
        <v>0</v>
      </c>
      <c r="BC722" s="105">
        <f t="shared" si="738"/>
        <v>0</v>
      </c>
      <c r="BD722" s="106">
        <f t="shared" si="738"/>
        <v>0</v>
      </c>
      <c r="BE722" s="106">
        <f t="shared" si="738"/>
        <v>0</v>
      </c>
      <c r="BF722" s="106">
        <f t="shared" si="738"/>
        <v>0</v>
      </c>
      <c r="BG722" s="106">
        <f t="shared" si="738"/>
        <v>0</v>
      </c>
      <c r="BH722" s="499"/>
    </row>
    <row r="723" spans="1:60" s="49" customFormat="1" hidden="1" outlineLevel="1" x14ac:dyDescent="0.25">
      <c r="A723" s="483" t="s">
        <v>197</v>
      </c>
      <c r="B723" s="209"/>
      <c r="C723" s="39">
        <v>-492</v>
      </c>
      <c r="D723" s="39">
        <v>-270</v>
      </c>
      <c r="E723" s="39">
        <v>-55</v>
      </c>
      <c r="F723" s="39">
        <v>-100</v>
      </c>
      <c r="G723" s="484">
        <v>0</v>
      </c>
      <c r="H723" s="484">
        <v>-61</v>
      </c>
      <c r="I723" s="484">
        <v>-60</v>
      </c>
      <c r="J723" s="484">
        <f>K723-SUM(G723,H723,I723)</f>
        <v>-93</v>
      </c>
      <c r="K723" s="39">
        <v>-214</v>
      </c>
      <c r="L723" s="484">
        <v>-19</v>
      </c>
      <c r="M723" s="484">
        <v>-48</v>
      </c>
      <c r="N723" s="484">
        <v>0</v>
      </c>
      <c r="O723" s="484">
        <f>P723-SUM(L723,M723,N723)</f>
        <v>-73</v>
      </c>
      <c r="P723" s="39">
        <v>-140</v>
      </c>
      <c r="Q723" s="484">
        <v>0</v>
      </c>
      <c r="R723" s="484">
        <v>0</v>
      </c>
      <c r="S723" s="484">
        <v>0</v>
      </c>
      <c r="T723" s="484">
        <f>U723-SUM(Q723,R723,S723)</f>
        <v>-53</v>
      </c>
      <c r="U723" s="39">
        <v>-53</v>
      </c>
      <c r="V723" s="484">
        <v>-81</v>
      </c>
      <c r="W723" s="484">
        <v>0</v>
      </c>
      <c r="X723" s="484">
        <v>-44</v>
      </c>
      <c r="Y723" s="484">
        <f>Z723-SUM(V723,W723,X723)</f>
        <v>-31</v>
      </c>
      <c r="Z723" s="39">
        <v>-156</v>
      </c>
      <c r="AA723" s="113"/>
      <c r="AB723" s="113"/>
      <c r="AC723" s="113"/>
      <c r="AD723" s="484">
        <f>AE723-SUM(AA723,AB723,AC723)</f>
        <v>-98</v>
      </c>
      <c r="AE723" s="39">
        <v>-98</v>
      </c>
      <c r="AF723" s="484">
        <v>-15</v>
      </c>
      <c r="AG723" s="191">
        <v>-13</v>
      </c>
      <c r="AH723" s="113"/>
      <c r="AI723" s="484">
        <f>AJ723-SUM(AF723,AG723,AH723)</f>
        <v>-5</v>
      </c>
      <c r="AJ723" s="39">
        <v>-33</v>
      </c>
      <c r="AK723" s="113"/>
      <c r="AL723" s="191">
        <v>-662</v>
      </c>
      <c r="AM723" s="484">
        <v>-207</v>
      </c>
      <c r="AN723" s="484">
        <f>AO723-SUM(AK723,AL723,AM723)</f>
        <v>-314</v>
      </c>
      <c r="AO723" s="39">
        <v>-1183</v>
      </c>
      <c r="AP723" s="484">
        <v>-150</v>
      </c>
      <c r="AQ723" s="191">
        <v>-145</v>
      </c>
      <c r="AR723" s="484">
        <v>-5047</v>
      </c>
      <c r="AS723" s="484">
        <f>AT723-SUM(AP723,AQ723,AR723)</f>
        <v>-393</v>
      </c>
      <c r="AT723" s="39">
        <v>-5735</v>
      </c>
      <c r="AU723" s="484">
        <v>-113</v>
      </c>
      <c r="AV723" s="191">
        <v>-414</v>
      </c>
      <c r="AW723" s="289">
        <v>-35</v>
      </c>
      <c r="AX723" s="113"/>
      <c r="AY723" s="104"/>
      <c r="AZ723" s="113"/>
      <c r="BA723" s="113"/>
      <c r="BB723" s="113"/>
      <c r="BC723" s="113"/>
      <c r="BD723" s="104"/>
      <c r="BE723" s="104"/>
      <c r="BF723" s="104"/>
      <c r="BG723" s="104"/>
      <c r="BH723" s="484"/>
    </row>
    <row r="724" spans="1:60" s="49" customFormat="1" hidden="1" outlineLevel="1" x14ac:dyDescent="0.25">
      <c r="A724" s="483" t="s">
        <v>198</v>
      </c>
      <c r="B724" s="209"/>
      <c r="C724" s="39">
        <v>342</v>
      </c>
      <c r="D724" s="39">
        <v>140</v>
      </c>
      <c r="E724" s="39">
        <v>75</v>
      </c>
      <c r="F724" s="39">
        <v>239</v>
      </c>
      <c r="G724" s="484">
        <v>-102</v>
      </c>
      <c r="H724" s="484">
        <v>10</v>
      </c>
      <c r="I724" s="484">
        <v>0</v>
      </c>
      <c r="J724" s="484">
        <f>K724-SUM(G724,H724,I724)</f>
        <v>23</v>
      </c>
      <c r="K724" s="39">
        <v>-69</v>
      </c>
      <c r="L724" s="484">
        <v>6</v>
      </c>
      <c r="M724" s="484">
        <v>-37</v>
      </c>
      <c r="N724" s="484">
        <v>0</v>
      </c>
      <c r="O724" s="484">
        <f>P724-SUM(L724,M724,N724)</f>
        <v>0</v>
      </c>
      <c r="P724" s="39">
        <v>-31</v>
      </c>
      <c r="Q724" s="484">
        <v>0</v>
      </c>
      <c r="R724" s="484">
        <v>0</v>
      </c>
      <c r="S724" s="484">
        <v>0</v>
      </c>
      <c r="T724" s="484">
        <f>U724-SUM(Q724,R724,S724)</f>
        <v>0</v>
      </c>
      <c r="U724" s="39">
        <v>0</v>
      </c>
      <c r="V724" s="484">
        <v>0</v>
      </c>
      <c r="W724" s="484">
        <v>0</v>
      </c>
      <c r="X724" s="484">
        <v>0</v>
      </c>
      <c r="Y724" s="484">
        <f>Z724-SUM(V724,W724,X724)</f>
        <v>0</v>
      </c>
      <c r="Z724" s="104"/>
      <c r="AA724" s="113"/>
      <c r="AB724" s="113"/>
      <c r="AC724" s="484">
        <v>-177</v>
      </c>
      <c r="AD724" s="484">
        <f>AE724-SUM(AA724,AB724,AC724)</f>
        <v>255</v>
      </c>
      <c r="AE724" s="39">
        <v>78</v>
      </c>
      <c r="AF724" s="484">
        <v>53</v>
      </c>
      <c r="AG724" s="191">
        <v>41</v>
      </c>
      <c r="AH724" s="113"/>
      <c r="AI724" s="484">
        <f>AJ724-SUM(AF724,AG724,AH724)</f>
        <v>507</v>
      </c>
      <c r="AJ724" s="39">
        <v>601</v>
      </c>
      <c r="AK724" s="113"/>
      <c r="AL724" s="191">
        <v>4963</v>
      </c>
      <c r="AM724" s="484">
        <v>-123</v>
      </c>
      <c r="AN724" s="484">
        <f>AO724-SUM(AK724,AL724,AM724)</f>
        <v>-483</v>
      </c>
      <c r="AO724" s="39">
        <v>4357</v>
      </c>
      <c r="AP724" s="113"/>
      <c r="AQ724" s="113"/>
      <c r="AR724" s="484">
        <v>382</v>
      </c>
      <c r="AS724" s="484">
        <f>AT724-SUM(AP724,AQ724,AR724)</f>
        <v>656</v>
      </c>
      <c r="AT724" s="39">
        <v>1038</v>
      </c>
      <c r="AU724" s="113"/>
      <c r="AV724" s="191">
        <v>305</v>
      </c>
      <c r="AW724" s="289">
        <v>-91</v>
      </c>
      <c r="AX724" s="113"/>
      <c r="AY724" s="104"/>
      <c r="AZ724" s="113"/>
      <c r="BA724" s="113"/>
      <c r="BB724" s="113"/>
      <c r="BC724" s="113"/>
      <c r="BD724" s="104"/>
      <c r="BE724" s="104"/>
      <c r="BF724" s="104"/>
      <c r="BG724" s="104"/>
      <c r="BH724" s="484"/>
    </row>
    <row r="725" spans="1:60" s="49" customFormat="1" hidden="1" outlineLevel="1" x14ac:dyDescent="0.25">
      <c r="A725" s="483" t="s">
        <v>199</v>
      </c>
      <c r="B725" s="209"/>
      <c r="C725" s="39">
        <v>-466</v>
      </c>
      <c r="D725" s="39">
        <v>-409</v>
      </c>
      <c r="E725" s="39">
        <v>-343</v>
      </c>
      <c r="F725" s="39">
        <v>-369</v>
      </c>
      <c r="G725" s="484">
        <v>-72</v>
      </c>
      <c r="H725" s="484">
        <v>-54</v>
      </c>
      <c r="I725" s="484">
        <v>-83</v>
      </c>
      <c r="J725" s="484">
        <f>K725-SUM(G725,H725,I725)</f>
        <v>-26</v>
      </c>
      <c r="K725" s="39">
        <v>-235</v>
      </c>
      <c r="L725" s="484">
        <v>49</v>
      </c>
      <c r="M725" s="484">
        <v>62</v>
      </c>
      <c r="N725" s="484">
        <v>-50</v>
      </c>
      <c r="O725" s="484">
        <f>P725-SUM(L725,M725,N725)</f>
        <v>-38</v>
      </c>
      <c r="P725" s="39">
        <v>23</v>
      </c>
      <c r="Q725" s="484">
        <v>-58</v>
      </c>
      <c r="R725" s="484">
        <v>8</v>
      </c>
      <c r="S725" s="484">
        <v>-12</v>
      </c>
      <c r="T725" s="484">
        <f>U725-SUM(Q725,R725,S725)</f>
        <v>-55</v>
      </c>
      <c r="U725" s="39">
        <v>-117</v>
      </c>
      <c r="V725" s="484">
        <v>-24</v>
      </c>
      <c r="W725" s="484">
        <v>-67</v>
      </c>
      <c r="X725" s="484">
        <v>-70</v>
      </c>
      <c r="Y725" s="484">
        <f>Z725-SUM(V725,W725,X725)</f>
        <v>-99</v>
      </c>
      <c r="Z725" s="39">
        <v>-260</v>
      </c>
      <c r="AA725" s="484">
        <v>-99</v>
      </c>
      <c r="AB725" s="191">
        <v>-84</v>
      </c>
      <c r="AC725" s="484">
        <v>-117</v>
      </c>
      <c r="AD725" s="484">
        <f>AE725-SUM(AA725,AB725,AC725)</f>
        <v>-85</v>
      </c>
      <c r="AE725" s="39">
        <v>-385</v>
      </c>
      <c r="AF725" s="484">
        <v>-129</v>
      </c>
      <c r="AG725" s="191">
        <v>-143</v>
      </c>
      <c r="AH725" s="484">
        <v>-143</v>
      </c>
      <c r="AI725" s="484">
        <f>AJ725-SUM(AF725,AG725,AH725)</f>
        <v>-159</v>
      </c>
      <c r="AJ725" s="39">
        <v>-574</v>
      </c>
      <c r="AK725" s="484">
        <v>-63</v>
      </c>
      <c r="AL725" s="191">
        <v>-143</v>
      </c>
      <c r="AM725" s="484">
        <v>-411</v>
      </c>
      <c r="AN725" s="484">
        <f>AO725-SUM(AK725,AL725,AM725)</f>
        <v>-361</v>
      </c>
      <c r="AO725" s="39">
        <v>-978</v>
      </c>
      <c r="AP725" s="484">
        <v>-283</v>
      </c>
      <c r="AQ725" s="191">
        <v>-300</v>
      </c>
      <c r="AR725" s="484">
        <v>-412</v>
      </c>
      <c r="AS725" s="484">
        <f>AT725-SUM(AP725,AQ725,AR725)</f>
        <v>-496</v>
      </c>
      <c r="AT725" s="39">
        <v>-1491</v>
      </c>
      <c r="AU725" s="484">
        <v>-324</v>
      </c>
      <c r="AV725" s="191">
        <v>-320</v>
      </c>
      <c r="AW725" s="289">
        <v>-445</v>
      </c>
      <c r="AX725" s="113"/>
      <c r="AY725" s="104"/>
      <c r="AZ725" s="113"/>
      <c r="BA725" s="113"/>
      <c r="BB725" s="113"/>
      <c r="BC725" s="113"/>
      <c r="BD725" s="104"/>
      <c r="BE725" s="104"/>
      <c r="BF725" s="104"/>
      <c r="BG725" s="104"/>
      <c r="BH725" s="484"/>
    </row>
    <row r="726" spans="1:60" s="49" customFormat="1" hidden="1" outlineLevel="1" x14ac:dyDescent="0.25">
      <c r="A726" s="483" t="s">
        <v>200</v>
      </c>
      <c r="B726" s="209"/>
      <c r="C726" s="39">
        <v>577</v>
      </c>
      <c r="D726" s="39">
        <v>440</v>
      </c>
      <c r="E726" s="39">
        <v>585</v>
      </c>
      <c r="F726" s="39">
        <v>627</v>
      </c>
      <c r="G726" s="484">
        <v>110</v>
      </c>
      <c r="H726" s="484">
        <v>185</v>
      </c>
      <c r="I726" s="484">
        <v>232</v>
      </c>
      <c r="J726" s="484">
        <f>K726-SUM(G726,H726,I726)</f>
        <v>161</v>
      </c>
      <c r="K726" s="39">
        <v>688</v>
      </c>
      <c r="L726" s="484">
        <v>239</v>
      </c>
      <c r="M726" s="484">
        <v>217</v>
      </c>
      <c r="N726" s="484">
        <v>222</v>
      </c>
      <c r="O726" s="484">
        <f>P726-SUM(L726,M726,N726)</f>
        <v>176</v>
      </c>
      <c r="P726" s="39">
        <v>854</v>
      </c>
      <c r="Q726" s="484">
        <v>212</v>
      </c>
      <c r="R726" s="484">
        <v>206</v>
      </c>
      <c r="S726" s="484">
        <v>212</v>
      </c>
      <c r="T726" s="484">
        <f>U726-SUM(Q726,R726,S726)</f>
        <v>184</v>
      </c>
      <c r="U726" s="39">
        <v>814</v>
      </c>
      <c r="V726" s="484">
        <v>474</v>
      </c>
      <c r="W726" s="484">
        <v>150</v>
      </c>
      <c r="X726" s="484">
        <v>152</v>
      </c>
      <c r="Y726" s="484">
        <f>Z726-SUM(V726,W726,X726)</f>
        <v>150</v>
      </c>
      <c r="Z726" s="39">
        <v>926</v>
      </c>
      <c r="AA726" s="484">
        <v>118</v>
      </c>
      <c r="AB726" s="191">
        <v>85</v>
      </c>
      <c r="AC726" s="484">
        <v>124</v>
      </c>
      <c r="AD726" s="484">
        <f>AE726-SUM(AA726,AB726,AC726)</f>
        <v>-7</v>
      </c>
      <c r="AE726" s="39">
        <v>320</v>
      </c>
      <c r="AF726" s="484">
        <v>43</v>
      </c>
      <c r="AG726" s="191">
        <v>6</v>
      </c>
      <c r="AH726" s="484">
        <v>73</v>
      </c>
      <c r="AI726" s="484">
        <f>AJ726-SUM(AF726,AG726,AH726)</f>
        <v>-224</v>
      </c>
      <c r="AJ726" s="39">
        <v>-102</v>
      </c>
      <c r="AK726" s="484">
        <v>76</v>
      </c>
      <c r="AL726" s="191">
        <v>-312</v>
      </c>
      <c r="AM726" s="484">
        <v>-1</v>
      </c>
      <c r="AN726" s="484">
        <f>+AO726+234</f>
        <v>131</v>
      </c>
      <c r="AO726" s="39">
        <v>-103</v>
      </c>
      <c r="AP726" s="484">
        <v>224</v>
      </c>
      <c r="AQ726" s="191">
        <v>135</v>
      </c>
      <c r="AR726" s="484">
        <v>186</v>
      </c>
      <c r="AS726" s="484">
        <f>AT726-SUM(AP726,AQ726,AR726)</f>
        <v>106</v>
      </c>
      <c r="AT726" s="39">
        <v>651</v>
      </c>
      <c r="AU726" s="484">
        <v>224</v>
      </c>
      <c r="AV726" s="191">
        <v>213</v>
      </c>
      <c r="AW726" s="289">
        <v>211</v>
      </c>
      <c r="AX726" s="113"/>
      <c r="AY726" s="104"/>
      <c r="AZ726" s="113"/>
      <c r="BA726" s="113"/>
      <c r="BB726" s="113"/>
      <c r="BC726" s="113"/>
      <c r="BD726" s="104"/>
      <c r="BE726" s="104"/>
      <c r="BF726" s="104"/>
      <c r="BG726" s="104"/>
      <c r="BH726" s="484"/>
    </row>
    <row r="727" spans="1:60" s="52" customFormat="1" hidden="1" outlineLevel="1" x14ac:dyDescent="0.25">
      <c r="A727" s="500" t="s">
        <v>201</v>
      </c>
      <c r="B727" s="775"/>
      <c r="C727" s="53">
        <f t="shared" ref="C727:AH727" si="739">C717+SUM(C722:C726)</f>
        <v>5658</v>
      </c>
      <c r="D727" s="53">
        <f t="shared" si="739"/>
        <v>6627</v>
      </c>
      <c r="E727" s="53">
        <f t="shared" si="739"/>
        <v>8043</v>
      </c>
      <c r="F727" s="53">
        <f t="shared" si="739"/>
        <v>9260</v>
      </c>
      <c r="G727" s="61">
        <f t="shared" si="739"/>
        <v>2028</v>
      </c>
      <c r="H727" s="61">
        <f t="shared" si="739"/>
        <v>2275</v>
      </c>
      <c r="I727" s="61">
        <f t="shared" si="739"/>
        <v>3093</v>
      </c>
      <c r="J727" s="61">
        <f t="shared" si="739"/>
        <v>2224</v>
      </c>
      <c r="K727" s="53">
        <f t="shared" si="739"/>
        <v>9620</v>
      </c>
      <c r="L727" s="61">
        <f t="shared" si="739"/>
        <v>2940</v>
      </c>
      <c r="M727" s="61">
        <f t="shared" si="739"/>
        <v>3175</v>
      </c>
      <c r="N727" s="61">
        <f t="shared" si="739"/>
        <v>3670</v>
      </c>
      <c r="O727" s="61">
        <f t="shared" si="739"/>
        <v>2461</v>
      </c>
      <c r="P727" s="53">
        <f t="shared" si="739"/>
        <v>12246</v>
      </c>
      <c r="Q727" s="61">
        <f t="shared" si="739"/>
        <v>3362</v>
      </c>
      <c r="R727" s="61">
        <f t="shared" si="739"/>
        <v>3320</v>
      </c>
      <c r="S727" s="61">
        <f t="shared" si="739"/>
        <v>3962</v>
      </c>
      <c r="T727" s="61">
        <f t="shared" si="739"/>
        <v>3224</v>
      </c>
      <c r="U727" s="53">
        <f t="shared" si="739"/>
        <v>13868</v>
      </c>
      <c r="V727" s="61">
        <f t="shared" si="739"/>
        <v>4358</v>
      </c>
      <c r="W727" s="61">
        <f t="shared" si="739"/>
        <v>3446</v>
      </c>
      <c r="X727" s="61">
        <f t="shared" si="739"/>
        <v>4183</v>
      </c>
      <c r="Y727" s="61">
        <f t="shared" si="739"/>
        <v>2881</v>
      </c>
      <c r="Z727" s="53">
        <f t="shared" si="739"/>
        <v>14868</v>
      </c>
      <c r="AA727" s="105">
        <f t="shared" si="739"/>
        <v>3725</v>
      </c>
      <c r="AB727" s="192">
        <f t="shared" si="739"/>
        <v>3751</v>
      </c>
      <c r="AC727" s="61">
        <f t="shared" si="739"/>
        <v>3618</v>
      </c>
      <c r="AD727" s="61">
        <f t="shared" si="739"/>
        <v>2694</v>
      </c>
      <c r="AE727" s="53">
        <f t="shared" si="739"/>
        <v>13788</v>
      </c>
      <c r="AF727" s="105">
        <f t="shared" si="739"/>
        <v>3745</v>
      </c>
      <c r="AG727" s="192">
        <f t="shared" si="739"/>
        <v>3928</v>
      </c>
      <c r="AH727" s="61">
        <f t="shared" si="739"/>
        <v>3854</v>
      </c>
      <c r="AI727" s="61">
        <f t="shared" ref="AI727:BG727" si="740">AI717+SUM(AI722:AI726)</f>
        <v>3202</v>
      </c>
      <c r="AJ727" s="53">
        <f t="shared" si="740"/>
        <v>14729</v>
      </c>
      <c r="AK727" s="105">
        <f t="shared" si="740"/>
        <v>3431</v>
      </c>
      <c r="AL727" s="192">
        <f t="shared" si="740"/>
        <v>7237</v>
      </c>
      <c r="AM727" s="61">
        <f t="shared" si="740"/>
        <v>2018</v>
      </c>
      <c r="AN727" s="61">
        <f t="shared" si="740"/>
        <v>1258</v>
      </c>
      <c r="AO727" s="53">
        <f t="shared" si="740"/>
        <v>13944</v>
      </c>
      <c r="AP727" s="105">
        <f t="shared" si="740"/>
        <v>2632</v>
      </c>
      <c r="AQ727" s="192">
        <f t="shared" si="740"/>
        <v>1060</v>
      </c>
      <c r="AR727" s="61">
        <f t="shared" si="740"/>
        <v>-4840</v>
      </c>
      <c r="AS727" s="61">
        <f t="shared" si="740"/>
        <v>-580</v>
      </c>
      <c r="AT727" s="53">
        <f t="shared" si="740"/>
        <v>-1743</v>
      </c>
      <c r="AU727" s="105">
        <f>AU717+SUM(AU722:AU726)</f>
        <v>46</v>
      </c>
      <c r="AV727" s="192">
        <f>AV717+SUM(AV722:AV726)</f>
        <v>1230</v>
      </c>
      <c r="AW727" s="872">
        <f>AW717+SUM(AW722:AW726)</f>
        <v>995</v>
      </c>
      <c r="AX727" s="105">
        <f t="shared" si="740"/>
        <v>0</v>
      </c>
      <c r="AY727" s="106">
        <f t="shared" si="740"/>
        <v>0</v>
      </c>
      <c r="AZ727" s="105">
        <f t="shared" si="740"/>
        <v>0</v>
      </c>
      <c r="BA727" s="105">
        <f t="shared" si="740"/>
        <v>0</v>
      </c>
      <c r="BB727" s="105">
        <f t="shared" si="740"/>
        <v>0</v>
      </c>
      <c r="BC727" s="105">
        <f t="shared" si="740"/>
        <v>0</v>
      </c>
      <c r="BD727" s="106">
        <f t="shared" si="740"/>
        <v>0</v>
      </c>
      <c r="BE727" s="106">
        <f t="shared" si="740"/>
        <v>0</v>
      </c>
      <c r="BF727" s="106">
        <f t="shared" si="740"/>
        <v>0</v>
      </c>
      <c r="BG727" s="106">
        <f t="shared" si="740"/>
        <v>0</v>
      </c>
      <c r="BH727" s="499"/>
    </row>
    <row r="728" spans="1:60" s="49" customFormat="1" hidden="1" outlineLevel="1" x14ac:dyDescent="0.25">
      <c r="A728" s="483" t="s">
        <v>202</v>
      </c>
      <c r="B728" s="209"/>
      <c r="C728" s="39">
        <v>-2049</v>
      </c>
      <c r="D728" s="39">
        <v>-2314</v>
      </c>
      <c r="E728" s="39">
        <v>-2785</v>
      </c>
      <c r="F728" s="39">
        <v>-3087</v>
      </c>
      <c r="G728" s="484">
        <v>-590</v>
      </c>
      <c r="H728" s="484">
        <v>-654</v>
      </c>
      <c r="I728" s="484">
        <v>-1059</v>
      </c>
      <c r="J728" s="484">
        <f>K728-SUM(G728,H728,I728)</f>
        <v>-681</v>
      </c>
      <c r="K728" s="39">
        <v>-2984</v>
      </c>
      <c r="L728" s="484">
        <v>-1036</v>
      </c>
      <c r="M728" s="484">
        <v>-1119</v>
      </c>
      <c r="N728" s="484">
        <v>-1251</v>
      </c>
      <c r="O728" s="484">
        <f>P728-SUM(L728,M728,N728)</f>
        <v>-836</v>
      </c>
      <c r="P728" s="39">
        <v>-4242</v>
      </c>
      <c r="Q728" s="484">
        <v>-1118</v>
      </c>
      <c r="R728" s="484">
        <v>-1092</v>
      </c>
      <c r="S728" s="484">
        <v>-1323</v>
      </c>
      <c r="T728" s="484">
        <f>U728-SUM(Q728,R728,S728)</f>
        <v>-1483</v>
      </c>
      <c r="U728" s="39">
        <v>-5016</v>
      </c>
      <c r="V728" s="484">
        <v>-1448</v>
      </c>
      <c r="W728" s="484">
        <v>-1170</v>
      </c>
      <c r="X728" s="484">
        <v>-1471</v>
      </c>
      <c r="Y728" s="484">
        <f>Z728-SUM(V728,W728,X728)</f>
        <v>-989</v>
      </c>
      <c r="Z728" s="39">
        <v>-5078</v>
      </c>
      <c r="AA728" s="484">
        <v>-1237</v>
      </c>
      <c r="AB728" s="191">
        <v>-1212</v>
      </c>
      <c r="AC728" s="484">
        <v>-1144</v>
      </c>
      <c r="AD728" s="484">
        <f>AE728-SUM(AA728,AB728,AC728)</f>
        <v>-829</v>
      </c>
      <c r="AE728" s="39">
        <v>-4422</v>
      </c>
      <c r="AF728" s="484">
        <v>728</v>
      </c>
      <c r="AG728" s="191">
        <v>-813</v>
      </c>
      <c r="AH728" s="484">
        <v>-795</v>
      </c>
      <c r="AI728" s="484">
        <f>AJ728-SUM(AF728,AG728,AH728)</f>
        <v>-783</v>
      </c>
      <c r="AJ728" s="39">
        <v>-1663</v>
      </c>
      <c r="AK728" s="484">
        <v>-645</v>
      </c>
      <c r="AL728" s="191">
        <v>-1647</v>
      </c>
      <c r="AM728" s="484">
        <v>-395</v>
      </c>
      <c r="AN728" s="484">
        <f>AO728-SUM(AK728,AL728,AM728)</f>
        <v>-344</v>
      </c>
      <c r="AO728" s="39">
        <v>-3031</v>
      </c>
      <c r="AP728" s="484">
        <v>-459</v>
      </c>
      <c r="AQ728" s="191">
        <v>-525</v>
      </c>
      <c r="AR728" s="484">
        <v>331</v>
      </c>
      <c r="AS728" s="484">
        <f>AT728--650</f>
        <v>-49</v>
      </c>
      <c r="AT728" s="39">
        <v>-699</v>
      </c>
      <c r="AU728" s="484">
        <v>-16</v>
      </c>
      <c r="AV728" s="191">
        <v>-108</v>
      </c>
      <c r="AW728" s="289">
        <v>133</v>
      </c>
      <c r="AX728" s="113"/>
      <c r="AY728" s="104"/>
      <c r="AZ728" s="113"/>
      <c r="BA728" s="113"/>
      <c r="BB728" s="113"/>
      <c r="BC728" s="113"/>
      <c r="BD728" s="104"/>
      <c r="BE728" s="104"/>
      <c r="BF728" s="104"/>
      <c r="BG728" s="104"/>
      <c r="BH728" s="484"/>
    </row>
    <row r="729" spans="1:60" s="52" customFormat="1" hidden="1" outlineLevel="1" x14ac:dyDescent="0.25">
      <c r="A729" s="500" t="s">
        <v>203</v>
      </c>
      <c r="B729" s="775"/>
      <c r="C729" s="53">
        <f t="shared" ref="C729:AH729" si="741">SUM(C727:C728)</f>
        <v>3609</v>
      </c>
      <c r="D729" s="53">
        <f t="shared" si="741"/>
        <v>4313</v>
      </c>
      <c r="E729" s="53">
        <f t="shared" si="741"/>
        <v>5258</v>
      </c>
      <c r="F729" s="53">
        <f t="shared" si="741"/>
        <v>6173</v>
      </c>
      <c r="G729" s="61">
        <f t="shared" si="741"/>
        <v>1438</v>
      </c>
      <c r="H729" s="61">
        <f t="shared" si="741"/>
        <v>1621</v>
      </c>
      <c r="I729" s="61">
        <f t="shared" si="741"/>
        <v>2034</v>
      </c>
      <c r="J729" s="61">
        <f t="shared" si="741"/>
        <v>1543</v>
      </c>
      <c r="K729" s="53">
        <f t="shared" si="741"/>
        <v>6636</v>
      </c>
      <c r="L729" s="61">
        <f t="shared" si="741"/>
        <v>1904</v>
      </c>
      <c r="M729" s="61">
        <f t="shared" si="741"/>
        <v>2056</v>
      </c>
      <c r="N729" s="61">
        <f t="shared" si="741"/>
        <v>2419</v>
      </c>
      <c r="O729" s="61">
        <f t="shared" si="741"/>
        <v>1625</v>
      </c>
      <c r="P729" s="53">
        <f t="shared" si="741"/>
        <v>8004</v>
      </c>
      <c r="Q729" s="61">
        <f t="shared" si="741"/>
        <v>2244</v>
      </c>
      <c r="R729" s="61">
        <f t="shared" si="741"/>
        <v>2228</v>
      </c>
      <c r="S729" s="61">
        <f t="shared" si="741"/>
        <v>2639</v>
      </c>
      <c r="T729" s="61">
        <f t="shared" si="741"/>
        <v>1741</v>
      </c>
      <c r="U729" s="53">
        <f t="shared" si="741"/>
        <v>8852</v>
      </c>
      <c r="V729" s="61">
        <f t="shared" si="741"/>
        <v>2910</v>
      </c>
      <c r="W729" s="61">
        <f t="shared" si="741"/>
        <v>2276</v>
      </c>
      <c r="X729" s="61">
        <f t="shared" si="741"/>
        <v>2712</v>
      </c>
      <c r="Y729" s="61">
        <f t="shared" si="741"/>
        <v>1892</v>
      </c>
      <c r="Z729" s="53">
        <f t="shared" si="741"/>
        <v>9790</v>
      </c>
      <c r="AA729" s="105">
        <f t="shared" si="741"/>
        <v>2488</v>
      </c>
      <c r="AB729" s="192">
        <f t="shared" si="741"/>
        <v>2539</v>
      </c>
      <c r="AC729" s="61">
        <f t="shared" si="741"/>
        <v>2474</v>
      </c>
      <c r="AD729" s="61">
        <f t="shared" si="741"/>
        <v>1865</v>
      </c>
      <c r="AE729" s="53">
        <f t="shared" si="741"/>
        <v>9366</v>
      </c>
      <c r="AF729" s="105">
        <f t="shared" si="741"/>
        <v>4473</v>
      </c>
      <c r="AG729" s="192">
        <f t="shared" si="741"/>
        <v>3115</v>
      </c>
      <c r="AH729" s="61">
        <f t="shared" si="741"/>
        <v>3059</v>
      </c>
      <c r="AI729" s="61">
        <f t="shared" ref="AI729:AY729" si="742">SUM(AI727:AI728)</f>
        <v>2419</v>
      </c>
      <c r="AJ729" s="53">
        <f t="shared" si="742"/>
        <v>13066</v>
      </c>
      <c r="AK729" s="105">
        <f t="shared" si="742"/>
        <v>2786</v>
      </c>
      <c r="AL729" s="192">
        <f t="shared" si="742"/>
        <v>5590</v>
      </c>
      <c r="AM729" s="61">
        <f t="shared" si="742"/>
        <v>1623</v>
      </c>
      <c r="AN729" s="61">
        <f t="shared" si="742"/>
        <v>914</v>
      </c>
      <c r="AO729" s="53">
        <f t="shared" si="742"/>
        <v>10913</v>
      </c>
      <c r="AP729" s="105">
        <f t="shared" si="742"/>
        <v>2173</v>
      </c>
      <c r="AQ729" s="192">
        <f t="shared" si="742"/>
        <v>535</v>
      </c>
      <c r="AR729" s="61">
        <f t="shared" si="742"/>
        <v>-4509</v>
      </c>
      <c r="AS729" s="61">
        <f>SUM(AS727:AS728)</f>
        <v>-629</v>
      </c>
      <c r="AT729" s="53">
        <f>SUM(AT727:AT728)</f>
        <v>-2442</v>
      </c>
      <c r="AU729" s="105">
        <f>SUM(AU727:AU728)</f>
        <v>30</v>
      </c>
      <c r="AV729" s="192">
        <f>SUM(AV727:AV728)</f>
        <v>1122</v>
      </c>
      <c r="AW729" s="872">
        <f>SUM(AW727:AW728)</f>
        <v>1128</v>
      </c>
      <c r="AX729" s="105">
        <f t="shared" si="742"/>
        <v>0</v>
      </c>
      <c r="AY729" s="106">
        <f t="shared" si="742"/>
        <v>0</v>
      </c>
      <c r="AZ729" s="105">
        <f t="shared" ref="AZ729:BG729" si="743">SUM(AZ727:AZ728)</f>
        <v>0</v>
      </c>
      <c r="BA729" s="105">
        <f t="shared" si="743"/>
        <v>0</v>
      </c>
      <c r="BB729" s="105">
        <f t="shared" si="743"/>
        <v>0</v>
      </c>
      <c r="BC729" s="105">
        <f t="shared" si="743"/>
        <v>0</v>
      </c>
      <c r="BD729" s="106">
        <f t="shared" si="743"/>
        <v>0</v>
      </c>
      <c r="BE729" s="106">
        <f t="shared" si="743"/>
        <v>0</v>
      </c>
      <c r="BF729" s="106">
        <f t="shared" si="743"/>
        <v>0</v>
      </c>
      <c r="BG729" s="106">
        <f t="shared" si="743"/>
        <v>0</v>
      </c>
      <c r="BH729" s="499"/>
    </row>
    <row r="730" spans="1:60" s="49" customFormat="1" hidden="1" outlineLevel="1" x14ac:dyDescent="0.25">
      <c r="A730" s="218" t="s">
        <v>204</v>
      </c>
      <c r="B730" s="678"/>
      <c r="C730" s="230"/>
      <c r="D730" s="230"/>
      <c r="E730" s="230"/>
      <c r="F730" s="230"/>
      <c r="G730" s="215"/>
      <c r="H730" s="215"/>
      <c r="I730" s="215"/>
      <c r="J730" s="215"/>
      <c r="K730" s="230"/>
      <c r="L730" s="215"/>
      <c r="M730" s="215"/>
      <c r="N730" s="215"/>
      <c r="O730" s="215"/>
      <c r="P730" s="230"/>
      <c r="Q730" s="215"/>
      <c r="R730" s="215"/>
      <c r="S730" s="215"/>
      <c r="T730" s="215"/>
      <c r="U730" s="230"/>
      <c r="V730" s="215"/>
      <c r="W730" s="215"/>
      <c r="X730" s="215"/>
      <c r="Y730" s="215"/>
      <c r="Z730" s="230"/>
      <c r="AA730" s="215"/>
      <c r="AB730" s="215"/>
      <c r="AC730" s="215"/>
      <c r="AD730" s="215"/>
      <c r="AE730" s="230"/>
      <c r="AF730" s="215"/>
      <c r="AG730" s="215"/>
      <c r="AH730" s="215"/>
      <c r="AI730" s="215"/>
      <c r="AJ730" s="230"/>
      <c r="AK730" s="215"/>
      <c r="AL730" s="221">
        <v>21</v>
      </c>
      <c r="AM730" s="220">
        <v>359</v>
      </c>
      <c r="AN730" s="220">
        <f>AO730-SUM(AK730,AL730,AM730)</f>
        <v>291</v>
      </c>
      <c r="AO730" s="219">
        <v>671</v>
      </c>
      <c r="AP730" s="215">
        <v>-26</v>
      </c>
      <c r="AQ730" s="221">
        <v>-15</v>
      </c>
      <c r="AR730" s="220">
        <v>-3</v>
      </c>
      <c r="AS730" s="220">
        <f>AT730--32</f>
        <v>0</v>
      </c>
      <c r="AT730" s="219">
        <v>-32</v>
      </c>
      <c r="AU730" s="215">
        <v>-12</v>
      </c>
      <c r="AV730" s="221">
        <v>-11</v>
      </c>
      <c r="AW730" s="950">
        <v>-5</v>
      </c>
      <c r="AX730" s="215"/>
      <c r="AY730" s="230"/>
      <c r="AZ730" s="215"/>
      <c r="BA730" s="215"/>
      <c r="BB730" s="215"/>
      <c r="BC730" s="215"/>
      <c r="BD730" s="230"/>
      <c r="BE730" s="230"/>
      <c r="BF730" s="230"/>
      <c r="BG730" s="230"/>
      <c r="BH730" s="484"/>
    </row>
    <row r="731" spans="1:60" s="52" customFormat="1" hidden="1" outlineLevel="1" x14ac:dyDescent="0.25">
      <c r="A731" s="501" t="s">
        <v>205</v>
      </c>
      <c r="B731" s="602"/>
      <c r="C731" s="51">
        <f t="shared" ref="C731:AH731" si="744">C729+C730</f>
        <v>3609</v>
      </c>
      <c r="D731" s="51">
        <f t="shared" si="744"/>
        <v>4313</v>
      </c>
      <c r="E731" s="51">
        <f t="shared" si="744"/>
        <v>5258</v>
      </c>
      <c r="F731" s="51">
        <f t="shared" si="744"/>
        <v>6173</v>
      </c>
      <c r="G731" s="499">
        <f t="shared" si="744"/>
        <v>1438</v>
      </c>
      <c r="H731" s="499">
        <f t="shared" si="744"/>
        <v>1621</v>
      </c>
      <c r="I731" s="499">
        <f t="shared" si="744"/>
        <v>2034</v>
      </c>
      <c r="J731" s="499">
        <f t="shared" si="744"/>
        <v>1543</v>
      </c>
      <c r="K731" s="51">
        <f t="shared" si="744"/>
        <v>6636</v>
      </c>
      <c r="L731" s="499">
        <f t="shared" si="744"/>
        <v>1904</v>
      </c>
      <c r="M731" s="499">
        <f t="shared" si="744"/>
        <v>2056</v>
      </c>
      <c r="N731" s="499">
        <f t="shared" si="744"/>
        <v>2419</v>
      </c>
      <c r="O731" s="499">
        <f t="shared" si="744"/>
        <v>1625</v>
      </c>
      <c r="P731" s="51">
        <f t="shared" si="744"/>
        <v>8004</v>
      </c>
      <c r="Q731" s="499">
        <f t="shared" si="744"/>
        <v>2244</v>
      </c>
      <c r="R731" s="499">
        <f t="shared" si="744"/>
        <v>2228</v>
      </c>
      <c r="S731" s="499">
        <f t="shared" si="744"/>
        <v>2639</v>
      </c>
      <c r="T731" s="499">
        <f t="shared" si="744"/>
        <v>1741</v>
      </c>
      <c r="U731" s="51">
        <f t="shared" si="744"/>
        <v>8852</v>
      </c>
      <c r="V731" s="499">
        <f t="shared" si="744"/>
        <v>2910</v>
      </c>
      <c r="W731" s="499">
        <f t="shared" si="744"/>
        <v>2276</v>
      </c>
      <c r="X731" s="499">
        <f t="shared" si="744"/>
        <v>2712</v>
      </c>
      <c r="Y731" s="499">
        <f t="shared" si="744"/>
        <v>1892</v>
      </c>
      <c r="Z731" s="51">
        <f t="shared" si="744"/>
        <v>9790</v>
      </c>
      <c r="AA731" s="114">
        <f t="shared" si="744"/>
        <v>2488</v>
      </c>
      <c r="AB731" s="194">
        <f t="shared" si="744"/>
        <v>2539</v>
      </c>
      <c r="AC731" s="499">
        <f t="shared" si="744"/>
        <v>2474</v>
      </c>
      <c r="AD731" s="499">
        <f t="shared" si="744"/>
        <v>1865</v>
      </c>
      <c r="AE731" s="51">
        <f t="shared" si="744"/>
        <v>9366</v>
      </c>
      <c r="AF731" s="114">
        <f t="shared" si="744"/>
        <v>4473</v>
      </c>
      <c r="AG731" s="194">
        <f t="shared" si="744"/>
        <v>3115</v>
      </c>
      <c r="AH731" s="499">
        <f t="shared" si="744"/>
        <v>3059</v>
      </c>
      <c r="AI731" s="499">
        <f t="shared" ref="AI731:AY731" si="745">AI729+AI730</f>
        <v>2419</v>
      </c>
      <c r="AJ731" s="51">
        <f t="shared" si="745"/>
        <v>13066</v>
      </c>
      <c r="AK731" s="114">
        <f t="shared" si="745"/>
        <v>2786</v>
      </c>
      <c r="AL731" s="194">
        <f t="shared" si="745"/>
        <v>5611</v>
      </c>
      <c r="AM731" s="499">
        <f t="shared" si="745"/>
        <v>1982</v>
      </c>
      <c r="AN731" s="499">
        <f t="shared" si="745"/>
        <v>1205</v>
      </c>
      <c r="AO731" s="51">
        <f t="shared" si="745"/>
        <v>11584</v>
      </c>
      <c r="AP731" s="114">
        <f t="shared" si="745"/>
        <v>2147</v>
      </c>
      <c r="AQ731" s="194">
        <f t="shared" si="745"/>
        <v>520</v>
      </c>
      <c r="AR731" s="499">
        <f t="shared" si="745"/>
        <v>-4512</v>
      </c>
      <c r="AS731" s="499">
        <f>AS729+AS730</f>
        <v>-629</v>
      </c>
      <c r="AT731" s="51">
        <f>AT729+AT730</f>
        <v>-2474</v>
      </c>
      <c r="AU731" s="114">
        <f>AU729+AU730</f>
        <v>18</v>
      </c>
      <c r="AV731" s="194">
        <f>AV729+AV730</f>
        <v>1111</v>
      </c>
      <c r="AW731" s="873">
        <f>AW729+AW730</f>
        <v>1123</v>
      </c>
      <c r="AX731" s="114">
        <f t="shared" si="745"/>
        <v>0</v>
      </c>
      <c r="AY731" s="111">
        <f t="shared" si="745"/>
        <v>0</v>
      </c>
      <c r="AZ731" s="114">
        <f t="shared" ref="AZ731:BG731" si="746">AZ729+AZ730</f>
        <v>0</v>
      </c>
      <c r="BA731" s="114">
        <f t="shared" si="746"/>
        <v>0</v>
      </c>
      <c r="BB731" s="114">
        <f t="shared" si="746"/>
        <v>0</v>
      </c>
      <c r="BC731" s="114">
        <f t="shared" si="746"/>
        <v>0</v>
      </c>
      <c r="BD731" s="111">
        <f t="shared" si="746"/>
        <v>0</v>
      </c>
      <c r="BE731" s="111">
        <f t="shared" si="746"/>
        <v>0</v>
      </c>
      <c r="BF731" s="111">
        <f t="shared" si="746"/>
        <v>0</v>
      </c>
      <c r="BG731" s="111">
        <f t="shared" si="746"/>
        <v>0</v>
      </c>
      <c r="BH731" s="499"/>
    </row>
    <row r="732" spans="1:60" s="49" customFormat="1" hidden="1" outlineLevel="1" x14ac:dyDescent="0.25">
      <c r="A732" s="483" t="s">
        <v>206</v>
      </c>
      <c r="B732" s="209"/>
      <c r="C732" s="39">
        <v>-302</v>
      </c>
      <c r="D732" s="39">
        <v>-350</v>
      </c>
      <c r="E732" s="39">
        <v>-451</v>
      </c>
      <c r="F732" s="39">
        <v>-491</v>
      </c>
      <c r="G732" s="484">
        <v>-56</v>
      </c>
      <c r="H732" s="484">
        <v>-108</v>
      </c>
      <c r="I732" s="484">
        <v>-187</v>
      </c>
      <c r="J732" s="484">
        <f>K732-SUM(G732,H732,I732)</f>
        <v>-149</v>
      </c>
      <c r="K732" s="39">
        <v>-500</v>
      </c>
      <c r="L732" s="484">
        <v>-64</v>
      </c>
      <c r="M732" s="484">
        <v>-139</v>
      </c>
      <c r="N732" s="484">
        <v>-174</v>
      </c>
      <c r="O732" s="484">
        <f>P732-SUM(L732,M732,N732)</f>
        <v>-126</v>
      </c>
      <c r="P732" s="39">
        <v>-503</v>
      </c>
      <c r="Q732" s="484">
        <v>-62</v>
      </c>
      <c r="R732" s="484">
        <v>-120</v>
      </c>
      <c r="S732" s="484">
        <v>-156</v>
      </c>
      <c r="T732" s="484">
        <f>U732-SUM(Q732,R732,S732)</f>
        <v>-132</v>
      </c>
      <c r="U732" s="39">
        <v>-470</v>
      </c>
      <c r="V732" s="484">
        <v>-30</v>
      </c>
      <c r="W732" s="484">
        <v>-133</v>
      </c>
      <c r="X732" s="484">
        <v>-115</v>
      </c>
      <c r="Y732" s="484">
        <f>Z732-SUM(V732,W732,X732)</f>
        <v>-121</v>
      </c>
      <c r="Z732" s="39">
        <v>-399</v>
      </c>
      <c r="AA732" s="484">
        <v>-9</v>
      </c>
      <c r="AB732" s="191">
        <v>-151</v>
      </c>
      <c r="AC732" s="484">
        <v>-108</v>
      </c>
      <c r="AD732" s="484">
        <f>AE732-SUM(AA732,AB732,AC732)</f>
        <v>-118</v>
      </c>
      <c r="AE732" s="39">
        <v>-386</v>
      </c>
      <c r="AF732" s="484">
        <v>-50</v>
      </c>
      <c r="AG732" s="191">
        <v>-178</v>
      </c>
      <c r="AH732" s="484">
        <v>-143</v>
      </c>
      <c r="AI732" s="484">
        <f>AJ732-SUM(AF732,AG732,AH732)</f>
        <v>-97</v>
      </c>
      <c r="AJ732" s="39">
        <v>-468</v>
      </c>
      <c r="AK732" s="484">
        <v>2</v>
      </c>
      <c r="AL732" s="191">
        <v>-159</v>
      </c>
      <c r="AM732" s="484">
        <v>-186</v>
      </c>
      <c r="AN732" s="484">
        <f>AO732-SUM(AK732,AL732,AM732)</f>
        <v>-129</v>
      </c>
      <c r="AO732" s="39">
        <v>-472</v>
      </c>
      <c r="AP732" s="484">
        <v>-40</v>
      </c>
      <c r="AQ732" s="191">
        <v>-60</v>
      </c>
      <c r="AR732" s="484">
        <v>-209</v>
      </c>
      <c r="AS732" s="484">
        <f>AT732-SUM(AP732,AQ732,AR732)</f>
        <v>-81</v>
      </c>
      <c r="AT732" s="39">
        <v>-390</v>
      </c>
      <c r="AU732" s="484">
        <v>-1</v>
      </c>
      <c r="AV732" s="191">
        <v>-210</v>
      </c>
      <c r="AW732" s="289">
        <v>-205</v>
      </c>
      <c r="AX732" s="113"/>
      <c r="AY732" s="104"/>
      <c r="AZ732" s="113"/>
      <c r="BA732" s="113"/>
      <c r="BB732" s="113"/>
      <c r="BC732" s="113"/>
      <c r="BD732" s="104"/>
      <c r="BE732" s="104"/>
      <c r="BF732" s="104"/>
      <c r="BG732" s="104"/>
      <c r="BH732" s="484"/>
    </row>
    <row r="733" spans="1:60" s="283" customFormat="1" hidden="1" outlineLevel="1" x14ac:dyDescent="0.25">
      <c r="A733" s="483" t="s">
        <v>509</v>
      </c>
      <c r="B733" s="209"/>
      <c r="C733" s="104"/>
      <c r="D733" s="104"/>
      <c r="E733" s="104"/>
      <c r="F733" s="104"/>
      <c r="G733" s="113"/>
      <c r="H733" s="113"/>
      <c r="I733" s="113"/>
      <c r="J733" s="113"/>
      <c r="K733" s="104"/>
      <c r="L733" s="113"/>
      <c r="M733" s="113"/>
      <c r="N733" s="113"/>
      <c r="O733" s="113"/>
      <c r="P733" s="104"/>
      <c r="Q733" s="113"/>
      <c r="R733" s="113"/>
      <c r="S733" s="113"/>
      <c r="T733" s="113"/>
      <c r="U733" s="104"/>
      <c r="V733" s="113"/>
      <c r="W733" s="113"/>
      <c r="X733" s="113"/>
      <c r="Y733" s="113"/>
      <c r="Z733" s="104"/>
      <c r="AA733" s="113"/>
      <c r="AB733" s="113"/>
      <c r="AC733" s="113"/>
      <c r="AD733" s="113"/>
      <c r="AE733" s="104"/>
      <c r="AF733" s="113"/>
      <c r="AG733" s="113"/>
      <c r="AH733" s="113"/>
      <c r="AI733" s="113"/>
      <c r="AJ733" s="104"/>
      <c r="AK733" s="113"/>
      <c r="AL733" s="113"/>
      <c r="AM733" s="484">
        <v>-36</v>
      </c>
      <c r="AN733" s="484">
        <f>AO733-SUM(AK733,AL733,AM733)</f>
        <v>-22</v>
      </c>
      <c r="AO733" s="39">
        <v>-58</v>
      </c>
      <c r="AP733" s="113"/>
      <c r="AQ733" s="113"/>
      <c r="AR733" s="113"/>
      <c r="AS733" s="113"/>
      <c r="AT733" s="104"/>
      <c r="AU733" s="113"/>
      <c r="AV733" s="113"/>
      <c r="AW733" s="699"/>
      <c r="AX733" s="113"/>
      <c r="AY733" s="104"/>
      <c r="AZ733" s="113"/>
      <c r="BA733" s="113"/>
      <c r="BB733" s="113"/>
      <c r="BC733" s="113"/>
      <c r="BD733" s="104"/>
      <c r="BE733" s="104"/>
      <c r="BF733" s="104"/>
      <c r="BG733" s="104"/>
      <c r="BH733" s="484"/>
    </row>
    <row r="734" spans="1:60" s="52" customFormat="1" hidden="1" outlineLevel="1" x14ac:dyDescent="0.25">
      <c r="A734" s="88" t="s">
        <v>207</v>
      </c>
      <c r="B734" s="786"/>
      <c r="C734" s="54">
        <f t="shared" ref="C734:AH734" si="747">SUM(C731:C733)</f>
        <v>3307</v>
      </c>
      <c r="D734" s="54">
        <f t="shared" si="747"/>
        <v>3963</v>
      </c>
      <c r="E734" s="54">
        <f t="shared" si="747"/>
        <v>4807</v>
      </c>
      <c r="F734" s="54">
        <f t="shared" si="747"/>
        <v>5682</v>
      </c>
      <c r="G734" s="62">
        <f t="shared" si="747"/>
        <v>1382</v>
      </c>
      <c r="H734" s="62">
        <f t="shared" si="747"/>
        <v>1513</v>
      </c>
      <c r="I734" s="62">
        <f t="shared" si="747"/>
        <v>1847</v>
      </c>
      <c r="J734" s="62">
        <f t="shared" si="747"/>
        <v>1394</v>
      </c>
      <c r="K734" s="54">
        <f t="shared" si="747"/>
        <v>6136</v>
      </c>
      <c r="L734" s="62">
        <f t="shared" si="747"/>
        <v>1840</v>
      </c>
      <c r="M734" s="62">
        <f t="shared" si="747"/>
        <v>1917</v>
      </c>
      <c r="N734" s="62">
        <f t="shared" si="747"/>
        <v>2245</v>
      </c>
      <c r="O734" s="62">
        <f t="shared" si="747"/>
        <v>1499</v>
      </c>
      <c r="P734" s="54">
        <f t="shared" si="747"/>
        <v>7501</v>
      </c>
      <c r="Q734" s="62">
        <f t="shared" si="747"/>
        <v>2182</v>
      </c>
      <c r="R734" s="62">
        <f t="shared" si="747"/>
        <v>2108</v>
      </c>
      <c r="S734" s="62">
        <f t="shared" si="747"/>
        <v>2483</v>
      </c>
      <c r="T734" s="62">
        <f t="shared" si="747"/>
        <v>1609</v>
      </c>
      <c r="U734" s="54">
        <f t="shared" si="747"/>
        <v>8382</v>
      </c>
      <c r="V734" s="62">
        <f t="shared" si="747"/>
        <v>2880</v>
      </c>
      <c r="W734" s="62">
        <f t="shared" si="747"/>
        <v>2143</v>
      </c>
      <c r="X734" s="62">
        <f t="shared" si="747"/>
        <v>2597</v>
      </c>
      <c r="Y734" s="62">
        <f t="shared" si="747"/>
        <v>1771</v>
      </c>
      <c r="Z734" s="54">
        <f t="shared" si="747"/>
        <v>9391</v>
      </c>
      <c r="AA734" s="109">
        <f t="shared" si="747"/>
        <v>2479</v>
      </c>
      <c r="AB734" s="193">
        <f t="shared" si="747"/>
        <v>2388</v>
      </c>
      <c r="AC734" s="62">
        <f t="shared" si="747"/>
        <v>2366</v>
      </c>
      <c r="AD734" s="62">
        <f t="shared" si="747"/>
        <v>1747</v>
      </c>
      <c r="AE734" s="54">
        <f t="shared" si="747"/>
        <v>8980</v>
      </c>
      <c r="AF734" s="109">
        <f t="shared" si="747"/>
        <v>4423</v>
      </c>
      <c r="AG734" s="193">
        <f t="shared" si="747"/>
        <v>2937</v>
      </c>
      <c r="AH734" s="62">
        <f t="shared" si="747"/>
        <v>2916</v>
      </c>
      <c r="AI734" s="62">
        <f t="shared" ref="AI734:AY734" si="748">SUM(AI731:AI733)</f>
        <v>2322</v>
      </c>
      <c r="AJ734" s="54">
        <f t="shared" si="748"/>
        <v>12598</v>
      </c>
      <c r="AK734" s="109">
        <f t="shared" si="748"/>
        <v>2788</v>
      </c>
      <c r="AL734" s="193">
        <f t="shared" si="748"/>
        <v>5452</v>
      </c>
      <c r="AM734" s="62">
        <f t="shared" si="748"/>
        <v>1760</v>
      </c>
      <c r="AN734" s="62">
        <f t="shared" si="748"/>
        <v>1054</v>
      </c>
      <c r="AO734" s="54">
        <f t="shared" si="748"/>
        <v>11054</v>
      </c>
      <c r="AP734" s="109">
        <f t="shared" si="748"/>
        <v>2107</v>
      </c>
      <c r="AQ734" s="193">
        <f t="shared" si="748"/>
        <v>460</v>
      </c>
      <c r="AR734" s="62">
        <f t="shared" si="748"/>
        <v>-4721</v>
      </c>
      <c r="AS734" s="62">
        <f>SUM(AS731:AS733)</f>
        <v>-710</v>
      </c>
      <c r="AT734" s="54">
        <f>SUM(AT731:AT733)</f>
        <v>-2864</v>
      </c>
      <c r="AU734" s="109">
        <f>SUM(AU731:AU733)</f>
        <v>17</v>
      </c>
      <c r="AV734" s="193">
        <f>SUM(AV731:AV733)</f>
        <v>901</v>
      </c>
      <c r="AW734" s="875">
        <f>SUM(AW731:AW733)</f>
        <v>918</v>
      </c>
      <c r="AX734" s="109">
        <f t="shared" si="748"/>
        <v>0</v>
      </c>
      <c r="AY734" s="110">
        <f t="shared" si="748"/>
        <v>0</v>
      </c>
      <c r="AZ734" s="109">
        <f t="shared" ref="AZ734:BG734" si="749">SUM(AZ731:AZ733)</f>
        <v>0</v>
      </c>
      <c r="BA734" s="109">
        <f t="shared" si="749"/>
        <v>0</v>
      </c>
      <c r="BB734" s="109">
        <f t="shared" si="749"/>
        <v>0</v>
      </c>
      <c r="BC734" s="109">
        <f t="shared" si="749"/>
        <v>0</v>
      </c>
      <c r="BD734" s="110">
        <f t="shared" si="749"/>
        <v>0</v>
      </c>
      <c r="BE734" s="110">
        <f t="shared" si="749"/>
        <v>0</v>
      </c>
      <c r="BF734" s="110">
        <f t="shared" si="749"/>
        <v>0</v>
      </c>
      <c r="BG734" s="110">
        <f t="shared" si="749"/>
        <v>0</v>
      </c>
      <c r="BH734" s="499"/>
    </row>
    <row r="735" spans="1:60" s="40" customFormat="1" hidden="1" outlineLevel="1" x14ac:dyDescent="0.25">
      <c r="A735" s="657"/>
      <c r="B735" s="787"/>
      <c r="C735" s="990"/>
      <c r="D735" s="990"/>
      <c r="E735" s="990"/>
      <c r="F735" s="990"/>
      <c r="G735" s="991"/>
      <c r="H735" s="991"/>
      <c r="I735" s="991"/>
      <c r="J735" s="991"/>
      <c r="K735" s="990"/>
      <c r="L735" s="991"/>
      <c r="M735" s="991"/>
      <c r="N735" s="991"/>
      <c r="O735" s="991"/>
      <c r="P735" s="990"/>
      <c r="Q735" s="991"/>
      <c r="R735" s="991"/>
      <c r="S735" s="991"/>
      <c r="T735" s="991"/>
      <c r="U735" s="990"/>
      <c r="V735" s="991"/>
      <c r="W735" s="991"/>
      <c r="X735" s="991"/>
      <c r="Y735" s="991"/>
      <c r="Z735" s="990"/>
      <c r="AA735" s="991"/>
      <c r="AB735" s="991"/>
      <c r="AC735" s="991"/>
      <c r="AD735" s="991"/>
      <c r="AE735" s="990"/>
      <c r="AF735" s="991"/>
      <c r="AG735" s="991"/>
      <c r="AH735" s="991"/>
      <c r="AI735" s="991"/>
      <c r="AJ735" s="990"/>
      <c r="AK735" s="991"/>
      <c r="AL735" s="991"/>
      <c r="AM735" s="991"/>
      <c r="AN735" s="991"/>
      <c r="AO735" s="990"/>
      <c r="AP735" s="991"/>
      <c r="AQ735" s="991"/>
      <c r="AR735" s="991"/>
      <c r="AS735" s="991"/>
      <c r="AT735" s="990"/>
      <c r="AU735" s="991"/>
      <c r="AV735" s="991"/>
      <c r="AW735" s="992"/>
      <c r="AX735" s="991"/>
      <c r="AY735" s="990"/>
      <c r="AZ735" s="991"/>
      <c r="BA735" s="991"/>
      <c r="BB735" s="991"/>
      <c r="BC735" s="991"/>
      <c r="BD735" s="990"/>
      <c r="BE735" s="990"/>
      <c r="BF735" s="990"/>
      <c r="BG735" s="990"/>
      <c r="BH735" s="728"/>
    </row>
    <row r="736" spans="1:60" s="49" customFormat="1" hidden="1" outlineLevel="1" x14ac:dyDescent="0.25">
      <c r="A736" s="74" t="s">
        <v>208</v>
      </c>
      <c r="B736" s="74"/>
      <c r="C736" s="75">
        <f t="shared" ref="C736:AH736" si="750">IF(ISBLANK(INDEX(MO_IS_FirstRow,0,COLUMN())),0,ROUND(C729-C919,6))</f>
        <v>0</v>
      </c>
      <c r="D736" s="75">
        <f t="shared" si="750"/>
        <v>0</v>
      </c>
      <c r="E736" s="75">
        <f t="shared" si="750"/>
        <v>0</v>
      </c>
      <c r="F736" s="75">
        <f t="shared" si="750"/>
        <v>0</v>
      </c>
      <c r="G736" s="75">
        <f t="shared" si="750"/>
        <v>0</v>
      </c>
      <c r="H736" s="75">
        <f t="shared" si="750"/>
        <v>0</v>
      </c>
      <c r="I736" s="75">
        <f t="shared" si="750"/>
        <v>0</v>
      </c>
      <c r="J736" s="75">
        <f t="shared" si="750"/>
        <v>0</v>
      </c>
      <c r="K736" s="75">
        <f t="shared" si="750"/>
        <v>0</v>
      </c>
      <c r="L736" s="75">
        <f t="shared" si="750"/>
        <v>0</v>
      </c>
      <c r="M736" s="75">
        <f t="shared" si="750"/>
        <v>0</v>
      </c>
      <c r="N736" s="75">
        <f t="shared" si="750"/>
        <v>0</v>
      </c>
      <c r="O736" s="75">
        <f t="shared" si="750"/>
        <v>0</v>
      </c>
      <c r="P736" s="75">
        <f t="shared" si="750"/>
        <v>0</v>
      </c>
      <c r="Q736" s="75">
        <f t="shared" si="750"/>
        <v>0</v>
      </c>
      <c r="R736" s="75">
        <f t="shared" si="750"/>
        <v>0</v>
      </c>
      <c r="S736" s="75">
        <f t="shared" si="750"/>
        <v>0</v>
      </c>
      <c r="T736" s="75">
        <f t="shared" si="750"/>
        <v>0</v>
      </c>
      <c r="U736" s="75">
        <f t="shared" si="750"/>
        <v>0</v>
      </c>
      <c r="V736" s="75">
        <f t="shared" si="750"/>
        <v>0</v>
      </c>
      <c r="W736" s="75">
        <f t="shared" si="750"/>
        <v>0</v>
      </c>
      <c r="X736" s="75">
        <f t="shared" si="750"/>
        <v>0</v>
      </c>
      <c r="Y736" s="75">
        <f t="shared" si="750"/>
        <v>0</v>
      </c>
      <c r="Z736" s="75">
        <f t="shared" si="750"/>
        <v>0</v>
      </c>
      <c r="AA736" s="75">
        <f t="shared" si="750"/>
        <v>0</v>
      </c>
      <c r="AB736" s="75">
        <f t="shared" si="750"/>
        <v>0</v>
      </c>
      <c r="AC736" s="75">
        <f t="shared" si="750"/>
        <v>0</v>
      </c>
      <c r="AD736" s="75">
        <f t="shared" si="750"/>
        <v>0</v>
      </c>
      <c r="AE736" s="75">
        <f t="shared" si="750"/>
        <v>0</v>
      </c>
      <c r="AF736" s="75">
        <f t="shared" si="750"/>
        <v>0</v>
      </c>
      <c r="AG736" s="75">
        <f t="shared" si="750"/>
        <v>0</v>
      </c>
      <c r="AH736" s="75">
        <f t="shared" si="750"/>
        <v>0</v>
      </c>
      <c r="AI736" s="75">
        <f t="shared" ref="AI736:AY736" si="751">IF(ISBLANK(INDEX(MO_IS_FirstRow,0,COLUMN())),0,ROUND(AI729-AI919,6))</f>
        <v>0</v>
      </c>
      <c r="AJ736" s="75">
        <f t="shared" si="751"/>
        <v>0</v>
      </c>
      <c r="AK736" s="75">
        <f t="shared" si="751"/>
        <v>0</v>
      </c>
      <c r="AL736" s="75">
        <f t="shared" si="751"/>
        <v>0</v>
      </c>
      <c r="AM736" s="75">
        <f t="shared" si="751"/>
        <v>0</v>
      </c>
      <c r="AN736" s="75">
        <f t="shared" si="751"/>
        <v>0</v>
      </c>
      <c r="AO736" s="75">
        <f t="shared" si="751"/>
        <v>0</v>
      </c>
      <c r="AP736" s="75">
        <f t="shared" si="751"/>
        <v>0</v>
      </c>
      <c r="AQ736" s="75">
        <f t="shared" si="751"/>
        <v>0</v>
      </c>
      <c r="AR736" s="75">
        <f t="shared" si="751"/>
        <v>12</v>
      </c>
      <c r="AS736" s="75">
        <f>IF(ISBLANK(INDEX(MO_IS_FirstRow,0,COLUMN())),0,ROUND(AS729-AS919,6))</f>
        <v>0</v>
      </c>
      <c r="AT736" s="75">
        <f>IF(ISBLANK(INDEX(MO_IS_FirstRow,0,COLUMN())),0,ROUND(AT729-AT919,6))</f>
        <v>0</v>
      </c>
      <c r="AU736" s="75">
        <f>IF(ISBLANK(INDEX(MO_IS_FirstRow,0,COLUMN())),0,ROUND(AU729-AU919,6))</f>
        <v>0</v>
      </c>
      <c r="AV736" s="75">
        <f>IF(ISBLANK(INDEX(MO_IS_FirstRow,0,COLUMN())),0,ROUND(AV729-AV919,6))</f>
        <v>0</v>
      </c>
      <c r="AW736" s="528">
        <f>IF(ISBLANK(INDEX(MO_IS_FirstRow,0,COLUMN())),0,ROUND(AW729-AW919,6))</f>
        <v>0</v>
      </c>
      <c r="AX736" s="75">
        <f t="shared" si="751"/>
        <v>0</v>
      </c>
      <c r="AY736" s="75">
        <f t="shared" si="751"/>
        <v>0</v>
      </c>
      <c r="AZ736" s="75">
        <f t="shared" ref="AZ736:BG736" si="752">IF(ISBLANK(INDEX(MO_IS_FirstRow,0,COLUMN())),0,ROUND(AZ729-AZ919,6))</f>
        <v>0</v>
      </c>
      <c r="BA736" s="75">
        <f t="shared" si="752"/>
        <v>0</v>
      </c>
      <c r="BB736" s="75">
        <f t="shared" si="752"/>
        <v>0</v>
      </c>
      <c r="BC736" s="75">
        <f t="shared" si="752"/>
        <v>0</v>
      </c>
      <c r="BD736" s="75">
        <f t="shared" si="752"/>
        <v>0</v>
      </c>
      <c r="BE736" s="75">
        <f t="shared" si="752"/>
        <v>0</v>
      </c>
      <c r="BF736" s="75">
        <f t="shared" si="752"/>
        <v>0</v>
      </c>
      <c r="BG736" s="75">
        <f t="shared" si="752"/>
        <v>0</v>
      </c>
      <c r="BH736" s="484"/>
    </row>
    <row r="737" spans="1:60" s="40" customFormat="1" collapsed="1" x14ac:dyDescent="0.25">
      <c r="A737" s="657"/>
      <c r="B737" s="787"/>
      <c r="C737" s="990"/>
      <c r="D737" s="990"/>
      <c r="E737" s="990"/>
      <c r="F737" s="990"/>
      <c r="G737" s="991"/>
      <c r="H737" s="991"/>
      <c r="I737" s="991"/>
      <c r="J737" s="991"/>
      <c r="K737" s="990"/>
      <c r="L737" s="991"/>
      <c r="M737" s="991"/>
      <c r="N737" s="991"/>
      <c r="O737" s="991"/>
      <c r="P737" s="990"/>
      <c r="Q737" s="991"/>
      <c r="R737" s="991"/>
      <c r="S737" s="991"/>
      <c r="T737" s="991"/>
      <c r="U737" s="990"/>
      <c r="V737" s="991"/>
      <c r="W737" s="991"/>
      <c r="X737" s="991"/>
      <c r="Y737" s="991"/>
      <c r="Z737" s="990"/>
      <c r="AA737" s="991"/>
      <c r="AB737" s="991"/>
      <c r="AC737" s="991"/>
      <c r="AD737" s="991"/>
      <c r="AE737" s="990"/>
      <c r="AF737" s="991"/>
      <c r="AG737" s="991"/>
      <c r="AH737" s="991"/>
      <c r="AI737" s="991"/>
      <c r="AJ737" s="990"/>
      <c r="AK737" s="991"/>
      <c r="AL737" s="991"/>
      <c r="AM737" s="991"/>
      <c r="AN737" s="991"/>
      <c r="AO737" s="990"/>
      <c r="AP737" s="991"/>
      <c r="AQ737" s="991"/>
      <c r="AR737" s="991"/>
      <c r="AS737" s="991"/>
      <c r="AT737" s="990"/>
      <c r="AU737" s="991"/>
      <c r="AV737" s="991"/>
      <c r="AW737" s="992"/>
      <c r="AX737" s="991"/>
      <c r="AY737" s="990"/>
      <c r="AZ737" s="991"/>
      <c r="BA737" s="991"/>
      <c r="BB737" s="991"/>
      <c r="BC737" s="991"/>
      <c r="BD737" s="990"/>
      <c r="BE737" s="990"/>
      <c r="BF737" s="990"/>
      <c r="BG737" s="990"/>
      <c r="BH737" s="728"/>
    </row>
    <row r="738" spans="1:60" s="19" customFormat="1" x14ac:dyDescent="0.25">
      <c r="A738" s="956" t="s">
        <v>209</v>
      </c>
      <c r="B738" s="956"/>
      <c r="C738" s="986"/>
      <c r="D738" s="986"/>
      <c r="E738" s="986"/>
      <c r="F738" s="986"/>
      <c r="G738" s="986"/>
      <c r="H738" s="986"/>
      <c r="I738" s="986"/>
      <c r="J738" s="986"/>
      <c r="K738" s="986"/>
      <c r="L738" s="986"/>
      <c r="M738" s="986"/>
      <c r="N738" s="986"/>
      <c r="O738" s="986"/>
      <c r="P738" s="986"/>
      <c r="Q738" s="986"/>
      <c r="R738" s="986"/>
      <c r="S738" s="986"/>
      <c r="T738" s="986"/>
      <c r="U738" s="986"/>
      <c r="V738" s="986"/>
      <c r="W738" s="986"/>
      <c r="X738" s="986"/>
      <c r="Y738" s="986"/>
      <c r="Z738" s="986"/>
      <c r="AA738" s="986"/>
      <c r="AB738" s="986"/>
      <c r="AC738" s="986"/>
      <c r="AD738" s="986"/>
      <c r="AE738" s="986"/>
      <c r="AF738" s="986"/>
      <c r="AG738" s="986"/>
      <c r="AH738" s="986"/>
      <c r="AI738" s="986"/>
      <c r="AJ738" s="986"/>
      <c r="AK738" s="986"/>
      <c r="AL738" s="986"/>
      <c r="AM738" s="986"/>
      <c r="AN738" s="986"/>
      <c r="AO738" s="986"/>
      <c r="AP738" s="986"/>
      <c r="AQ738" s="986"/>
      <c r="AR738" s="986"/>
      <c r="AS738" s="986"/>
      <c r="AT738" s="986"/>
      <c r="AU738" s="986"/>
      <c r="AV738" s="986"/>
      <c r="AW738" s="987"/>
      <c r="AX738" s="986"/>
      <c r="AY738" s="986"/>
      <c r="AZ738" s="986"/>
      <c r="BA738" s="986"/>
      <c r="BB738" s="986"/>
      <c r="BC738" s="986"/>
      <c r="BD738" s="986"/>
      <c r="BE738" s="986"/>
      <c r="BF738" s="986"/>
      <c r="BG738" s="986"/>
      <c r="BH738" s="730"/>
    </row>
    <row r="739" spans="1:60" s="71" customFormat="1" hidden="1" outlineLevel="1" x14ac:dyDescent="0.25">
      <c r="A739" s="202" t="s">
        <v>210</v>
      </c>
      <c r="B739" s="788"/>
      <c r="C739" s="521">
        <v>1.76</v>
      </c>
      <c r="D739" s="521">
        <v>2.0299999999999998</v>
      </c>
      <c r="E739" s="521">
        <v>2.52</v>
      </c>
      <c r="F739" s="521">
        <v>3.13</v>
      </c>
      <c r="G739" s="522">
        <v>0.77</v>
      </c>
      <c r="H739" s="522">
        <v>0.83</v>
      </c>
      <c r="I739" s="522">
        <v>1.01</v>
      </c>
      <c r="J739" s="522">
        <v>0.77</v>
      </c>
      <c r="K739" s="521">
        <v>3.38</v>
      </c>
      <c r="L739" s="522">
        <v>1.03</v>
      </c>
      <c r="M739" s="522">
        <v>1.08</v>
      </c>
      <c r="N739" s="522">
        <v>1.28</v>
      </c>
      <c r="O739" s="522">
        <v>0.86</v>
      </c>
      <c r="P739" s="521">
        <v>4.26</v>
      </c>
      <c r="Q739" s="522">
        <v>1.27</v>
      </c>
      <c r="R739" s="522">
        <v>1.23</v>
      </c>
      <c r="S739" s="522">
        <v>1.45</v>
      </c>
      <c r="T739" s="522">
        <v>0.95</v>
      </c>
      <c r="U739" s="521">
        <v>4.9000000000000004</v>
      </c>
      <c r="V739" s="522">
        <v>1.73</v>
      </c>
      <c r="W739" s="522">
        <v>1.3</v>
      </c>
      <c r="X739" s="522">
        <v>1.6</v>
      </c>
      <c r="Y739" s="522">
        <v>1.1000000000000001</v>
      </c>
      <c r="Z739" s="521">
        <v>5.73</v>
      </c>
      <c r="AA739" s="522">
        <v>1.55</v>
      </c>
      <c r="AB739" s="929">
        <v>1.5</v>
      </c>
      <c r="AC739" s="522">
        <v>1.51</v>
      </c>
      <c r="AD739" s="522">
        <v>1.1299999999999999</v>
      </c>
      <c r="AE739" s="521">
        <v>5.69</v>
      </c>
      <c r="AF739" s="522">
        <v>2.91</v>
      </c>
      <c r="AG739" s="929">
        <v>1.95</v>
      </c>
      <c r="AH739" s="522">
        <v>1.95</v>
      </c>
      <c r="AI739" s="522">
        <v>1.55</v>
      </c>
      <c r="AJ739" s="521">
        <v>8.36</v>
      </c>
      <c r="AK739" s="522">
        <v>1.86</v>
      </c>
      <c r="AL739" s="929">
        <v>3.53</v>
      </c>
      <c r="AM739" s="522">
        <v>0.79</v>
      </c>
      <c r="AN739" s="522">
        <v>0.43</v>
      </c>
      <c r="AO739" s="521">
        <v>6.27</v>
      </c>
      <c r="AP739" s="522">
        <v>1.17</v>
      </c>
      <c r="AQ739" s="929">
        <v>0.26</v>
      </c>
      <c r="AR739" s="522">
        <v>-2.61</v>
      </c>
      <c r="AS739" s="522">
        <v>-0.39</v>
      </c>
      <c r="AT739" s="521">
        <f>SUM(AP739,AQ739,AR739,AS739)</f>
        <v>-1.5699999999999998</v>
      </c>
      <c r="AU739" s="522">
        <v>0.02</v>
      </c>
      <c r="AV739" s="929">
        <v>0.5</v>
      </c>
      <c r="AW739" s="951">
        <v>0.5</v>
      </c>
      <c r="AX739" s="789"/>
      <c r="AY739" s="834"/>
      <c r="AZ739" s="789"/>
      <c r="BA739" s="789"/>
      <c r="BB739" s="789"/>
      <c r="BC739" s="789"/>
      <c r="BD739" s="834"/>
      <c r="BE739" s="834"/>
      <c r="BF739" s="834"/>
      <c r="BG739" s="834"/>
      <c r="BH739" s="522"/>
    </row>
    <row r="740" spans="1:60" s="89" customFormat="1" hidden="1" outlineLevel="1" x14ac:dyDescent="0.25">
      <c r="A740" s="203" t="s">
        <v>211</v>
      </c>
      <c r="B740" s="790"/>
      <c r="C740" s="935">
        <v>0</v>
      </c>
      <c r="D740" s="935">
        <v>0</v>
      </c>
      <c r="E740" s="935">
        <v>0</v>
      </c>
      <c r="F740" s="935">
        <v>0</v>
      </c>
      <c r="G740" s="523">
        <v>0</v>
      </c>
      <c r="H740" s="523">
        <v>0</v>
      </c>
      <c r="I740" s="523">
        <v>0</v>
      </c>
      <c r="J740" s="523">
        <v>0</v>
      </c>
      <c r="K740" s="935">
        <v>0</v>
      </c>
      <c r="L740" s="523">
        <v>0</v>
      </c>
      <c r="M740" s="523">
        <v>0</v>
      </c>
      <c r="N740" s="523">
        <v>0</v>
      </c>
      <c r="O740" s="523">
        <v>0</v>
      </c>
      <c r="P740" s="935">
        <v>0</v>
      </c>
      <c r="Q740" s="523">
        <v>0</v>
      </c>
      <c r="R740" s="523">
        <v>0</v>
      </c>
      <c r="S740" s="523">
        <v>0</v>
      </c>
      <c r="T740" s="523">
        <v>0</v>
      </c>
      <c r="U740" s="935">
        <v>0</v>
      </c>
      <c r="V740" s="523">
        <v>-0.13</v>
      </c>
      <c r="W740" s="523">
        <v>0</v>
      </c>
      <c r="X740" s="523">
        <v>0</v>
      </c>
      <c r="Y740" s="523">
        <v>0</v>
      </c>
      <c r="Z740" s="935">
        <v>-0.13</v>
      </c>
      <c r="AA740" s="523">
        <v>0</v>
      </c>
      <c r="AB740" s="930">
        <v>0</v>
      </c>
      <c r="AC740" s="523">
        <v>0</v>
      </c>
      <c r="AD740" s="791"/>
      <c r="AE740" s="833"/>
      <c r="AF740" s="791"/>
      <c r="AG740" s="791"/>
      <c r="AH740" s="791"/>
      <c r="AI740" s="791"/>
      <c r="AJ740" s="833"/>
      <c r="AK740" s="791"/>
      <c r="AL740" s="930">
        <v>0.18</v>
      </c>
      <c r="AM740" s="791"/>
      <c r="AN740" s="791"/>
      <c r="AO740" s="833"/>
      <c r="AP740" s="791"/>
      <c r="AQ740" s="791"/>
      <c r="AR740" s="791"/>
      <c r="AS740" s="791"/>
      <c r="AT740" s="833"/>
      <c r="AU740" s="791"/>
      <c r="AV740" s="791"/>
      <c r="AW740" s="792"/>
      <c r="AX740" s="791"/>
      <c r="AY740" s="833"/>
      <c r="AZ740" s="791"/>
      <c r="BA740" s="791"/>
      <c r="BB740" s="791"/>
      <c r="BC740" s="791"/>
      <c r="BD740" s="833"/>
      <c r="BE740" s="833"/>
      <c r="BF740" s="833"/>
      <c r="BG740" s="833"/>
      <c r="BH740" s="523"/>
    </row>
    <row r="741" spans="1:60" s="89" customFormat="1" hidden="1" outlineLevel="1" x14ac:dyDescent="0.25">
      <c r="A741" s="203" t="s">
        <v>212</v>
      </c>
      <c r="B741" s="790"/>
      <c r="C741" s="833"/>
      <c r="D741" s="833"/>
      <c r="E741" s="833"/>
      <c r="F741" s="833"/>
      <c r="G741" s="791"/>
      <c r="H741" s="791"/>
      <c r="I741" s="791"/>
      <c r="J741" s="791"/>
      <c r="K741" s="833"/>
      <c r="L741" s="791"/>
      <c r="M741" s="791"/>
      <c r="N741" s="791"/>
      <c r="O741" s="791"/>
      <c r="P741" s="833"/>
      <c r="Q741" s="791"/>
      <c r="R741" s="791"/>
      <c r="S741" s="791"/>
      <c r="T741" s="791"/>
      <c r="U741" s="833"/>
      <c r="V741" s="791"/>
      <c r="W741" s="791"/>
      <c r="X741" s="791"/>
      <c r="Y741" s="791"/>
      <c r="Z741" s="833"/>
      <c r="AA741" s="791"/>
      <c r="AB741" s="791"/>
      <c r="AC741" s="791"/>
      <c r="AD741" s="523">
        <v>-0.1</v>
      </c>
      <c r="AE741" s="935">
        <v>-0.1</v>
      </c>
      <c r="AF741" s="791"/>
      <c r="AG741" s="791"/>
      <c r="AH741" s="791"/>
      <c r="AI741" s="791"/>
      <c r="AJ741" s="833"/>
      <c r="AK741" s="791"/>
      <c r="AL741" s="791"/>
      <c r="AM741" s="791"/>
      <c r="AN741" s="791"/>
      <c r="AO741" s="833"/>
      <c r="AP741" s="791"/>
      <c r="AQ741" s="791"/>
      <c r="AR741" s="791"/>
      <c r="AS741" s="791"/>
      <c r="AT741" s="833"/>
      <c r="AU741" s="791"/>
      <c r="AV741" s="791"/>
      <c r="AW741" s="792"/>
      <c r="AX741" s="791"/>
      <c r="AY741" s="833"/>
      <c r="AZ741" s="791"/>
      <c r="BA741" s="791"/>
      <c r="BB741" s="791"/>
      <c r="BC741" s="791"/>
      <c r="BD741" s="833"/>
      <c r="BE741" s="833"/>
      <c r="BF741" s="833"/>
      <c r="BG741" s="833"/>
      <c r="BH741" s="523"/>
    </row>
    <row r="742" spans="1:60" s="89" customFormat="1" hidden="1" outlineLevel="1" x14ac:dyDescent="0.25">
      <c r="A742" s="203" t="s">
        <v>213</v>
      </c>
      <c r="B742" s="790"/>
      <c r="C742" s="935">
        <v>0</v>
      </c>
      <c r="D742" s="935">
        <v>0</v>
      </c>
      <c r="E742" s="935">
        <v>0</v>
      </c>
      <c r="F742" s="935">
        <v>0</v>
      </c>
      <c r="G742" s="523">
        <v>-0.04</v>
      </c>
      <c r="H742" s="523">
        <v>0</v>
      </c>
      <c r="I742" s="523">
        <v>0</v>
      </c>
      <c r="J742" s="523">
        <v>-0.02</v>
      </c>
      <c r="K742" s="935">
        <v>-0.06</v>
      </c>
      <c r="L742" s="523">
        <v>0</v>
      </c>
      <c r="M742" s="523">
        <v>0</v>
      </c>
      <c r="N742" s="523">
        <v>0</v>
      </c>
      <c r="O742" s="523">
        <v>0</v>
      </c>
      <c r="P742" s="935">
        <v>0</v>
      </c>
      <c r="Q742" s="523">
        <v>0</v>
      </c>
      <c r="R742" s="523">
        <v>0</v>
      </c>
      <c r="S742" s="523">
        <v>0</v>
      </c>
      <c r="T742" s="523">
        <v>0</v>
      </c>
      <c r="U742" s="935">
        <v>0</v>
      </c>
      <c r="V742" s="523">
        <v>0</v>
      </c>
      <c r="W742" s="523">
        <v>0</v>
      </c>
      <c r="X742" s="523">
        <v>0</v>
      </c>
      <c r="Y742" s="523">
        <v>0</v>
      </c>
      <c r="Z742" s="935">
        <v>0</v>
      </c>
      <c r="AA742" s="523">
        <v>0</v>
      </c>
      <c r="AB742" s="930">
        <v>0</v>
      </c>
      <c r="AC742" s="523">
        <v>0</v>
      </c>
      <c r="AD742" s="791"/>
      <c r="AE742" s="833"/>
      <c r="AF742" s="791"/>
      <c r="AG742" s="791"/>
      <c r="AH742" s="791"/>
      <c r="AI742" s="791"/>
      <c r="AJ742" s="833"/>
      <c r="AK742" s="791"/>
      <c r="AL742" s="791"/>
      <c r="AM742" s="791"/>
      <c r="AN742" s="791"/>
      <c r="AO742" s="833"/>
      <c r="AP742" s="791"/>
      <c r="AQ742" s="791"/>
      <c r="AR742" s="791"/>
      <c r="AS742" s="791"/>
      <c r="AT742" s="833"/>
      <c r="AU742" s="791"/>
      <c r="AV742" s="791"/>
      <c r="AW742" s="792"/>
      <c r="AX742" s="791"/>
      <c r="AY742" s="833"/>
      <c r="AZ742" s="791"/>
      <c r="BA742" s="791"/>
      <c r="BB742" s="791"/>
      <c r="BC742" s="791"/>
      <c r="BD742" s="833"/>
      <c r="BE742" s="833"/>
      <c r="BF742" s="833"/>
      <c r="BG742" s="833"/>
      <c r="BH742" s="523"/>
    </row>
    <row r="743" spans="1:60" s="89" customFormat="1" hidden="1" outlineLevel="1" x14ac:dyDescent="0.25">
      <c r="A743" s="203" t="s">
        <v>214</v>
      </c>
      <c r="B743" s="790"/>
      <c r="C743" s="935">
        <v>0</v>
      </c>
      <c r="D743" s="935">
        <v>0</v>
      </c>
      <c r="E743" s="935">
        <v>0</v>
      </c>
      <c r="F743" s="935">
        <v>0</v>
      </c>
      <c r="G743" s="523">
        <v>0</v>
      </c>
      <c r="H743" s="523">
        <v>-0.06</v>
      </c>
      <c r="I743" s="523">
        <v>0</v>
      </c>
      <c r="J743" s="523">
        <v>0</v>
      </c>
      <c r="K743" s="935">
        <v>-0.06</v>
      </c>
      <c r="L743" s="523">
        <v>0</v>
      </c>
      <c r="M743" s="523">
        <v>0</v>
      </c>
      <c r="N743" s="523">
        <v>0</v>
      </c>
      <c r="O743" s="523">
        <v>0</v>
      </c>
      <c r="P743" s="935">
        <v>0</v>
      </c>
      <c r="Q743" s="523">
        <v>0</v>
      </c>
      <c r="R743" s="523">
        <v>0</v>
      </c>
      <c r="S743" s="523">
        <v>0</v>
      </c>
      <c r="T743" s="523">
        <v>0</v>
      </c>
      <c r="U743" s="935">
        <v>0</v>
      </c>
      <c r="V743" s="523">
        <v>0</v>
      </c>
      <c r="W743" s="523">
        <v>0</v>
      </c>
      <c r="X743" s="523">
        <v>0</v>
      </c>
      <c r="Y743" s="523">
        <v>0</v>
      </c>
      <c r="Z743" s="935">
        <v>0</v>
      </c>
      <c r="AA743" s="523">
        <v>0</v>
      </c>
      <c r="AB743" s="930">
        <v>0</v>
      </c>
      <c r="AC743" s="523">
        <v>0</v>
      </c>
      <c r="AD743" s="791"/>
      <c r="AE743" s="833"/>
      <c r="AF743" s="791"/>
      <c r="AG743" s="791"/>
      <c r="AH743" s="791"/>
      <c r="AI743" s="791"/>
      <c r="AJ743" s="833"/>
      <c r="AK743" s="791"/>
      <c r="AL743" s="791"/>
      <c r="AM743" s="791"/>
      <c r="AN743" s="791"/>
      <c r="AO743" s="833"/>
      <c r="AP743" s="791"/>
      <c r="AQ743" s="791"/>
      <c r="AR743" s="791"/>
      <c r="AS743" s="791"/>
      <c r="AT743" s="833"/>
      <c r="AU743" s="791"/>
      <c r="AV743" s="791"/>
      <c r="AW743" s="792"/>
      <c r="AX743" s="791"/>
      <c r="AY743" s="833"/>
      <c r="AZ743" s="791"/>
      <c r="BA743" s="791"/>
      <c r="BB743" s="791"/>
      <c r="BC743" s="791"/>
      <c r="BD743" s="833"/>
      <c r="BE743" s="833"/>
      <c r="BF743" s="833"/>
      <c r="BG743" s="833"/>
      <c r="BH743" s="523"/>
    </row>
    <row r="744" spans="1:60" s="89" customFormat="1" hidden="1" outlineLevel="1" x14ac:dyDescent="0.25">
      <c r="A744" s="203" t="s">
        <v>215</v>
      </c>
      <c r="B744" s="790"/>
      <c r="C744" s="935">
        <v>0</v>
      </c>
      <c r="D744" s="935">
        <v>0</v>
      </c>
      <c r="E744" s="935">
        <v>0</v>
      </c>
      <c r="F744" s="935">
        <v>0</v>
      </c>
      <c r="G744" s="523">
        <v>0</v>
      </c>
      <c r="H744" s="523">
        <v>0</v>
      </c>
      <c r="I744" s="523">
        <v>0</v>
      </c>
      <c r="J744" s="523">
        <v>0</v>
      </c>
      <c r="K744" s="935">
        <v>0</v>
      </c>
      <c r="L744" s="523">
        <v>0</v>
      </c>
      <c r="M744" s="523">
        <v>0</v>
      </c>
      <c r="N744" s="523">
        <v>0</v>
      </c>
      <c r="O744" s="523">
        <v>0</v>
      </c>
      <c r="P744" s="935">
        <v>0</v>
      </c>
      <c r="Q744" s="523">
        <v>0</v>
      </c>
      <c r="R744" s="523">
        <v>0</v>
      </c>
      <c r="S744" s="523">
        <v>0</v>
      </c>
      <c r="T744" s="523">
        <v>0.24</v>
      </c>
      <c r="U744" s="935">
        <v>0.23</v>
      </c>
      <c r="V744" s="523">
        <v>0</v>
      </c>
      <c r="W744" s="523">
        <v>0</v>
      </c>
      <c r="X744" s="523">
        <v>0</v>
      </c>
      <c r="Y744" s="523">
        <v>0</v>
      </c>
      <c r="Z744" s="935">
        <v>0</v>
      </c>
      <c r="AA744" s="523">
        <v>0</v>
      </c>
      <c r="AB744" s="930">
        <v>0</v>
      </c>
      <c r="AC744" s="523">
        <v>0</v>
      </c>
      <c r="AD744" s="791"/>
      <c r="AE744" s="833"/>
      <c r="AF744" s="791"/>
      <c r="AG744" s="791"/>
      <c r="AH744" s="791"/>
      <c r="AI744" s="791"/>
      <c r="AJ744" s="833"/>
      <c r="AK744" s="791"/>
      <c r="AL744" s="791"/>
      <c r="AM744" s="791"/>
      <c r="AN744" s="791"/>
      <c r="AO744" s="833"/>
      <c r="AP744" s="791"/>
      <c r="AQ744" s="791"/>
      <c r="AR744" s="791"/>
      <c r="AS744" s="791"/>
      <c r="AT744" s="833"/>
      <c r="AU744" s="791"/>
      <c r="AV744" s="791"/>
      <c r="AW744" s="792"/>
      <c r="AX744" s="791"/>
      <c r="AY744" s="833"/>
      <c r="AZ744" s="791"/>
      <c r="BA744" s="791"/>
      <c r="BB744" s="791"/>
      <c r="BC744" s="791"/>
      <c r="BD744" s="833"/>
      <c r="BE744" s="833"/>
      <c r="BF744" s="833"/>
      <c r="BG744" s="833"/>
      <c r="BH744" s="523"/>
    </row>
    <row r="745" spans="1:60" s="49" customFormat="1" hidden="1" outlineLevel="1" x14ac:dyDescent="0.25">
      <c r="A745" s="483" t="s">
        <v>216</v>
      </c>
      <c r="B745" s="209"/>
      <c r="C745" s="39">
        <v>0</v>
      </c>
      <c r="D745" s="39">
        <v>0</v>
      </c>
      <c r="E745" s="39">
        <v>0</v>
      </c>
      <c r="F745" s="39">
        <v>0</v>
      </c>
      <c r="G745" s="484">
        <v>0</v>
      </c>
      <c r="H745" s="484">
        <v>0</v>
      </c>
      <c r="I745" s="484">
        <v>0</v>
      </c>
      <c r="J745" s="484">
        <v>0</v>
      </c>
      <c r="K745" s="39">
        <v>0.02</v>
      </c>
      <c r="L745" s="484">
        <v>0</v>
      </c>
      <c r="M745" s="484">
        <v>0</v>
      </c>
      <c r="N745" s="484">
        <v>0</v>
      </c>
      <c r="O745" s="484">
        <v>0</v>
      </c>
      <c r="P745" s="39">
        <v>0</v>
      </c>
      <c r="Q745" s="484">
        <v>0</v>
      </c>
      <c r="R745" s="484">
        <v>0</v>
      </c>
      <c r="S745" s="484">
        <v>0</v>
      </c>
      <c r="T745" s="484">
        <v>0</v>
      </c>
      <c r="U745" s="39">
        <v>0</v>
      </c>
      <c r="V745" s="484">
        <v>0</v>
      </c>
      <c r="W745" s="484">
        <v>0</v>
      </c>
      <c r="X745" s="484">
        <v>0</v>
      </c>
      <c r="Y745" s="484">
        <v>0</v>
      </c>
      <c r="Z745" s="39">
        <v>0</v>
      </c>
      <c r="AA745" s="484">
        <v>0</v>
      </c>
      <c r="AB745" s="191">
        <v>0</v>
      </c>
      <c r="AC745" s="484">
        <v>0</v>
      </c>
      <c r="AD745" s="113"/>
      <c r="AE745" s="104"/>
      <c r="AF745" s="113"/>
      <c r="AG745" s="113"/>
      <c r="AH745" s="113"/>
      <c r="AI745" s="113"/>
      <c r="AJ745" s="104"/>
      <c r="AK745" s="113"/>
      <c r="AL745" s="113"/>
      <c r="AM745" s="113"/>
      <c r="AN745" s="113"/>
      <c r="AO745" s="104"/>
      <c r="AP745" s="113"/>
      <c r="AQ745" s="113"/>
      <c r="AR745" s="113"/>
      <c r="AS745" s="113"/>
      <c r="AT745" s="104"/>
      <c r="AU745" s="113"/>
      <c r="AV745" s="113"/>
      <c r="AW745" s="699"/>
      <c r="AX745" s="113"/>
      <c r="AY745" s="104"/>
      <c r="AZ745" s="113"/>
      <c r="BA745" s="113"/>
      <c r="BB745" s="113"/>
      <c r="BC745" s="113"/>
      <c r="BD745" s="104"/>
      <c r="BE745" s="104"/>
      <c r="BF745" s="104"/>
      <c r="BG745" s="104"/>
      <c r="BH745" s="484"/>
    </row>
    <row r="746" spans="1:60" s="89" customFormat="1" hidden="1" outlineLevel="1" x14ac:dyDescent="0.25">
      <c r="A746" s="203" t="s">
        <v>217</v>
      </c>
      <c r="B746" s="790"/>
      <c r="C746" s="935">
        <v>0</v>
      </c>
      <c r="D746" s="935">
        <v>0</v>
      </c>
      <c r="E746" s="935">
        <v>0</v>
      </c>
      <c r="F746" s="935">
        <v>0</v>
      </c>
      <c r="G746" s="523">
        <v>0</v>
      </c>
      <c r="H746" s="523">
        <v>0</v>
      </c>
      <c r="I746" s="523">
        <v>0</v>
      </c>
      <c r="J746" s="523">
        <v>0</v>
      </c>
      <c r="K746" s="935">
        <v>0</v>
      </c>
      <c r="L746" s="523">
        <v>0</v>
      </c>
      <c r="M746" s="523">
        <v>0</v>
      </c>
      <c r="N746" s="523">
        <v>0</v>
      </c>
      <c r="O746" s="523">
        <v>0</v>
      </c>
      <c r="P746" s="935">
        <v>0</v>
      </c>
      <c r="Q746" s="523">
        <v>0</v>
      </c>
      <c r="R746" s="523">
        <v>0</v>
      </c>
      <c r="S746" s="523">
        <v>0</v>
      </c>
      <c r="T746" s="523">
        <v>0</v>
      </c>
      <c r="U746" s="935">
        <v>0</v>
      </c>
      <c r="V746" s="523">
        <v>0</v>
      </c>
      <c r="W746" s="523">
        <v>0.06</v>
      </c>
      <c r="X746" s="523">
        <v>0</v>
      </c>
      <c r="Y746" s="523">
        <v>-0.01</v>
      </c>
      <c r="Z746" s="935">
        <v>0.05</v>
      </c>
      <c r="AA746" s="523">
        <v>0</v>
      </c>
      <c r="AB746" s="930">
        <v>0</v>
      </c>
      <c r="AC746" s="523">
        <v>0</v>
      </c>
      <c r="AD746" s="791"/>
      <c r="AE746" s="833"/>
      <c r="AF746" s="791"/>
      <c r="AG746" s="791"/>
      <c r="AH746" s="791"/>
      <c r="AI746" s="791"/>
      <c r="AJ746" s="833"/>
      <c r="AK746" s="791"/>
      <c r="AL746" s="791"/>
      <c r="AM746" s="791"/>
      <c r="AN746" s="791"/>
      <c r="AO746" s="833"/>
      <c r="AP746" s="791"/>
      <c r="AQ746" s="791"/>
      <c r="AR746" s="791"/>
      <c r="AS746" s="791"/>
      <c r="AT746" s="833"/>
      <c r="AU746" s="791"/>
      <c r="AV746" s="791"/>
      <c r="AW746" s="792"/>
      <c r="AX746" s="791"/>
      <c r="AY746" s="833"/>
      <c r="AZ746" s="791"/>
      <c r="BA746" s="791"/>
      <c r="BB746" s="791"/>
      <c r="BC746" s="791"/>
      <c r="BD746" s="833"/>
      <c r="BE746" s="833"/>
      <c r="BF746" s="833"/>
      <c r="BG746" s="833"/>
      <c r="BH746" s="523"/>
    </row>
    <row r="747" spans="1:60" s="89" customFormat="1" hidden="1" outlineLevel="1" x14ac:dyDescent="0.25">
      <c r="A747" s="203" t="s">
        <v>218</v>
      </c>
      <c r="B747" s="790"/>
      <c r="C747" s="935">
        <v>-0.11</v>
      </c>
      <c r="D747" s="935">
        <v>-0.05</v>
      </c>
      <c r="E747" s="935">
        <v>0.02</v>
      </c>
      <c r="F747" s="935">
        <v>-0.09</v>
      </c>
      <c r="G747" s="523">
        <v>0.04</v>
      </c>
      <c r="H747" s="523">
        <v>0</v>
      </c>
      <c r="I747" s="523">
        <v>0</v>
      </c>
      <c r="J747" s="523">
        <v>-0.01</v>
      </c>
      <c r="K747" s="935">
        <v>0.03</v>
      </c>
      <c r="L747" s="523">
        <v>0</v>
      </c>
      <c r="M747" s="523">
        <v>0.01</v>
      </c>
      <c r="N747" s="523">
        <v>0</v>
      </c>
      <c r="O747" s="523">
        <v>0</v>
      </c>
      <c r="P747" s="935">
        <v>0.01</v>
      </c>
      <c r="Q747" s="523">
        <v>0</v>
      </c>
      <c r="R747" s="523">
        <v>0</v>
      </c>
      <c r="S747" s="523">
        <v>0</v>
      </c>
      <c r="T747" s="523">
        <v>0</v>
      </c>
      <c r="U747" s="935">
        <v>0</v>
      </c>
      <c r="V747" s="523">
        <v>0</v>
      </c>
      <c r="W747" s="523">
        <v>0</v>
      </c>
      <c r="X747" s="523">
        <v>0</v>
      </c>
      <c r="Y747" s="523">
        <v>0</v>
      </c>
      <c r="Z747" s="935">
        <v>0</v>
      </c>
      <c r="AA747" s="523">
        <v>0</v>
      </c>
      <c r="AB747" s="930">
        <v>0</v>
      </c>
      <c r="AC747" s="791"/>
      <c r="AD747" s="791"/>
      <c r="AE747" s="833"/>
      <c r="AF747" s="791"/>
      <c r="AG747" s="791"/>
      <c r="AH747" s="791"/>
      <c r="AI747" s="791"/>
      <c r="AJ747" s="935">
        <v>-0.3</v>
      </c>
      <c r="AK747" s="791"/>
      <c r="AL747" s="930">
        <v>-2.48</v>
      </c>
      <c r="AM747" s="523">
        <v>0.05</v>
      </c>
      <c r="AN747" s="523">
        <v>0.21</v>
      </c>
      <c r="AO747" s="935">
        <v>-2.0099999999999998</v>
      </c>
      <c r="AP747" s="791"/>
      <c r="AQ747" s="791"/>
      <c r="AR747" s="523">
        <v>-0.16</v>
      </c>
      <c r="AS747" s="523">
        <v>-0.28000000000000003</v>
      </c>
      <c r="AT747" s="935">
        <v>-0.44</v>
      </c>
      <c r="AU747" s="791"/>
      <c r="AV747" s="930">
        <v>-0.13</v>
      </c>
      <c r="AW747" s="952">
        <v>0.04</v>
      </c>
      <c r="AX747" s="791"/>
      <c r="AY747" s="833"/>
      <c r="AZ747" s="791"/>
      <c r="BA747" s="791"/>
      <c r="BB747" s="791"/>
      <c r="BC747" s="791"/>
      <c r="BD747" s="833"/>
      <c r="BE747" s="833"/>
      <c r="BF747" s="833"/>
      <c r="BG747" s="833"/>
      <c r="BH747" s="523"/>
    </row>
    <row r="748" spans="1:60" s="89" customFormat="1" hidden="1" outlineLevel="1" x14ac:dyDescent="0.25">
      <c r="A748" s="203" t="s">
        <v>219</v>
      </c>
      <c r="B748" s="790"/>
      <c r="C748" s="833"/>
      <c r="D748" s="833"/>
      <c r="E748" s="833"/>
      <c r="F748" s="833"/>
      <c r="G748" s="791"/>
      <c r="H748" s="791"/>
      <c r="I748" s="791"/>
      <c r="J748" s="791"/>
      <c r="K748" s="833"/>
      <c r="L748" s="791"/>
      <c r="M748" s="791"/>
      <c r="N748" s="791"/>
      <c r="O748" s="791"/>
      <c r="P748" s="833"/>
      <c r="Q748" s="791"/>
      <c r="R748" s="791"/>
      <c r="S748" s="791"/>
      <c r="T748" s="791"/>
      <c r="U748" s="833"/>
      <c r="V748" s="791"/>
      <c r="W748" s="791"/>
      <c r="X748" s="791"/>
      <c r="Y748" s="791"/>
      <c r="Z748" s="833"/>
      <c r="AA748" s="791"/>
      <c r="AB748" s="791"/>
      <c r="AC748" s="523">
        <v>7.0000000000000007E-2</v>
      </c>
      <c r="AD748" s="791"/>
      <c r="AE748" s="935">
        <v>7.0000000000000007E-2</v>
      </c>
      <c r="AF748" s="791"/>
      <c r="AG748" s="791"/>
      <c r="AH748" s="791"/>
      <c r="AI748" s="791"/>
      <c r="AJ748" s="833"/>
      <c r="AK748" s="791"/>
      <c r="AL748" s="791"/>
      <c r="AM748" s="791"/>
      <c r="AN748" s="791"/>
      <c r="AO748" s="833"/>
      <c r="AP748" s="791"/>
      <c r="AQ748" s="791"/>
      <c r="AR748" s="791"/>
      <c r="AS748" s="791"/>
      <c r="AT748" s="833"/>
      <c r="AU748" s="791"/>
      <c r="AV748" s="791"/>
      <c r="AW748" s="792"/>
      <c r="AX748" s="791"/>
      <c r="AY748" s="833"/>
      <c r="AZ748" s="791"/>
      <c r="BA748" s="791"/>
      <c r="BB748" s="791"/>
      <c r="BC748" s="791"/>
      <c r="BD748" s="833"/>
      <c r="BE748" s="833"/>
      <c r="BF748" s="833"/>
      <c r="BG748" s="833"/>
      <c r="BH748" s="523"/>
    </row>
    <row r="749" spans="1:60" s="89" customFormat="1" hidden="1" outlineLevel="1" x14ac:dyDescent="0.25">
      <c r="A749" s="203" t="s">
        <v>220</v>
      </c>
      <c r="B749" s="790"/>
      <c r="C749" s="833"/>
      <c r="D749" s="833"/>
      <c r="E749" s="833"/>
      <c r="F749" s="833"/>
      <c r="G749" s="791"/>
      <c r="H749" s="791"/>
      <c r="I749" s="791"/>
      <c r="J749" s="791"/>
      <c r="K749" s="833"/>
      <c r="L749" s="791"/>
      <c r="M749" s="791"/>
      <c r="N749" s="791"/>
      <c r="O749" s="791"/>
      <c r="P749" s="833"/>
      <c r="Q749" s="791"/>
      <c r="R749" s="791"/>
      <c r="S749" s="791"/>
      <c r="T749" s="791"/>
      <c r="U749" s="833"/>
      <c r="V749" s="791"/>
      <c r="W749" s="791"/>
      <c r="X749" s="791"/>
      <c r="Y749" s="791"/>
      <c r="Z749" s="833"/>
      <c r="AA749" s="791"/>
      <c r="AB749" s="791"/>
      <c r="AC749" s="791"/>
      <c r="AD749" s="791"/>
      <c r="AE749" s="833"/>
      <c r="AF749" s="791"/>
      <c r="AG749" s="791"/>
      <c r="AH749" s="791"/>
      <c r="AI749" s="523">
        <v>-0.25</v>
      </c>
      <c r="AJ749" s="833"/>
      <c r="AK749" s="791"/>
      <c r="AL749" s="791"/>
      <c r="AM749" s="791"/>
      <c r="AN749" s="791"/>
      <c r="AO749" s="833"/>
      <c r="AP749" s="791"/>
      <c r="AQ749" s="791"/>
      <c r="AR749" s="791"/>
      <c r="AS749" s="791"/>
      <c r="AT749" s="833"/>
      <c r="AU749" s="791"/>
      <c r="AV749" s="791"/>
      <c r="AW749" s="792"/>
      <c r="AX749" s="791"/>
      <c r="AY749" s="833"/>
      <c r="AZ749" s="791"/>
      <c r="BA749" s="791"/>
      <c r="BB749" s="791"/>
      <c r="BC749" s="791"/>
      <c r="BD749" s="833"/>
      <c r="BE749" s="833"/>
      <c r="BF749" s="833"/>
      <c r="BG749" s="833"/>
      <c r="BH749" s="523"/>
    </row>
    <row r="750" spans="1:60" s="89" customFormat="1" hidden="1" outlineLevel="1" x14ac:dyDescent="0.25">
      <c r="A750" s="203" t="s">
        <v>221</v>
      </c>
      <c r="B750" s="790"/>
      <c r="C750" s="833"/>
      <c r="D750" s="833"/>
      <c r="E750" s="833"/>
      <c r="F750" s="833"/>
      <c r="G750" s="791"/>
      <c r="H750" s="791"/>
      <c r="I750" s="791"/>
      <c r="J750" s="791"/>
      <c r="K750" s="833"/>
      <c r="L750" s="791"/>
      <c r="M750" s="791"/>
      <c r="N750" s="791"/>
      <c r="O750" s="791"/>
      <c r="P750" s="833"/>
      <c r="Q750" s="791"/>
      <c r="R750" s="791"/>
      <c r="S750" s="791"/>
      <c r="T750" s="791"/>
      <c r="U750" s="833"/>
      <c r="V750" s="791"/>
      <c r="W750" s="791"/>
      <c r="X750" s="791"/>
      <c r="Y750" s="791"/>
      <c r="Z750" s="833"/>
      <c r="AA750" s="791"/>
      <c r="AB750" s="791"/>
      <c r="AC750" s="791"/>
      <c r="AD750" s="791"/>
      <c r="AE750" s="833"/>
      <c r="AF750" s="791"/>
      <c r="AG750" s="791"/>
      <c r="AH750" s="791"/>
      <c r="AI750" s="523">
        <v>0.11</v>
      </c>
      <c r="AJ750" s="935">
        <v>0.11</v>
      </c>
      <c r="AK750" s="791"/>
      <c r="AL750" s="791"/>
      <c r="AM750" s="523">
        <v>0.08</v>
      </c>
      <c r="AN750" s="791"/>
      <c r="AO750" s="935">
        <v>0.25</v>
      </c>
      <c r="AP750" s="791"/>
      <c r="AQ750" s="791"/>
      <c r="AR750" s="791"/>
      <c r="AS750" s="791"/>
      <c r="AT750" s="833"/>
      <c r="AU750" s="791"/>
      <c r="AV750" s="791"/>
      <c r="AW750" s="792"/>
      <c r="AX750" s="791"/>
      <c r="AY750" s="833"/>
      <c r="AZ750" s="791"/>
      <c r="BA750" s="791"/>
      <c r="BB750" s="791"/>
      <c r="BC750" s="791"/>
      <c r="BD750" s="833"/>
      <c r="BE750" s="833"/>
      <c r="BF750" s="833"/>
      <c r="BG750" s="833"/>
      <c r="BH750" s="523"/>
    </row>
    <row r="751" spans="1:60" s="89" customFormat="1" hidden="1" outlineLevel="1" x14ac:dyDescent="0.25">
      <c r="A751" s="203" t="s">
        <v>222</v>
      </c>
      <c r="B751" s="790"/>
      <c r="C751" s="833"/>
      <c r="D751" s="833"/>
      <c r="E751" s="833"/>
      <c r="F751" s="833"/>
      <c r="G751" s="791"/>
      <c r="H751" s="791"/>
      <c r="I751" s="791"/>
      <c r="J751" s="791"/>
      <c r="K751" s="833"/>
      <c r="L751" s="791"/>
      <c r="M751" s="791"/>
      <c r="N751" s="791"/>
      <c r="O751" s="791"/>
      <c r="P751" s="833"/>
      <c r="Q751" s="791"/>
      <c r="R751" s="791"/>
      <c r="S751" s="791"/>
      <c r="T751" s="791"/>
      <c r="U751" s="833"/>
      <c r="V751" s="791"/>
      <c r="W751" s="791"/>
      <c r="X751" s="791"/>
      <c r="Y751" s="791"/>
      <c r="Z751" s="833"/>
      <c r="AA751" s="791"/>
      <c r="AB751" s="791"/>
      <c r="AC751" s="791"/>
      <c r="AD751" s="791"/>
      <c r="AE751" s="833"/>
      <c r="AF751" s="523">
        <v>-1</v>
      </c>
      <c r="AG751" s="930">
        <v>-0.09</v>
      </c>
      <c r="AH751" s="523">
        <v>-7.0000000000000007E-2</v>
      </c>
      <c r="AI751" s="523">
        <v>0.06</v>
      </c>
      <c r="AJ751" s="935">
        <v>-1.1100000000000001</v>
      </c>
      <c r="AK751" s="523">
        <v>-0.02</v>
      </c>
      <c r="AL751" s="791"/>
      <c r="AM751" s="791"/>
      <c r="AN751" s="791"/>
      <c r="AO751" s="935">
        <v>-0.02</v>
      </c>
      <c r="AP751" s="791"/>
      <c r="AQ751" s="791"/>
      <c r="AR751" s="791"/>
      <c r="AS751" s="791"/>
      <c r="AT751" s="833"/>
      <c r="AU751" s="791"/>
      <c r="AV751" s="791"/>
      <c r="AW751" s="792"/>
      <c r="AX751" s="791"/>
      <c r="AY751" s="833"/>
      <c r="AZ751" s="791"/>
      <c r="BA751" s="791"/>
      <c r="BB751" s="791"/>
      <c r="BC751" s="791"/>
      <c r="BD751" s="833"/>
      <c r="BE751" s="833"/>
      <c r="BF751" s="833"/>
      <c r="BG751" s="833"/>
      <c r="BH751" s="523"/>
    </row>
    <row r="752" spans="1:60" s="89" customFormat="1" hidden="1" outlineLevel="1" x14ac:dyDescent="0.25">
      <c r="A752" s="203" t="s">
        <v>223</v>
      </c>
      <c r="B752" s="790"/>
      <c r="C752" s="833"/>
      <c r="D752" s="833"/>
      <c r="E752" s="833"/>
      <c r="F752" s="833"/>
      <c r="G752" s="791"/>
      <c r="H752" s="791"/>
      <c r="I752" s="791"/>
      <c r="J752" s="791"/>
      <c r="K752" s="833"/>
      <c r="L752" s="791"/>
      <c r="M752" s="791"/>
      <c r="N752" s="791"/>
      <c r="O752" s="791"/>
      <c r="P752" s="833"/>
      <c r="Q752" s="791"/>
      <c r="R752" s="791"/>
      <c r="S752" s="791"/>
      <c r="T752" s="791"/>
      <c r="U752" s="833"/>
      <c r="V752" s="791"/>
      <c r="W752" s="791"/>
      <c r="X752" s="791"/>
      <c r="Y752" s="791"/>
      <c r="Z752" s="833"/>
      <c r="AA752" s="791"/>
      <c r="AB752" s="791"/>
      <c r="AC752" s="791"/>
      <c r="AD752" s="791"/>
      <c r="AE752" s="833"/>
      <c r="AF752" s="523">
        <v>-0.03</v>
      </c>
      <c r="AG752" s="930">
        <v>-0.02</v>
      </c>
      <c r="AH752" s="791"/>
      <c r="AI752" s="791"/>
      <c r="AJ752" s="833"/>
      <c r="AK752" s="791"/>
      <c r="AL752" s="791"/>
      <c r="AM752" s="791"/>
      <c r="AN752" s="791"/>
      <c r="AO752" s="833"/>
      <c r="AP752" s="791"/>
      <c r="AQ752" s="791"/>
      <c r="AR752" s="791"/>
      <c r="AS752" s="791"/>
      <c r="AT752" s="833"/>
      <c r="AU752" s="791"/>
      <c r="AV752" s="791"/>
      <c r="AW752" s="792"/>
      <c r="AX752" s="791"/>
      <c r="AY752" s="833"/>
      <c r="AZ752" s="791"/>
      <c r="BA752" s="791"/>
      <c r="BB752" s="791"/>
      <c r="BC752" s="791"/>
      <c r="BD752" s="833"/>
      <c r="BE752" s="833"/>
      <c r="BF752" s="833"/>
      <c r="BG752" s="833"/>
      <c r="BH752" s="523"/>
    </row>
    <row r="753" spans="1:60" s="89" customFormat="1" hidden="1" outlineLevel="1" x14ac:dyDescent="0.25">
      <c r="A753" s="203" t="s">
        <v>224</v>
      </c>
      <c r="B753" s="790"/>
      <c r="C753" s="833"/>
      <c r="D753" s="833"/>
      <c r="E753" s="833"/>
      <c r="F753" s="833"/>
      <c r="G753" s="791"/>
      <c r="H753" s="791"/>
      <c r="I753" s="791"/>
      <c r="J753" s="791"/>
      <c r="K753" s="833"/>
      <c r="L753" s="791"/>
      <c r="M753" s="791"/>
      <c r="N753" s="791"/>
      <c r="O753" s="791"/>
      <c r="P753" s="833"/>
      <c r="Q753" s="791"/>
      <c r="R753" s="791"/>
      <c r="S753" s="791"/>
      <c r="T753" s="791"/>
      <c r="U753" s="833"/>
      <c r="V753" s="791"/>
      <c r="W753" s="791"/>
      <c r="X753" s="791"/>
      <c r="Y753" s="791"/>
      <c r="Z753" s="833"/>
      <c r="AA753" s="791"/>
      <c r="AB753" s="791"/>
      <c r="AC753" s="791"/>
      <c r="AD753" s="791"/>
      <c r="AE753" s="833"/>
      <c r="AF753" s="791"/>
      <c r="AG753" s="791"/>
      <c r="AH753" s="791"/>
      <c r="AI753" s="791"/>
      <c r="AJ753" s="833"/>
      <c r="AK753" s="791"/>
      <c r="AL753" s="930">
        <v>0.05</v>
      </c>
      <c r="AM753" s="523">
        <v>0.34</v>
      </c>
      <c r="AN753" s="523">
        <v>0.3</v>
      </c>
      <c r="AO753" s="935">
        <v>0.74</v>
      </c>
      <c r="AP753" s="523">
        <v>0.3</v>
      </c>
      <c r="AQ753" s="930">
        <v>0.28000000000000003</v>
      </c>
      <c r="AR753" s="523">
        <v>0.28000000000000003</v>
      </c>
      <c r="AS753" s="523">
        <v>0.3</v>
      </c>
      <c r="AT753" s="935">
        <v>1.17</v>
      </c>
      <c r="AU753" s="523">
        <v>0.25</v>
      </c>
      <c r="AV753" s="930">
        <v>0.24</v>
      </c>
      <c r="AW753" s="952">
        <v>0.25</v>
      </c>
      <c r="AX753" s="791"/>
      <c r="AY753" s="833"/>
      <c r="AZ753" s="791"/>
      <c r="BA753" s="791"/>
      <c r="BB753" s="791"/>
      <c r="BC753" s="791"/>
      <c r="BD753" s="833"/>
      <c r="BE753" s="833"/>
      <c r="BF753" s="833"/>
      <c r="BG753" s="833"/>
      <c r="BH753" s="523"/>
    </row>
    <row r="754" spans="1:60" s="89" customFormat="1" hidden="1" outlineLevel="1" x14ac:dyDescent="0.25">
      <c r="A754" s="203" t="s">
        <v>197</v>
      </c>
      <c r="B754" s="790"/>
      <c r="C754" s="935">
        <v>0.17</v>
      </c>
      <c r="D754" s="935">
        <v>0.09</v>
      </c>
      <c r="E754" s="935">
        <v>0</v>
      </c>
      <c r="F754" s="935">
        <v>0.03</v>
      </c>
      <c r="G754" s="523">
        <v>0.02</v>
      </c>
      <c r="H754" s="523">
        <v>0.02</v>
      </c>
      <c r="I754" s="523">
        <v>0.02</v>
      </c>
      <c r="J754" s="523">
        <v>0.03</v>
      </c>
      <c r="K754" s="935">
        <v>7.0000000000000007E-2</v>
      </c>
      <c r="L754" s="523">
        <v>0.01</v>
      </c>
      <c r="M754" s="523">
        <v>0.02</v>
      </c>
      <c r="N754" s="523">
        <v>0</v>
      </c>
      <c r="O754" s="523">
        <v>0.03</v>
      </c>
      <c r="P754" s="935">
        <v>0.05</v>
      </c>
      <c r="Q754" s="523">
        <v>0</v>
      </c>
      <c r="R754" s="523">
        <v>0</v>
      </c>
      <c r="S754" s="523">
        <v>0</v>
      </c>
      <c r="T754" s="523">
        <v>0.02</v>
      </c>
      <c r="U754" s="935">
        <v>0.02</v>
      </c>
      <c r="V754" s="523">
        <v>0.03</v>
      </c>
      <c r="W754" s="523">
        <v>0</v>
      </c>
      <c r="X754" s="523">
        <v>0</v>
      </c>
      <c r="Y754" s="523">
        <v>0.01</v>
      </c>
      <c r="Z754" s="935">
        <v>7.0000000000000007E-2</v>
      </c>
      <c r="AA754" s="523">
        <v>0</v>
      </c>
      <c r="AB754" s="930">
        <v>0</v>
      </c>
      <c r="AC754" s="523">
        <v>0</v>
      </c>
      <c r="AD754" s="523">
        <v>0.04</v>
      </c>
      <c r="AE754" s="935">
        <v>0.04</v>
      </c>
      <c r="AF754" s="523">
        <v>0.01</v>
      </c>
      <c r="AG754" s="930">
        <v>0.01</v>
      </c>
      <c r="AH754" s="791"/>
      <c r="AI754" s="791"/>
      <c r="AJ754" s="935">
        <v>0.02</v>
      </c>
      <c r="AK754" s="791"/>
      <c r="AL754" s="930">
        <v>0.33</v>
      </c>
      <c r="AM754" s="523">
        <v>0.09</v>
      </c>
      <c r="AN754" s="523">
        <v>0.13</v>
      </c>
      <c r="AO754" s="935">
        <v>0.55000000000000004</v>
      </c>
      <c r="AP754" s="523">
        <v>0.06</v>
      </c>
      <c r="AQ754" s="930">
        <v>0.06</v>
      </c>
      <c r="AR754" s="523">
        <v>2.56</v>
      </c>
      <c r="AS754" s="523">
        <v>0.17</v>
      </c>
      <c r="AT754" s="935">
        <v>2.86</v>
      </c>
      <c r="AU754" s="523">
        <v>0.05</v>
      </c>
      <c r="AV754" s="930">
        <v>0.17</v>
      </c>
      <c r="AW754" s="952">
        <v>0.01</v>
      </c>
      <c r="AX754" s="791"/>
      <c r="AY754" s="833"/>
      <c r="AZ754" s="791"/>
      <c r="BA754" s="791"/>
      <c r="BB754" s="791"/>
      <c r="BC754" s="791"/>
      <c r="BD754" s="833"/>
      <c r="BE754" s="833"/>
      <c r="BF754" s="833"/>
      <c r="BG754" s="833"/>
      <c r="BH754" s="523"/>
    </row>
    <row r="755" spans="1:60" s="71" customFormat="1" hidden="1" outlineLevel="1" x14ac:dyDescent="0.25">
      <c r="A755" s="90" t="s">
        <v>225</v>
      </c>
      <c r="B755" s="793"/>
      <c r="C755" s="524">
        <f t="shared" ref="C755:J755" si="753">SUM(C739:C754)</f>
        <v>1.8199999999999998</v>
      </c>
      <c r="D755" s="524">
        <f t="shared" si="753"/>
        <v>2.0699999999999998</v>
      </c>
      <c r="E755" s="524">
        <f t="shared" si="753"/>
        <v>2.54</v>
      </c>
      <c r="F755" s="524">
        <f t="shared" si="753"/>
        <v>3.07</v>
      </c>
      <c r="G755" s="525">
        <f t="shared" si="753"/>
        <v>0.79</v>
      </c>
      <c r="H755" s="525">
        <f t="shared" si="753"/>
        <v>0.79</v>
      </c>
      <c r="I755" s="525">
        <f t="shared" si="753"/>
        <v>1.03</v>
      </c>
      <c r="J755" s="525">
        <f t="shared" si="753"/>
        <v>0.77</v>
      </c>
      <c r="K755" s="524">
        <v>3.39</v>
      </c>
      <c r="L755" s="525">
        <f t="shared" ref="L755:S755" si="754">SUM(L739:L754)</f>
        <v>1.04</v>
      </c>
      <c r="M755" s="525">
        <f t="shared" si="754"/>
        <v>1.1100000000000001</v>
      </c>
      <c r="N755" s="525">
        <f t="shared" si="754"/>
        <v>1.28</v>
      </c>
      <c r="O755" s="525">
        <f t="shared" si="754"/>
        <v>0.89</v>
      </c>
      <c r="P755" s="524">
        <f t="shared" si="754"/>
        <v>4.3199999999999994</v>
      </c>
      <c r="Q755" s="525">
        <f t="shared" si="754"/>
        <v>1.27</v>
      </c>
      <c r="R755" s="525">
        <f t="shared" si="754"/>
        <v>1.23</v>
      </c>
      <c r="S755" s="525">
        <f t="shared" si="754"/>
        <v>1.45</v>
      </c>
      <c r="T755" s="525">
        <v>1.2</v>
      </c>
      <c r="U755" s="524">
        <f t="shared" ref="U755:AF755" si="755">SUM(U739:U754)</f>
        <v>5.15</v>
      </c>
      <c r="V755" s="525">
        <f t="shared" si="755"/>
        <v>1.6300000000000001</v>
      </c>
      <c r="W755" s="525">
        <f t="shared" si="755"/>
        <v>1.36</v>
      </c>
      <c r="X755" s="525">
        <f t="shared" si="755"/>
        <v>1.6</v>
      </c>
      <c r="Y755" s="525">
        <f t="shared" si="755"/>
        <v>1.1000000000000001</v>
      </c>
      <c r="Z755" s="524">
        <f t="shared" si="755"/>
        <v>5.7200000000000006</v>
      </c>
      <c r="AA755" s="525">
        <f t="shared" si="755"/>
        <v>1.55</v>
      </c>
      <c r="AB755" s="526">
        <f t="shared" si="755"/>
        <v>1.5</v>
      </c>
      <c r="AC755" s="525">
        <f t="shared" si="755"/>
        <v>1.58</v>
      </c>
      <c r="AD755" s="525">
        <f t="shared" si="755"/>
        <v>1.0699999999999998</v>
      </c>
      <c r="AE755" s="524">
        <f t="shared" si="755"/>
        <v>5.7000000000000011</v>
      </c>
      <c r="AF755" s="525">
        <f t="shared" si="755"/>
        <v>1.8900000000000001</v>
      </c>
      <c r="AG755" s="526">
        <v>1.84</v>
      </c>
      <c r="AH755" s="525">
        <v>1.87</v>
      </c>
      <c r="AI755" s="525">
        <f t="shared" ref="AI755:AQ755" si="756">SUM(AI739:AI754)</f>
        <v>1.4700000000000002</v>
      </c>
      <c r="AJ755" s="524">
        <f t="shared" si="756"/>
        <v>7.0799999999999974</v>
      </c>
      <c r="AK755" s="525">
        <f t="shared" si="756"/>
        <v>1.84</v>
      </c>
      <c r="AL755" s="526">
        <f t="shared" si="756"/>
        <v>1.61</v>
      </c>
      <c r="AM755" s="525">
        <f t="shared" si="756"/>
        <v>1.35</v>
      </c>
      <c r="AN755" s="525">
        <f t="shared" si="756"/>
        <v>1.0699999999999998</v>
      </c>
      <c r="AO755" s="524">
        <f t="shared" si="756"/>
        <v>5.78</v>
      </c>
      <c r="AP755" s="525">
        <f t="shared" si="756"/>
        <v>1.53</v>
      </c>
      <c r="AQ755" s="526">
        <f t="shared" si="756"/>
        <v>0.60000000000000009</v>
      </c>
      <c r="AR755" s="525">
        <v>0.08</v>
      </c>
      <c r="AS755" s="525">
        <f t="shared" ref="AS755:AT755" si="757">SUM(AS739:AS754)</f>
        <v>-0.20000000000000004</v>
      </c>
      <c r="AT755" s="524">
        <f t="shared" si="757"/>
        <v>2.02</v>
      </c>
      <c r="AU755" s="525">
        <f t="shared" ref="AU755:AW755" si="758">SUM(AU739:AU754)</f>
        <v>0.32</v>
      </c>
      <c r="AV755" s="526">
        <f t="shared" si="758"/>
        <v>0.78</v>
      </c>
      <c r="AW755" s="888">
        <f t="shared" si="758"/>
        <v>0.8</v>
      </c>
      <c r="AX755" s="896"/>
      <c r="AY755" s="897"/>
      <c r="AZ755" s="896"/>
      <c r="BA755" s="896"/>
      <c r="BB755" s="896"/>
      <c r="BC755" s="896"/>
      <c r="BD755" s="897"/>
      <c r="BE755" s="897"/>
      <c r="BF755" s="897"/>
      <c r="BG755" s="897"/>
      <c r="BH755" s="522"/>
    </row>
    <row r="756" spans="1:60" s="71" customFormat="1" collapsed="1" x14ac:dyDescent="0.25">
      <c r="A756" s="794"/>
      <c r="B756" s="788"/>
      <c r="C756" s="834"/>
      <c r="D756" s="834"/>
      <c r="E756" s="834"/>
      <c r="F756" s="834"/>
      <c r="G756" s="789"/>
      <c r="H756" s="789"/>
      <c r="I756" s="789"/>
      <c r="J756" s="789"/>
      <c r="K756" s="834"/>
      <c r="L756" s="789"/>
      <c r="M756" s="789"/>
      <c r="N756" s="789"/>
      <c r="O756" s="789"/>
      <c r="P756" s="834"/>
      <c r="Q756" s="789"/>
      <c r="R756" s="789"/>
      <c r="S756" s="789"/>
      <c r="T756" s="789"/>
      <c r="U756" s="834"/>
      <c r="V756" s="789"/>
      <c r="W756" s="789"/>
      <c r="X756" s="789"/>
      <c r="Y756" s="789"/>
      <c r="Z756" s="834"/>
      <c r="AA756" s="789"/>
      <c r="AB756" s="789"/>
      <c r="AC756" s="789"/>
      <c r="AD756" s="789"/>
      <c r="AE756" s="834"/>
      <c r="AF756" s="789"/>
      <c r="AG756" s="789"/>
      <c r="AH756" s="789"/>
      <c r="AI756" s="789"/>
      <c r="AJ756" s="834"/>
      <c r="AK756" s="789"/>
      <c r="AL756" s="789"/>
      <c r="AM756" s="789"/>
      <c r="AN756" s="789"/>
      <c r="AO756" s="834"/>
      <c r="AP756" s="789"/>
      <c r="AQ756" s="789"/>
      <c r="AR756" s="789"/>
      <c r="AS756" s="789"/>
      <c r="AT756" s="834"/>
      <c r="AU756" s="789"/>
      <c r="AV756" s="789"/>
      <c r="AW756" s="795"/>
      <c r="AX756" s="789"/>
      <c r="AY756" s="834"/>
      <c r="AZ756" s="789"/>
      <c r="BA756" s="789"/>
      <c r="BB756" s="789"/>
      <c r="BC756" s="789"/>
      <c r="BD756" s="834"/>
      <c r="BE756" s="834"/>
      <c r="BF756" s="834"/>
      <c r="BG756" s="834"/>
      <c r="BH756" s="522"/>
    </row>
    <row r="757" spans="1:60" s="19" customFormat="1" x14ac:dyDescent="0.25">
      <c r="A757" s="956" t="s">
        <v>226</v>
      </c>
      <c r="B757" s="956"/>
      <c r="C757" s="986"/>
      <c r="D757" s="986"/>
      <c r="E757" s="986"/>
      <c r="F757" s="986"/>
      <c r="G757" s="986"/>
      <c r="H757" s="986"/>
      <c r="I757" s="986"/>
      <c r="J757" s="986"/>
      <c r="K757" s="986"/>
      <c r="L757" s="986"/>
      <c r="M757" s="986"/>
      <c r="N757" s="986"/>
      <c r="O757" s="986"/>
      <c r="P757" s="986"/>
      <c r="Q757" s="986"/>
      <c r="R757" s="986"/>
      <c r="S757" s="986"/>
      <c r="T757" s="986"/>
      <c r="U757" s="986"/>
      <c r="V757" s="986"/>
      <c r="W757" s="986"/>
      <c r="X757" s="986"/>
      <c r="Y757" s="986"/>
      <c r="Z757" s="986"/>
      <c r="AA757" s="986"/>
      <c r="AB757" s="986"/>
      <c r="AC757" s="986"/>
      <c r="AD757" s="986"/>
      <c r="AE757" s="986"/>
      <c r="AF757" s="986"/>
      <c r="AG757" s="986"/>
      <c r="AH757" s="986"/>
      <c r="AI757" s="986"/>
      <c r="AJ757" s="986"/>
      <c r="AK757" s="986"/>
      <c r="AL757" s="986"/>
      <c r="AM757" s="986"/>
      <c r="AN757" s="986"/>
      <c r="AO757" s="986"/>
      <c r="AP757" s="986"/>
      <c r="AQ757" s="986"/>
      <c r="AR757" s="986"/>
      <c r="AS757" s="986"/>
      <c r="AT757" s="986"/>
      <c r="AU757" s="986"/>
      <c r="AV757" s="986"/>
      <c r="AW757" s="987"/>
      <c r="AX757" s="986"/>
      <c r="AY757" s="986"/>
      <c r="AZ757" s="986"/>
      <c r="BA757" s="986"/>
      <c r="BB757" s="986"/>
      <c r="BC757" s="986"/>
      <c r="BD757" s="986"/>
      <c r="BE757" s="986"/>
      <c r="BF757" s="986"/>
      <c r="BG757" s="986"/>
      <c r="BH757" s="730"/>
    </row>
    <row r="758" spans="1:60" s="52" customFormat="1" x14ac:dyDescent="0.25">
      <c r="A758" s="501" t="s">
        <v>227</v>
      </c>
      <c r="B758" s="602"/>
      <c r="C758" s="51">
        <f t="shared" ref="C758:AT758" si="759">C717</f>
        <v>36149</v>
      </c>
      <c r="D758" s="51">
        <f t="shared" si="759"/>
        <v>38063</v>
      </c>
      <c r="E758" s="51">
        <f t="shared" si="759"/>
        <v>40893</v>
      </c>
      <c r="F758" s="51">
        <f t="shared" si="759"/>
        <v>42278</v>
      </c>
      <c r="G758" s="499">
        <f t="shared" si="759"/>
        <v>11341</v>
      </c>
      <c r="H758" s="499">
        <f t="shared" si="759"/>
        <v>10554</v>
      </c>
      <c r="I758" s="499">
        <f t="shared" si="759"/>
        <v>11578</v>
      </c>
      <c r="J758" s="499">
        <f t="shared" si="759"/>
        <v>11568</v>
      </c>
      <c r="K758" s="51">
        <f t="shared" si="759"/>
        <v>45041</v>
      </c>
      <c r="L758" s="499">
        <f t="shared" si="759"/>
        <v>12309</v>
      </c>
      <c r="M758" s="499">
        <f t="shared" si="759"/>
        <v>11649</v>
      </c>
      <c r="N758" s="499">
        <f t="shared" si="759"/>
        <v>12466</v>
      </c>
      <c r="O758" s="499">
        <f t="shared" si="759"/>
        <v>12389</v>
      </c>
      <c r="P758" s="51">
        <f t="shared" si="759"/>
        <v>48813</v>
      </c>
      <c r="Q758" s="499">
        <f t="shared" si="759"/>
        <v>13391</v>
      </c>
      <c r="R758" s="499">
        <f t="shared" si="759"/>
        <v>12461</v>
      </c>
      <c r="S758" s="499">
        <f t="shared" si="759"/>
        <v>13101</v>
      </c>
      <c r="T758" s="499">
        <f t="shared" si="759"/>
        <v>13512</v>
      </c>
      <c r="U758" s="51">
        <f t="shared" si="759"/>
        <v>52465</v>
      </c>
      <c r="V758" s="499">
        <f t="shared" si="759"/>
        <v>15244</v>
      </c>
      <c r="W758" s="499">
        <f t="shared" si="759"/>
        <v>12969</v>
      </c>
      <c r="X758" s="499">
        <f t="shared" si="759"/>
        <v>14277</v>
      </c>
      <c r="Y758" s="499">
        <f t="shared" si="759"/>
        <v>13142</v>
      </c>
      <c r="Z758" s="51">
        <f t="shared" si="759"/>
        <v>55632</v>
      </c>
      <c r="AA758" s="499">
        <f t="shared" si="759"/>
        <v>14784</v>
      </c>
      <c r="AB758" s="194">
        <f t="shared" si="759"/>
        <v>13336</v>
      </c>
      <c r="AC758" s="499">
        <f t="shared" si="759"/>
        <v>14238</v>
      </c>
      <c r="AD758" s="499">
        <f t="shared" si="759"/>
        <v>12779</v>
      </c>
      <c r="AE758" s="51">
        <f t="shared" si="759"/>
        <v>55137</v>
      </c>
      <c r="AF758" s="499">
        <f t="shared" si="759"/>
        <v>15351</v>
      </c>
      <c r="AG758" s="194">
        <f t="shared" si="759"/>
        <v>14548</v>
      </c>
      <c r="AH758" s="499">
        <f t="shared" si="759"/>
        <v>15228</v>
      </c>
      <c r="AI758" s="499">
        <f t="shared" si="759"/>
        <v>14307</v>
      </c>
      <c r="AJ758" s="51">
        <f t="shared" si="759"/>
        <v>59434</v>
      </c>
      <c r="AK758" s="499">
        <f t="shared" si="759"/>
        <v>15303</v>
      </c>
      <c r="AL758" s="194">
        <f t="shared" si="759"/>
        <v>14922</v>
      </c>
      <c r="AM758" s="499">
        <f t="shared" si="759"/>
        <v>20245</v>
      </c>
      <c r="AN758" s="499">
        <f t="shared" si="759"/>
        <v>19100</v>
      </c>
      <c r="AO758" s="51">
        <f t="shared" si="759"/>
        <v>69570</v>
      </c>
      <c r="AP758" s="499">
        <f t="shared" si="759"/>
        <v>20858</v>
      </c>
      <c r="AQ758" s="194">
        <f t="shared" si="759"/>
        <v>18009</v>
      </c>
      <c r="AR758" s="499">
        <f t="shared" si="759"/>
        <v>11779</v>
      </c>
      <c r="AS758" s="499">
        <f t="shared" si="759"/>
        <v>14707</v>
      </c>
      <c r="AT758" s="51">
        <f t="shared" si="759"/>
        <v>65388</v>
      </c>
      <c r="AU758" s="499">
        <f>AU717</f>
        <v>16249</v>
      </c>
      <c r="AV758" s="194">
        <f>AV717</f>
        <v>15613</v>
      </c>
      <c r="AW758" s="873">
        <f>AW717</f>
        <v>17022</v>
      </c>
      <c r="AX758" s="114">
        <f>AX141+AX205</f>
        <v>19833.5013225</v>
      </c>
      <c r="AY758" s="111">
        <f>SUM(AU758,AV758,AW758,AX758)</f>
        <v>68717.5013225</v>
      </c>
      <c r="AZ758" s="114">
        <f>AZ141+AZ205</f>
        <v>20932.437952016</v>
      </c>
      <c r="BA758" s="114">
        <f>BA141+BA205</f>
        <v>20446.724239287385</v>
      </c>
      <c r="BB758" s="114">
        <f>BB141+BB205</f>
        <v>22902.64178097434</v>
      </c>
      <c r="BC758" s="114">
        <f>BC141+BC205</f>
        <v>24382.31607415363</v>
      </c>
      <c r="BD758" s="111">
        <f>SUM(AZ758,BA758,BB758,BC758)</f>
        <v>88664.120046431359</v>
      </c>
      <c r="BE758" s="111">
        <f>BE141+BE205</f>
        <v>97561.514043274918</v>
      </c>
      <c r="BF758" s="111">
        <f>BF141+BF205</f>
        <v>104590.22687280639</v>
      </c>
      <c r="BG758" s="111">
        <f>BG141+BG205</f>
        <v>113795.55201310637</v>
      </c>
      <c r="BH758" s="499"/>
    </row>
    <row r="759" spans="1:60" s="162" customFormat="1" x14ac:dyDescent="0.25">
      <c r="A759" s="159" t="str">
        <f>CONCATENATE("Consensus Estimates - ",IFERROR(LEFT(A758,FIND("(",A758)-1),A758))</f>
        <v>Consensus Estimates - Net Revenue</v>
      </c>
      <c r="B759" s="207"/>
      <c r="C759" s="160"/>
      <c r="D759" s="160"/>
      <c r="E759" s="160"/>
      <c r="F759" s="160"/>
      <c r="G759" s="161"/>
      <c r="H759" s="161"/>
      <c r="I759" s="161"/>
      <c r="J759" s="161"/>
      <c r="K759" s="160"/>
      <c r="L759" s="161"/>
      <c r="M759" s="161"/>
      <c r="N759" s="161"/>
      <c r="O759" s="161"/>
      <c r="P759" s="160"/>
      <c r="Q759" s="161"/>
      <c r="R759" s="161"/>
      <c r="S759" s="161"/>
      <c r="T759" s="161"/>
      <c r="U759" s="160"/>
      <c r="V759" s="161"/>
      <c r="W759" s="161"/>
      <c r="X759" s="161"/>
      <c r="Y759" s="161"/>
      <c r="Z759" s="160"/>
      <c r="AA759" s="161"/>
      <c r="AB759" s="161"/>
      <c r="AC759" s="161"/>
      <c r="AD759" s="161"/>
      <c r="AE759" s="160"/>
      <c r="AF759" s="161"/>
      <c r="AG759" s="161"/>
      <c r="AH759" s="161"/>
      <c r="AI759" s="161"/>
      <c r="AJ759" s="160"/>
      <c r="AK759" s="161"/>
      <c r="AL759" s="161"/>
      <c r="AM759" s="161"/>
      <c r="AN759" s="161"/>
      <c r="AO759" s="160"/>
      <c r="AP759" s="161"/>
      <c r="AQ759" s="161"/>
      <c r="AR759" s="161"/>
      <c r="AS759" s="161"/>
      <c r="AT759" s="160"/>
      <c r="AU759" s="161"/>
      <c r="AV759" s="161"/>
      <c r="AW759" s="706"/>
      <c r="AX759" s="161" t="str">
        <f t="shared" ref="AX759:BD759" ca="1" si="760">IFERROR(VLOOKUP($A759,tb_ConsensusEstimate,MATCH(AX$5,OFFSET(tb_ConsensusEstimate,0,0,1,COLUMNS(tb_ConsensusEstimate)),0),FALSE),"-")</f>
        <v>N/A</v>
      </c>
      <c r="AY759" s="112" t="str">
        <f t="shared" ca="1" si="760"/>
        <v>N/A</v>
      </c>
      <c r="AZ759" s="161" t="str">
        <f t="shared" ca="1" si="760"/>
        <v>N/A</v>
      </c>
      <c r="BA759" s="161" t="str">
        <f t="shared" ca="1" si="760"/>
        <v>N/A</v>
      </c>
      <c r="BB759" s="161" t="str">
        <f t="shared" ca="1" si="760"/>
        <v>N/A</v>
      </c>
      <c r="BC759" s="161" t="str">
        <f t="shared" ca="1" si="760"/>
        <v>N/A</v>
      </c>
      <c r="BD759" s="112" t="str">
        <f t="shared" ca="1" si="760"/>
        <v>N/A</v>
      </c>
      <c r="BE759" s="112" t="str">
        <f ca="1">IFERROR(VLOOKUP(A759,tb_ConsensusEstimate,MATCH(BE5,OFFSET(tb_ConsensusEstimate,0,0,1,COLUMNS(tb_ConsensusEstimate)),0),FALSE),"-")</f>
        <v>N/A</v>
      </c>
      <c r="BF759" s="112" t="str">
        <f ca="1">IFERROR(VLOOKUP(A759,tb_ConsensusEstimate,MATCH(BF5,OFFSET(tb_ConsensusEstimate,0,0,1,COLUMNS(tb_ConsensusEstimate)),0),FALSE),"-")</f>
        <v>N/A</v>
      </c>
      <c r="BG759" s="112" t="str">
        <f ca="1">IFERROR(VLOOKUP(A759,tb_ConsensusEstimate,MATCH(BG5,OFFSET(tb_ConsensusEstimate,0,0,1,COLUMNS(tb_ConsensusEstimate)),0),FALSE),"-")</f>
        <v>N/A</v>
      </c>
      <c r="BH759" s="161"/>
    </row>
    <row r="760" spans="1:60" s="52" customFormat="1" x14ac:dyDescent="0.25">
      <c r="A760" s="635"/>
      <c r="B760" s="602"/>
      <c r="C760" s="111"/>
      <c r="D760" s="111"/>
      <c r="E760" s="111"/>
      <c r="F760" s="111"/>
      <c r="G760" s="114"/>
      <c r="H760" s="114"/>
      <c r="I760" s="114"/>
      <c r="J760" s="114"/>
      <c r="K760" s="111"/>
      <c r="L760" s="114"/>
      <c r="M760" s="114"/>
      <c r="N760" s="114"/>
      <c r="O760" s="114"/>
      <c r="P760" s="111"/>
      <c r="Q760" s="114"/>
      <c r="R760" s="114"/>
      <c r="S760" s="114"/>
      <c r="T760" s="114"/>
      <c r="U760" s="111"/>
      <c r="V760" s="114"/>
      <c r="W760" s="114"/>
      <c r="X760" s="114"/>
      <c r="Y760" s="114"/>
      <c r="Z760" s="111"/>
      <c r="AA760" s="114"/>
      <c r="AB760" s="114"/>
      <c r="AC760" s="114"/>
      <c r="AD760" s="114"/>
      <c r="AE760" s="111"/>
      <c r="AF760" s="114"/>
      <c r="AG760" s="114"/>
      <c r="AH760" s="114"/>
      <c r="AI760" s="114"/>
      <c r="AJ760" s="111"/>
      <c r="AK760" s="114"/>
      <c r="AL760" s="114"/>
      <c r="AM760" s="114"/>
      <c r="AN760" s="114"/>
      <c r="AO760" s="111"/>
      <c r="AP760" s="114"/>
      <c r="AQ760" s="114"/>
      <c r="AR760" s="114"/>
      <c r="AS760" s="114"/>
      <c r="AT760" s="111"/>
      <c r="AU760" s="114"/>
      <c r="AV760" s="114"/>
      <c r="AW760" s="765"/>
      <c r="AX760" s="114"/>
      <c r="AY760" s="111"/>
      <c r="AZ760" s="114"/>
      <c r="BA760" s="114"/>
      <c r="BB760" s="114"/>
      <c r="BC760" s="114"/>
      <c r="BD760" s="111"/>
      <c r="BE760" s="111"/>
      <c r="BF760" s="111"/>
      <c r="BG760" s="111"/>
      <c r="BH760" s="499"/>
    </row>
    <row r="761" spans="1:60" s="49" customFormat="1" x14ac:dyDescent="0.25">
      <c r="A761" s="483" t="s">
        <v>228</v>
      </c>
      <c r="B761" s="209"/>
      <c r="C761" s="104"/>
      <c r="D761" s="104"/>
      <c r="E761" s="104"/>
      <c r="F761" s="104"/>
      <c r="G761" s="113"/>
      <c r="H761" s="113"/>
      <c r="I761" s="113"/>
      <c r="J761" s="113"/>
      <c r="K761" s="39">
        <f t="shared" ref="K761:AT761" si="761">-SUM(K718:K719)</f>
        <v>25034</v>
      </c>
      <c r="L761" s="484">
        <f t="shared" si="761"/>
        <v>7065</v>
      </c>
      <c r="M761" s="484">
        <f t="shared" si="761"/>
        <v>5972</v>
      </c>
      <c r="N761" s="484">
        <f t="shared" si="761"/>
        <v>6364</v>
      </c>
      <c r="O761" s="484">
        <f t="shared" si="761"/>
        <v>7019</v>
      </c>
      <c r="P761" s="39">
        <f t="shared" si="761"/>
        <v>26420</v>
      </c>
      <c r="Q761" s="484">
        <f t="shared" si="761"/>
        <v>7656</v>
      </c>
      <c r="R761" s="484">
        <f t="shared" si="761"/>
        <v>6690</v>
      </c>
      <c r="S761" s="484">
        <f t="shared" si="761"/>
        <v>6663</v>
      </c>
      <c r="T761" s="484">
        <f t="shared" si="761"/>
        <v>7355</v>
      </c>
      <c r="U761" s="39">
        <f t="shared" si="761"/>
        <v>28364</v>
      </c>
      <c r="V761" s="484">
        <f t="shared" si="761"/>
        <v>8623</v>
      </c>
      <c r="W761" s="484">
        <f t="shared" si="761"/>
        <v>6864</v>
      </c>
      <c r="X761" s="484">
        <f t="shared" si="761"/>
        <v>7201</v>
      </c>
      <c r="Y761" s="484">
        <f t="shared" si="761"/>
        <v>7305</v>
      </c>
      <c r="Z761" s="39">
        <f t="shared" si="761"/>
        <v>29993</v>
      </c>
      <c r="AA761" s="484">
        <f t="shared" si="761"/>
        <v>8406</v>
      </c>
      <c r="AB761" s="191">
        <f t="shared" si="761"/>
        <v>6969</v>
      </c>
      <c r="AC761" s="484">
        <f t="shared" si="761"/>
        <v>7717</v>
      </c>
      <c r="AD761" s="484">
        <f t="shared" si="761"/>
        <v>7214</v>
      </c>
      <c r="AE761" s="39">
        <f t="shared" si="761"/>
        <v>30306</v>
      </c>
      <c r="AF761" s="484">
        <f t="shared" si="761"/>
        <v>8737</v>
      </c>
      <c r="AG761" s="191">
        <f t="shared" si="761"/>
        <v>7533</v>
      </c>
      <c r="AH761" s="484">
        <f t="shared" si="761"/>
        <v>8348</v>
      </c>
      <c r="AI761" s="484">
        <f t="shared" si="761"/>
        <v>8108</v>
      </c>
      <c r="AJ761" s="39">
        <f t="shared" si="761"/>
        <v>32726</v>
      </c>
      <c r="AK761" s="484">
        <f t="shared" si="761"/>
        <v>9001</v>
      </c>
      <c r="AL761" s="191">
        <f t="shared" si="761"/>
        <v>8376</v>
      </c>
      <c r="AM761" s="484">
        <f t="shared" si="761"/>
        <v>12819</v>
      </c>
      <c r="AN761" s="484">
        <f t="shared" si="761"/>
        <v>11822</v>
      </c>
      <c r="AO761" s="39">
        <f t="shared" si="761"/>
        <v>42018</v>
      </c>
      <c r="AP761" s="484">
        <f t="shared" si="761"/>
        <v>13016</v>
      </c>
      <c r="AQ761" s="191">
        <f t="shared" si="761"/>
        <v>11918</v>
      </c>
      <c r="AR761" s="484">
        <f t="shared" si="761"/>
        <v>7896</v>
      </c>
      <c r="AS761" s="484">
        <f t="shared" si="761"/>
        <v>11013</v>
      </c>
      <c r="AT761" s="39">
        <f t="shared" si="761"/>
        <v>43880</v>
      </c>
      <c r="AU761" s="484">
        <f>-SUM(AU718:AU719)</f>
        <v>11775</v>
      </c>
      <c r="AV761" s="191">
        <f>-SUM(AV718:AV719)</f>
        <v>9782</v>
      </c>
      <c r="AW761" s="289">
        <f>-SUM(AW718:AW719)</f>
        <v>11233</v>
      </c>
      <c r="AX761" s="113">
        <f t="shared" ref="AX761:BG761" si="762">AX483</f>
        <v>13402.61143155</v>
      </c>
      <c r="AY761" s="104">
        <f>SUM(AU761,AV761,AW761,AX761)</f>
        <v>46192.611431550002</v>
      </c>
      <c r="AZ761" s="113">
        <f t="shared" si="762"/>
        <v>12838.23284353216</v>
      </c>
      <c r="BA761" s="113">
        <f t="shared" si="762"/>
        <v>13483.170421858413</v>
      </c>
      <c r="BB761" s="113">
        <f t="shared" si="762"/>
        <v>14830.012553540499</v>
      </c>
      <c r="BC761" s="113">
        <f t="shared" si="762"/>
        <v>15797.229312356758</v>
      </c>
      <c r="BD761" s="104">
        <f>SUM(AZ761,BA761,BB761,BC761)</f>
        <v>56948.645131287827</v>
      </c>
      <c r="BE761" s="104">
        <f t="shared" si="762"/>
        <v>60675.40619563793</v>
      </c>
      <c r="BF761" s="104">
        <f t="shared" si="762"/>
        <v>64994.919578948466</v>
      </c>
      <c r="BG761" s="104">
        <f t="shared" si="762"/>
        <v>70590.310044717829</v>
      </c>
      <c r="BH761" s="484"/>
    </row>
    <row r="762" spans="1:60" s="52" customFormat="1" x14ac:dyDescent="0.25">
      <c r="A762" s="500" t="s">
        <v>229</v>
      </c>
      <c r="B762" s="775"/>
      <c r="C762" s="53">
        <f t="shared" ref="C762:AH762" si="763">C758-C761</f>
        <v>36149</v>
      </c>
      <c r="D762" s="53">
        <f t="shared" si="763"/>
        <v>38063</v>
      </c>
      <c r="E762" s="53">
        <f t="shared" si="763"/>
        <v>40893</v>
      </c>
      <c r="F762" s="53">
        <f t="shared" si="763"/>
        <v>42278</v>
      </c>
      <c r="G762" s="61">
        <f t="shared" si="763"/>
        <v>11341</v>
      </c>
      <c r="H762" s="61">
        <f t="shared" si="763"/>
        <v>10554</v>
      </c>
      <c r="I762" s="61">
        <f t="shared" si="763"/>
        <v>11578</v>
      </c>
      <c r="J762" s="61">
        <f t="shared" si="763"/>
        <v>11568</v>
      </c>
      <c r="K762" s="53">
        <f t="shared" si="763"/>
        <v>20007</v>
      </c>
      <c r="L762" s="61">
        <f t="shared" si="763"/>
        <v>5244</v>
      </c>
      <c r="M762" s="61">
        <f t="shared" si="763"/>
        <v>5677</v>
      </c>
      <c r="N762" s="61">
        <f t="shared" si="763"/>
        <v>6102</v>
      </c>
      <c r="O762" s="61">
        <f t="shared" si="763"/>
        <v>5370</v>
      </c>
      <c r="P762" s="53">
        <f t="shared" si="763"/>
        <v>22393</v>
      </c>
      <c r="Q762" s="61">
        <f t="shared" si="763"/>
        <v>5735</v>
      </c>
      <c r="R762" s="61">
        <f t="shared" si="763"/>
        <v>5771</v>
      </c>
      <c r="S762" s="61">
        <f t="shared" si="763"/>
        <v>6438</v>
      </c>
      <c r="T762" s="61">
        <f t="shared" si="763"/>
        <v>6157</v>
      </c>
      <c r="U762" s="53">
        <f t="shared" si="763"/>
        <v>24101</v>
      </c>
      <c r="V762" s="61">
        <f t="shared" si="763"/>
        <v>6621</v>
      </c>
      <c r="W762" s="61">
        <f t="shared" si="763"/>
        <v>6105</v>
      </c>
      <c r="X762" s="61">
        <f t="shared" si="763"/>
        <v>7076</v>
      </c>
      <c r="Y762" s="61">
        <f t="shared" si="763"/>
        <v>5837</v>
      </c>
      <c r="Z762" s="53">
        <f t="shared" si="763"/>
        <v>25639</v>
      </c>
      <c r="AA762" s="61">
        <f t="shared" si="763"/>
        <v>6378</v>
      </c>
      <c r="AB762" s="192">
        <f t="shared" si="763"/>
        <v>6367</v>
      </c>
      <c r="AC762" s="61">
        <f t="shared" si="763"/>
        <v>6521</v>
      </c>
      <c r="AD762" s="61">
        <f t="shared" si="763"/>
        <v>5565</v>
      </c>
      <c r="AE762" s="53">
        <f t="shared" si="763"/>
        <v>24831</v>
      </c>
      <c r="AF762" s="61">
        <f t="shared" si="763"/>
        <v>6614</v>
      </c>
      <c r="AG762" s="192">
        <f t="shared" si="763"/>
        <v>7015</v>
      </c>
      <c r="AH762" s="61">
        <f t="shared" si="763"/>
        <v>6880</v>
      </c>
      <c r="AI762" s="61">
        <f t="shared" ref="AI762:AY762" si="764">AI758-AI761</f>
        <v>6199</v>
      </c>
      <c r="AJ762" s="53">
        <f t="shared" si="764"/>
        <v>26708</v>
      </c>
      <c r="AK762" s="61">
        <f t="shared" si="764"/>
        <v>6302</v>
      </c>
      <c r="AL762" s="192">
        <f t="shared" si="764"/>
        <v>6546</v>
      </c>
      <c r="AM762" s="61">
        <f t="shared" si="764"/>
        <v>7426</v>
      </c>
      <c r="AN762" s="61">
        <f t="shared" si="764"/>
        <v>7278</v>
      </c>
      <c r="AO762" s="53">
        <f t="shared" si="764"/>
        <v>27552</v>
      </c>
      <c r="AP762" s="61">
        <f t="shared" si="764"/>
        <v>7842</v>
      </c>
      <c r="AQ762" s="192">
        <f t="shared" si="764"/>
        <v>6091</v>
      </c>
      <c r="AR762" s="61">
        <f t="shared" si="764"/>
        <v>3883</v>
      </c>
      <c r="AS762" s="61">
        <f>AS758-AS761</f>
        <v>3694</v>
      </c>
      <c r="AT762" s="53">
        <f>AT758-AT761</f>
        <v>21508</v>
      </c>
      <c r="AU762" s="61">
        <f>AU758-AU761</f>
        <v>4474</v>
      </c>
      <c r="AV762" s="192">
        <f>AV758-AV761</f>
        <v>5831</v>
      </c>
      <c r="AW762" s="872">
        <f>AW758-AW761</f>
        <v>5789</v>
      </c>
      <c r="AX762" s="105">
        <f t="shared" si="764"/>
        <v>6430.8898909500003</v>
      </c>
      <c r="AY762" s="106">
        <f t="shared" si="764"/>
        <v>22524.889890949999</v>
      </c>
      <c r="AZ762" s="105">
        <f t="shared" ref="AZ762:BG762" si="765">AZ758-AZ761</f>
        <v>8094.2051084838404</v>
      </c>
      <c r="BA762" s="105">
        <f t="shared" si="765"/>
        <v>6963.5538174289723</v>
      </c>
      <c r="BB762" s="105">
        <f t="shared" si="765"/>
        <v>8072.6292274338412</v>
      </c>
      <c r="BC762" s="105">
        <f t="shared" si="765"/>
        <v>8585.0867617968725</v>
      </c>
      <c r="BD762" s="106">
        <f t="shared" si="765"/>
        <v>31715.474915143532</v>
      </c>
      <c r="BE762" s="106">
        <f t="shared" si="765"/>
        <v>36886.107847636988</v>
      </c>
      <c r="BF762" s="106">
        <f t="shared" si="765"/>
        <v>39595.307293857928</v>
      </c>
      <c r="BG762" s="106">
        <f t="shared" si="765"/>
        <v>43205.241968388538</v>
      </c>
      <c r="BH762" s="499"/>
    </row>
    <row r="763" spans="1:60" s="52" customFormat="1" x14ac:dyDescent="0.25">
      <c r="A763" s="635"/>
      <c r="B763" s="602"/>
      <c r="C763" s="111"/>
      <c r="D763" s="111"/>
      <c r="E763" s="111"/>
      <c r="F763" s="111"/>
      <c r="G763" s="114"/>
      <c r="H763" s="114"/>
      <c r="I763" s="114"/>
      <c r="J763" s="114"/>
      <c r="K763" s="111"/>
      <c r="L763" s="114"/>
      <c r="M763" s="114"/>
      <c r="N763" s="114"/>
      <c r="O763" s="114"/>
      <c r="P763" s="111"/>
      <c r="Q763" s="114"/>
      <c r="R763" s="114"/>
      <c r="S763" s="114"/>
      <c r="T763" s="114"/>
      <c r="U763" s="111"/>
      <c r="V763" s="114"/>
      <c r="W763" s="114"/>
      <c r="X763" s="114"/>
      <c r="Y763" s="114"/>
      <c r="Z763" s="111"/>
      <c r="AA763" s="114"/>
      <c r="AB763" s="114"/>
      <c r="AC763" s="114"/>
      <c r="AD763" s="114"/>
      <c r="AE763" s="111"/>
      <c r="AF763" s="114"/>
      <c r="AG763" s="114"/>
      <c r="AH763" s="114"/>
      <c r="AI763" s="114"/>
      <c r="AJ763" s="111"/>
      <c r="AK763" s="114"/>
      <c r="AL763" s="114"/>
      <c r="AM763" s="114"/>
      <c r="AN763" s="114"/>
      <c r="AO763" s="111"/>
      <c r="AP763" s="114"/>
      <c r="AQ763" s="114"/>
      <c r="AR763" s="114"/>
      <c r="AS763" s="114"/>
      <c r="AT763" s="111"/>
      <c r="AU763" s="114"/>
      <c r="AV763" s="114"/>
      <c r="AW763" s="765"/>
      <c r="AX763" s="114"/>
      <c r="AY763" s="111"/>
      <c r="AZ763" s="114"/>
      <c r="BA763" s="114"/>
      <c r="BB763" s="114"/>
      <c r="BC763" s="114"/>
      <c r="BD763" s="111"/>
      <c r="BE763" s="111"/>
      <c r="BF763" s="111"/>
      <c r="BG763" s="111"/>
      <c r="BH763" s="499"/>
    </row>
    <row r="764" spans="1:60" s="49" customFormat="1" x14ac:dyDescent="0.25">
      <c r="A764" s="483" t="s">
        <v>230</v>
      </c>
      <c r="B764" s="209"/>
      <c r="C764" s="39">
        <f t="shared" ref="C764:J764" si="766">-C722-C769-C771</f>
        <v>30091</v>
      </c>
      <c r="D764" s="39">
        <f t="shared" si="766"/>
        <v>30946</v>
      </c>
      <c r="E764" s="39">
        <f t="shared" si="766"/>
        <v>32689</v>
      </c>
      <c r="F764" s="39">
        <f t="shared" si="766"/>
        <v>33007</v>
      </c>
      <c r="G764" s="484">
        <f t="shared" si="766"/>
        <v>9149</v>
      </c>
      <c r="H764" s="484">
        <f t="shared" si="766"/>
        <v>8251</v>
      </c>
      <c r="I764" s="484">
        <f t="shared" si="766"/>
        <v>8477</v>
      </c>
      <c r="J764" s="484">
        <f t="shared" si="766"/>
        <v>9312</v>
      </c>
      <c r="K764" s="39">
        <f t="shared" ref="K764:AT764" si="767">-K720-K771</f>
        <v>7963</v>
      </c>
      <c r="L764" s="484">
        <f t="shared" si="767"/>
        <v>1922</v>
      </c>
      <c r="M764" s="484">
        <f t="shared" si="767"/>
        <v>2004</v>
      </c>
      <c r="N764" s="484">
        <f t="shared" si="767"/>
        <v>1947</v>
      </c>
      <c r="O764" s="484">
        <f t="shared" si="767"/>
        <v>2284</v>
      </c>
      <c r="P764" s="39">
        <f t="shared" si="767"/>
        <v>8157</v>
      </c>
      <c r="Q764" s="484">
        <f t="shared" si="767"/>
        <v>1831</v>
      </c>
      <c r="R764" s="484">
        <f t="shared" si="767"/>
        <v>1972</v>
      </c>
      <c r="S764" s="484">
        <f t="shared" si="767"/>
        <v>2005</v>
      </c>
      <c r="T764" s="484">
        <f t="shared" si="767"/>
        <v>2305</v>
      </c>
      <c r="U764" s="39">
        <f t="shared" si="767"/>
        <v>8113</v>
      </c>
      <c r="V764" s="484">
        <f t="shared" si="767"/>
        <v>1919</v>
      </c>
      <c r="W764" s="484">
        <f t="shared" si="767"/>
        <v>2038</v>
      </c>
      <c r="X764" s="484">
        <f t="shared" si="767"/>
        <v>2205</v>
      </c>
      <c r="Y764" s="484">
        <f t="shared" si="767"/>
        <v>2199</v>
      </c>
      <c r="Z764" s="39">
        <f t="shared" si="767"/>
        <v>8361</v>
      </c>
      <c r="AA764" s="484">
        <f t="shared" si="767"/>
        <v>1888</v>
      </c>
      <c r="AB764" s="191">
        <f t="shared" si="767"/>
        <v>1849</v>
      </c>
      <c r="AC764" s="484">
        <f t="shared" si="767"/>
        <v>1933</v>
      </c>
      <c r="AD764" s="484">
        <f t="shared" si="767"/>
        <v>2142</v>
      </c>
      <c r="AE764" s="39">
        <f t="shared" si="767"/>
        <v>7812</v>
      </c>
      <c r="AF764" s="484">
        <f t="shared" si="767"/>
        <v>1985</v>
      </c>
      <c r="AG764" s="191">
        <f t="shared" si="767"/>
        <v>2147</v>
      </c>
      <c r="AH764" s="484">
        <f t="shared" si="767"/>
        <v>2099</v>
      </c>
      <c r="AI764" s="484">
        <f t="shared" si="767"/>
        <v>2236</v>
      </c>
      <c r="AJ764" s="39">
        <f t="shared" si="767"/>
        <v>8467</v>
      </c>
      <c r="AK764" s="484">
        <f t="shared" si="767"/>
        <v>2060</v>
      </c>
      <c r="AL764" s="191">
        <f t="shared" si="767"/>
        <v>1944</v>
      </c>
      <c r="AM764" s="484">
        <f t="shared" si="767"/>
        <v>3246</v>
      </c>
      <c r="AN764" s="484">
        <f t="shared" si="767"/>
        <v>3577</v>
      </c>
      <c r="AO764" s="39">
        <f t="shared" si="767"/>
        <v>10830</v>
      </c>
      <c r="AP764" s="484">
        <f t="shared" si="767"/>
        <v>3588</v>
      </c>
      <c r="AQ764" s="191">
        <f t="shared" si="767"/>
        <v>3257</v>
      </c>
      <c r="AR764" s="484">
        <f t="shared" si="767"/>
        <v>2313</v>
      </c>
      <c r="AS764" s="484">
        <f t="shared" si="767"/>
        <v>2675</v>
      </c>
      <c r="AT764" s="39">
        <f t="shared" si="767"/>
        <v>11844</v>
      </c>
      <c r="AU764" s="484">
        <f>-AU720-AU771</f>
        <v>2783</v>
      </c>
      <c r="AV764" s="191">
        <f>-AV720-AV771</f>
        <v>2977</v>
      </c>
      <c r="AW764" s="289">
        <f>-AW720-AW771</f>
        <v>3010</v>
      </c>
      <c r="AX764" s="113">
        <f t="shared" ref="AX764:BG764" si="768">AX488-AX771</f>
        <v>3128.8886306250001</v>
      </c>
      <c r="AY764" s="104">
        <f>SUM(AU764,AV764,AW764,AX764)</f>
        <v>11898.888630625001</v>
      </c>
      <c r="AZ764" s="113">
        <f t="shared" si="768"/>
        <v>3189.90210848384</v>
      </c>
      <c r="BA764" s="113">
        <f t="shared" si="768"/>
        <v>3284.1918174289722</v>
      </c>
      <c r="BB764" s="113">
        <f t="shared" si="768"/>
        <v>3678.0518274338415</v>
      </c>
      <c r="BC764" s="113">
        <f t="shared" si="768"/>
        <v>3865.1210967968705</v>
      </c>
      <c r="BD764" s="104">
        <f>SUM(AZ764,BA764,BB764,BC764)</f>
        <v>14017.266850143524</v>
      </c>
      <c r="BE764" s="104">
        <f t="shared" si="768"/>
        <v>15318.555294173229</v>
      </c>
      <c r="BF764" s="104">
        <f t="shared" si="768"/>
        <v>16766.87479285707</v>
      </c>
      <c r="BG764" s="104">
        <f t="shared" si="768"/>
        <v>19306.890774298095</v>
      </c>
      <c r="BH764" s="484"/>
    </row>
    <row r="765" spans="1:60" s="52" customFormat="1" x14ac:dyDescent="0.25">
      <c r="A765" s="500" t="s">
        <v>231</v>
      </c>
      <c r="B765" s="775"/>
      <c r="C765" s="53">
        <f t="shared" ref="C765:AH765" si="769">C762-SUM(C764:C764)</f>
        <v>6058</v>
      </c>
      <c r="D765" s="53">
        <f t="shared" si="769"/>
        <v>7117</v>
      </c>
      <c r="E765" s="53">
        <f t="shared" si="769"/>
        <v>8204</v>
      </c>
      <c r="F765" s="53">
        <f t="shared" si="769"/>
        <v>9271</v>
      </c>
      <c r="G765" s="61">
        <f t="shared" si="769"/>
        <v>2192</v>
      </c>
      <c r="H765" s="61">
        <f t="shared" si="769"/>
        <v>2303</v>
      </c>
      <c r="I765" s="61">
        <f t="shared" si="769"/>
        <v>3101</v>
      </c>
      <c r="J765" s="61">
        <f t="shared" si="769"/>
        <v>2256</v>
      </c>
      <c r="K765" s="53">
        <f t="shared" si="769"/>
        <v>12044</v>
      </c>
      <c r="L765" s="61">
        <f t="shared" si="769"/>
        <v>3322</v>
      </c>
      <c r="M765" s="61">
        <f t="shared" si="769"/>
        <v>3673</v>
      </c>
      <c r="N765" s="61">
        <f t="shared" si="769"/>
        <v>4155</v>
      </c>
      <c r="O765" s="61">
        <f t="shared" si="769"/>
        <v>3086</v>
      </c>
      <c r="P765" s="53">
        <f t="shared" si="769"/>
        <v>14236</v>
      </c>
      <c r="Q765" s="61">
        <f t="shared" si="769"/>
        <v>3904</v>
      </c>
      <c r="R765" s="61">
        <f t="shared" si="769"/>
        <v>3799</v>
      </c>
      <c r="S765" s="61">
        <f t="shared" si="769"/>
        <v>4433</v>
      </c>
      <c r="T765" s="61">
        <f t="shared" si="769"/>
        <v>3852</v>
      </c>
      <c r="U765" s="53">
        <f t="shared" si="769"/>
        <v>15988</v>
      </c>
      <c r="V765" s="61">
        <f t="shared" si="769"/>
        <v>4702</v>
      </c>
      <c r="W765" s="61">
        <f t="shared" si="769"/>
        <v>4067</v>
      </c>
      <c r="X765" s="61">
        <f t="shared" si="769"/>
        <v>4871</v>
      </c>
      <c r="Y765" s="61">
        <f t="shared" si="769"/>
        <v>3638</v>
      </c>
      <c r="Z765" s="53">
        <f t="shared" si="769"/>
        <v>17278</v>
      </c>
      <c r="AA765" s="61">
        <f t="shared" si="769"/>
        <v>4490</v>
      </c>
      <c r="AB765" s="192">
        <f t="shared" si="769"/>
        <v>4518</v>
      </c>
      <c r="AC765" s="61">
        <f t="shared" si="769"/>
        <v>4588</v>
      </c>
      <c r="AD765" s="61">
        <f t="shared" si="769"/>
        <v>3423</v>
      </c>
      <c r="AE765" s="53">
        <f t="shared" si="769"/>
        <v>17019</v>
      </c>
      <c r="AF765" s="61">
        <f t="shared" si="769"/>
        <v>4629</v>
      </c>
      <c r="AG765" s="192">
        <f t="shared" si="769"/>
        <v>4868</v>
      </c>
      <c r="AH765" s="61">
        <f t="shared" si="769"/>
        <v>4781</v>
      </c>
      <c r="AI765" s="61">
        <f t="shared" ref="AI765:AY765" si="770">AI762-SUM(AI764:AI764)</f>
        <v>3963</v>
      </c>
      <c r="AJ765" s="53">
        <f t="shared" si="770"/>
        <v>18241</v>
      </c>
      <c r="AK765" s="61">
        <f t="shared" si="770"/>
        <v>4242</v>
      </c>
      <c r="AL765" s="192">
        <f t="shared" si="770"/>
        <v>4602</v>
      </c>
      <c r="AM765" s="61">
        <f t="shared" si="770"/>
        <v>4180</v>
      </c>
      <c r="AN765" s="61">
        <f t="shared" si="770"/>
        <v>3701</v>
      </c>
      <c r="AO765" s="53">
        <f t="shared" si="770"/>
        <v>16722</v>
      </c>
      <c r="AP765" s="61">
        <f t="shared" si="770"/>
        <v>4254</v>
      </c>
      <c r="AQ765" s="192">
        <f t="shared" si="770"/>
        <v>2834</v>
      </c>
      <c r="AR765" s="61">
        <f t="shared" si="770"/>
        <v>1570</v>
      </c>
      <c r="AS765" s="61">
        <f>AS762-SUM(AS764:AS764)</f>
        <v>1019</v>
      </c>
      <c r="AT765" s="53">
        <f>AT762-SUM(AT764:AT764)</f>
        <v>9664</v>
      </c>
      <c r="AU765" s="61">
        <f>AU762-SUM(AU764:AU764)</f>
        <v>1691</v>
      </c>
      <c r="AV765" s="192">
        <f>AV762-SUM(AV764:AV764)</f>
        <v>2854</v>
      </c>
      <c r="AW765" s="872">
        <f>AW762-SUM(AW764:AW764)</f>
        <v>2779</v>
      </c>
      <c r="AX765" s="105">
        <f t="shared" si="770"/>
        <v>3302.0012603250002</v>
      </c>
      <c r="AY765" s="106">
        <f t="shared" si="770"/>
        <v>10626.001260324998</v>
      </c>
      <c r="AZ765" s="105">
        <f t="shared" ref="AZ765:BG765" si="771">AZ762-SUM(AZ764:AZ764)</f>
        <v>4904.3029999999999</v>
      </c>
      <c r="BA765" s="105">
        <f t="shared" si="771"/>
        <v>3679.3620000000001</v>
      </c>
      <c r="BB765" s="105">
        <f t="shared" si="771"/>
        <v>4394.5774000000001</v>
      </c>
      <c r="BC765" s="105">
        <f t="shared" si="771"/>
        <v>4719.9656650000015</v>
      </c>
      <c r="BD765" s="106">
        <f t="shared" si="771"/>
        <v>17698.208065000006</v>
      </c>
      <c r="BE765" s="106">
        <f t="shared" si="771"/>
        <v>21567.552553463756</v>
      </c>
      <c r="BF765" s="106">
        <f t="shared" si="771"/>
        <v>22828.432501000858</v>
      </c>
      <c r="BG765" s="106">
        <f t="shared" si="771"/>
        <v>23898.351194090443</v>
      </c>
      <c r="BH765" s="499"/>
    </row>
    <row r="766" spans="1:60" s="52" customFormat="1" x14ac:dyDescent="0.25">
      <c r="A766" s="501" t="str">
        <f>CONCATENATE("Adjusted ",A765,IF(AND(ROUND(SUM(C765:XFD765)-SUM(C766:XFD766),6)=0)," (No Adjustments)",""))</f>
        <v>Adjusted EBITDA</v>
      </c>
      <c r="B766" s="602"/>
      <c r="C766" s="51">
        <f t="shared" ref="C766:AR766" si="772">C765</f>
        <v>6058</v>
      </c>
      <c r="D766" s="51">
        <f t="shared" si="772"/>
        <v>7117</v>
      </c>
      <c r="E766" s="51">
        <f t="shared" si="772"/>
        <v>8204</v>
      </c>
      <c r="F766" s="51">
        <f t="shared" si="772"/>
        <v>9271</v>
      </c>
      <c r="G766" s="499">
        <f t="shared" si="772"/>
        <v>2192</v>
      </c>
      <c r="H766" s="499">
        <f t="shared" si="772"/>
        <v>2303</v>
      </c>
      <c r="I766" s="499">
        <f t="shared" si="772"/>
        <v>3101</v>
      </c>
      <c r="J766" s="499">
        <f t="shared" si="772"/>
        <v>2256</v>
      </c>
      <c r="K766" s="51">
        <f t="shared" si="772"/>
        <v>12044</v>
      </c>
      <c r="L766" s="499">
        <f t="shared" si="772"/>
        <v>3322</v>
      </c>
      <c r="M766" s="499">
        <f t="shared" si="772"/>
        <v>3673</v>
      </c>
      <c r="N766" s="499">
        <f t="shared" si="772"/>
        <v>4155</v>
      </c>
      <c r="O766" s="499">
        <f t="shared" si="772"/>
        <v>3086</v>
      </c>
      <c r="P766" s="51">
        <f t="shared" si="772"/>
        <v>14236</v>
      </c>
      <c r="Q766" s="499">
        <f t="shared" si="772"/>
        <v>3904</v>
      </c>
      <c r="R766" s="499">
        <f t="shared" si="772"/>
        <v>3799</v>
      </c>
      <c r="S766" s="499">
        <f t="shared" si="772"/>
        <v>4433</v>
      </c>
      <c r="T766" s="499">
        <f t="shared" si="772"/>
        <v>3852</v>
      </c>
      <c r="U766" s="51">
        <f t="shared" si="772"/>
        <v>15988</v>
      </c>
      <c r="V766" s="499">
        <f t="shared" si="772"/>
        <v>4702</v>
      </c>
      <c r="W766" s="499">
        <f t="shared" si="772"/>
        <v>4067</v>
      </c>
      <c r="X766" s="499">
        <f t="shared" si="772"/>
        <v>4871</v>
      </c>
      <c r="Y766" s="499">
        <f t="shared" si="772"/>
        <v>3638</v>
      </c>
      <c r="Z766" s="51">
        <f t="shared" si="772"/>
        <v>17278</v>
      </c>
      <c r="AA766" s="499">
        <f t="shared" si="772"/>
        <v>4490</v>
      </c>
      <c r="AB766" s="194">
        <f t="shared" si="772"/>
        <v>4518</v>
      </c>
      <c r="AC766" s="499">
        <f t="shared" si="772"/>
        <v>4588</v>
      </c>
      <c r="AD766" s="499">
        <f t="shared" si="772"/>
        <v>3423</v>
      </c>
      <c r="AE766" s="51">
        <f t="shared" si="772"/>
        <v>17019</v>
      </c>
      <c r="AF766" s="499">
        <f t="shared" si="772"/>
        <v>4629</v>
      </c>
      <c r="AG766" s="194">
        <f t="shared" si="772"/>
        <v>4868</v>
      </c>
      <c r="AH766" s="499">
        <f t="shared" si="772"/>
        <v>4781</v>
      </c>
      <c r="AI766" s="499">
        <f t="shared" si="772"/>
        <v>3963</v>
      </c>
      <c r="AJ766" s="51">
        <f t="shared" si="772"/>
        <v>18241</v>
      </c>
      <c r="AK766" s="499">
        <f t="shared" si="772"/>
        <v>4242</v>
      </c>
      <c r="AL766" s="194">
        <f t="shared" si="772"/>
        <v>4602</v>
      </c>
      <c r="AM766" s="499">
        <f t="shared" si="772"/>
        <v>4180</v>
      </c>
      <c r="AN766" s="499">
        <f t="shared" si="772"/>
        <v>3701</v>
      </c>
      <c r="AO766" s="51">
        <f t="shared" si="772"/>
        <v>16722</v>
      </c>
      <c r="AP766" s="499">
        <f t="shared" si="772"/>
        <v>4254</v>
      </c>
      <c r="AQ766" s="194">
        <f t="shared" si="772"/>
        <v>2834</v>
      </c>
      <c r="AR766" s="499">
        <f t="shared" si="772"/>
        <v>1570</v>
      </c>
      <c r="AS766" s="499">
        <f t="shared" ref="AS766:AX766" si="773">AS765</f>
        <v>1019</v>
      </c>
      <c r="AT766" s="51">
        <f t="shared" si="773"/>
        <v>9664</v>
      </c>
      <c r="AU766" s="499">
        <f t="shared" si="773"/>
        <v>1691</v>
      </c>
      <c r="AV766" s="194">
        <f>AV765</f>
        <v>2854</v>
      </c>
      <c r="AW766" s="873">
        <f>AW765</f>
        <v>2779</v>
      </c>
      <c r="AX766" s="114">
        <f t="shared" si="773"/>
        <v>3302.0012603250002</v>
      </c>
      <c r="AY766" s="111">
        <f>SUM(AU766,AV766,AW766,AX766)</f>
        <v>10626.001260325</v>
      </c>
      <c r="AZ766" s="114">
        <f>AZ765-AZ771</f>
        <v>4754.3029999999999</v>
      </c>
      <c r="BA766" s="114">
        <f>BA765</f>
        <v>3679.3620000000001</v>
      </c>
      <c r="BB766" s="114">
        <f>BB765</f>
        <v>4394.5774000000001</v>
      </c>
      <c r="BC766" s="114">
        <f>BC765</f>
        <v>4719.9656650000015</v>
      </c>
      <c r="BD766" s="111">
        <f>SUM(AZ766,BA766,BB766,BC766)</f>
        <v>17548.208065000003</v>
      </c>
      <c r="BE766" s="111">
        <f>BE765</f>
        <v>21567.552553463756</v>
      </c>
      <c r="BF766" s="111">
        <f>BF765</f>
        <v>22828.432501000858</v>
      </c>
      <c r="BG766" s="111">
        <f>BG765</f>
        <v>23898.351194090443</v>
      </c>
      <c r="BH766" s="499"/>
    </row>
    <row r="767" spans="1:60" s="162" customFormat="1" x14ac:dyDescent="0.25">
      <c r="A767" s="159" t="str">
        <f>CONCATENATE("Consensus Estimates - ",IFERROR(LEFT(A766,FIND("(",A766)-1),A766))</f>
        <v>Consensus Estimates - Adjusted EBITDA</v>
      </c>
      <c r="B767" s="207"/>
      <c r="C767" s="160"/>
      <c r="D767" s="160"/>
      <c r="E767" s="160"/>
      <c r="F767" s="160"/>
      <c r="G767" s="161"/>
      <c r="H767" s="161"/>
      <c r="I767" s="161"/>
      <c r="J767" s="161"/>
      <c r="K767" s="160"/>
      <c r="L767" s="161"/>
      <c r="M767" s="161"/>
      <c r="N767" s="161"/>
      <c r="O767" s="161"/>
      <c r="P767" s="160"/>
      <c r="Q767" s="161"/>
      <c r="R767" s="161"/>
      <c r="S767" s="161"/>
      <c r="T767" s="161"/>
      <c r="U767" s="160"/>
      <c r="V767" s="161"/>
      <c r="W767" s="161"/>
      <c r="X767" s="161"/>
      <c r="Y767" s="161"/>
      <c r="Z767" s="160"/>
      <c r="AA767" s="161"/>
      <c r="AB767" s="161"/>
      <c r="AC767" s="161"/>
      <c r="AD767" s="161"/>
      <c r="AE767" s="160"/>
      <c r="AF767" s="161"/>
      <c r="AG767" s="161"/>
      <c r="AH767" s="161"/>
      <c r="AI767" s="161"/>
      <c r="AJ767" s="160"/>
      <c r="AK767" s="161"/>
      <c r="AL767" s="161"/>
      <c r="AM767" s="161"/>
      <c r="AN767" s="161"/>
      <c r="AO767" s="160"/>
      <c r="AP767" s="161"/>
      <c r="AQ767" s="161"/>
      <c r="AR767" s="161"/>
      <c r="AS767" s="161"/>
      <c r="AT767" s="160"/>
      <c r="AU767" s="161"/>
      <c r="AV767" s="161"/>
      <c r="AW767" s="706"/>
      <c r="AX767" s="161" t="str">
        <f t="shared" ref="AX767:BD767" ca="1" si="774">IFERROR(VLOOKUP($A767,tb_ConsensusEstimate,MATCH(AX$5,OFFSET(tb_ConsensusEstimate,0,0,1,COLUMNS(tb_ConsensusEstimate)),0),FALSE),"-")</f>
        <v>N/A</v>
      </c>
      <c r="AY767" s="112" t="str">
        <f t="shared" ca="1" si="774"/>
        <v>N/A</v>
      </c>
      <c r="AZ767" s="161" t="str">
        <f t="shared" ca="1" si="774"/>
        <v>N/A</v>
      </c>
      <c r="BA767" s="161" t="str">
        <f t="shared" ca="1" si="774"/>
        <v>N/A</v>
      </c>
      <c r="BB767" s="161" t="str">
        <f t="shared" ca="1" si="774"/>
        <v>N/A</v>
      </c>
      <c r="BC767" s="161" t="str">
        <f t="shared" ca="1" si="774"/>
        <v>N/A</v>
      </c>
      <c r="BD767" s="112" t="str">
        <f t="shared" ca="1" si="774"/>
        <v>N/A</v>
      </c>
      <c r="BE767" s="112" t="str">
        <f ca="1">IFERROR(VLOOKUP(A767,tb_ConsensusEstimate,MATCH(BE5,OFFSET(tb_ConsensusEstimate,0,0,1,COLUMNS(tb_ConsensusEstimate)),0),FALSE),"-")</f>
        <v>N/A</v>
      </c>
      <c r="BF767" s="112" t="str">
        <f ca="1">IFERROR(VLOOKUP(A767,tb_ConsensusEstimate,MATCH(BF5,OFFSET(tb_ConsensusEstimate,0,0,1,COLUMNS(tb_ConsensusEstimate)),0),FALSE),"-")</f>
        <v>N/A</v>
      </c>
      <c r="BG767" s="112" t="str">
        <f ca="1">IFERROR(VLOOKUP(A767,tb_ConsensusEstimate,MATCH(BG5,OFFSET(tb_ConsensusEstimate,0,0,1,COLUMNS(tb_ConsensusEstimate)),0),FALSE),"-")</f>
        <v>N/A</v>
      </c>
      <c r="BH767" s="161"/>
    </row>
    <row r="768" spans="1:60" s="56" customFormat="1" x14ac:dyDescent="0.25">
      <c r="A768" s="159"/>
      <c r="B768" s="207"/>
      <c r="C768" s="160"/>
      <c r="D768" s="160"/>
      <c r="E768" s="160"/>
      <c r="F768" s="160"/>
      <c r="G768" s="161"/>
      <c r="H768" s="161"/>
      <c r="I768" s="161"/>
      <c r="J768" s="161"/>
      <c r="K768" s="160"/>
      <c r="L768" s="161"/>
      <c r="M768" s="161"/>
      <c r="N768" s="161"/>
      <c r="O768" s="161"/>
      <c r="P768" s="160"/>
      <c r="Q768" s="161"/>
      <c r="R768" s="161"/>
      <c r="S768" s="161"/>
      <c r="T768" s="161"/>
      <c r="U768" s="160"/>
      <c r="V768" s="161"/>
      <c r="W768" s="161"/>
      <c r="X768" s="161"/>
      <c r="Y768" s="161"/>
      <c r="Z768" s="160"/>
      <c r="AA768" s="161"/>
      <c r="AB768" s="161"/>
      <c r="AC768" s="161"/>
      <c r="AD768" s="161"/>
      <c r="AE768" s="160"/>
      <c r="AF768" s="161"/>
      <c r="AG768" s="161"/>
      <c r="AH768" s="161"/>
      <c r="AI768" s="161"/>
      <c r="AJ768" s="160"/>
      <c r="AK768" s="161"/>
      <c r="AL768" s="161"/>
      <c r="AM768" s="161"/>
      <c r="AN768" s="161"/>
      <c r="AO768" s="160"/>
      <c r="AP768" s="161"/>
      <c r="AQ768" s="161"/>
      <c r="AR768" s="161"/>
      <c r="AS768" s="161"/>
      <c r="AT768" s="160"/>
      <c r="AU768" s="161"/>
      <c r="AV768" s="161"/>
      <c r="AW768" s="706"/>
      <c r="AX768" s="161"/>
      <c r="AY768" s="160"/>
      <c r="AZ768" s="161"/>
      <c r="BA768" s="161"/>
      <c r="BB768" s="161"/>
      <c r="BC768" s="161"/>
      <c r="BD768" s="160"/>
      <c r="BE768" s="844"/>
      <c r="BF768" s="844"/>
      <c r="BG768" s="844"/>
      <c r="BH768" s="64"/>
    </row>
    <row r="769" spans="1:60" s="49" customFormat="1" x14ac:dyDescent="0.25">
      <c r="A769" s="226" t="s">
        <v>232</v>
      </c>
      <c r="B769" s="209"/>
      <c r="C769" s="104">
        <f t="shared" ref="C769:AF769" si="775">-C721</f>
        <v>0</v>
      </c>
      <c r="D769" s="104">
        <f t="shared" si="775"/>
        <v>0</v>
      </c>
      <c r="E769" s="104">
        <f t="shared" si="775"/>
        <v>0</v>
      </c>
      <c r="F769" s="104">
        <f t="shared" si="775"/>
        <v>0</v>
      </c>
      <c r="G769" s="113">
        <f t="shared" si="775"/>
        <v>0</v>
      </c>
      <c r="H769" s="113">
        <f t="shared" si="775"/>
        <v>0</v>
      </c>
      <c r="I769" s="113">
        <f t="shared" si="775"/>
        <v>0</v>
      </c>
      <c r="J769" s="113">
        <f t="shared" si="775"/>
        <v>0</v>
      </c>
      <c r="K769" s="104">
        <f t="shared" si="775"/>
        <v>2192</v>
      </c>
      <c r="L769" s="113">
        <f t="shared" si="775"/>
        <v>561</v>
      </c>
      <c r="M769" s="113">
        <f t="shared" si="775"/>
        <v>580</v>
      </c>
      <c r="N769" s="113">
        <f t="shared" si="775"/>
        <v>557</v>
      </c>
      <c r="O769" s="113">
        <f t="shared" si="775"/>
        <v>590</v>
      </c>
      <c r="P769" s="104">
        <f t="shared" si="775"/>
        <v>2288</v>
      </c>
      <c r="Q769" s="113">
        <f t="shared" si="775"/>
        <v>592</v>
      </c>
      <c r="R769" s="113">
        <f t="shared" si="775"/>
        <v>584</v>
      </c>
      <c r="S769" s="113">
        <f t="shared" si="775"/>
        <v>575</v>
      </c>
      <c r="T769" s="113">
        <f t="shared" si="775"/>
        <v>603</v>
      </c>
      <c r="U769" s="104">
        <f t="shared" si="775"/>
        <v>2354</v>
      </c>
      <c r="V769" s="113">
        <f t="shared" si="775"/>
        <v>607</v>
      </c>
      <c r="W769" s="113">
        <f t="shared" si="775"/>
        <v>605</v>
      </c>
      <c r="X769" s="113">
        <f t="shared" si="775"/>
        <v>626</v>
      </c>
      <c r="Y769" s="113">
        <f t="shared" si="775"/>
        <v>689</v>
      </c>
      <c r="Z769" s="104">
        <f t="shared" si="775"/>
        <v>2527</v>
      </c>
      <c r="AA769" s="113">
        <f t="shared" si="775"/>
        <v>687</v>
      </c>
      <c r="AB769" s="113">
        <f t="shared" si="775"/>
        <v>676</v>
      </c>
      <c r="AC769" s="113">
        <f t="shared" si="775"/>
        <v>711</v>
      </c>
      <c r="AD769" s="113">
        <f t="shared" si="775"/>
        <v>708</v>
      </c>
      <c r="AE769" s="104">
        <f t="shared" si="775"/>
        <v>2782</v>
      </c>
      <c r="AF769" s="113">
        <f t="shared" si="775"/>
        <v>742</v>
      </c>
      <c r="AG769" s="113">
        <f t="shared" ref="AG769:AT769" si="776">-AG721-AG770</f>
        <v>687</v>
      </c>
      <c r="AH769" s="113">
        <f t="shared" si="776"/>
        <v>678</v>
      </c>
      <c r="AI769" s="113">
        <f t="shared" si="776"/>
        <v>716</v>
      </c>
      <c r="AJ769" s="104">
        <f t="shared" si="776"/>
        <v>2758</v>
      </c>
      <c r="AK769" s="113">
        <f t="shared" si="776"/>
        <v>667</v>
      </c>
      <c r="AL769" s="113">
        <f t="shared" si="776"/>
        <v>691</v>
      </c>
      <c r="AM769" s="113">
        <f t="shared" si="776"/>
        <v>749</v>
      </c>
      <c r="AN769" s="113">
        <f t="shared" si="776"/>
        <v>730</v>
      </c>
      <c r="AO769" s="104">
        <f t="shared" si="776"/>
        <v>2837</v>
      </c>
      <c r="AP769" s="113">
        <f t="shared" si="776"/>
        <v>739</v>
      </c>
      <c r="AQ769" s="113">
        <f t="shared" si="776"/>
        <v>765</v>
      </c>
      <c r="AR769" s="113">
        <f t="shared" si="776"/>
        <v>822</v>
      </c>
      <c r="AS769" s="113">
        <f t="shared" si="776"/>
        <v>812</v>
      </c>
      <c r="AT769" s="104">
        <f t="shared" si="776"/>
        <v>3140</v>
      </c>
      <c r="AU769" s="113">
        <f t="shared" ref="AU769" si="777">-AU721-AU770</f>
        <v>777</v>
      </c>
      <c r="AV769" s="113">
        <f>-AV721-AV770</f>
        <v>754</v>
      </c>
      <c r="AW769" s="699">
        <f>-AW721-AW770</f>
        <v>761</v>
      </c>
      <c r="AX769" s="113">
        <f>AX494-AX770</f>
        <v>782</v>
      </c>
      <c r="AY769" s="104">
        <f>AY494-AY770</f>
        <v>3074</v>
      </c>
      <c r="AZ769" s="113">
        <f t="shared" ref="AZ769" si="778">AZ494-AZ770</f>
        <v>782</v>
      </c>
      <c r="BA769" s="113">
        <f t="shared" ref="BA769" si="779">BA494-BA770</f>
        <v>782</v>
      </c>
      <c r="BB769" s="113">
        <f t="shared" ref="BB769" si="780">BB494-BB770</f>
        <v>782</v>
      </c>
      <c r="BC769" s="113">
        <f t="shared" ref="BC769" si="781">BC494-BC770</f>
        <v>782</v>
      </c>
      <c r="BD769" s="104">
        <f t="shared" ref="BD769" si="782">BD494-BD770</f>
        <v>3128</v>
      </c>
      <c r="BE769" s="104">
        <f t="shared" ref="BE769" si="783">BE494-BE770</f>
        <v>3030</v>
      </c>
      <c r="BF769" s="104">
        <f t="shared" ref="BF769" si="784">BF494-BF770</f>
        <v>3030</v>
      </c>
      <c r="BG769" s="104">
        <f t="shared" ref="BG769" si="785">BG494-BG770</f>
        <v>3030</v>
      </c>
      <c r="BH769" s="484"/>
    </row>
    <row r="770" spans="1:60" s="470" customFormat="1" x14ac:dyDescent="0.25">
      <c r="A770" s="226" t="s">
        <v>673</v>
      </c>
      <c r="B770" s="209"/>
      <c r="C770" s="104"/>
      <c r="D770" s="104"/>
      <c r="E770" s="104"/>
      <c r="F770" s="104"/>
      <c r="G770" s="113"/>
      <c r="H770" s="113"/>
      <c r="I770" s="113"/>
      <c r="J770" s="113"/>
      <c r="K770" s="104"/>
      <c r="L770" s="113"/>
      <c r="M770" s="113"/>
      <c r="N770" s="113"/>
      <c r="O770" s="113"/>
      <c r="P770" s="104"/>
      <c r="Q770" s="113"/>
      <c r="R770" s="113"/>
      <c r="S770" s="113"/>
      <c r="T770" s="113"/>
      <c r="U770" s="104"/>
      <c r="V770" s="113"/>
      <c r="W770" s="113"/>
      <c r="X770" s="113"/>
      <c r="Y770" s="113"/>
      <c r="Z770" s="104"/>
      <c r="AA770" s="113"/>
      <c r="AB770" s="113"/>
      <c r="AC770" s="113"/>
      <c r="AD770" s="113"/>
      <c r="AE770" s="104"/>
      <c r="AF770" s="113"/>
      <c r="AG770" s="113">
        <f t="shared" ref="AG770:AO770" si="786">AG270+AG325+AG408+AG449-AG542</f>
        <v>44</v>
      </c>
      <c r="AH770" s="113">
        <f t="shared" si="786"/>
        <v>66</v>
      </c>
      <c r="AI770" s="113">
        <f t="shared" si="786"/>
        <v>78</v>
      </c>
      <c r="AJ770" s="104">
        <f t="shared" si="786"/>
        <v>253</v>
      </c>
      <c r="AK770" s="113">
        <f t="shared" si="786"/>
        <v>65</v>
      </c>
      <c r="AL770" s="113">
        <f t="shared" si="786"/>
        <v>137</v>
      </c>
      <c r="AM770" s="113">
        <f t="shared" si="786"/>
        <v>555</v>
      </c>
      <c r="AN770" s="113">
        <f t="shared" si="786"/>
        <v>566</v>
      </c>
      <c r="AO770" s="104">
        <f t="shared" si="786"/>
        <v>1323</v>
      </c>
      <c r="AP770" s="113">
        <f t="shared" ref="AP770:BG770" si="787">AP151+AP217-AP542</f>
        <v>559</v>
      </c>
      <c r="AQ770" s="113">
        <f t="shared" si="787"/>
        <v>568</v>
      </c>
      <c r="AR770" s="113">
        <f t="shared" si="787"/>
        <v>555</v>
      </c>
      <c r="AS770" s="113">
        <f t="shared" si="787"/>
        <v>523</v>
      </c>
      <c r="AT770" s="104">
        <f t="shared" si="787"/>
        <v>2205</v>
      </c>
      <c r="AU770" s="113">
        <f t="shared" si="787"/>
        <v>521</v>
      </c>
      <c r="AV770" s="113">
        <f t="shared" si="787"/>
        <v>518</v>
      </c>
      <c r="AW770" s="699">
        <f t="shared" si="787"/>
        <v>505</v>
      </c>
      <c r="AX770" s="113">
        <f t="shared" si="787"/>
        <v>548</v>
      </c>
      <c r="AY770" s="104">
        <f t="shared" si="787"/>
        <v>2092</v>
      </c>
      <c r="AZ770" s="113">
        <f t="shared" si="787"/>
        <v>548</v>
      </c>
      <c r="BA770" s="113">
        <f t="shared" si="787"/>
        <v>548</v>
      </c>
      <c r="BB770" s="113">
        <f t="shared" si="787"/>
        <v>548</v>
      </c>
      <c r="BC770" s="113">
        <f t="shared" si="787"/>
        <v>548</v>
      </c>
      <c r="BD770" s="104">
        <f t="shared" si="787"/>
        <v>2192</v>
      </c>
      <c r="BE770" s="104">
        <f t="shared" si="787"/>
        <v>2190</v>
      </c>
      <c r="BF770" s="104">
        <f t="shared" si="787"/>
        <v>2190</v>
      </c>
      <c r="BG770" s="104">
        <f t="shared" si="787"/>
        <v>2190</v>
      </c>
      <c r="BH770" s="484"/>
    </row>
    <row r="771" spans="1:60" s="49" customFormat="1" x14ac:dyDescent="0.25">
      <c r="A771" s="483" t="s">
        <v>233</v>
      </c>
      <c r="B771" s="209"/>
      <c r="C771" s="39">
        <f t="shared" ref="C771:AR771" si="788">C927</f>
        <v>361</v>
      </c>
      <c r="D771" s="39">
        <f t="shared" si="788"/>
        <v>391</v>
      </c>
      <c r="E771" s="39">
        <f t="shared" si="788"/>
        <v>423</v>
      </c>
      <c r="F771" s="39">
        <f t="shared" si="788"/>
        <v>408</v>
      </c>
      <c r="G771" s="484">
        <f t="shared" si="788"/>
        <v>100</v>
      </c>
      <c r="H771" s="484">
        <f t="shared" si="788"/>
        <v>108</v>
      </c>
      <c r="I771" s="484">
        <f t="shared" si="788"/>
        <v>97</v>
      </c>
      <c r="J771" s="484">
        <f t="shared" si="788"/>
        <v>97</v>
      </c>
      <c r="K771" s="39">
        <f t="shared" si="788"/>
        <v>402</v>
      </c>
      <c r="L771" s="484">
        <f t="shared" si="788"/>
        <v>96</v>
      </c>
      <c r="M771" s="484">
        <f t="shared" si="788"/>
        <v>112</v>
      </c>
      <c r="N771" s="484">
        <f t="shared" si="788"/>
        <v>100</v>
      </c>
      <c r="O771" s="484">
        <f t="shared" si="788"/>
        <v>100</v>
      </c>
      <c r="P771" s="39">
        <f t="shared" si="788"/>
        <v>408</v>
      </c>
      <c r="Q771" s="484">
        <f t="shared" si="788"/>
        <v>104</v>
      </c>
      <c r="R771" s="484">
        <f t="shared" si="788"/>
        <v>109</v>
      </c>
      <c r="S771" s="484">
        <f t="shared" si="788"/>
        <v>96</v>
      </c>
      <c r="T771" s="484">
        <f t="shared" si="788"/>
        <v>101</v>
      </c>
      <c r="U771" s="39">
        <f t="shared" si="788"/>
        <v>410</v>
      </c>
      <c r="V771" s="484">
        <f t="shared" si="788"/>
        <v>106</v>
      </c>
      <c r="W771" s="484">
        <f t="shared" si="788"/>
        <v>99</v>
      </c>
      <c r="X771" s="484">
        <f t="shared" si="788"/>
        <v>100</v>
      </c>
      <c r="Y771" s="484">
        <f t="shared" si="788"/>
        <v>88</v>
      </c>
      <c r="Z771" s="39">
        <f t="shared" si="788"/>
        <v>393</v>
      </c>
      <c r="AA771" s="484">
        <f t="shared" si="788"/>
        <v>97</v>
      </c>
      <c r="AB771" s="191">
        <f t="shared" si="788"/>
        <v>92</v>
      </c>
      <c r="AC771" s="484">
        <f t="shared" si="788"/>
        <v>89</v>
      </c>
      <c r="AD771" s="484">
        <f t="shared" si="788"/>
        <v>86</v>
      </c>
      <c r="AE771" s="39">
        <f t="shared" si="788"/>
        <v>364</v>
      </c>
      <c r="AF771" s="484">
        <f t="shared" si="788"/>
        <v>94</v>
      </c>
      <c r="AG771" s="191">
        <f t="shared" si="788"/>
        <v>100</v>
      </c>
      <c r="AH771" s="484">
        <f t="shared" si="788"/>
        <v>113</v>
      </c>
      <c r="AI771" s="484">
        <f t="shared" si="788"/>
        <v>86</v>
      </c>
      <c r="AJ771" s="39">
        <f t="shared" si="788"/>
        <v>393</v>
      </c>
      <c r="AK771" s="484">
        <f t="shared" si="788"/>
        <v>92</v>
      </c>
      <c r="AL771" s="191">
        <f t="shared" si="788"/>
        <v>383</v>
      </c>
      <c r="AM771" s="484">
        <f t="shared" si="788"/>
        <v>116</v>
      </c>
      <c r="AN771" s="484">
        <f t="shared" si="788"/>
        <v>120</v>
      </c>
      <c r="AO771" s="39">
        <f t="shared" si="788"/>
        <v>711</v>
      </c>
      <c r="AP771" s="484">
        <f t="shared" si="788"/>
        <v>115</v>
      </c>
      <c r="AQ771" s="191">
        <f t="shared" si="788"/>
        <v>131</v>
      </c>
      <c r="AR771" s="484">
        <f t="shared" si="788"/>
        <v>142</v>
      </c>
      <c r="AS771" s="484">
        <f>AS927</f>
        <v>137</v>
      </c>
      <c r="AT771" s="39">
        <f>AT927</f>
        <v>525</v>
      </c>
      <c r="AU771" s="484">
        <f>AU927</f>
        <v>134</v>
      </c>
      <c r="AV771" s="191">
        <f>AV927</f>
        <v>136</v>
      </c>
      <c r="AW771" s="289">
        <f>AW927</f>
        <v>158</v>
      </c>
      <c r="AX771" s="69">
        <v>150</v>
      </c>
      <c r="AY771" s="104">
        <f>SUM(AU771,AV771,AW771,AX771)</f>
        <v>578</v>
      </c>
      <c r="AZ771" s="69">
        <v>150</v>
      </c>
      <c r="BA771" s="69">
        <v>150</v>
      </c>
      <c r="BB771" s="69">
        <v>150</v>
      </c>
      <c r="BC771" s="69">
        <v>150</v>
      </c>
      <c r="BD771" s="104">
        <f>SUM(AZ771,BA771,BB771,BC771)</f>
        <v>600</v>
      </c>
      <c r="BE771" s="57">
        <v>600</v>
      </c>
      <c r="BF771" s="57">
        <v>600</v>
      </c>
      <c r="BG771" s="57">
        <v>600</v>
      </c>
      <c r="BH771" s="484"/>
    </row>
    <row r="772" spans="1:60" s="52" customFormat="1" x14ac:dyDescent="0.25">
      <c r="A772" s="500" t="s">
        <v>234</v>
      </c>
      <c r="B772" s="775"/>
      <c r="C772" s="53">
        <f t="shared" ref="C772:AH772" si="789">C765-SUM(C769:C771)</f>
        <v>5697</v>
      </c>
      <c r="D772" s="53">
        <f t="shared" si="789"/>
        <v>6726</v>
      </c>
      <c r="E772" s="53">
        <f t="shared" si="789"/>
        <v>7781</v>
      </c>
      <c r="F772" s="53">
        <f t="shared" si="789"/>
        <v>8863</v>
      </c>
      <c r="G772" s="61">
        <f t="shared" si="789"/>
        <v>2092</v>
      </c>
      <c r="H772" s="61">
        <f t="shared" si="789"/>
        <v>2195</v>
      </c>
      <c r="I772" s="61">
        <f t="shared" si="789"/>
        <v>3004</v>
      </c>
      <c r="J772" s="61">
        <f t="shared" si="789"/>
        <v>2159</v>
      </c>
      <c r="K772" s="53">
        <f t="shared" si="789"/>
        <v>9450</v>
      </c>
      <c r="L772" s="61">
        <f t="shared" si="789"/>
        <v>2665</v>
      </c>
      <c r="M772" s="61">
        <f t="shared" si="789"/>
        <v>2981</v>
      </c>
      <c r="N772" s="61">
        <f t="shared" si="789"/>
        <v>3498</v>
      </c>
      <c r="O772" s="61">
        <f t="shared" si="789"/>
        <v>2396</v>
      </c>
      <c r="P772" s="53">
        <f t="shared" si="789"/>
        <v>11540</v>
      </c>
      <c r="Q772" s="61">
        <f t="shared" si="789"/>
        <v>3208</v>
      </c>
      <c r="R772" s="61">
        <f t="shared" si="789"/>
        <v>3106</v>
      </c>
      <c r="S772" s="61">
        <f t="shared" si="789"/>
        <v>3762</v>
      </c>
      <c r="T772" s="61">
        <f t="shared" si="789"/>
        <v>3148</v>
      </c>
      <c r="U772" s="53">
        <f t="shared" si="789"/>
        <v>13224</v>
      </c>
      <c r="V772" s="61">
        <f t="shared" si="789"/>
        <v>3989</v>
      </c>
      <c r="W772" s="61">
        <f t="shared" si="789"/>
        <v>3363</v>
      </c>
      <c r="X772" s="61">
        <f t="shared" si="789"/>
        <v>4145</v>
      </c>
      <c r="Y772" s="61">
        <f t="shared" si="789"/>
        <v>2861</v>
      </c>
      <c r="Z772" s="53">
        <f t="shared" si="789"/>
        <v>14358</v>
      </c>
      <c r="AA772" s="61">
        <f t="shared" si="789"/>
        <v>3706</v>
      </c>
      <c r="AB772" s="192">
        <f t="shared" si="789"/>
        <v>3750</v>
      </c>
      <c r="AC772" s="61">
        <f t="shared" si="789"/>
        <v>3788</v>
      </c>
      <c r="AD772" s="61">
        <f t="shared" si="789"/>
        <v>2629</v>
      </c>
      <c r="AE772" s="53">
        <f t="shared" si="789"/>
        <v>13873</v>
      </c>
      <c r="AF772" s="61">
        <f t="shared" si="789"/>
        <v>3793</v>
      </c>
      <c r="AG772" s="192">
        <f t="shared" si="789"/>
        <v>4037</v>
      </c>
      <c r="AH772" s="61">
        <f t="shared" si="789"/>
        <v>3924</v>
      </c>
      <c r="AI772" s="61">
        <f t="shared" ref="AI772:AY772" si="790">AI765-SUM(AI769:AI771)</f>
        <v>3083</v>
      </c>
      <c r="AJ772" s="53">
        <f t="shared" si="790"/>
        <v>14837</v>
      </c>
      <c r="AK772" s="61">
        <f t="shared" si="790"/>
        <v>3418</v>
      </c>
      <c r="AL772" s="192">
        <f t="shared" si="790"/>
        <v>3391</v>
      </c>
      <c r="AM772" s="61">
        <f t="shared" si="790"/>
        <v>2760</v>
      </c>
      <c r="AN772" s="61">
        <f t="shared" si="790"/>
        <v>2285</v>
      </c>
      <c r="AO772" s="53">
        <f t="shared" si="790"/>
        <v>11851</v>
      </c>
      <c r="AP772" s="61">
        <f t="shared" si="790"/>
        <v>2841</v>
      </c>
      <c r="AQ772" s="192">
        <f t="shared" si="790"/>
        <v>1370</v>
      </c>
      <c r="AR772" s="61">
        <f t="shared" si="790"/>
        <v>51</v>
      </c>
      <c r="AS772" s="61">
        <f>AS765-SUM(AS769:AS771)</f>
        <v>-453</v>
      </c>
      <c r="AT772" s="53">
        <f>AT765-SUM(AT769:AT771)</f>
        <v>3794</v>
      </c>
      <c r="AU772" s="61">
        <f>AU765-SUM(AU769:AU771)</f>
        <v>259</v>
      </c>
      <c r="AV772" s="192">
        <f>AV765-SUM(AV769:AV771)</f>
        <v>1446</v>
      </c>
      <c r="AW772" s="872">
        <f>AW765-SUM(AW769:AW771)</f>
        <v>1355</v>
      </c>
      <c r="AX772" s="105">
        <f t="shared" si="790"/>
        <v>1822.0012603250002</v>
      </c>
      <c r="AY772" s="106">
        <f t="shared" si="790"/>
        <v>4882.0012603249979</v>
      </c>
      <c r="AZ772" s="105">
        <f t="shared" ref="AZ772:BG772" si="791">AZ765-SUM(AZ769:AZ771)</f>
        <v>3424.3029999999999</v>
      </c>
      <c r="BA772" s="105">
        <f t="shared" si="791"/>
        <v>2199.3620000000001</v>
      </c>
      <c r="BB772" s="105">
        <f t="shared" si="791"/>
        <v>2914.5774000000001</v>
      </c>
      <c r="BC772" s="105">
        <f t="shared" si="791"/>
        <v>3239.9656650000015</v>
      </c>
      <c r="BD772" s="106">
        <f t="shared" si="791"/>
        <v>11778.208065000006</v>
      </c>
      <c r="BE772" s="106">
        <f t="shared" si="791"/>
        <v>15747.552553463756</v>
      </c>
      <c r="BF772" s="106">
        <f t="shared" si="791"/>
        <v>17008.432501000858</v>
      </c>
      <c r="BG772" s="106">
        <f t="shared" si="791"/>
        <v>18078.351194090443</v>
      </c>
      <c r="BH772" s="499"/>
    </row>
    <row r="773" spans="1:60" s="49" customFormat="1" x14ac:dyDescent="0.25">
      <c r="A773" s="226"/>
      <c r="B773" s="209"/>
      <c r="C773" s="104"/>
      <c r="D773" s="104"/>
      <c r="E773" s="104"/>
      <c r="F773" s="104"/>
      <c r="G773" s="113"/>
      <c r="H773" s="113"/>
      <c r="I773" s="113"/>
      <c r="J773" s="113"/>
      <c r="K773" s="104"/>
      <c r="L773" s="113"/>
      <c r="M773" s="113"/>
      <c r="N773" s="113"/>
      <c r="O773" s="113"/>
      <c r="P773" s="104"/>
      <c r="Q773" s="113"/>
      <c r="R773" s="113"/>
      <c r="S773" s="113"/>
      <c r="T773" s="113"/>
      <c r="U773" s="104"/>
      <c r="V773" s="113"/>
      <c r="W773" s="113"/>
      <c r="X773" s="113"/>
      <c r="Y773" s="113"/>
      <c r="Z773" s="104"/>
      <c r="AA773" s="113"/>
      <c r="AB773" s="113"/>
      <c r="AC773" s="113"/>
      <c r="AD773" s="113"/>
      <c r="AE773" s="104"/>
      <c r="AF773" s="113"/>
      <c r="AG773" s="113"/>
      <c r="AH773" s="113"/>
      <c r="AI773" s="113"/>
      <c r="AJ773" s="104"/>
      <c r="AK773" s="113"/>
      <c r="AL773" s="113"/>
      <c r="AM773" s="113"/>
      <c r="AN773" s="113"/>
      <c r="AO773" s="104"/>
      <c r="AP773" s="113"/>
      <c r="AQ773" s="113"/>
      <c r="AR773" s="113"/>
      <c r="AS773" s="113"/>
      <c r="AT773" s="104"/>
      <c r="AU773" s="113"/>
      <c r="AV773" s="113"/>
      <c r="AW773" s="699"/>
      <c r="AX773" s="113"/>
      <c r="AY773" s="104"/>
      <c r="AZ773" s="113"/>
      <c r="BA773" s="113"/>
      <c r="BB773" s="113"/>
      <c r="BC773" s="113"/>
      <c r="BD773" s="104"/>
      <c r="BE773" s="104"/>
      <c r="BF773" s="104"/>
      <c r="BG773" s="104"/>
      <c r="BH773" s="484"/>
    </row>
    <row r="774" spans="1:60" s="49" customFormat="1" x14ac:dyDescent="0.25">
      <c r="A774" s="285" t="s">
        <v>235</v>
      </c>
      <c r="B774" s="209"/>
      <c r="C774" s="39">
        <f t="shared" ref="C774:AR774" si="792">-C726</f>
        <v>-577</v>
      </c>
      <c r="D774" s="39">
        <f t="shared" si="792"/>
        <v>-440</v>
      </c>
      <c r="E774" s="39">
        <f t="shared" si="792"/>
        <v>-585</v>
      </c>
      <c r="F774" s="39">
        <f t="shared" si="792"/>
        <v>-627</v>
      </c>
      <c r="G774" s="484">
        <f t="shared" si="792"/>
        <v>-110</v>
      </c>
      <c r="H774" s="484">
        <f t="shared" si="792"/>
        <v>-185</v>
      </c>
      <c r="I774" s="484">
        <f t="shared" si="792"/>
        <v>-232</v>
      </c>
      <c r="J774" s="484">
        <f t="shared" si="792"/>
        <v>-161</v>
      </c>
      <c r="K774" s="39">
        <f t="shared" si="792"/>
        <v>-688</v>
      </c>
      <c r="L774" s="484">
        <f t="shared" si="792"/>
        <v>-239</v>
      </c>
      <c r="M774" s="484">
        <f t="shared" si="792"/>
        <v>-217</v>
      </c>
      <c r="N774" s="484">
        <f t="shared" si="792"/>
        <v>-222</v>
      </c>
      <c r="O774" s="484">
        <f t="shared" si="792"/>
        <v>-176</v>
      </c>
      <c r="P774" s="39">
        <f t="shared" si="792"/>
        <v>-854</v>
      </c>
      <c r="Q774" s="484">
        <f t="shared" si="792"/>
        <v>-212</v>
      </c>
      <c r="R774" s="484">
        <f t="shared" si="792"/>
        <v>-206</v>
      </c>
      <c r="S774" s="484">
        <f t="shared" si="792"/>
        <v>-212</v>
      </c>
      <c r="T774" s="484">
        <f t="shared" si="792"/>
        <v>-184</v>
      </c>
      <c r="U774" s="39">
        <f t="shared" si="792"/>
        <v>-814</v>
      </c>
      <c r="V774" s="484">
        <f t="shared" si="792"/>
        <v>-474</v>
      </c>
      <c r="W774" s="484">
        <f t="shared" si="792"/>
        <v>-150</v>
      </c>
      <c r="X774" s="484">
        <f t="shared" si="792"/>
        <v>-152</v>
      </c>
      <c r="Y774" s="484">
        <f t="shared" si="792"/>
        <v>-150</v>
      </c>
      <c r="Z774" s="39">
        <f t="shared" si="792"/>
        <v>-926</v>
      </c>
      <c r="AA774" s="484">
        <f t="shared" si="792"/>
        <v>-118</v>
      </c>
      <c r="AB774" s="191">
        <f t="shared" si="792"/>
        <v>-85</v>
      </c>
      <c r="AC774" s="484">
        <f t="shared" si="792"/>
        <v>-124</v>
      </c>
      <c r="AD774" s="484">
        <f t="shared" si="792"/>
        <v>7</v>
      </c>
      <c r="AE774" s="39">
        <f t="shared" si="792"/>
        <v>-320</v>
      </c>
      <c r="AF774" s="484">
        <f t="shared" si="792"/>
        <v>-43</v>
      </c>
      <c r="AG774" s="191">
        <f t="shared" si="792"/>
        <v>-6</v>
      </c>
      <c r="AH774" s="484">
        <f t="shared" si="792"/>
        <v>-73</v>
      </c>
      <c r="AI774" s="484">
        <f t="shared" si="792"/>
        <v>224</v>
      </c>
      <c r="AJ774" s="39">
        <f t="shared" si="792"/>
        <v>102</v>
      </c>
      <c r="AK774" s="484">
        <f t="shared" si="792"/>
        <v>-76</v>
      </c>
      <c r="AL774" s="191">
        <f t="shared" si="792"/>
        <v>312</v>
      </c>
      <c r="AM774" s="484">
        <f t="shared" si="792"/>
        <v>1</v>
      </c>
      <c r="AN774" s="484">
        <f t="shared" si="792"/>
        <v>-131</v>
      </c>
      <c r="AO774" s="39">
        <f t="shared" si="792"/>
        <v>103</v>
      </c>
      <c r="AP774" s="484">
        <f>-AP726</f>
        <v>-224</v>
      </c>
      <c r="AQ774" s="191">
        <f t="shared" si="792"/>
        <v>-135</v>
      </c>
      <c r="AR774" s="484">
        <f t="shared" si="792"/>
        <v>-186</v>
      </c>
      <c r="AS774" s="484">
        <f>-AS726</f>
        <v>-106</v>
      </c>
      <c r="AT774" s="39">
        <f>-AT726</f>
        <v>-651</v>
      </c>
      <c r="AU774" s="484">
        <f>-AU726</f>
        <v>-224</v>
      </c>
      <c r="AV774" s="191">
        <f>-AV726</f>
        <v>-213</v>
      </c>
      <c r="AW774" s="289">
        <f>-AW726</f>
        <v>-211</v>
      </c>
      <c r="AX774" s="484">
        <f t="shared" ref="AX774:BG774" si="793">-AX498</f>
        <v>-186</v>
      </c>
      <c r="AY774" s="39">
        <f>SUM(AU774,AV774,AW774,AX774)</f>
        <v>-834</v>
      </c>
      <c r="AZ774" s="484">
        <f t="shared" si="793"/>
        <v>-186</v>
      </c>
      <c r="BA774" s="484">
        <f t="shared" si="793"/>
        <v>-186</v>
      </c>
      <c r="BB774" s="484">
        <f t="shared" si="793"/>
        <v>-186</v>
      </c>
      <c r="BC774" s="484">
        <f t="shared" si="793"/>
        <v>-186</v>
      </c>
      <c r="BD774" s="39">
        <f>SUM(AZ774,BA774,BB774,BC774)</f>
        <v>-744</v>
      </c>
      <c r="BE774" s="39">
        <f t="shared" si="793"/>
        <v>-744</v>
      </c>
      <c r="BF774" s="39">
        <f t="shared" si="793"/>
        <v>-744</v>
      </c>
      <c r="BG774" s="39">
        <f t="shared" si="793"/>
        <v>-744</v>
      </c>
      <c r="BH774" s="484"/>
    </row>
    <row r="775" spans="1:60" s="49" customFormat="1" x14ac:dyDescent="0.25">
      <c r="A775" s="226" t="s">
        <v>236</v>
      </c>
      <c r="B775" s="209"/>
      <c r="C775" s="104">
        <f t="shared" ref="C775:AR775" si="794">-C725</f>
        <v>466</v>
      </c>
      <c r="D775" s="104">
        <f t="shared" si="794"/>
        <v>409</v>
      </c>
      <c r="E775" s="104">
        <f t="shared" si="794"/>
        <v>343</v>
      </c>
      <c r="F775" s="104">
        <f t="shared" si="794"/>
        <v>369</v>
      </c>
      <c r="G775" s="113">
        <f t="shared" si="794"/>
        <v>72</v>
      </c>
      <c r="H775" s="113">
        <f t="shared" si="794"/>
        <v>54</v>
      </c>
      <c r="I775" s="113">
        <f t="shared" si="794"/>
        <v>83</v>
      </c>
      <c r="J775" s="113">
        <f t="shared" si="794"/>
        <v>26</v>
      </c>
      <c r="K775" s="104">
        <f t="shared" si="794"/>
        <v>235</v>
      </c>
      <c r="L775" s="113">
        <f t="shared" si="794"/>
        <v>-49</v>
      </c>
      <c r="M775" s="113">
        <f t="shared" si="794"/>
        <v>-62</v>
      </c>
      <c r="N775" s="113">
        <f t="shared" si="794"/>
        <v>50</v>
      </c>
      <c r="O775" s="113">
        <f t="shared" si="794"/>
        <v>38</v>
      </c>
      <c r="P775" s="104">
        <f t="shared" si="794"/>
        <v>-23</v>
      </c>
      <c r="Q775" s="113">
        <f t="shared" si="794"/>
        <v>58</v>
      </c>
      <c r="R775" s="113">
        <f t="shared" si="794"/>
        <v>-8</v>
      </c>
      <c r="S775" s="113">
        <f t="shared" si="794"/>
        <v>12</v>
      </c>
      <c r="T775" s="113">
        <f t="shared" si="794"/>
        <v>55</v>
      </c>
      <c r="U775" s="104">
        <f t="shared" si="794"/>
        <v>117</v>
      </c>
      <c r="V775" s="113">
        <f t="shared" si="794"/>
        <v>24</v>
      </c>
      <c r="W775" s="113">
        <f t="shared" si="794"/>
        <v>67</v>
      </c>
      <c r="X775" s="113">
        <f t="shared" si="794"/>
        <v>70</v>
      </c>
      <c r="Y775" s="113">
        <f t="shared" si="794"/>
        <v>99</v>
      </c>
      <c r="Z775" s="104">
        <f t="shared" si="794"/>
        <v>260</v>
      </c>
      <c r="AA775" s="113">
        <f t="shared" si="794"/>
        <v>99</v>
      </c>
      <c r="AB775" s="113">
        <f t="shared" si="794"/>
        <v>84</v>
      </c>
      <c r="AC775" s="113">
        <f t="shared" si="794"/>
        <v>117</v>
      </c>
      <c r="AD775" s="113">
        <f t="shared" si="794"/>
        <v>85</v>
      </c>
      <c r="AE775" s="104">
        <f t="shared" si="794"/>
        <v>385</v>
      </c>
      <c r="AF775" s="113">
        <f t="shared" si="794"/>
        <v>129</v>
      </c>
      <c r="AG775" s="113">
        <f t="shared" si="794"/>
        <v>143</v>
      </c>
      <c r="AH775" s="113">
        <f t="shared" si="794"/>
        <v>143</v>
      </c>
      <c r="AI775" s="113">
        <f t="shared" si="794"/>
        <v>159</v>
      </c>
      <c r="AJ775" s="104">
        <f t="shared" si="794"/>
        <v>574</v>
      </c>
      <c r="AK775" s="113">
        <f t="shared" si="794"/>
        <v>63</v>
      </c>
      <c r="AL775" s="113">
        <f t="shared" si="794"/>
        <v>143</v>
      </c>
      <c r="AM775" s="113">
        <f t="shared" si="794"/>
        <v>411</v>
      </c>
      <c r="AN775" s="113">
        <f t="shared" si="794"/>
        <v>361</v>
      </c>
      <c r="AO775" s="104">
        <f t="shared" si="794"/>
        <v>978</v>
      </c>
      <c r="AP775" s="113">
        <f t="shared" si="794"/>
        <v>283</v>
      </c>
      <c r="AQ775" s="113">
        <f t="shared" si="794"/>
        <v>300</v>
      </c>
      <c r="AR775" s="113">
        <f t="shared" si="794"/>
        <v>412</v>
      </c>
      <c r="AS775" s="113">
        <f>-AS725</f>
        <v>496</v>
      </c>
      <c r="AT775" s="104">
        <f>-AT725</f>
        <v>1491</v>
      </c>
      <c r="AU775" s="113">
        <f>-AU725</f>
        <v>324</v>
      </c>
      <c r="AV775" s="113">
        <f>-AV725</f>
        <v>320</v>
      </c>
      <c r="AW775" s="699">
        <f>-AW725</f>
        <v>445</v>
      </c>
      <c r="AX775" s="113">
        <f>AX836</f>
        <v>381.6084383561643</v>
      </c>
      <c r="AY775" s="104">
        <f>SUM(AU775,AV775,AW775,AX775)</f>
        <v>1470.6084383561642</v>
      </c>
      <c r="AZ775" s="113">
        <f ca="1">AZ836</f>
        <v>379.16740834251539</v>
      </c>
      <c r="BA775" s="113">
        <f ca="1">BA836</f>
        <v>371.65300825819008</v>
      </c>
      <c r="BB775" s="113">
        <f ca="1">BB836</f>
        <v>369.10359146116662</v>
      </c>
      <c r="BC775" s="113">
        <f ca="1">BC836</f>
        <v>365.98699211227176</v>
      </c>
      <c r="BD775" s="104">
        <f ca="1">SUM(AZ775,BA775,BB775,BC775)</f>
        <v>1485.9110001741437</v>
      </c>
      <c r="BE775" s="104">
        <f ca="1">BE836</f>
        <v>1456.7473932149737</v>
      </c>
      <c r="BF775" s="104">
        <f ca="1">BF836</f>
        <v>1363.9720275873988</v>
      </c>
      <c r="BG775" s="104">
        <f ca="1">BG836</f>
        <v>1261.2204857386503</v>
      </c>
      <c r="BH775" s="484"/>
    </row>
    <row r="776" spans="1:60" s="49" customFormat="1" x14ac:dyDescent="0.25">
      <c r="A776" s="483" t="s">
        <v>237</v>
      </c>
      <c r="B776" s="209"/>
      <c r="C776" s="39">
        <f t="shared" ref="C776:AR776" si="795">-C724</f>
        <v>-342</v>
      </c>
      <c r="D776" s="39">
        <f t="shared" si="795"/>
        <v>-140</v>
      </c>
      <c r="E776" s="39">
        <f t="shared" si="795"/>
        <v>-75</v>
      </c>
      <c r="F776" s="39">
        <f t="shared" si="795"/>
        <v>-239</v>
      </c>
      <c r="G776" s="484">
        <f t="shared" si="795"/>
        <v>102</v>
      </c>
      <c r="H776" s="484">
        <f t="shared" si="795"/>
        <v>-10</v>
      </c>
      <c r="I776" s="484">
        <f t="shared" si="795"/>
        <v>0</v>
      </c>
      <c r="J776" s="484">
        <f t="shared" si="795"/>
        <v>-23</v>
      </c>
      <c r="K776" s="39">
        <f t="shared" si="795"/>
        <v>69</v>
      </c>
      <c r="L776" s="484">
        <f t="shared" si="795"/>
        <v>-6</v>
      </c>
      <c r="M776" s="484">
        <f t="shared" si="795"/>
        <v>37</v>
      </c>
      <c r="N776" s="484">
        <f t="shared" si="795"/>
        <v>0</v>
      </c>
      <c r="O776" s="484">
        <f t="shared" si="795"/>
        <v>0</v>
      </c>
      <c r="P776" s="39">
        <f t="shared" si="795"/>
        <v>31</v>
      </c>
      <c r="Q776" s="484">
        <f t="shared" si="795"/>
        <v>0</v>
      </c>
      <c r="R776" s="484">
        <f t="shared" si="795"/>
        <v>0</v>
      </c>
      <c r="S776" s="484">
        <f t="shared" si="795"/>
        <v>0</v>
      </c>
      <c r="T776" s="484">
        <f t="shared" si="795"/>
        <v>0</v>
      </c>
      <c r="U776" s="39">
        <f t="shared" si="795"/>
        <v>0</v>
      </c>
      <c r="V776" s="484">
        <f t="shared" si="795"/>
        <v>0</v>
      </c>
      <c r="W776" s="484">
        <f t="shared" si="795"/>
        <v>0</v>
      </c>
      <c r="X776" s="484">
        <f t="shared" si="795"/>
        <v>0</v>
      </c>
      <c r="Y776" s="484">
        <f t="shared" si="795"/>
        <v>0</v>
      </c>
      <c r="Z776" s="39">
        <f t="shared" si="795"/>
        <v>0</v>
      </c>
      <c r="AA776" s="484">
        <f t="shared" si="795"/>
        <v>0</v>
      </c>
      <c r="AB776" s="191">
        <f t="shared" si="795"/>
        <v>0</v>
      </c>
      <c r="AC776" s="484">
        <f t="shared" si="795"/>
        <v>177</v>
      </c>
      <c r="AD776" s="484">
        <f t="shared" si="795"/>
        <v>-255</v>
      </c>
      <c r="AE776" s="39">
        <f t="shared" si="795"/>
        <v>-78</v>
      </c>
      <c r="AF776" s="484">
        <f t="shared" si="795"/>
        <v>-53</v>
      </c>
      <c r="AG776" s="191">
        <f t="shared" si="795"/>
        <v>-41</v>
      </c>
      <c r="AH776" s="484">
        <f t="shared" si="795"/>
        <v>0</v>
      </c>
      <c r="AI776" s="484">
        <f t="shared" si="795"/>
        <v>-507</v>
      </c>
      <c r="AJ776" s="39">
        <f t="shared" si="795"/>
        <v>-601</v>
      </c>
      <c r="AK776" s="484">
        <f t="shared" si="795"/>
        <v>0</v>
      </c>
      <c r="AL776" s="191">
        <f t="shared" si="795"/>
        <v>-4963</v>
      </c>
      <c r="AM776" s="484">
        <f t="shared" si="795"/>
        <v>123</v>
      </c>
      <c r="AN776" s="484">
        <f t="shared" si="795"/>
        <v>483</v>
      </c>
      <c r="AO776" s="39">
        <f t="shared" si="795"/>
        <v>-4357</v>
      </c>
      <c r="AP776" s="484">
        <f t="shared" si="795"/>
        <v>0</v>
      </c>
      <c r="AQ776" s="191">
        <f t="shared" si="795"/>
        <v>0</v>
      </c>
      <c r="AR776" s="484">
        <f t="shared" si="795"/>
        <v>-382</v>
      </c>
      <c r="AS776" s="484">
        <f>-AS724</f>
        <v>-656</v>
      </c>
      <c r="AT776" s="39">
        <f>-AT724</f>
        <v>-1038</v>
      </c>
      <c r="AU776" s="484">
        <f>-AU724</f>
        <v>0</v>
      </c>
      <c r="AV776" s="191">
        <f>-AV724</f>
        <v>-305</v>
      </c>
      <c r="AW776" s="289">
        <f>-AW724</f>
        <v>91</v>
      </c>
      <c r="AX776" s="484">
        <f>-AX529</f>
        <v>50</v>
      </c>
      <c r="AY776" s="39">
        <f>SUM(AU776,AV776,AW776,AX776)</f>
        <v>-164</v>
      </c>
      <c r="AZ776" s="484">
        <f>-AZ529</f>
        <v>50</v>
      </c>
      <c r="BA776" s="484">
        <f>-BA529</f>
        <v>50</v>
      </c>
      <c r="BB776" s="484">
        <f>-BB529</f>
        <v>50</v>
      </c>
      <c r="BC776" s="484">
        <f>-BC529</f>
        <v>50</v>
      </c>
      <c r="BD776" s="39">
        <f>SUM(AZ776,BA776,BB776,BC776)</f>
        <v>200</v>
      </c>
      <c r="BE776" s="39">
        <f>-BE529</f>
        <v>200</v>
      </c>
      <c r="BF776" s="39">
        <f>-BF529</f>
        <v>200</v>
      </c>
      <c r="BG776" s="39">
        <f>-BG529</f>
        <v>200</v>
      </c>
      <c r="BH776" s="484"/>
    </row>
    <row r="777" spans="1:60" s="49" customFormat="1" x14ac:dyDescent="0.25">
      <c r="A777" s="483" t="s">
        <v>238</v>
      </c>
      <c r="B777" s="209"/>
      <c r="C777" s="39">
        <f t="shared" ref="C777:AR777" si="796">-C723</f>
        <v>492</v>
      </c>
      <c r="D777" s="39">
        <f t="shared" si="796"/>
        <v>270</v>
      </c>
      <c r="E777" s="39">
        <f t="shared" si="796"/>
        <v>55</v>
      </c>
      <c r="F777" s="39">
        <f t="shared" si="796"/>
        <v>100</v>
      </c>
      <c r="G777" s="484">
        <f t="shared" si="796"/>
        <v>0</v>
      </c>
      <c r="H777" s="484">
        <f t="shared" si="796"/>
        <v>61</v>
      </c>
      <c r="I777" s="484">
        <f t="shared" si="796"/>
        <v>60</v>
      </c>
      <c r="J777" s="484">
        <f t="shared" si="796"/>
        <v>93</v>
      </c>
      <c r="K777" s="39">
        <f t="shared" si="796"/>
        <v>214</v>
      </c>
      <c r="L777" s="484">
        <f t="shared" si="796"/>
        <v>19</v>
      </c>
      <c r="M777" s="484">
        <f t="shared" si="796"/>
        <v>48</v>
      </c>
      <c r="N777" s="484">
        <f t="shared" si="796"/>
        <v>0</v>
      </c>
      <c r="O777" s="484">
        <f t="shared" si="796"/>
        <v>73</v>
      </c>
      <c r="P777" s="39">
        <f t="shared" si="796"/>
        <v>140</v>
      </c>
      <c r="Q777" s="484">
        <f t="shared" si="796"/>
        <v>0</v>
      </c>
      <c r="R777" s="484">
        <f t="shared" si="796"/>
        <v>0</v>
      </c>
      <c r="S777" s="484">
        <f t="shared" si="796"/>
        <v>0</v>
      </c>
      <c r="T777" s="484">
        <f t="shared" si="796"/>
        <v>53</v>
      </c>
      <c r="U777" s="39">
        <f t="shared" si="796"/>
        <v>53</v>
      </c>
      <c r="V777" s="484">
        <f t="shared" si="796"/>
        <v>81</v>
      </c>
      <c r="W777" s="484">
        <f t="shared" si="796"/>
        <v>0</v>
      </c>
      <c r="X777" s="484">
        <f t="shared" si="796"/>
        <v>44</v>
      </c>
      <c r="Y777" s="484">
        <f t="shared" si="796"/>
        <v>31</v>
      </c>
      <c r="Z777" s="39">
        <f t="shared" si="796"/>
        <v>156</v>
      </c>
      <c r="AA777" s="484">
        <f t="shared" si="796"/>
        <v>0</v>
      </c>
      <c r="AB777" s="191">
        <f t="shared" si="796"/>
        <v>0</v>
      </c>
      <c r="AC777" s="484">
        <f t="shared" si="796"/>
        <v>0</v>
      </c>
      <c r="AD777" s="484">
        <f t="shared" si="796"/>
        <v>98</v>
      </c>
      <c r="AE777" s="39">
        <f t="shared" si="796"/>
        <v>98</v>
      </c>
      <c r="AF777" s="484">
        <f t="shared" si="796"/>
        <v>15</v>
      </c>
      <c r="AG777" s="191">
        <f t="shared" si="796"/>
        <v>13</v>
      </c>
      <c r="AH777" s="484">
        <f t="shared" si="796"/>
        <v>0</v>
      </c>
      <c r="AI777" s="484">
        <f t="shared" si="796"/>
        <v>5</v>
      </c>
      <c r="AJ777" s="39">
        <f t="shared" si="796"/>
        <v>33</v>
      </c>
      <c r="AK777" s="484">
        <f t="shared" si="796"/>
        <v>0</v>
      </c>
      <c r="AL777" s="191">
        <f t="shared" si="796"/>
        <v>662</v>
      </c>
      <c r="AM777" s="484">
        <f t="shared" si="796"/>
        <v>207</v>
      </c>
      <c r="AN777" s="484">
        <f t="shared" si="796"/>
        <v>314</v>
      </c>
      <c r="AO777" s="39">
        <f t="shared" si="796"/>
        <v>1183</v>
      </c>
      <c r="AP777" s="484">
        <f t="shared" si="796"/>
        <v>150</v>
      </c>
      <c r="AQ777" s="191">
        <f t="shared" si="796"/>
        <v>145</v>
      </c>
      <c r="AR777" s="484">
        <f t="shared" si="796"/>
        <v>5047</v>
      </c>
      <c r="AS777" s="484">
        <f>-AS723</f>
        <v>393</v>
      </c>
      <c r="AT777" s="39">
        <f>-AT723</f>
        <v>5735</v>
      </c>
      <c r="AU777" s="484">
        <f>-AU723</f>
        <v>113</v>
      </c>
      <c r="AV777" s="191">
        <f>-AV723</f>
        <v>414</v>
      </c>
      <c r="AW777" s="289">
        <f>-AW723</f>
        <v>35</v>
      </c>
      <c r="AX777" s="484">
        <f>-AX528</f>
        <v>145</v>
      </c>
      <c r="AY777" s="39">
        <f>SUM(AU777,AV777,AW777,AX777)</f>
        <v>707</v>
      </c>
      <c r="AZ777" s="484">
        <f>-AZ528</f>
        <v>0</v>
      </c>
      <c r="BA777" s="484">
        <f>-BA528</f>
        <v>0</v>
      </c>
      <c r="BB777" s="484">
        <f>-BB528</f>
        <v>0</v>
      </c>
      <c r="BC777" s="484">
        <f>-BC528</f>
        <v>0</v>
      </c>
      <c r="BD777" s="39">
        <f>SUM(AZ777,BA777,BB777,BC777)</f>
        <v>0</v>
      </c>
      <c r="BE777" s="39">
        <f>-BE528</f>
        <v>0</v>
      </c>
      <c r="BF777" s="39">
        <f>-BF528</f>
        <v>0</v>
      </c>
      <c r="BG777" s="39">
        <f>-BG528</f>
        <v>0</v>
      </c>
      <c r="BH777" s="484"/>
    </row>
    <row r="778" spans="1:60" s="52" customFormat="1" x14ac:dyDescent="0.25">
      <c r="A778" s="500" t="s">
        <v>239</v>
      </c>
      <c r="B778" s="775"/>
      <c r="C778" s="53">
        <f t="shared" ref="C778:AH778" si="797">C772-SUM(C774:C777)</f>
        <v>5658</v>
      </c>
      <c r="D778" s="53">
        <f t="shared" si="797"/>
        <v>6627</v>
      </c>
      <c r="E778" s="53">
        <f t="shared" si="797"/>
        <v>8043</v>
      </c>
      <c r="F778" s="53">
        <f t="shared" si="797"/>
        <v>9260</v>
      </c>
      <c r="G778" s="61">
        <f t="shared" si="797"/>
        <v>2028</v>
      </c>
      <c r="H778" s="61">
        <f t="shared" si="797"/>
        <v>2275</v>
      </c>
      <c r="I778" s="61">
        <f t="shared" si="797"/>
        <v>3093</v>
      </c>
      <c r="J778" s="61">
        <f t="shared" si="797"/>
        <v>2224</v>
      </c>
      <c r="K778" s="53">
        <f t="shared" si="797"/>
        <v>9620</v>
      </c>
      <c r="L778" s="61">
        <f t="shared" si="797"/>
        <v>2940</v>
      </c>
      <c r="M778" s="61">
        <f t="shared" si="797"/>
        <v>3175</v>
      </c>
      <c r="N778" s="61">
        <f t="shared" si="797"/>
        <v>3670</v>
      </c>
      <c r="O778" s="61">
        <f t="shared" si="797"/>
        <v>2461</v>
      </c>
      <c r="P778" s="53">
        <f t="shared" si="797"/>
        <v>12246</v>
      </c>
      <c r="Q778" s="61">
        <f t="shared" si="797"/>
        <v>3362</v>
      </c>
      <c r="R778" s="61">
        <f t="shared" si="797"/>
        <v>3320</v>
      </c>
      <c r="S778" s="61">
        <f t="shared" si="797"/>
        <v>3962</v>
      </c>
      <c r="T778" s="61">
        <f t="shared" si="797"/>
        <v>3224</v>
      </c>
      <c r="U778" s="53">
        <f t="shared" si="797"/>
        <v>13868</v>
      </c>
      <c r="V778" s="61">
        <f t="shared" si="797"/>
        <v>4358</v>
      </c>
      <c r="W778" s="61">
        <f t="shared" si="797"/>
        <v>3446</v>
      </c>
      <c r="X778" s="61">
        <f t="shared" si="797"/>
        <v>4183</v>
      </c>
      <c r="Y778" s="61">
        <f t="shared" si="797"/>
        <v>2881</v>
      </c>
      <c r="Z778" s="53">
        <f t="shared" si="797"/>
        <v>14868</v>
      </c>
      <c r="AA778" s="61">
        <f t="shared" si="797"/>
        <v>3725</v>
      </c>
      <c r="AB778" s="192">
        <f t="shared" si="797"/>
        <v>3751</v>
      </c>
      <c r="AC778" s="61">
        <f t="shared" si="797"/>
        <v>3618</v>
      </c>
      <c r="AD778" s="61">
        <f t="shared" si="797"/>
        <v>2694</v>
      </c>
      <c r="AE778" s="53">
        <f t="shared" si="797"/>
        <v>13788</v>
      </c>
      <c r="AF778" s="61">
        <f t="shared" si="797"/>
        <v>3745</v>
      </c>
      <c r="AG778" s="192">
        <f t="shared" si="797"/>
        <v>3928</v>
      </c>
      <c r="AH778" s="61">
        <f t="shared" si="797"/>
        <v>3854</v>
      </c>
      <c r="AI778" s="61">
        <f t="shared" ref="AI778:AY778" si="798">AI772-SUM(AI774:AI777)</f>
        <v>3202</v>
      </c>
      <c r="AJ778" s="53">
        <f t="shared" si="798"/>
        <v>14729</v>
      </c>
      <c r="AK778" s="61">
        <f t="shared" si="798"/>
        <v>3431</v>
      </c>
      <c r="AL778" s="192">
        <f t="shared" si="798"/>
        <v>7237</v>
      </c>
      <c r="AM778" s="61">
        <f t="shared" si="798"/>
        <v>2018</v>
      </c>
      <c r="AN778" s="61">
        <f t="shared" si="798"/>
        <v>1258</v>
      </c>
      <c r="AO778" s="53">
        <f t="shared" si="798"/>
        <v>13944</v>
      </c>
      <c r="AP778" s="61">
        <f t="shared" si="798"/>
        <v>2632</v>
      </c>
      <c r="AQ778" s="192">
        <f t="shared" si="798"/>
        <v>1060</v>
      </c>
      <c r="AR778" s="61">
        <f t="shared" si="798"/>
        <v>-4840</v>
      </c>
      <c r="AS778" s="61">
        <f>AS772-SUM(AS774:AS777)</f>
        <v>-580</v>
      </c>
      <c r="AT778" s="53">
        <f>AT772-SUM(AT774:AT777)</f>
        <v>-1743</v>
      </c>
      <c r="AU778" s="61">
        <f>AU772-SUM(AU774:AU777)</f>
        <v>46</v>
      </c>
      <c r="AV778" s="192">
        <f>AV772-SUM(AV774:AV777)</f>
        <v>1230</v>
      </c>
      <c r="AW778" s="872">
        <f>AW772-SUM(AW774:AW777)</f>
        <v>995</v>
      </c>
      <c r="AX778" s="105">
        <f t="shared" si="798"/>
        <v>1431.392821968836</v>
      </c>
      <c r="AY778" s="106">
        <f t="shared" si="798"/>
        <v>3702.3928219688337</v>
      </c>
      <c r="AZ778" s="105">
        <f t="shared" ref="AZ778:BG778" ca="1" si="799">AZ772-SUM(AZ774:AZ777)</f>
        <v>3181.1355916574844</v>
      </c>
      <c r="BA778" s="105">
        <f t="shared" ca="1" si="799"/>
        <v>1963.70899174181</v>
      </c>
      <c r="BB778" s="105">
        <f t="shared" ca="1" si="799"/>
        <v>2681.4738085388335</v>
      </c>
      <c r="BC778" s="105">
        <f t="shared" ca="1" si="799"/>
        <v>3009.9786728877298</v>
      </c>
      <c r="BD778" s="106">
        <f t="shared" ca="1" si="799"/>
        <v>10836.297064825863</v>
      </c>
      <c r="BE778" s="106">
        <f t="shared" ca="1" si="799"/>
        <v>14834.805160248783</v>
      </c>
      <c r="BF778" s="106">
        <f t="shared" ca="1" si="799"/>
        <v>16188.460473413459</v>
      </c>
      <c r="BG778" s="106">
        <f t="shared" ca="1" si="799"/>
        <v>17361.130708351793</v>
      </c>
      <c r="BH778" s="499"/>
    </row>
    <row r="779" spans="1:60" s="56" customFormat="1" x14ac:dyDescent="0.25">
      <c r="A779" s="159"/>
      <c r="B779" s="207"/>
      <c r="C779" s="160"/>
      <c r="D779" s="160"/>
      <c r="E779" s="160"/>
      <c r="F779" s="160"/>
      <c r="G779" s="161"/>
      <c r="H779" s="161"/>
      <c r="I779" s="161"/>
      <c r="J779" s="161"/>
      <c r="K779" s="160"/>
      <c r="L779" s="161"/>
      <c r="M779" s="161"/>
      <c r="N779" s="161"/>
      <c r="O779" s="161"/>
      <c r="P779" s="160"/>
      <c r="Q779" s="161"/>
      <c r="R779" s="161"/>
      <c r="S779" s="161"/>
      <c r="T779" s="161"/>
      <c r="U779" s="160"/>
      <c r="V779" s="161"/>
      <c r="W779" s="161"/>
      <c r="X779" s="161"/>
      <c r="Y779" s="161"/>
      <c r="Z779" s="160"/>
      <c r="AA779" s="161"/>
      <c r="AB779" s="161"/>
      <c r="AC779" s="161"/>
      <c r="AD779" s="161"/>
      <c r="AE779" s="160"/>
      <c r="AF779" s="161"/>
      <c r="AG779" s="161"/>
      <c r="AH779" s="161"/>
      <c r="AI779" s="161"/>
      <c r="AJ779" s="160"/>
      <c r="AK779" s="161"/>
      <c r="AL779" s="161"/>
      <c r="AM779" s="161"/>
      <c r="AN779" s="161"/>
      <c r="AO779" s="160"/>
      <c r="AP779" s="161"/>
      <c r="AQ779" s="161"/>
      <c r="AR779" s="161"/>
      <c r="AS779" s="161"/>
      <c r="AT779" s="160"/>
      <c r="AU779" s="161"/>
      <c r="AV779" s="161"/>
      <c r="AW779" s="706"/>
      <c r="AX779" s="161"/>
      <c r="AY779" s="160"/>
      <c r="AZ779" s="161"/>
      <c r="BA779" s="161"/>
      <c r="BB779" s="161"/>
      <c r="BC779" s="161"/>
      <c r="BD779" s="160"/>
      <c r="BE779" s="160"/>
      <c r="BF779" s="160"/>
      <c r="BG779" s="160"/>
      <c r="BH779" s="64"/>
    </row>
    <row r="780" spans="1:60" s="49" customFormat="1" x14ac:dyDescent="0.25">
      <c r="A780" s="483" t="s">
        <v>240</v>
      </c>
      <c r="B780" s="209"/>
      <c r="C780" s="39">
        <f t="shared" ref="C780:AR780" si="800">-C728-C781</f>
        <v>1726</v>
      </c>
      <c r="D780" s="39">
        <f t="shared" si="800"/>
        <v>2181</v>
      </c>
      <c r="E780" s="39">
        <f t="shared" si="800"/>
        <v>2658</v>
      </c>
      <c r="F780" s="39">
        <f t="shared" si="800"/>
        <v>2615</v>
      </c>
      <c r="G780" s="484">
        <f t="shared" si="800"/>
        <v>826</v>
      </c>
      <c r="H780" s="484">
        <f t="shared" si="800"/>
        <v>665</v>
      </c>
      <c r="I780" s="484">
        <f t="shared" si="800"/>
        <v>649</v>
      </c>
      <c r="J780" s="484">
        <f t="shared" si="800"/>
        <v>752</v>
      </c>
      <c r="K780" s="39">
        <f t="shared" si="800"/>
        <v>2892</v>
      </c>
      <c r="L780" s="484">
        <f t="shared" si="800"/>
        <v>1121</v>
      </c>
      <c r="M780" s="484">
        <f t="shared" si="800"/>
        <v>858</v>
      </c>
      <c r="N780" s="484">
        <f t="shared" si="800"/>
        <v>1123</v>
      </c>
      <c r="O780" s="484">
        <f t="shared" si="800"/>
        <v>623</v>
      </c>
      <c r="P780" s="39">
        <f t="shared" si="800"/>
        <v>3725</v>
      </c>
      <c r="Q780" s="484">
        <f t="shared" si="800"/>
        <v>828</v>
      </c>
      <c r="R780" s="484">
        <f t="shared" si="800"/>
        <v>1180</v>
      </c>
      <c r="S780" s="484">
        <f t="shared" si="800"/>
        <v>1692</v>
      </c>
      <c r="T780" s="484">
        <f t="shared" si="800"/>
        <v>1418</v>
      </c>
      <c r="U780" s="39">
        <f t="shared" si="800"/>
        <v>5118</v>
      </c>
      <c r="V780" s="484">
        <f t="shared" si="800"/>
        <v>897</v>
      </c>
      <c r="W780" s="484">
        <f t="shared" si="800"/>
        <v>924</v>
      </c>
      <c r="X780" s="484">
        <f t="shared" si="800"/>
        <v>1383</v>
      </c>
      <c r="Y780" s="484">
        <f t="shared" si="800"/>
        <v>660</v>
      </c>
      <c r="Z780" s="39">
        <f t="shared" si="800"/>
        <v>3864</v>
      </c>
      <c r="AA780" s="484">
        <f t="shared" si="800"/>
        <v>1313</v>
      </c>
      <c r="AB780" s="191">
        <f t="shared" si="800"/>
        <v>1010</v>
      </c>
      <c r="AC780" s="484">
        <f t="shared" si="800"/>
        <v>976</v>
      </c>
      <c r="AD780" s="484">
        <f t="shared" si="800"/>
        <v>789</v>
      </c>
      <c r="AE780" s="39">
        <f t="shared" si="800"/>
        <v>4088</v>
      </c>
      <c r="AF780" s="484">
        <f t="shared" si="800"/>
        <v>998</v>
      </c>
      <c r="AG780" s="191">
        <f t="shared" si="800"/>
        <v>710</v>
      </c>
      <c r="AH780" s="484">
        <f t="shared" si="800"/>
        <v>583</v>
      </c>
      <c r="AI780" s="484">
        <f t="shared" si="800"/>
        <v>945</v>
      </c>
      <c r="AJ780" s="39">
        <f t="shared" si="800"/>
        <v>3236</v>
      </c>
      <c r="AK780" s="484">
        <f t="shared" si="800"/>
        <v>599</v>
      </c>
      <c r="AL780" s="191">
        <f t="shared" si="800"/>
        <v>503</v>
      </c>
      <c r="AM780" s="484">
        <f t="shared" si="800"/>
        <v>-131</v>
      </c>
      <c r="AN780" s="484">
        <f t="shared" si="800"/>
        <v>1943</v>
      </c>
      <c r="AO780" s="39">
        <f t="shared" si="800"/>
        <v>2914</v>
      </c>
      <c r="AP780" s="484">
        <f t="shared" si="800"/>
        <v>-75</v>
      </c>
      <c r="AQ780" s="191">
        <f t="shared" si="800"/>
        <v>762</v>
      </c>
      <c r="AR780" s="484">
        <f t="shared" si="800"/>
        <v>514</v>
      </c>
      <c r="AS780" s="484">
        <f>-AS728-AS781</f>
        <v>-107</v>
      </c>
      <c r="AT780" s="39">
        <f>-AT728-AT781</f>
        <v>1091</v>
      </c>
      <c r="AU780" s="484">
        <f>-AU728-AU781</f>
        <v>121</v>
      </c>
      <c r="AV780" s="191">
        <f>-AV728-AV781</f>
        <v>559</v>
      </c>
      <c r="AW780" s="289">
        <f>-AW728-AW781</f>
        <v>60</v>
      </c>
      <c r="AX780" s="113">
        <f>AX793*AX$778</f>
        <v>300.59249261345553</v>
      </c>
      <c r="AY780" s="104">
        <f>SUM(AU780,AV780,AW780,AX780)</f>
        <v>1040.5924926134555</v>
      </c>
      <c r="AZ780" s="113">
        <f t="shared" ref="AZ780:BC781" ca="1" si="801">AZ793*AZ$778</f>
        <v>668.03847424807168</v>
      </c>
      <c r="BA780" s="113">
        <f t="shared" ca="1" si="801"/>
        <v>412.37888826578006</v>
      </c>
      <c r="BB780" s="113">
        <f t="shared" ca="1" si="801"/>
        <v>563.10949979315501</v>
      </c>
      <c r="BC780" s="113">
        <f t="shared" ca="1" si="801"/>
        <v>632.09552130642328</v>
      </c>
      <c r="BD780" s="104">
        <f ca="1">SUM(AZ780,BA780,BB780,BC780)</f>
        <v>2275.62238361343</v>
      </c>
      <c r="BE780" s="104">
        <f ca="1">BE793*BE778</f>
        <v>3115.3090836522442</v>
      </c>
      <c r="BF780" s="104">
        <f ca="1">BF793*BF778</f>
        <v>3399.5766994168262</v>
      </c>
      <c r="BG780" s="104">
        <f ca="1">BG793*BG778</f>
        <v>3645.8374487538763</v>
      </c>
      <c r="BH780" s="484"/>
    </row>
    <row r="781" spans="1:60" s="49" customFormat="1" x14ac:dyDescent="0.25">
      <c r="A781" s="483" t="s">
        <v>241</v>
      </c>
      <c r="B781" s="209"/>
      <c r="C781" s="39">
        <f t="shared" ref="C781:AR781" si="802">C923</f>
        <v>323</v>
      </c>
      <c r="D781" s="39">
        <f t="shared" si="802"/>
        <v>133</v>
      </c>
      <c r="E781" s="39">
        <f t="shared" si="802"/>
        <v>127</v>
      </c>
      <c r="F781" s="39">
        <f t="shared" si="802"/>
        <v>472</v>
      </c>
      <c r="G781" s="484">
        <f t="shared" si="802"/>
        <v>-236</v>
      </c>
      <c r="H781" s="484">
        <f t="shared" si="802"/>
        <v>-11</v>
      </c>
      <c r="I781" s="484">
        <f t="shared" si="802"/>
        <v>410</v>
      </c>
      <c r="J781" s="484">
        <f t="shared" si="802"/>
        <v>-71</v>
      </c>
      <c r="K781" s="39">
        <f t="shared" si="802"/>
        <v>92</v>
      </c>
      <c r="L781" s="484">
        <f t="shared" si="802"/>
        <v>-85</v>
      </c>
      <c r="M781" s="484">
        <f t="shared" si="802"/>
        <v>261</v>
      </c>
      <c r="N781" s="484">
        <f t="shared" si="802"/>
        <v>128</v>
      </c>
      <c r="O781" s="484">
        <f t="shared" si="802"/>
        <v>213</v>
      </c>
      <c r="P781" s="39">
        <f t="shared" si="802"/>
        <v>517</v>
      </c>
      <c r="Q781" s="484">
        <f t="shared" si="802"/>
        <v>290</v>
      </c>
      <c r="R781" s="484">
        <f t="shared" si="802"/>
        <v>-88</v>
      </c>
      <c r="S781" s="484">
        <f t="shared" si="802"/>
        <v>-369</v>
      </c>
      <c r="T781" s="484">
        <f t="shared" si="802"/>
        <v>65</v>
      </c>
      <c r="U781" s="39">
        <f t="shared" si="802"/>
        <v>-102</v>
      </c>
      <c r="V781" s="484">
        <f t="shared" si="802"/>
        <v>551</v>
      </c>
      <c r="W781" s="484">
        <f t="shared" si="802"/>
        <v>246</v>
      </c>
      <c r="X781" s="484">
        <f t="shared" si="802"/>
        <v>88</v>
      </c>
      <c r="Y781" s="484">
        <f t="shared" si="802"/>
        <v>329</v>
      </c>
      <c r="Z781" s="39">
        <f t="shared" si="802"/>
        <v>1214</v>
      </c>
      <c r="AA781" s="484">
        <f t="shared" si="802"/>
        <v>-76</v>
      </c>
      <c r="AB781" s="191">
        <f t="shared" si="802"/>
        <v>202</v>
      </c>
      <c r="AC781" s="484">
        <f t="shared" si="802"/>
        <v>168</v>
      </c>
      <c r="AD781" s="484">
        <f t="shared" si="802"/>
        <v>40</v>
      </c>
      <c r="AE781" s="39">
        <f t="shared" si="802"/>
        <v>334</v>
      </c>
      <c r="AF781" s="484">
        <f t="shared" si="802"/>
        <v>-1726</v>
      </c>
      <c r="AG781" s="191">
        <f t="shared" si="802"/>
        <v>103</v>
      </c>
      <c r="AH781" s="484">
        <f t="shared" si="802"/>
        <v>212</v>
      </c>
      <c r="AI781" s="484">
        <f t="shared" si="802"/>
        <v>-162</v>
      </c>
      <c r="AJ781" s="39">
        <f t="shared" si="802"/>
        <v>-1573</v>
      </c>
      <c r="AK781" s="484">
        <f t="shared" si="802"/>
        <v>46</v>
      </c>
      <c r="AL781" s="191">
        <f t="shared" si="802"/>
        <v>1144</v>
      </c>
      <c r="AM781" s="484">
        <f t="shared" si="802"/>
        <v>526</v>
      </c>
      <c r="AN781" s="484">
        <f t="shared" si="802"/>
        <v>-1599</v>
      </c>
      <c r="AO781" s="39">
        <f t="shared" si="802"/>
        <v>117</v>
      </c>
      <c r="AP781" s="484">
        <f t="shared" si="802"/>
        <v>534</v>
      </c>
      <c r="AQ781" s="191">
        <f t="shared" si="802"/>
        <v>-237</v>
      </c>
      <c r="AR781" s="484">
        <f t="shared" si="802"/>
        <v>-845</v>
      </c>
      <c r="AS781" s="484">
        <f>AS923</f>
        <v>156</v>
      </c>
      <c r="AT781" s="39">
        <f>AT923</f>
        <v>-392</v>
      </c>
      <c r="AU781" s="484">
        <f>AU923</f>
        <v>-105</v>
      </c>
      <c r="AV781" s="191">
        <f>AV923</f>
        <v>-451</v>
      </c>
      <c r="AW781" s="289">
        <f>AW923</f>
        <v>-193</v>
      </c>
      <c r="AX781" s="113">
        <f>AX794*AX$778</f>
        <v>28.627856439376721</v>
      </c>
      <c r="AY781" s="104">
        <f>SUM(AU781,AV781,AW781,AX781)</f>
        <v>-720.37214356062327</v>
      </c>
      <c r="AZ781" s="113">
        <f t="shared" ca="1" si="801"/>
        <v>63.622711833149687</v>
      </c>
      <c r="BA781" s="113">
        <f t="shared" ca="1" si="801"/>
        <v>39.274179834836204</v>
      </c>
      <c r="BB781" s="113">
        <f t="shared" ca="1" si="801"/>
        <v>53.62947617077667</v>
      </c>
      <c r="BC781" s="113">
        <f t="shared" ca="1" si="801"/>
        <v>60.199573457754596</v>
      </c>
      <c r="BD781" s="104">
        <f ca="1">SUM(AZ781,BA781,BB781,BC781)</f>
        <v>216.72594129651714</v>
      </c>
      <c r="BE781" s="104">
        <f ca="1">BE794*BE778</f>
        <v>296.69610320497566</v>
      </c>
      <c r="BF781" s="104">
        <f ca="1">BF794*BF778</f>
        <v>323.7692094682692</v>
      </c>
      <c r="BG781" s="104">
        <f ca="1">BG794*BG778</f>
        <v>347.22261416703589</v>
      </c>
      <c r="BH781" s="484"/>
    </row>
    <row r="782" spans="1:60" s="52" customFormat="1" x14ac:dyDescent="0.25">
      <c r="A782" s="500" t="s">
        <v>242</v>
      </c>
      <c r="B782" s="775"/>
      <c r="C782" s="53">
        <f t="shared" ref="C782:AH782" si="803">C778-SUM(C780:C781)</f>
        <v>3609</v>
      </c>
      <c r="D782" s="53">
        <f t="shared" si="803"/>
        <v>4313</v>
      </c>
      <c r="E782" s="53">
        <f t="shared" si="803"/>
        <v>5258</v>
      </c>
      <c r="F782" s="53">
        <f t="shared" si="803"/>
        <v>6173</v>
      </c>
      <c r="G782" s="61">
        <f t="shared" si="803"/>
        <v>1438</v>
      </c>
      <c r="H782" s="61">
        <f t="shared" si="803"/>
        <v>1621</v>
      </c>
      <c r="I782" s="61">
        <f t="shared" si="803"/>
        <v>2034</v>
      </c>
      <c r="J782" s="61">
        <f t="shared" si="803"/>
        <v>1543</v>
      </c>
      <c r="K782" s="53">
        <f t="shared" si="803"/>
        <v>6636</v>
      </c>
      <c r="L782" s="61">
        <f t="shared" si="803"/>
        <v>1904</v>
      </c>
      <c r="M782" s="61">
        <f t="shared" si="803"/>
        <v>2056</v>
      </c>
      <c r="N782" s="61">
        <f t="shared" si="803"/>
        <v>2419</v>
      </c>
      <c r="O782" s="61">
        <f t="shared" si="803"/>
        <v>1625</v>
      </c>
      <c r="P782" s="53">
        <f t="shared" si="803"/>
        <v>8004</v>
      </c>
      <c r="Q782" s="61">
        <f t="shared" si="803"/>
        <v>2244</v>
      </c>
      <c r="R782" s="61">
        <f t="shared" si="803"/>
        <v>2228</v>
      </c>
      <c r="S782" s="61">
        <f t="shared" si="803"/>
        <v>2639</v>
      </c>
      <c r="T782" s="61">
        <f t="shared" si="803"/>
        <v>1741</v>
      </c>
      <c r="U782" s="53">
        <f t="shared" si="803"/>
        <v>8852</v>
      </c>
      <c r="V782" s="61">
        <f t="shared" si="803"/>
        <v>2910</v>
      </c>
      <c r="W782" s="61">
        <f t="shared" si="803"/>
        <v>2276</v>
      </c>
      <c r="X782" s="61">
        <f t="shared" si="803"/>
        <v>2712</v>
      </c>
      <c r="Y782" s="61">
        <f t="shared" si="803"/>
        <v>1892</v>
      </c>
      <c r="Z782" s="53">
        <f t="shared" si="803"/>
        <v>9790</v>
      </c>
      <c r="AA782" s="61">
        <f t="shared" si="803"/>
        <v>2488</v>
      </c>
      <c r="AB782" s="192">
        <f t="shared" si="803"/>
        <v>2539</v>
      </c>
      <c r="AC782" s="61">
        <f t="shared" si="803"/>
        <v>2474</v>
      </c>
      <c r="AD782" s="61">
        <f t="shared" si="803"/>
        <v>1865</v>
      </c>
      <c r="AE782" s="53">
        <f t="shared" si="803"/>
        <v>9366</v>
      </c>
      <c r="AF782" s="61">
        <f t="shared" si="803"/>
        <v>4473</v>
      </c>
      <c r="AG782" s="192">
        <f t="shared" si="803"/>
        <v>3115</v>
      </c>
      <c r="AH782" s="61">
        <f t="shared" si="803"/>
        <v>3059</v>
      </c>
      <c r="AI782" s="61">
        <f t="shared" ref="AI782:AY782" si="804">AI778-SUM(AI780:AI781)</f>
        <v>2419</v>
      </c>
      <c r="AJ782" s="53">
        <f t="shared" si="804"/>
        <v>13066</v>
      </c>
      <c r="AK782" s="61">
        <f t="shared" si="804"/>
        <v>2786</v>
      </c>
      <c r="AL782" s="192">
        <f t="shared" si="804"/>
        <v>5590</v>
      </c>
      <c r="AM782" s="61">
        <f t="shared" si="804"/>
        <v>1623</v>
      </c>
      <c r="AN782" s="61">
        <f t="shared" si="804"/>
        <v>914</v>
      </c>
      <c r="AO782" s="53">
        <f t="shared" si="804"/>
        <v>10913</v>
      </c>
      <c r="AP782" s="61">
        <f t="shared" si="804"/>
        <v>2173</v>
      </c>
      <c r="AQ782" s="192">
        <f t="shared" si="804"/>
        <v>535</v>
      </c>
      <c r="AR782" s="61">
        <f t="shared" si="804"/>
        <v>-4509</v>
      </c>
      <c r="AS782" s="61">
        <f>AS778-SUM(AS780:AS781)</f>
        <v>-629</v>
      </c>
      <c r="AT782" s="53">
        <f>AT778-SUM(AT780:AT781)</f>
        <v>-2442</v>
      </c>
      <c r="AU782" s="61">
        <f>AU778-SUM(AU780:AU781)</f>
        <v>30</v>
      </c>
      <c r="AV782" s="192">
        <f>AV778-SUM(AV780:AV781)</f>
        <v>1122</v>
      </c>
      <c r="AW782" s="872">
        <f>AW778-SUM(AW780:AW781)</f>
        <v>1128</v>
      </c>
      <c r="AX782" s="105">
        <f t="shared" si="804"/>
        <v>1102.1724729160037</v>
      </c>
      <c r="AY782" s="106">
        <f t="shared" si="804"/>
        <v>3382.1724729160014</v>
      </c>
      <c r="AZ782" s="105">
        <f t="shared" ref="AZ782:BG782" ca="1" si="805">AZ778-SUM(AZ780:AZ781)</f>
        <v>2449.4744055762631</v>
      </c>
      <c r="BA782" s="105">
        <f t="shared" ca="1" si="805"/>
        <v>1512.0559236411937</v>
      </c>
      <c r="BB782" s="105">
        <f t="shared" ca="1" si="805"/>
        <v>2064.7348325749017</v>
      </c>
      <c r="BC782" s="105">
        <f t="shared" ca="1" si="805"/>
        <v>2317.6835781235518</v>
      </c>
      <c r="BD782" s="106">
        <f t="shared" ca="1" si="805"/>
        <v>8343.9487399159152</v>
      </c>
      <c r="BE782" s="106">
        <f t="shared" ca="1" si="805"/>
        <v>11422.799973391564</v>
      </c>
      <c r="BF782" s="106">
        <f t="shared" ca="1" si="805"/>
        <v>12465.114564528363</v>
      </c>
      <c r="BG782" s="106">
        <f t="shared" ca="1" si="805"/>
        <v>13368.070645430882</v>
      </c>
      <c r="BH782" s="499"/>
    </row>
    <row r="783" spans="1:60" s="49" customFormat="1" x14ac:dyDescent="0.25">
      <c r="A783" s="483" t="s">
        <v>243</v>
      </c>
      <c r="B783" s="209"/>
      <c r="C783" s="39">
        <f t="shared" ref="C783:AJ783" si="806">-C730</f>
        <v>0</v>
      </c>
      <c r="D783" s="39">
        <f t="shared" si="806"/>
        <v>0</v>
      </c>
      <c r="E783" s="39">
        <f t="shared" si="806"/>
        <v>0</v>
      </c>
      <c r="F783" s="39">
        <f t="shared" si="806"/>
        <v>0</v>
      </c>
      <c r="G783" s="484">
        <f t="shared" si="806"/>
        <v>0</v>
      </c>
      <c r="H783" s="484">
        <f t="shared" si="806"/>
        <v>0</v>
      </c>
      <c r="I783" s="484">
        <f t="shared" si="806"/>
        <v>0</v>
      </c>
      <c r="J783" s="484">
        <f t="shared" si="806"/>
        <v>0</v>
      </c>
      <c r="K783" s="39">
        <f t="shared" si="806"/>
        <v>0</v>
      </c>
      <c r="L783" s="484">
        <f t="shared" si="806"/>
        <v>0</v>
      </c>
      <c r="M783" s="484">
        <f t="shared" si="806"/>
        <v>0</v>
      </c>
      <c r="N783" s="484">
        <f t="shared" si="806"/>
        <v>0</v>
      </c>
      <c r="O783" s="484">
        <f t="shared" si="806"/>
        <v>0</v>
      </c>
      <c r="P783" s="39">
        <f t="shared" si="806"/>
        <v>0</v>
      </c>
      <c r="Q783" s="484">
        <f t="shared" si="806"/>
        <v>0</v>
      </c>
      <c r="R783" s="484">
        <f t="shared" si="806"/>
        <v>0</v>
      </c>
      <c r="S783" s="484">
        <f t="shared" si="806"/>
        <v>0</v>
      </c>
      <c r="T783" s="484">
        <f t="shared" si="806"/>
        <v>0</v>
      </c>
      <c r="U783" s="39">
        <f t="shared" si="806"/>
        <v>0</v>
      </c>
      <c r="V783" s="484">
        <f t="shared" si="806"/>
        <v>0</v>
      </c>
      <c r="W783" s="484">
        <f t="shared" si="806"/>
        <v>0</v>
      </c>
      <c r="X783" s="484">
        <f t="shared" si="806"/>
        <v>0</v>
      </c>
      <c r="Y783" s="484">
        <f t="shared" si="806"/>
        <v>0</v>
      </c>
      <c r="Z783" s="39">
        <f t="shared" si="806"/>
        <v>0</v>
      </c>
      <c r="AA783" s="484">
        <f t="shared" si="806"/>
        <v>0</v>
      </c>
      <c r="AB783" s="191">
        <f t="shared" si="806"/>
        <v>0</v>
      </c>
      <c r="AC783" s="484">
        <f t="shared" si="806"/>
        <v>0</v>
      </c>
      <c r="AD783" s="484">
        <f t="shared" si="806"/>
        <v>0</v>
      </c>
      <c r="AE783" s="39">
        <f t="shared" si="806"/>
        <v>0</v>
      </c>
      <c r="AF783" s="484">
        <f t="shared" si="806"/>
        <v>0</v>
      </c>
      <c r="AG783" s="191">
        <f t="shared" si="806"/>
        <v>0</v>
      </c>
      <c r="AH783" s="484">
        <f t="shared" si="806"/>
        <v>0</v>
      </c>
      <c r="AI783" s="484">
        <f t="shared" si="806"/>
        <v>0</v>
      </c>
      <c r="AJ783" s="39">
        <f t="shared" si="806"/>
        <v>0</v>
      </c>
      <c r="AK783" s="484">
        <f t="shared" ref="AK783:AR783" si="807">-AK730-AK733</f>
        <v>0</v>
      </c>
      <c r="AL783" s="191">
        <f t="shared" si="807"/>
        <v>-21</v>
      </c>
      <c r="AM783" s="484">
        <f t="shared" si="807"/>
        <v>-323</v>
      </c>
      <c r="AN783" s="484">
        <f t="shared" si="807"/>
        <v>-269</v>
      </c>
      <c r="AO783" s="39">
        <f t="shared" si="807"/>
        <v>-613</v>
      </c>
      <c r="AP783" s="484">
        <f t="shared" si="807"/>
        <v>26</v>
      </c>
      <c r="AQ783" s="191">
        <f t="shared" si="807"/>
        <v>15</v>
      </c>
      <c r="AR783" s="484">
        <f t="shared" si="807"/>
        <v>3</v>
      </c>
      <c r="AS783" s="484">
        <f>-AS730-AS733</f>
        <v>0</v>
      </c>
      <c r="AT783" s="39">
        <f>-AT730-AT733</f>
        <v>32</v>
      </c>
      <c r="AU783" s="484">
        <f>-AU730-AU733</f>
        <v>12</v>
      </c>
      <c r="AV783" s="191">
        <f>-AV730-AV733</f>
        <v>11</v>
      </c>
      <c r="AW783" s="289">
        <f>-AW730-AW733</f>
        <v>5</v>
      </c>
      <c r="AX783" s="69">
        <v>0</v>
      </c>
      <c r="AY783" s="104">
        <f>SUM(AU783,AV783,AW783,AX783)</f>
        <v>28</v>
      </c>
      <c r="AZ783" s="69">
        <v>0</v>
      </c>
      <c r="BA783" s="69">
        <v>0</v>
      </c>
      <c r="BB783" s="69">
        <v>0</v>
      </c>
      <c r="BC783" s="69">
        <v>0</v>
      </c>
      <c r="BD783" s="104">
        <f>SUM(AZ783,BA783,BB783,BC783)</f>
        <v>0</v>
      </c>
      <c r="BE783" s="57">
        <v>0</v>
      </c>
      <c r="BF783" s="57">
        <v>0</v>
      </c>
      <c r="BG783" s="57">
        <v>0</v>
      </c>
      <c r="BH783" s="484"/>
    </row>
    <row r="784" spans="1:60" s="49" customFormat="1" x14ac:dyDescent="0.25">
      <c r="A784" s="483" t="s">
        <v>244</v>
      </c>
      <c r="B784" s="209"/>
      <c r="C784" s="39">
        <f t="shared" ref="C784:AJ784" si="808">-C732-C733</f>
        <v>302</v>
      </c>
      <c r="D784" s="39">
        <f t="shared" si="808"/>
        <v>350</v>
      </c>
      <c r="E784" s="39">
        <f t="shared" si="808"/>
        <v>451</v>
      </c>
      <c r="F784" s="39">
        <f t="shared" si="808"/>
        <v>491</v>
      </c>
      <c r="G784" s="484">
        <f t="shared" si="808"/>
        <v>56</v>
      </c>
      <c r="H784" s="484">
        <f t="shared" si="808"/>
        <v>108</v>
      </c>
      <c r="I784" s="484">
        <f t="shared" si="808"/>
        <v>187</v>
      </c>
      <c r="J784" s="484">
        <f t="shared" si="808"/>
        <v>149</v>
      </c>
      <c r="K784" s="39">
        <f t="shared" si="808"/>
        <v>500</v>
      </c>
      <c r="L784" s="484">
        <f t="shared" si="808"/>
        <v>64</v>
      </c>
      <c r="M784" s="484">
        <f t="shared" si="808"/>
        <v>139</v>
      </c>
      <c r="N784" s="484">
        <f t="shared" si="808"/>
        <v>174</v>
      </c>
      <c r="O784" s="484">
        <f t="shared" si="808"/>
        <v>126</v>
      </c>
      <c r="P784" s="39">
        <f t="shared" si="808"/>
        <v>503</v>
      </c>
      <c r="Q784" s="484">
        <f t="shared" si="808"/>
        <v>62</v>
      </c>
      <c r="R784" s="484">
        <f t="shared" si="808"/>
        <v>120</v>
      </c>
      <c r="S784" s="484">
        <f t="shared" si="808"/>
        <v>156</v>
      </c>
      <c r="T784" s="484">
        <f t="shared" si="808"/>
        <v>132</v>
      </c>
      <c r="U784" s="39">
        <f t="shared" si="808"/>
        <v>470</v>
      </c>
      <c r="V784" s="484">
        <f t="shared" si="808"/>
        <v>30</v>
      </c>
      <c r="W784" s="484">
        <f t="shared" si="808"/>
        <v>133</v>
      </c>
      <c r="X784" s="484">
        <f t="shared" si="808"/>
        <v>115</v>
      </c>
      <c r="Y784" s="484">
        <f t="shared" si="808"/>
        <v>121</v>
      </c>
      <c r="Z784" s="39">
        <f t="shared" si="808"/>
        <v>399</v>
      </c>
      <c r="AA784" s="484">
        <f t="shared" si="808"/>
        <v>9</v>
      </c>
      <c r="AB784" s="191">
        <f t="shared" si="808"/>
        <v>151</v>
      </c>
      <c r="AC784" s="484">
        <f t="shared" si="808"/>
        <v>108</v>
      </c>
      <c r="AD784" s="484">
        <f t="shared" si="808"/>
        <v>118</v>
      </c>
      <c r="AE784" s="39">
        <f t="shared" si="808"/>
        <v>386</v>
      </c>
      <c r="AF784" s="484">
        <f t="shared" si="808"/>
        <v>50</v>
      </c>
      <c r="AG784" s="191">
        <f t="shared" si="808"/>
        <v>178</v>
      </c>
      <c r="AH784" s="484">
        <f t="shared" si="808"/>
        <v>143</v>
      </c>
      <c r="AI784" s="484">
        <f t="shared" si="808"/>
        <v>97</v>
      </c>
      <c r="AJ784" s="39">
        <f t="shared" si="808"/>
        <v>468</v>
      </c>
      <c r="AK784" s="484">
        <f t="shared" ref="AK784:AR784" si="809">-AK732</f>
        <v>-2</v>
      </c>
      <c r="AL784" s="191">
        <f t="shared" si="809"/>
        <v>159</v>
      </c>
      <c r="AM784" s="484">
        <f t="shared" si="809"/>
        <v>186</v>
      </c>
      <c r="AN784" s="484">
        <f t="shared" si="809"/>
        <v>129</v>
      </c>
      <c r="AO784" s="39">
        <f t="shared" si="809"/>
        <v>472</v>
      </c>
      <c r="AP784" s="484">
        <f t="shared" si="809"/>
        <v>40</v>
      </c>
      <c r="AQ784" s="191">
        <f t="shared" si="809"/>
        <v>60</v>
      </c>
      <c r="AR784" s="484">
        <f t="shared" si="809"/>
        <v>209</v>
      </c>
      <c r="AS784" s="484">
        <f>-AS732</f>
        <v>81</v>
      </c>
      <c r="AT784" s="39">
        <f>-AT732</f>
        <v>390</v>
      </c>
      <c r="AU784" s="484">
        <f>-AU732</f>
        <v>1</v>
      </c>
      <c r="AV784" s="191">
        <f>-AV732</f>
        <v>210</v>
      </c>
      <c r="AW784" s="289">
        <f>-AW732</f>
        <v>205</v>
      </c>
      <c r="AX784" s="69">
        <v>185</v>
      </c>
      <c r="AY784" s="104">
        <f>SUM(AU784,AV784,AW784,AX784)</f>
        <v>601</v>
      </c>
      <c r="AZ784" s="69">
        <v>185</v>
      </c>
      <c r="BA784" s="69">
        <v>185</v>
      </c>
      <c r="BB784" s="69">
        <v>185</v>
      </c>
      <c r="BC784" s="69">
        <v>185</v>
      </c>
      <c r="BD784" s="104">
        <f>SUM(AZ784,BA784,BB784,BC784)</f>
        <v>740</v>
      </c>
      <c r="BE784" s="57">
        <v>740</v>
      </c>
      <c r="BF784" s="57">
        <v>740</v>
      </c>
      <c r="BG784" s="57">
        <v>740</v>
      </c>
      <c r="BH784" s="484"/>
    </row>
    <row r="785" spans="1:60" s="49" customFormat="1" x14ac:dyDescent="0.25">
      <c r="A785" s="483" t="s">
        <v>245</v>
      </c>
      <c r="B785" s="209"/>
      <c r="C785" s="104"/>
      <c r="D785" s="104"/>
      <c r="E785" s="104"/>
      <c r="F785" s="104"/>
      <c r="G785" s="113"/>
      <c r="H785" s="113"/>
      <c r="I785" s="113"/>
      <c r="J785" s="113"/>
      <c r="K785" s="104"/>
      <c r="L785" s="113"/>
      <c r="M785" s="113"/>
      <c r="N785" s="113"/>
      <c r="O785" s="113"/>
      <c r="P785" s="104"/>
      <c r="Q785" s="113"/>
      <c r="R785" s="113"/>
      <c r="S785" s="113"/>
      <c r="T785" s="113"/>
      <c r="U785" s="104"/>
      <c r="V785" s="113"/>
      <c r="W785" s="113"/>
      <c r="X785" s="113"/>
      <c r="Y785" s="113"/>
      <c r="Z785" s="104"/>
      <c r="AA785" s="113"/>
      <c r="AB785" s="113"/>
      <c r="AC785" s="113"/>
      <c r="AD785" s="113"/>
      <c r="AE785" s="104"/>
      <c r="AF785" s="113"/>
      <c r="AG785" s="113"/>
      <c r="AH785" s="113"/>
      <c r="AI785" s="113"/>
      <c r="AJ785" s="104"/>
      <c r="AK785" s="113"/>
      <c r="AL785" s="113"/>
      <c r="AM785" s="113"/>
      <c r="AN785" s="113"/>
      <c r="AO785" s="104"/>
      <c r="AP785" s="113"/>
      <c r="AQ785" s="113"/>
      <c r="AR785" s="113"/>
      <c r="AS785" s="113"/>
      <c r="AT785" s="104"/>
      <c r="AU785" s="113"/>
      <c r="AV785" s="113"/>
      <c r="AW785" s="699"/>
      <c r="AX785" s="69">
        <v>0</v>
      </c>
      <c r="AY785" s="104">
        <f>SUM(AU785,AV785,AW785,AX785)</f>
        <v>0</v>
      </c>
      <c r="AZ785" s="69">
        <v>0</v>
      </c>
      <c r="BA785" s="69">
        <v>0</v>
      </c>
      <c r="BB785" s="69">
        <v>0</v>
      </c>
      <c r="BC785" s="69">
        <v>0</v>
      </c>
      <c r="BD785" s="104">
        <f>SUM(AZ785,BA785,BB785,BC785)</f>
        <v>0</v>
      </c>
      <c r="BE785" s="57">
        <v>0</v>
      </c>
      <c r="BF785" s="57">
        <v>0</v>
      </c>
      <c r="BG785" s="57">
        <v>0</v>
      </c>
      <c r="BH785" s="484"/>
    </row>
    <row r="786" spans="1:60" s="52" customFormat="1" x14ac:dyDescent="0.25">
      <c r="A786" s="88" t="s">
        <v>246</v>
      </c>
      <c r="B786" s="786"/>
      <c r="C786" s="54">
        <f t="shared" ref="C786:AH786" si="810">C782-SUM(C783:C785)</f>
        <v>3307</v>
      </c>
      <c r="D786" s="54">
        <f t="shared" si="810"/>
        <v>3963</v>
      </c>
      <c r="E786" s="54">
        <f t="shared" si="810"/>
        <v>4807</v>
      </c>
      <c r="F786" s="54">
        <f t="shared" si="810"/>
        <v>5682</v>
      </c>
      <c r="G786" s="62">
        <f t="shared" si="810"/>
        <v>1382</v>
      </c>
      <c r="H786" s="62">
        <f t="shared" si="810"/>
        <v>1513</v>
      </c>
      <c r="I786" s="62">
        <f t="shared" si="810"/>
        <v>1847</v>
      </c>
      <c r="J786" s="62">
        <f t="shared" si="810"/>
        <v>1394</v>
      </c>
      <c r="K786" s="54">
        <f t="shared" si="810"/>
        <v>6136</v>
      </c>
      <c r="L786" s="62">
        <f t="shared" si="810"/>
        <v>1840</v>
      </c>
      <c r="M786" s="62">
        <f t="shared" si="810"/>
        <v>1917</v>
      </c>
      <c r="N786" s="62">
        <f t="shared" si="810"/>
        <v>2245</v>
      </c>
      <c r="O786" s="62">
        <f t="shared" si="810"/>
        <v>1499</v>
      </c>
      <c r="P786" s="54">
        <f t="shared" si="810"/>
        <v>7501</v>
      </c>
      <c r="Q786" s="62">
        <f t="shared" si="810"/>
        <v>2182</v>
      </c>
      <c r="R786" s="62">
        <f t="shared" si="810"/>
        <v>2108</v>
      </c>
      <c r="S786" s="62">
        <f t="shared" si="810"/>
        <v>2483</v>
      </c>
      <c r="T786" s="62">
        <f t="shared" si="810"/>
        <v>1609</v>
      </c>
      <c r="U786" s="54">
        <f t="shared" si="810"/>
        <v>8382</v>
      </c>
      <c r="V786" s="62">
        <f t="shared" si="810"/>
        <v>2880</v>
      </c>
      <c r="W786" s="62">
        <f t="shared" si="810"/>
        <v>2143</v>
      </c>
      <c r="X786" s="62">
        <f t="shared" si="810"/>
        <v>2597</v>
      </c>
      <c r="Y786" s="62">
        <f t="shared" si="810"/>
        <v>1771</v>
      </c>
      <c r="Z786" s="54">
        <f t="shared" si="810"/>
        <v>9391</v>
      </c>
      <c r="AA786" s="62">
        <f t="shared" si="810"/>
        <v>2479</v>
      </c>
      <c r="AB786" s="193">
        <f t="shared" si="810"/>
        <v>2388</v>
      </c>
      <c r="AC786" s="62">
        <f t="shared" si="810"/>
        <v>2366</v>
      </c>
      <c r="AD786" s="62">
        <f t="shared" si="810"/>
        <v>1747</v>
      </c>
      <c r="AE786" s="54">
        <f t="shared" si="810"/>
        <v>8980</v>
      </c>
      <c r="AF786" s="62">
        <f t="shared" si="810"/>
        <v>4423</v>
      </c>
      <c r="AG786" s="193">
        <f t="shared" si="810"/>
        <v>2937</v>
      </c>
      <c r="AH786" s="62">
        <f t="shared" si="810"/>
        <v>2916</v>
      </c>
      <c r="AI786" s="62">
        <f t="shared" ref="AI786:AY786" si="811">AI782-SUM(AI783:AI785)</f>
        <v>2322</v>
      </c>
      <c r="AJ786" s="54">
        <f t="shared" si="811"/>
        <v>12598</v>
      </c>
      <c r="AK786" s="62">
        <f t="shared" si="811"/>
        <v>2788</v>
      </c>
      <c r="AL786" s="193">
        <f t="shared" si="811"/>
        <v>5452</v>
      </c>
      <c r="AM786" s="62">
        <f t="shared" si="811"/>
        <v>1760</v>
      </c>
      <c r="AN786" s="62">
        <f t="shared" si="811"/>
        <v>1054</v>
      </c>
      <c r="AO786" s="54">
        <f t="shared" si="811"/>
        <v>11054</v>
      </c>
      <c r="AP786" s="62">
        <f t="shared" si="811"/>
        <v>2107</v>
      </c>
      <c r="AQ786" s="193">
        <f t="shared" si="811"/>
        <v>460</v>
      </c>
      <c r="AR786" s="62">
        <f t="shared" si="811"/>
        <v>-4721</v>
      </c>
      <c r="AS786" s="62">
        <f>AS782-SUM(AS783:AS785)</f>
        <v>-710</v>
      </c>
      <c r="AT786" s="54">
        <f>AT782-SUM(AT783:AT785)</f>
        <v>-2864</v>
      </c>
      <c r="AU786" s="62">
        <f>AU782-SUM(AU783:AU785)</f>
        <v>17</v>
      </c>
      <c r="AV786" s="193">
        <f>AV782-SUM(AV783:AV785)</f>
        <v>901</v>
      </c>
      <c r="AW786" s="875">
        <f>AW782-SUM(AW783:AW785)</f>
        <v>918</v>
      </c>
      <c r="AX786" s="109">
        <f t="shared" si="811"/>
        <v>917.1724729160037</v>
      </c>
      <c r="AY786" s="110">
        <f t="shared" si="811"/>
        <v>2753.1724729160014</v>
      </c>
      <c r="AZ786" s="109">
        <f t="shared" ref="AZ786:BG786" ca="1" si="812">AZ782-SUM(AZ783:AZ785)</f>
        <v>2264.4744055762631</v>
      </c>
      <c r="BA786" s="109">
        <f t="shared" ca="1" si="812"/>
        <v>1327.0559236411937</v>
      </c>
      <c r="BB786" s="109">
        <f t="shared" ca="1" si="812"/>
        <v>1879.7348325749017</v>
      </c>
      <c r="BC786" s="109">
        <f t="shared" ca="1" si="812"/>
        <v>2132.6835781235518</v>
      </c>
      <c r="BD786" s="110">
        <f t="shared" ca="1" si="812"/>
        <v>7603.9487399159152</v>
      </c>
      <c r="BE786" s="110">
        <f t="shared" ca="1" si="812"/>
        <v>10682.799973391564</v>
      </c>
      <c r="BF786" s="110">
        <f t="shared" ca="1" si="812"/>
        <v>11725.114564528363</v>
      </c>
      <c r="BG786" s="110">
        <f t="shared" ca="1" si="812"/>
        <v>12628.070645430882</v>
      </c>
      <c r="BH786" s="499"/>
    </row>
    <row r="787" spans="1:60" s="49" customFormat="1" x14ac:dyDescent="0.25">
      <c r="A787" s="483" t="s">
        <v>247</v>
      </c>
      <c r="B787" s="209"/>
      <c r="C787" s="104"/>
      <c r="D787" s="104"/>
      <c r="E787" s="104"/>
      <c r="F787" s="104"/>
      <c r="G787" s="113"/>
      <c r="H787" s="113"/>
      <c r="I787" s="113"/>
      <c r="J787" s="113"/>
      <c r="K787" s="104"/>
      <c r="L787" s="113"/>
      <c r="M787" s="113"/>
      <c r="N787" s="113"/>
      <c r="O787" s="113"/>
      <c r="P787" s="104"/>
      <c r="Q787" s="113"/>
      <c r="R787" s="113"/>
      <c r="S787" s="113"/>
      <c r="T787" s="113"/>
      <c r="U787" s="104"/>
      <c r="V787" s="113"/>
      <c r="W787" s="113"/>
      <c r="X787" s="113"/>
      <c r="Y787" s="113"/>
      <c r="Z787" s="104"/>
      <c r="AA787" s="113"/>
      <c r="AB787" s="113"/>
      <c r="AC787" s="113"/>
      <c r="AD787" s="113"/>
      <c r="AE787" s="104"/>
      <c r="AF787" s="113"/>
      <c r="AG787" s="113"/>
      <c r="AH787" s="113"/>
      <c r="AI787" s="113"/>
      <c r="AJ787" s="104"/>
      <c r="AK787" s="113"/>
      <c r="AL787" s="113"/>
      <c r="AM787" s="113"/>
      <c r="AN787" s="113"/>
      <c r="AO787" s="104"/>
      <c r="AP787" s="113"/>
      <c r="AQ787" s="113"/>
      <c r="AR787" s="113"/>
      <c r="AS787" s="113"/>
      <c r="AT787" s="104"/>
      <c r="AU787" s="113"/>
      <c r="AV787" s="113"/>
      <c r="AW787" s="699"/>
      <c r="AX787" s="69">
        <v>0</v>
      </c>
      <c r="AY787" s="104">
        <f>SUM(AU787,AV787,AW787,AX787)</f>
        <v>0</v>
      </c>
      <c r="AZ787" s="69">
        <v>0</v>
      </c>
      <c r="BA787" s="69">
        <v>0</v>
      </c>
      <c r="BB787" s="69">
        <v>0</v>
      </c>
      <c r="BC787" s="69">
        <v>0</v>
      </c>
      <c r="BD787" s="104">
        <f>SUM(AZ787,BA787,BB787,BC787)</f>
        <v>0</v>
      </c>
      <c r="BE787" s="57">
        <v>0</v>
      </c>
      <c r="BF787" s="57">
        <v>0</v>
      </c>
      <c r="BG787" s="57">
        <v>0</v>
      </c>
      <c r="BH787" s="484"/>
    </row>
    <row r="788" spans="1:60" s="52" customFormat="1" x14ac:dyDescent="0.25">
      <c r="A788" s="88" t="s">
        <v>248</v>
      </c>
      <c r="B788" s="786"/>
      <c r="C788" s="54">
        <f t="shared" ref="C788:AH788" si="813">C786-C787</f>
        <v>3307</v>
      </c>
      <c r="D788" s="54">
        <f t="shared" si="813"/>
        <v>3963</v>
      </c>
      <c r="E788" s="54">
        <f t="shared" si="813"/>
        <v>4807</v>
      </c>
      <c r="F788" s="54">
        <f t="shared" si="813"/>
        <v>5682</v>
      </c>
      <c r="G788" s="62">
        <f t="shared" si="813"/>
        <v>1382</v>
      </c>
      <c r="H788" s="62">
        <f t="shared" si="813"/>
        <v>1513</v>
      </c>
      <c r="I788" s="62">
        <f t="shared" si="813"/>
        <v>1847</v>
      </c>
      <c r="J788" s="62">
        <f t="shared" si="813"/>
        <v>1394</v>
      </c>
      <c r="K788" s="54">
        <f t="shared" si="813"/>
        <v>6136</v>
      </c>
      <c r="L788" s="62">
        <f t="shared" si="813"/>
        <v>1840</v>
      </c>
      <c r="M788" s="62">
        <f t="shared" si="813"/>
        <v>1917</v>
      </c>
      <c r="N788" s="62">
        <f t="shared" si="813"/>
        <v>2245</v>
      </c>
      <c r="O788" s="62">
        <f t="shared" si="813"/>
        <v>1499</v>
      </c>
      <c r="P788" s="54">
        <f t="shared" si="813"/>
        <v>7501</v>
      </c>
      <c r="Q788" s="62">
        <f t="shared" si="813"/>
        <v>2182</v>
      </c>
      <c r="R788" s="62">
        <f t="shared" si="813"/>
        <v>2108</v>
      </c>
      <c r="S788" s="62">
        <f t="shared" si="813"/>
        <v>2483</v>
      </c>
      <c r="T788" s="62">
        <f t="shared" si="813"/>
        <v>1609</v>
      </c>
      <c r="U788" s="54">
        <f t="shared" si="813"/>
        <v>8382</v>
      </c>
      <c r="V788" s="62">
        <f t="shared" si="813"/>
        <v>2880</v>
      </c>
      <c r="W788" s="62">
        <f t="shared" si="813"/>
        <v>2143</v>
      </c>
      <c r="X788" s="62">
        <f t="shared" si="813"/>
        <v>2597</v>
      </c>
      <c r="Y788" s="62">
        <f t="shared" si="813"/>
        <v>1771</v>
      </c>
      <c r="Z788" s="54">
        <f t="shared" si="813"/>
        <v>9391</v>
      </c>
      <c r="AA788" s="62">
        <f t="shared" si="813"/>
        <v>2479</v>
      </c>
      <c r="AB788" s="193">
        <f t="shared" si="813"/>
        <v>2388</v>
      </c>
      <c r="AC788" s="62">
        <f t="shared" si="813"/>
        <v>2366</v>
      </c>
      <c r="AD788" s="62">
        <f t="shared" si="813"/>
        <v>1747</v>
      </c>
      <c r="AE788" s="54">
        <f t="shared" si="813"/>
        <v>8980</v>
      </c>
      <c r="AF788" s="62">
        <f t="shared" si="813"/>
        <v>4423</v>
      </c>
      <c r="AG788" s="193">
        <f t="shared" si="813"/>
        <v>2937</v>
      </c>
      <c r="AH788" s="62">
        <f t="shared" si="813"/>
        <v>2916</v>
      </c>
      <c r="AI788" s="62">
        <f t="shared" ref="AI788:AY788" si="814">AI786-AI787</f>
        <v>2322</v>
      </c>
      <c r="AJ788" s="54">
        <f t="shared" si="814"/>
        <v>12598</v>
      </c>
      <c r="AK788" s="62">
        <f t="shared" si="814"/>
        <v>2788</v>
      </c>
      <c r="AL788" s="193">
        <f t="shared" si="814"/>
        <v>5452</v>
      </c>
      <c r="AM788" s="62">
        <f t="shared" si="814"/>
        <v>1760</v>
      </c>
      <c r="AN788" s="62">
        <f t="shared" si="814"/>
        <v>1054</v>
      </c>
      <c r="AO788" s="54">
        <f t="shared" si="814"/>
        <v>11054</v>
      </c>
      <c r="AP788" s="62">
        <f t="shared" si="814"/>
        <v>2107</v>
      </c>
      <c r="AQ788" s="193">
        <f t="shared" si="814"/>
        <v>460</v>
      </c>
      <c r="AR788" s="62">
        <f t="shared" si="814"/>
        <v>-4721</v>
      </c>
      <c r="AS788" s="62">
        <f>AS786-AS787</f>
        <v>-710</v>
      </c>
      <c r="AT788" s="54">
        <f>AT786-AT787</f>
        <v>-2864</v>
      </c>
      <c r="AU788" s="62">
        <f>AU786-AU787</f>
        <v>17</v>
      </c>
      <c r="AV788" s="193">
        <f>AV786-AV787</f>
        <v>901</v>
      </c>
      <c r="AW788" s="875">
        <f>AW786-AW787</f>
        <v>918</v>
      </c>
      <c r="AX788" s="109">
        <f t="shared" si="814"/>
        <v>917.1724729160037</v>
      </c>
      <c r="AY788" s="110">
        <f t="shared" si="814"/>
        <v>2753.1724729160014</v>
      </c>
      <c r="AZ788" s="109">
        <f t="shared" ref="AZ788:BG788" ca="1" si="815">AZ786-AZ787</f>
        <v>2264.4744055762631</v>
      </c>
      <c r="BA788" s="109">
        <f t="shared" ca="1" si="815"/>
        <v>1327.0559236411937</v>
      </c>
      <c r="BB788" s="109">
        <f t="shared" ca="1" si="815"/>
        <v>1879.7348325749017</v>
      </c>
      <c r="BC788" s="109">
        <f t="shared" ca="1" si="815"/>
        <v>2132.6835781235518</v>
      </c>
      <c r="BD788" s="110">
        <f t="shared" ca="1" si="815"/>
        <v>7603.9487399159152</v>
      </c>
      <c r="BE788" s="110">
        <f t="shared" ca="1" si="815"/>
        <v>10682.799973391564</v>
      </c>
      <c r="BF788" s="110">
        <f t="shared" ca="1" si="815"/>
        <v>11725.114564528363</v>
      </c>
      <c r="BG788" s="110">
        <f t="shared" ca="1" si="815"/>
        <v>12628.070645430882</v>
      </c>
      <c r="BH788" s="499"/>
    </row>
    <row r="789" spans="1:60" s="49" customFormat="1" x14ac:dyDescent="0.25">
      <c r="A789" s="483" t="s">
        <v>249</v>
      </c>
      <c r="B789" s="209"/>
      <c r="C789" s="39">
        <f t="shared" ref="C789:AR789" si="816">SUM(C740:C754)*-C803</f>
        <v>-112.50000000000003</v>
      </c>
      <c r="D789" s="39">
        <f t="shared" si="816"/>
        <v>-77.919999999999987</v>
      </c>
      <c r="E789" s="39">
        <f t="shared" si="816"/>
        <v>-38.18</v>
      </c>
      <c r="F789" s="39">
        <f t="shared" si="816"/>
        <v>109.08</v>
      </c>
      <c r="G789" s="484">
        <f t="shared" si="816"/>
        <v>-36</v>
      </c>
      <c r="H789" s="484">
        <f t="shared" si="816"/>
        <v>72.999999999999986</v>
      </c>
      <c r="I789" s="484">
        <f t="shared" si="816"/>
        <v>-36.42</v>
      </c>
      <c r="J789" s="484">
        <f t="shared" si="816"/>
        <v>0</v>
      </c>
      <c r="K789" s="39">
        <f t="shared" si="816"/>
        <v>0</v>
      </c>
      <c r="L789" s="484">
        <f t="shared" si="816"/>
        <v>-17.84</v>
      </c>
      <c r="M789" s="484">
        <f t="shared" si="816"/>
        <v>-53.1</v>
      </c>
      <c r="N789" s="484">
        <f t="shared" si="816"/>
        <v>0</v>
      </c>
      <c r="O789" s="484">
        <f t="shared" si="816"/>
        <v>-52.019999999999996</v>
      </c>
      <c r="P789" s="39">
        <f t="shared" si="816"/>
        <v>-105.54</v>
      </c>
      <c r="Q789" s="484">
        <f t="shared" si="816"/>
        <v>0</v>
      </c>
      <c r="R789" s="484">
        <f t="shared" si="816"/>
        <v>0</v>
      </c>
      <c r="S789" s="484">
        <f t="shared" si="816"/>
        <v>0</v>
      </c>
      <c r="T789" s="484">
        <f t="shared" si="816"/>
        <v>-440.44</v>
      </c>
      <c r="U789" s="39">
        <f t="shared" si="816"/>
        <v>-427.25</v>
      </c>
      <c r="V789" s="484">
        <f t="shared" si="816"/>
        <v>166.8</v>
      </c>
      <c r="W789" s="484">
        <f t="shared" si="816"/>
        <v>-98.58</v>
      </c>
      <c r="X789" s="484">
        <f t="shared" si="816"/>
        <v>0</v>
      </c>
      <c r="Y789" s="484">
        <f t="shared" si="816"/>
        <v>0</v>
      </c>
      <c r="Z789" s="39">
        <f t="shared" si="816"/>
        <v>16.389999999999993</v>
      </c>
      <c r="AA789" s="484">
        <f t="shared" si="816"/>
        <v>0</v>
      </c>
      <c r="AB789" s="191">
        <f t="shared" si="816"/>
        <v>0</v>
      </c>
      <c r="AC789" s="484">
        <f t="shared" si="816"/>
        <v>-110.04</v>
      </c>
      <c r="AD789" s="484">
        <f t="shared" si="816"/>
        <v>92.820000000000007</v>
      </c>
      <c r="AE789" s="39">
        <f t="shared" si="816"/>
        <v>-15.780000000000003</v>
      </c>
      <c r="AF789" s="484">
        <f t="shared" si="816"/>
        <v>1551.42</v>
      </c>
      <c r="AG789" s="191">
        <f t="shared" si="816"/>
        <v>151</v>
      </c>
      <c r="AH789" s="484">
        <f t="shared" si="816"/>
        <v>104.86000000000001</v>
      </c>
      <c r="AI789" s="484">
        <f t="shared" si="816"/>
        <v>119.76000000000002</v>
      </c>
      <c r="AJ789" s="39">
        <f t="shared" si="816"/>
        <v>1928.96</v>
      </c>
      <c r="AK789" s="484">
        <f t="shared" si="816"/>
        <v>29.96</v>
      </c>
      <c r="AL789" s="191">
        <f t="shared" si="816"/>
        <v>2951.04</v>
      </c>
      <c r="AM789" s="484">
        <f t="shared" si="816"/>
        <v>-1015.8400000000001</v>
      </c>
      <c r="AN789" s="484">
        <f t="shared" si="816"/>
        <v>-1162.24</v>
      </c>
      <c r="AO789" s="39">
        <f t="shared" si="816"/>
        <v>816.33999999999958</v>
      </c>
      <c r="AP789" s="484">
        <f t="shared" si="816"/>
        <v>-654.12</v>
      </c>
      <c r="AQ789" s="191">
        <f t="shared" si="816"/>
        <v>-617.44000000000005</v>
      </c>
      <c r="AR789" s="484">
        <f t="shared" si="816"/>
        <v>-4848.12</v>
      </c>
      <c r="AS789" s="484">
        <f>SUM(AS740:AS754)*-AS803</f>
        <v>-343.71</v>
      </c>
      <c r="AT789" s="39">
        <f>SUM(AT740:AT754)*-AT803</f>
        <v>-6490.7199999999993</v>
      </c>
      <c r="AU789" s="484">
        <f>SUM(AU740:AU754)*-AU803</f>
        <v>-546.9</v>
      </c>
      <c r="AV789" s="191">
        <f>SUM(AV740:AV754)*-AV803</f>
        <v>-512.12</v>
      </c>
      <c r="AW789" s="289">
        <f>SUM(AW740:AW754)*-AW803</f>
        <v>-549</v>
      </c>
      <c r="AX789" s="69">
        <v>-400</v>
      </c>
      <c r="AY789" s="104">
        <f>SUM(AU789,AV789,AW789,AX789)</f>
        <v>-2008.02</v>
      </c>
      <c r="AZ789" s="69">
        <v>800</v>
      </c>
      <c r="BA789" s="69">
        <v>-400</v>
      </c>
      <c r="BB789" s="69">
        <v>-600</v>
      </c>
      <c r="BC789" s="69">
        <v>-600</v>
      </c>
      <c r="BD789" s="104">
        <f>SUM(AZ789,BA789,BB789,BC789)</f>
        <v>-800</v>
      </c>
      <c r="BE789" s="57">
        <v>0</v>
      </c>
      <c r="BF789" s="57">
        <v>-1000</v>
      </c>
      <c r="BG789" s="57">
        <v>-2000</v>
      </c>
      <c r="BH789" s="484"/>
    </row>
    <row r="790" spans="1:60" s="49" customFormat="1" x14ac:dyDescent="0.25">
      <c r="A790" s="483" t="s">
        <v>250</v>
      </c>
      <c r="B790" s="209"/>
      <c r="C790" s="104"/>
      <c r="D790" s="104"/>
      <c r="E790" s="104"/>
      <c r="F790" s="104"/>
      <c r="G790" s="113"/>
      <c r="H790" s="113"/>
      <c r="I790" s="113"/>
      <c r="J790" s="113"/>
      <c r="K790" s="104"/>
      <c r="L790" s="113"/>
      <c r="M790" s="113"/>
      <c r="N790" s="113"/>
      <c r="O790" s="113"/>
      <c r="P790" s="104"/>
      <c r="Q790" s="113"/>
      <c r="R790" s="113"/>
      <c r="S790" s="113"/>
      <c r="T790" s="113"/>
      <c r="U790" s="104"/>
      <c r="V790" s="113"/>
      <c r="W790" s="113"/>
      <c r="X790" s="113"/>
      <c r="Y790" s="113"/>
      <c r="Z790" s="104"/>
      <c r="AA790" s="113"/>
      <c r="AB790" s="113"/>
      <c r="AC790" s="113"/>
      <c r="AD790" s="113"/>
      <c r="AE790" s="104"/>
      <c r="AF790" s="113"/>
      <c r="AG790" s="113"/>
      <c r="AH790" s="113"/>
      <c r="AI790" s="113"/>
      <c r="AJ790" s="104"/>
      <c r="AK790" s="113"/>
      <c r="AL790" s="113"/>
      <c r="AM790" s="113"/>
      <c r="AN790" s="113"/>
      <c r="AO790" s="104"/>
      <c r="AP790" s="113"/>
      <c r="AQ790" s="113"/>
      <c r="AR790" s="113"/>
      <c r="AS790" s="113"/>
      <c r="AT790" s="104"/>
      <c r="AU790" s="113"/>
      <c r="AV790" s="113"/>
      <c r="AW790" s="699"/>
      <c r="AX790" s="113"/>
      <c r="AY790" s="104"/>
      <c r="AZ790" s="113"/>
      <c r="BA790" s="113"/>
      <c r="BB790" s="113"/>
      <c r="BC790" s="113"/>
      <c r="BD790" s="104"/>
      <c r="BE790" s="104"/>
      <c r="BF790" s="104"/>
      <c r="BG790" s="104"/>
      <c r="BH790" s="484"/>
    </row>
    <row r="791" spans="1:60" s="52" customFormat="1" x14ac:dyDescent="0.25">
      <c r="A791" s="88" t="s">
        <v>251</v>
      </c>
      <c r="B791" s="786"/>
      <c r="C791" s="54">
        <f t="shared" ref="C791:AR791" si="817">C786-SUM(C789:C790)+C783</f>
        <v>3419.5</v>
      </c>
      <c r="D791" s="54">
        <f t="shared" si="817"/>
        <v>4040.92</v>
      </c>
      <c r="E791" s="54">
        <f t="shared" si="817"/>
        <v>4845.18</v>
      </c>
      <c r="F791" s="54">
        <f t="shared" si="817"/>
        <v>5572.92</v>
      </c>
      <c r="G791" s="62">
        <f t="shared" si="817"/>
        <v>1418</v>
      </c>
      <c r="H791" s="62">
        <f t="shared" si="817"/>
        <v>1440</v>
      </c>
      <c r="I791" s="62">
        <f t="shared" si="817"/>
        <v>1883.42</v>
      </c>
      <c r="J791" s="62">
        <f t="shared" si="817"/>
        <v>1394</v>
      </c>
      <c r="K791" s="54">
        <f t="shared" si="817"/>
        <v>6136</v>
      </c>
      <c r="L791" s="62">
        <f t="shared" si="817"/>
        <v>1857.84</v>
      </c>
      <c r="M791" s="62">
        <f t="shared" si="817"/>
        <v>1970.1</v>
      </c>
      <c r="N791" s="62">
        <f t="shared" si="817"/>
        <v>2245</v>
      </c>
      <c r="O791" s="62">
        <f t="shared" si="817"/>
        <v>1551.02</v>
      </c>
      <c r="P791" s="54">
        <f t="shared" si="817"/>
        <v>7606.54</v>
      </c>
      <c r="Q791" s="62">
        <f t="shared" si="817"/>
        <v>2182</v>
      </c>
      <c r="R791" s="62">
        <f t="shared" si="817"/>
        <v>2108</v>
      </c>
      <c r="S791" s="62">
        <f t="shared" si="817"/>
        <v>2483</v>
      </c>
      <c r="T791" s="62">
        <f t="shared" si="817"/>
        <v>2049.44</v>
      </c>
      <c r="U791" s="54">
        <f t="shared" si="817"/>
        <v>8809.25</v>
      </c>
      <c r="V791" s="62">
        <f t="shared" si="817"/>
        <v>2713.2</v>
      </c>
      <c r="W791" s="62">
        <f t="shared" si="817"/>
        <v>2241.58</v>
      </c>
      <c r="X791" s="62">
        <f t="shared" si="817"/>
        <v>2597</v>
      </c>
      <c r="Y791" s="62">
        <f t="shared" si="817"/>
        <v>1771</v>
      </c>
      <c r="Z791" s="54">
        <f t="shared" si="817"/>
        <v>9374.61</v>
      </c>
      <c r="AA791" s="62">
        <f t="shared" si="817"/>
        <v>2479</v>
      </c>
      <c r="AB791" s="193">
        <f t="shared" si="817"/>
        <v>2388</v>
      </c>
      <c r="AC791" s="62">
        <f t="shared" si="817"/>
        <v>2476.04</v>
      </c>
      <c r="AD791" s="62">
        <f t="shared" si="817"/>
        <v>1654.18</v>
      </c>
      <c r="AE791" s="54">
        <f t="shared" si="817"/>
        <v>8995.7800000000007</v>
      </c>
      <c r="AF791" s="62">
        <f t="shared" si="817"/>
        <v>2871.58</v>
      </c>
      <c r="AG791" s="193">
        <f t="shared" si="817"/>
        <v>2786</v>
      </c>
      <c r="AH791" s="62">
        <f t="shared" si="817"/>
        <v>2811.14</v>
      </c>
      <c r="AI791" s="62">
        <f t="shared" si="817"/>
        <v>2202.2399999999998</v>
      </c>
      <c r="AJ791" s="54">
        <f t="shared" si="817"/>
        <v>10669.04</v>
      </c>
      <c r="AK791" s="62">
        <f t="shared" si="817"/>
        <v>2758.04</v>
      </c>
      <c r="AL791" s="193">
        <f t="shared" si="817"/>
        <v>2479.96</v>
      </c>
      <c r="AM791" s="62">
        <f t="shared" si="817"/>
        <v>2452.84</v>
      </c>
      <c r="AN791" s="62">
        <f t="shared" si="817"/>
        <v>1947.2399999999998</v>
      </c>
      <c r="AO791" s="54">
        <f t="shared" si="817"/>
        <v>9624.66</v>
      </c>
      <c r="AP791" s="62">
        <f t="shared" si="817"/>
        <v>2787.12</v>
      </c>
      <c r="AQ791" s="193">
        <f t="shared" si="817"/>
        <v>1092.44</v>
      </c>
      <c r="AR791" s="62">
        <f t="shared" si="817"/>
        <v>130.11999999999989</v>
      </c>
      <c r="AS791" s="62">
        <f>AS786-SUM(AS789:AS790)+AS783</f>
        <v>-366.29</v>
      </c>
      <c r="AT791" s="54">
        <f>AT786-SUM(AT789:AT790)+AT783</f>
        <v>3658.7199999999993</v>
      </c>
      <c r="AU791" s="62">
        <f>AU786-SUM(AU789:AU790)+AU783</f>
        <v>575.9</v>
      </c>
      <c r="AV791" s="193">
        <f>AV786-SUM(AV789:AV790)+AV783</f>
        <v>1424.12</v>
      </c>
      <c r="AW791" s="875">
        <f>AW786-SUM(AW789:AW790)+AW783</f>
        <v>1472</v>
      </c>
      <c r="AX791" s="109">
        <f>AX786-SUM(AX789:AX790)</f>
        <v>1317.1724729160037</v>
      </c>
      <c r="AY791" s="110">
        <f>AY786-SUM(AY789:AY790)</f>
        <v>4761.1924729160019</v>
      </c>
      <c r="AZ791" s="109">
        <f t="shared" ref="AZ791:BG791" ca="1" si="818">AZ786-SUM(AZ789:AZ790)</f>
        <v>1464.4744055762631</v>
      </c>
      <c r="BA791" s="109">
        <f t="shared" ca="1" si="818"/>
        <v>1727.0559236411937</v>
      </c>
      <c r="BB791" s="109">
        <f t="shared" ca="1" si="818"/>
        <v>2479.7348325749017</v>
      </c>
      <c r="BC791" s="109">
        <f t="shared" ca="1" si="818"/>
        <v>2732.6835781235518</v>
      </c>
      <c r="BD791" s="110">
        <f t="shared" ca="1" si="818"/>
        <v>8403.9487399159152</v>
      </c>
      <c r="BE791" s="110">
        <f t="shared" ca="1" si="818"/>
        <v>10682.799973391564</v>
      </c>
      <c r="BF791" s="110">
        <f t="shared" ca="1" si="818"/>
        <v>12725.114564528363</v>
      </c>
      <c r="BG791" s="110">
        <f t="shared" ca="1" si="818"/>
        <v>14628.070645430882</v>
      </c>
      <c r="BH791" s="499"/>
    </row>
    <row r="792" spans="1:60" s="72" customFormat="1" x14ac:dyDescent="0.25">
      <c r="A792" s="796"/>
      <c r="B792" s="797"/>
      <c r="C792" s="993"/>
      <c r="D792" s="993"/>
      <c r="E792" s="993"/>
      <c r="F792" s="993"/>
      <c r="G792" s="994"/>
      <c r="H792" s="994"/>
      <c r="I792" s="994"/>
      <c r="J792" s="994"/>
      <c r="K792" s="993"/>
      <c r="L792" s="994"/>
      <c r="M792" s="994"/>
      <c r="N792" s="994"/>
      <c r="O792" s="994"/>
      <c r="P792" s="993"/>
      <c r="Q792" s="994"/>
      <c r="R792" s="994"/>
      <c r="S792" s="994"/>
      <c r="T792" s="994"/>
      <c r="U792" s="993"/>
      <c r="V792" s="994"/>
      <c r="W792" s="994"/>
      <c r="X792" s="994"/>
      <c r="Y792" s="994"/>
      <c r="Z792" s="993"/>
      <c r="AA792" s="994"/>
      <c r="AB792" s="994"/>
      <c r="AC792" s="994"/>
      <c r="AD792" s="994"/>
      <c r="AE792" s="993"/>
      <c r="AF792" s="994"/>
      <c r="AG792" s="994"/>
      <c r="AH792" s="994"/>
      <c r="AI792" s="994"/>
      <c r="AJ792" s="993"/>
      <c r="AK792" s="994"/>
      <c r="AL792" s="994"/>
      <c r="AM792" s="994"/>
      <c r="AN792" s="994"/>
      <c r="AO792" s="993"/>
      <c r="AP792" s="994"/>
      <c r="AQ792" s="994"/>
      <c r="AR792" s="994"/>
      <c r="AS792" s="994"/>
      <c r="AT792" s="993"/>
      <c r="AU792" s="994"/>
      <c r="AV792" s="994"/>
      <c r="AW792" s="995"/>
      <c r="AX792" s="994"/>
      <c r="AY792" s="993"/>
      <c r="AZ792" s="994"/>
      <c r="BA792" s="994"/>
      <c r="BB792" s="994"/>
      <c r="BC792" s="994"/>
      <c r="BD792" s="993"/>
      <c r="BE792" s="993"/>
      <c r="BF792" s="993"/>
      <c r="BG792" s="993"/>
      <c r="BH792" s="729"/>
    </row>
    <row r="793" spans="1:60" s="44" customFormat="1" x14ac:dyDescent="0.25">
      <c r="A793" s="473" t="s">
        <v>252</v>
      </c>
      <c r="B793" s="798"/>
      <c r="C793" s="16">
        <f t="shared" ref="C793:AR793" si="819">C780/C778</f>
        <v>0.30505478967833155</v>
      </c>
      <c r="D793" s="16">
        <f t="shared" si="819"/>
        <v>0.32910819375282935</v>
      </c>
      <c r="E793" s="16">
        <f t="shared" si="819"/>
        <v>0.33047370384185004</v>
      </c>
      <c r="F793" s="16">
        <f t="shared" si="819"/>
        <v>0.28239740820734344</v>
      </c>
      <c r="G793" s="473">
        <f t="shared" si="819"/>
        <v>0.40729783037475348</v>
      </c>
      <c r="H793" s="473">
        <f t="shared" si="819"/>
        <v>0.29230769230769232</v>
      </c>
      <c r="I793" s="473">
        <f t="shared" si="819"/>
        <v>0.20982864532816037</v>
      </c>
      <c r="J793" s="473">
        <f t="shared" si="819"/>
        <v>0.33812949640287771</v>
      </c>
      <c r="K793" s="16">
        <f t="shared" si="819"/>
        <v>0.30062370062370064</v>
      </c>
      <c r="L793" s="473">
        <f t="shared" si="819"/>
        <v>0.38129251700680272</v>
      </c>
      <c r="M793" s="473">
        <f t="shared" si="819"/>
        <v>0.27023622047244095</v>
      </c>
      <c r="N793" s="473">
        <f t="shared" si="819"/>
        <v>0.30599455040871937</v>
      </c>
      <c r="O793" s="473">
        <f t="shared" si="819"/>
        <v>0.25314912637139375</v>
      </c>
      <c r="P793" s="16">
        <f t="shared" si="819"/>
        <v>0.30418095704719911</v>
      </c>
      <c r="Q793" s="473">
        <f t="shared" si="819"/>
        <v>0.24628197501487209</v>
      </c>
      <c r="R793" s="473">
        <f t="shared" si="819"/>
        <v>0.35542168674698793</v>
      </c>
      <c r="S793" s="473">
        <f t="shared" si="819"/>
        <v>0.42705704189803129</v>
      </c>
      <c r="T793" s="473">
        <f t="shared" si="819"/>
        <v>0.43982630272952855</v>
      </c>
      <c r="U793" s="16">
        <f t="shared" si="819"/>
        <v>0.36905105278338624</v>
      </c>
      <c r="V793" s="473">
        <f t="shared" si="819"/>
        <v>0.20582836163377696</v>
      </c>
      <c r="W793" s="473">
        <f t="shared" si="819"/>
        <v>0.2681369704004643</v>
      </c>
      <c r="X793" s="473">
        <f t="shared" si="819"/>
        <v>0.33062395409992829</v>
      </c>
      <c r="Y793" s="473">
        <f t="shared" si="819"/>
        <v>0.22908712252690039</v>
      </c>
      <c r="Z793" s="16">
        <f t="shared" si="819"/>
        <v>0.25988700564971751</v>
      </c>
      <c r="AA793" s="473">
        <f t="shared" si="819"/>
        <v>0.35248322147651007</v>
      </c>
      <c r="AB793" s="195">
        <f t="shared" si="819"/>
        <v>0.26926153025859773</v>
      </c>
      <c r="AC793" s="473">
        <f t="shared" si="819"/>
        <v>0.26976229961304588</v>
      </c>
      <c r="AD793" s="473">
        <f t="shared" si="819"/>
        <v>0.29287305122494434</v>
      </c>
      <c r="AE793" s="16">
        <f t="shared" si="819"/>
        <v>0.29648970118944007</v>
      </c>
      <c r="AF793" s="473">
        <f t="shared" si="819"/>
        <v>0.26648865153538048</v>
      </c>
      <c r="AG793" s="195">
        <f t="shared" si="819"/>
        <v>0.18075356415478616</v>
      </c>
      <c r="AH793" s="473">
        <f t="shared" si="819"/>
        <v>0.15127140633108457</v>
      </c>
      <c r="AI793" s="473">
        <f t="shared" si="819"/>
        <v>0.29512804497189254</v>
      </c>
      <c r="AJ793" s="16">
        <f t="shared" si="819"/>
        <v>0.21970262746961777</v>
      </c>
      <c r="AK793" s="473">
        <f t="shared" si="819"/>
        <v>0.1745846691926552</v>
      </c>
      <c r="AL793" s="195">
        <f t="shared" si="819"/>
        <v>6.9503938095896084E-2</v>
      </c>
      <c r="AM793" s="473">
        <f t="shared" si="819"/>
        <v>-6.4915758176412292E-2</v>
      </c>
      <c r="AN793" s="473">
        <f t="shared" si="819"/>
        <v>1.5445151033386328</v>
      </c>
      <c r="AO793" s="16">
        <f t="shared" si="819"/>
        <v>0.20897877223178429</v>
      </c>
      <c r="AP793" s="473">
        <f t="shared" si="819"/>
        <v>-2.8495440729483283E-2</v>
      </c>
      <c r="AQ793" s="195">
        <f t="shared" si="819"/>
        <v>0.71886792452830184</v>
      </c>
      <c r="AR793" s="473">
        <f t="shared" si="819"/>
        <v>-0.10619834710743802</v>
      </c>
      <c r="AS793" s="473">
        <f>AS780/AS778</f>
        <v>0.18448275862068966</v>
      </c>
      <c r="AT793" s="16">
        <f>AT780/AT778</f>
        <v>-0.62593230063109584</v>
      </c>
      <c r="AU793" s="473">
        <f>AU780/AU778</f>
        <v>2.6304347826086958</v>
      </c>
      <c r="AV793" s="195">
        <f>AV780/AV778</f>
        <v>0.45447154471544715</v>
      </c>
      <c r="AW793" s="876">
        <f>AW780/AW778</f>
        <v>6.030150753768844E-2</v>
      </c>
      <c r="AX793" s="211">
        <v>0.21</v>
      </c>
      <c r="AY793" s="115">
        <f>AY780/AY778</f>
        <v>0.28105945064470395</v>
      </c>
      <c r="AZ793" s="211">
        <v>0.21</v>
      </c>
      <c r="BA793" s="211">
        <v>0.21</v>
      </c>
      <c r="BB793" s="211">
        <v>0.21</v>
      </c>
      <c r="BC793" s="211">
        <v>0.21</v>
      </c>
      <c r="BD793" s="115">
        <f ca="1">BD780/BD778</f>
        <v>0.20999999999999988</v>
      </c>
      <c r="BE793" s="42">
        <v>0.21</v>
      </c>
      <c r="BF793" s="42">
        <v>0.21</v>
      </c>
      <c r="BG793" s="42">
        <v>0.21</v>
      </c>
      <c r="BH793" s="473"/>
    </row>
    <row r="794" spans="1:60" s="44" customFormat="1" x14ac:dyDescent="0.25">
      <c r="A794" s="473" t="s">
        <v>253</v>
      </c>
      <c r="B794" s="798"/>
      <c r="C794" s="16">
        <f t="shared" ref="C794:AR794" si="820">C781/C778</f>
        <v>5.708731000353482E-2</v>
      </c>
      <c r="D794" s="16">
        <f t="shared" si="820"/>
        <v>2.0069413007393993E-2</v>
      </c>
      <c r="E794" s="16">
        <f t="shared" si="820"/>
        <v>1.5790128061668532E-2</v>
      </c>
      <c r="F794" s="16">
        <f t="shared" si="820"/>
        <v>5.0971922246220304E-2</v>
      </c>
      <c r="G794" s="473">
        <f t="shared" si="820"/>
        <v>-0.11637080867850098</v>
      </c>
      <c r="H794" s="473">
        <f t="shared" si="820"/>
        <v>-4.8351648351648352E-3</v>
      </c>
      <c r="I794" s="473">
        <f t="shared" si="820"/>
        <v>0.13255738764953121</v>
      </c>
      <c r="J794" s="473">
        <f t="shared" si="820"/>
        <v>-3.1924460431654679E-2</v>
      </c>
      <c r="K794" s="16">
        <f t="shared" si="820"/>
        <v>9.5634095634095639E-3</v>
      </c>
      <c r="L794" s="473">
        <f t="shared" si="820"/>
        <v>-2.8911564625850341E-2</v>
      </c>
      <c r="M794" s="473">
        <f t="shared" si="820"/>
        <v>8.2204724409448815E-2</v>
      </c>
      <c r="N794" s="473">
        <f t="shared" si="820"/>
        <v>3.4877384196185288E-2</v>
      </c>
      <c r="O794" s="473">
        <f t="shared" si="820"/>
        <v>8.6550182852498977E-2</v>
      </c>
      <c r="P794" s="16">
        <f t="shared" si="820"/>
        <v>4.2217867058631391E-2</v>
      </c>
      <c r="Q794" s="473">
        <f t="shared" si="820"/>
        <v>8.6258179654967279E-2</v>
      </c>
      <c r="R794" s="473">
        <f t="shared" si="820"/>
        <v>-2.6506024096385541E-2</v>
      </c>
      <c r="S794" s="473">
        <f t="shared" si="820"/>
        <v>-9.3134780413932361E-2</v>
      </c>
      <c r="T794" s="473">
        <f t="shared" si="820"/>
        <v>2.0161290322580645E-2</v>
      </c>
      <c r="U794" s="16">
        <f t="shared" si="820"/>
        <v>-7.3550620132679552E-3</v>
      </c>
      <c r="V794" s="473">
        <f t="shared" si="820"/>
        <v>0.12643414410279946</v>
      </c>
      <c r="W794" s="473">
        <f t="shared" si="820"/>
        <v>7.1387115496227505E-2</v>
      </c>
      <c r="X794" s="473">
        <f t="shared" si="820"/>
        <v>2.1037532871145112E-2</v>
      </c>
      <c r="Y794" s="473">
        <f t="shared" si="820"/>
        <v>0.11419645956265186</v>
      </c>
      <c r="Z794" s="16">
        <f t="shared" si="820"/>
        <v>8.1651869787463013E-2</v>
      </c>
      <c r="AA794" s="473">
        <f t="shared" si="820"/>
        <v>-2.0402684563758388E-2</v>
      </c>
      <c r="AB794" s="195">
        <f t="shared" si="820"/>
        <v>5.3852306051719541E-2</v>
      </c>
      <c r="AC794" s="473">
        <f t="shared" si="820"/>
        <v>4.6434494195688222E-2</v>
      </c>
      <c r="AD794" s="473">
        <f t="shared" si="820"/>
        <v>1.4847809948032665E-2</v>
      </c>
      <c r="AE794" s="16">
        <f t="shared" si="820"/>
        <v>2.4223962866260516E-2</v>
      </c>
      <c r="AF794" s="473">
        <f t="shared" si="820"/>
        <v>-0.46088117489986646</v>
      </c>
      <c r="AG794" s="195">
        <f t="shared" si="820"/>
        <v>2.6221995926680244E-2</v>
      </c>
      <c r="AH794" s="473">
        <f t="shared" si="820"/>
        <v>5.5007784120394393E-2</v>
      </c>
      <c r="AI794" s="473">
        <f t="shared" si="820"/>
        <v>-5.0593379138038727E-2</v>
      </c>
      <c r="AJ794" s="16">
        <f t="shared" si="820"/>
        <v>-0.10679611650485436</v>
      </c>
      <c r="AK794" s="473">
        <f t="shared" si="820"/>
        <v>1.3407169921305742E-2</v>
      </c>
      <c r="AL794" s="195">
        <f t="shared" si="820"/>
        <v>0.15807655105706783</v>
      </c>
      <c r="AM794" s="473">
        <f t="shared" si="820"/>
        <v>0.26065411298315161</v>
      </c>
      <c r="AN794" s="473">
        <f t="shared" si="820"/>
        <v>-1.2710651828298887</v>
      </c>
      <c r="AO794" s="16">
        <f t="shared" si="820"/>
        <v>8.3907056798623071E-3</v>
      </c>
      <c r="AP794" s="473">
        <f t="shared" si="820"/>
        <v>0.20288753799392098</v>
      </c>
      <c r="AQ794" s="195">
        <f t="shared" si="820"/>
        <v>-0.22358490566037736</v>
      </c>
      <c r="AR794" s="473">
        <f t="shared" si="820"/>
        <v>0.17458677685950413</v>
      </c>
      <c r="AS794" s="473">
        <f>AS781/AS778</f>
        <v>-0.26896551724137929</v>
      </c>
      <c r="AT794" s="16">
        <f>AT781/AT778</f>
        <v>0.22489959839357429</v>
      </c>
      <c r="AU794" s="473">
        <f>AU781/AU778</f>
        <v>-2.2826086956521738</v>
      </c>
      <c r="AV794" s="195">
        <f>AV781/AV778</f>
        <v>-0.36666666666666664</v>
      </c>
      <c r="AW794" s="876">
        <f>AW781/AW778</f>
        <v>-0.19396984924623115</v>
      </c>
      <c r="AX794" s="211">
        <v>0.02</v>
      </c>
      <c r="AY794" s="115">
        <f>AY781/AY778</f>
        <v>-0.19456934425924816</v>
      </c>
      <c r="AZ794" s="211">
        <v>0.02</v>
      </c>
      <c r="BA794" s="211">
        <v>0.02</v>
      </c>
      <c r="BB794" s="211">
        <v>0.02</v>
      </c>
      <c r="BC794" s="211">
        <v>0.02</v>
      </c>
      <c r="BD794" s="115">
        <f ca="1">BD781/BD778</f>
        <v>1.9999999999999987E-2</v>
      </c>
      <c r="BE794" s="42">
        <v>0.02</v>
      </c>
      <c r="BF794" s="42">
        <v>0.02</v>
      </c>
      <c r="BG794" s="42">
        <v>0.02</v>
      </c>
      <c r="BH794" s="473"/>
    </row>
    <row r="795" spans="1:60" s="40" customFormat="1" x14ac:dyDescent="0.25">
      <c r="A795" s="957"/>
      <c r="B795" s="787"/>
      <c r="C795" s="990"/>
      <c r="D795" s="990"/>
      <c r="E795" s="990"/>
      <c r="F795" s="990"/>
      <c r="G795" s="991"/>
      <c r="H795" s="991"/>
      <c r="I795" s="991"/>
      <c r="J795" s="991"/>
      <c r="K795" s="990"/>
      <c r="L795" s="991"/>
      <c r="M795" s="991"/>
      <c r="N795" s="991"/>
      <c r="O795" s="991"/>
      <c r="P795" s="990"/>
      <c r="Q795" s="991"/>
      <c r="R795" s="991"/>
      <c r="S795" s="991"/>
      <c r="T795" s="991"/>
      <c r="U795" s="990"/>
      <c r="V795" s="991"/>
      <c r="W795" s="991"/>
      <c r="X795" s="991"/>
      <c r="Y795" s="991"/>
      <c r="Z795" s="990"/>
      <c r="AA795" s="991"/>
      <c r="AB795" s="991"/>
      <c r="AC795" s="991"/>
      <c r="AD795" s="991"/>
      <c r="AE795" s="990"/>
      <c r="AF795" s="991"/>
      <c r="AG795" s="991"/>
      <c r="AH795" s="991"/>
      <c r="AI795" s="991"/>
      <c r="AJ795" s="990"/>
      <c r="AK795" s="991"/>
      <c r="AL795" s="991"/>
      <c r="AM795" s="991"/>
      <c r="AN795" s="991"/>
      <c r="AO795" s="990"/>
      <c r="AP795" s="991"/>
      <c r="AQ795" s="991"/>
      <c r="AR795" s="991"/>
      <c r="AS795" s="991"/>
      <c r="AT795" s="990"/>
      <c r="AU795" s="991"/>
      <c r="AV795" s="991"/>
      <c r="AW795" s="992"/>
      <c r="AX795" s="991"/>
      <c r="AY795" s="990"/>
      <c r="AZ795" s="991"/>
      <c r="BA795" s="991"/>
      <c r="BB795" s="991"/>
      <c r="BC795" s="991"/>
      <c r="BD795" s="990"/>
      <c r="BE795" s="990"/>
      <c r="BF795" s="990"/>
      <c r="BG795" s="990"/>
      <c r="BH795" s="728"/>
    </row>
    <row r="796" spans="1:60" s="45" customFormat="1" x14ac:dyDescent="0.25">
      <c r="A796" s="91" t="s">
        <v>254</v>
      </c>
      <c r="B796" s="799"/>
      <c r="C796" s="936">
        <f t="shared" ref="C796:AH796" si="821">C786/C801</f>
        <v>1.7817887931034482</v>
      </c>
      <c r="D796" s="936">
        <f t="shared" si="821"/>
        <v>2.0694516971279375</v>
      </c>
      <c r="E796" s="936">
        <f t="shared" si="821"/>
        <v>2.5596379126730566</v>
      </c>
      <c r="F796" s="936">
        <f t="shared" si="821"/>
        <v>3.1672240802675584</v>
      </c>
      <c r="G796" s="65">
        <f t="shared" si="821"/>
        <v>0.77771525042205969</v>
      </c>
      <c r="H796" s="65">
        <f t="shared" si="821"/>
        <v>0.83869179600886923</v>
      </c>
      <c r="I796" s="65">
        <f t="shared" si="821"/>
        <v>1.0249722530521643</v>
      </c>
      <c r="J796" s="65">
        <f t="shared" si="821"/>
        <v>0.78051511758118697</v>
      </c>
      <c r="K796" s="936">
        <f t="shared" si="821"/>
        <v>3.4241071428571428</v>
      </c>
      <c r="L796" s="65">
        <f t="shared" si="821"/>
        <v>1.0442678774120318</v>
      </c>
      <c r="M796" s="65">
        <f t="shared" si="821"/>
        <v>1.0954285714285714</v>
      </c>
      <c r="N796" s="65">
        <f t="shared" si="821"/>
        <v>1.296189376443418</v>
      </c>
      <c r="O796" s="65">
        <f t="shared" si="821"/>
        <v>0.87354312354312358</v>
      </c>
      <c r="P796" s="936">
        <f t="shared" si="821"/>
        <v>4.310919540229885</v>
      </c>
      <c r="Q796" s="65">
        <f t="shared" si="821"/>
        <v>1.2835294117647058</v>
      </c>
      <c r="R796" s="65">
        <f t="shared" si="821"/>
        <v>1.2407298410829899</v>
      </c>
      <c r="S796" s="65">
        <f t="shared" si="821"/>
        <v>1.4640330188679245</v>
      </c>
      <c r="T796" s="65">
        <f t="shared" si="821"/>
        <v>0.95830851697438957</v>
      </c>
      <c r="U796" s="936">
        <f t="shared" si="821"/>
        <v>4.9480519480519485</v>
      </c>
      <c r="V796" s="65">
        <f t="shared" si="821"/>
        <v>1.7412333736396615</v>
      </c>
      <c r="W796" s="65">
        <f t="shared" si="821"/>
        <v>1.3123086344151869</v>
      </c>
      <c r="X796" s="65">
        <f t="shared" si="821"/>
        <v>1.6020974706971005</v>
      </c>
      <c r="Y796" s="65">
        <f t="shared" si="821"/>
        <v>1.1027397260273972</v>
      </c>
      <c r="Z796" s="936">
        <f t="shared" si="821"/>
        <v>5.7648864333947207</v>
      </c>
      <c r="AA796" s="65">
        <f t="shared" si="821"/>
        <v>1.5571608040201006</v>
      </c>
      <c r="AB796" s="931">
        <f t="shared" si="821"/>
        <v>1.5113924050632912</v>
      </c>
      <c r="AC796" s="65">
        <f t="shared" si="821"/>
        <v>1.5147247119078104</v>
      </c>
      <c r="AD796" s="65">
        <f t="shared" si="821"/>
        <v>1.135890767230169</v>
      </c>
      <c r="AE796" s="936">
        <f t="shared" si="821"/>
        <v>5.7270408163265305</v>
      </c>
      <c r="AF796" s="65">
        <f t="shared" si="821"/>
        <v>2.9252645502645502</v>
      </c>
      <c r="AG796" s="931">
        <f t="shared" si="821"/>
        <v>1.9540918163672654</v>
      </c>
      <c r="AH796" s="65">
        <f t="shared" si="821"/>
        <v>1.9557344064386317</v>
      </c>
      <c r="AI796" s="65">
        <f t="shared" ref="AI796:AY796" si="822">AI786/AI801</f>
        <v>1.5594358629952989</v>
      </c>
      <c r="AJ796" s="936">
        <f t="shared" si="822"/>
        <v>8.4042695130086731</v>
      </c>
      <c r="AK796" s="65">
        <f t="shared" si="822"/>
        <v>1.8711409395973155</v>
      </c>
      <c r="AL796" s="931">
        <f t="shared" si="822"/>
        <v>3.5633986928104577</v>
      </c>
      <c r="AM796" s="65">
        <f t="shared" si="822"/>
        <v>0.97669256381797998</v>
      </c>
      <c r="AN796" s="65">
        <f t="shared" si="822"/>
        <v>0.58425720620842569</v>
      </c>
      <c r="AO796" s="936">
        <f t="shared" si="822"/>
        <v>6.67512077294686</v>
      </c>
      <c r="AP796" s="65">
        <f t="shared" si="822"/>
        <v>1.1673130193905816</v>
      </c>
      <c r="AQ796" s="931">
        <f t="shared" si="822"/>
        <v>0.25442477876106195</v>
      </c>
      <c r="AR796" s="65">
        <f t="shared" si="822"/>
        <v>-2.6097291321171916</v>
      </c>
      <c r="AS796" s="65">
        <f>AS786/AS801</f>
        <v>-0.39248203427307904</v>
      </c>
      <c r="AT796" s="936">
        <f>AT786/AT801</f>
        <v>-1.584070796460177</v>
      </c>
      <c r="AU796" s="65">
        <f>AU786/AU801</f>
        <v>9.3818984547461362E-3</v>
      </c>
      <c r="AV796" s="931">
        <f>AV786/AV801</f>
        <v>0.49587231700605394</v>
      </c>
      <c r="AW796" s="953">
        <f>AW786/AW801</f>
        <v>0.50495049504950495</v>
      </c>
      <c r="AX796" s="212">
        <f t="shared" ca="1" si="822"/>
        <v>0.50449530963476552</v>
      </c>
      <c r="AY796" s="116">
        <f t="shared" ca="1" si="822"/>
        <v>1.51585545652636</v>
      </c>
      <c r="AZ796" s="212">
        <f t="shared" ref="AZ796:BG796" ca="1" si="823">AZ786/AZ801</f>
        <v>1.2455854816151062</v>
      </c>
      <c r="BA796" s="212">
        <f t="shared" ca="1" si="823"/>
        <v>0.72995375337799429</v>
      </c>
      <c r="BB796" s="212">
        <f t="shared" ca="1" si="823"/>
        <v>1.0339575536715631</v>
      </c>
      <c r="BC796" s="212">
        <f t="shared" ca="1" si="823"/>
        <v>1.173093277295683</v>
      </c>
      <c r="BD796" s="116">
        <f t="shared" ca="1" si="823"/>
        <v>4.1825900659603494</v>
      </c>
      <c r="BE796" s="116">
        <f t="shared" ca="1" si="823"/>
        <v>5.8761275981251728</v>
      </c>
      <c r="BF796" s="116">
        <f t="shared" ca="1" si="823"/>
        <v>6.4494579562862286</v>
      </c>
      <c r="BG796" s="116">
        <f t="shared" ca="1" si="823"/>
        <v>6.9461334683338185</v>
      </c>
      <c r="BH796" s="65"/>
    </row>
    <row r="797" spans="1:60" s="45" customFormat="1" x14ac:dyDescent="0.25">
      <c r="A797" s="91" t="s">
        <v>255</v>
      </c>
      <c r="B797" s="799"/>
      <c r="C797" s="936">
        <f t="shared" ref="C797:AH797" si="824">C788/C802</f>
        <v>1.7637333333333334</v>
      </c>
      <c r="D797" s="936">
        <f t="shared" si="824"/>
        <v>2.0343942505133472</v>
      </c>
      <c r="E797" s="936">
        <f t="shared" si="824"/>
        <v>2.5180722891566263</v>
      </c>
      <c r="F797" s="936">
        <f t="shared" si="824"/>
        <v>3.1254125412541254</v>
      </c>
      <c r="G797" s="65">
        <f t="shared" si="824"/>
        <v>0.76777777777777778</v>
      </c>
      <c r="H797" s="65">
        <f t="shared" si="824"/>
        <v>0.82904109589041097</v>
      </c>
      <c r="I797" s="65">
        <f t="shared" si="824"/>
        <v>1.0142778693025809</v>
      </c>
      <c r="J797" s="65">
        <f t="shared" si="824"/>
        <v>0.77229916897506923</v>
      </c>
      <c r="K797" s="936">
        <f t="shared" si="824"/>
        <v>3.3844456701599559</v>
      </c>
      <c r="L797" s="65">
        <f t="shared" si="824"/>
        <v>1.0313901345291481</v>
      </c>
      <c r="M797" s="65">
        <f t="shared" si="824"/>
        <v>1.083050847457627</v>
      </c>
      <c r="N797" s="65">
        <f t="shared" si="824"/>
        <v>1.284324942791762</v>
      </c>
      <c r="O797" s="65">
        <f t="shared" si="824"/>
        <v>0.86447520184544402</v>
      </c>
      <c r="P797" s="936">
        <f t="shared" si="824"/>
        <v>4.26435474701535</v>
      </c>
      <c r="Q797" s="65">
        <f t="shared" si="824"/>
        <v>1.2708211997670356</v>
      </c>
      <c r="R797" s="65">
        <f t="shared" si="824"/>
        <v>1.2291545189504374</v>
      </c>
      <c r="S797" s="65">
        <f t="shared" si="824"/>
        <v>1.4511981297486849</v>
      </c>
      <c r="T797" s="65">
        <f t="shared" si="824"/>
        <v>0.94982290436835892</v>
      </c>
      <c r="U797" s="936">
        <f t="shared" si="824"/>
        <v>4.9046225863077826</v>
      </c>
      <c r="V797" s="65">
        <f t="shared" si="824"/>
        <v>1.7266187050359711</v>
      </c>
      <c r="W797" s="65">
        <f t="shared" si="824"/>
        <v>1.3043213633597079</v>
      </c>
      <c r="X797" s="65">
        <f t="shared" si="824"/>
        <v>1.592274678111588</v>
      </c>
      <c r="Y797" s="65">
        <f t="shared" si="824"/>
        <v>1.096594427244582</v>
      </c>
      <c r="Z797" s="936">
        <f t="shared" si="824"/>
        <v>5.7297132397803541</v>
      </c>
      <c r="AA797" s="65">
        <f t="shared" si="824"/>
        <v>1.5464753587024329</v>
      </c>
      <c r="AB797" s="931">
        <f t="shared" si="824"/>
        <v>1.5009428032683847</v>
      </c>
      <c r="AC797" s="65">
        <f t="shared" si="824"/>
        <v>1.505089058524173</v>
      </c>
      <c r="AD797" s="65">
        <f t="shared" si="824"/>
        <v>1.1292824822236587</v>
      </c>
      <c r="AE797" s="936">
        <f t="shared" si="824"/>
        <v>5.6907477820025347</v>
      </c>
      <c r="AF797" s="65">
        <f t="shared" si="824"/>
        <v>2.9079552925706773</v>
      </c>
      <c r="AG797" s="931">
        <f t="shared" si="824"/>
        <v>1.9450331125827816</v>
      </c>
      <c r="AH797" s="65">
        <f t="shared" si="824"/>
        <v>1.9465954606141522</v>
      </c>
      <c r="AI797" s="65">
        <f t="shared" ref="AI797:AY797" si="825">AI788/AI802</f>
        <v>1.5511022044088176</v>
      </c>
      <c r="AJ797" s="936">
        <f t="shared" si="825"/>
        <v>8.3596549435965493</v>
      </c>
      <c r="AK797" s="65">
        <f t="shared" si="825"/>
        <v>1.8611481975967956</v>
      </c>
      <c r="AL797" s="931">
        <f t="shared" si="825"/>
        <v>3.5471698113207548</v>
      </c>
      <c r="AM797" s="65">
        <f t="shared" si="825"/>
        <v>0.97023153252480709</v>
      </c>
      <c r="AN797" s="65">
        <f t="shared" si="825"/>
        <v>0.58039647577092512</v>
      </c>
      <c r="AO797" s="936">
        <f t="shared" si="825"/>
        <v>6.6350540216086431</v>
      </c>
      <c r="AP797" s="65">
        <f t="shared" si="825"/>
        <v>1.1596037424325811</v>
      </c>
      <c r="AQ797" s="931">
        <f t="shared" si="825"/>
        <v>0.25330396475770928</v>
      </c>
      <c r="AR797" s="65">
        <f t="shared" si="825"/>
        <v>-2.6097291321171916</v>
      </c>
      <c r="AS797" s="65">
        <f>AS788/AS802</f>
        <v>-0.39248203427307904</v>
      </c>
      <c r="AT797" s="936">
        <f>AT788/AT802</f>
        <v>-1.584070796460177</v>
      </c>
      <c r="AU797" s="65">
        <f>AU788/AU802</f>
        <v>9.3252879868348879E-3</v>
      </c>
      <c r="AV797" s="931">
        <f>AV788/AV802</f>
        <v>0.49261891744122471</v>
      </c>
      <c r="AW797" s="953">
        <f>AW788/AW802</f>
        <v>0.50163934426229506</v>
      </c>
      <c r="AX797" s="212">
        <f t="shared" ca="1" si="825"/>
        <v>0.50118714366994732</v>
      </c>
      <c r="AY797" s="116">
        <f t="shared" ca="1" si="825"/>
        <v>1.5061118560809637</v>
      </c>
      <c r="AZ797" s="212">
        <f t="shared" ref="AZ797:BG797" ca="1" si="826">AZ788/AZ802</f>
        <v>1.2374177079651711</v>
      </c>
      <c r="BA797" s="212">
        <f t="shared" ca="1" si="826"/>
        <v>0.7251671713886304</v>
      </c>
      <c r="BB797" s="212">
        <f t="shared" ca="1" si="826"/>
        <v>1.0271775041392905</v>
      </c>
      <c r="BC797" s="212">
        <f t="shared" ca="1" si="826"/>
        <v>1.1654008623625967</v>
      </c>
      <c r="BD797" s="116">
        <f t="shared" ca="1" si="826"/>
        <v>4.1551632458556913</v>
      </c>
      <c r="BE797" s="116">
        <f t="shared" ca="1" si="826"/>
        <v>5.8375956138751715</v>
      </c>
      <c r="BF797" s="116">
        <f t="shared" ca="1" si="826"/>
        <v>6.4071664287040235</v>
      </c>
      <c r="BG797" s="116">
        <f t="shared" ca="1" si="826"/>
        <v>6.9005850521480232</v>
      </c>
      <c r="BH797" s="65"/>
    </row>
    <row r="798" spans="1:60" s="45" customFormat="1" x14ac:dyDescent="0.25">
      <c r="A798" s="91" t="s">
        <v>256</v>
      </c>
      <c r="B798" s="799"/>
      <c r="C798" s="936">
        <f t="shared" ref="C798:AH798" si="827">C791/C803</f>
        <v>1.8237333333333334</v>
      </c>
      <c r="D798" s="936">
        <f t="shared" si="827"/>
        <v>2.0743942505133472</v>
      </c>
      <c r="E798" s="936">
        <f t="shared" si="827"/>
        <v>2.5380722891566267</v>
      </c>
      <c r="F798" s="936">
        <f t="shared" si="827"/>
        <v>3.0654125412541253</v>
      </c>
      <c r="G798" s="65">
        <f t="shared" si="827"/>
        <v>0.7877777777777778</v>
      </c>
      <c r="H798" s="65">
        <f t="shared" si="827"/>
        <v>0.78904109589041094</v>
      </c>
      <c r="I798" s="65">
        <f t="shared" si="827"/>
        <v>1.0342778693025811</v>
      </c>
      <c r="J798" s="65">
        <f t="shared" si="827"/>
        <v>0.77229916897506923</v>
      </c>
      <c r="K798" s="936">
        <f t="shared" si="827"/>
        <v>3.3844456701599559</v>
      </c>
      <c r="L798" s="65">
        <f t="shared" si="827"/>
        <v>1.0413901345291479</v>
      </c>
      <c r="M798" s="65">
        <f t="shared" si="827"/>
        <v>1.1130508474576271</v>
      </c>
      <c r="N798" s="65">
        <f t="shared" si="827"/>
        <v>1.284324942791762</v>
      </c>
      <c r="O798" s="65">
        <f t="shared" si="827"/>
        <v>0.89447520184544405</v>
      </c>
      <c r="P798" s="936">
        <f t="shared" si="827"/>
        <v>4.3243547470153496</v>
      </c>
      <c r="Q798" s="65">
        <f t="shared" si="827"/>
        <v>1.2708211997670356</v>
      </c>
      <c r="R798" s="65">
        <f t="shared" si="827"/>
        <v>1.2291545189504374</v>
      </c>
      <c r="S798" s="65">
        <f t="shared" si="827"/>
        <v>1.4511981297486849</v>
      </c>
      <c r="T798" s="65">
        <f t="shared" si="827"/>
        <v>1.209822904368359</v>
      </c>
      <c r="U798" s="936">
        <f t="shared" si="827"/>
        <v>5.1546225863077826</v>
      </c>
      <c r="V798" s="65">
        <f t="shared" si="827"/>
        <v>1.6266187050359711</v>
      </c>
      <c r="W798" s="65">
        <f t="shared" si="827"/>
        <v>1.3643213633597078</v>
      </c>
      <c r="X798" s="65">
        <f t="shared" si="827"/>
        <v>1.592274678111588</v>
      </c>
      <c r="Y798" s="65">
        <f t="shared" si="827"/>
        <v>1.096594427244582</v>
      </c>
      <c r="Z798" s="936">
        <f t="shared" si="827"/>
        <v>5.7197132397803543</v>
      </c>
      <c r="AA798" s="65">
        <f t="shared" si="827"/>
        <v>1.5464753587024329</v>
      </c>
      <c r="AB798" s="931">
        <f t="shared" si="827"/>
        <v>1.5009428032683847</v>
      </c>
      <c r="AC798" s="65">
        <f t="shared" si="827"/>
        <v>1.575089058524173</v>
      </c>
      <c r="AD798" s="65">
        <f t="shared" si="827"/>
        <v>1.0692824822236586</v>
      </c>
      <c r="AE798" s="936">
        <f t="shared" si="827"/>
        <v>5.7007477820025354</v>
      </c>
      <c r="AF798" s="65">
        <f t="shared" si="827"/>
        <v>1.8879552925706771</v>
      </c>
      <c r="AG798" s="931">
        <f t="shared" si="827"/>
        <v>1.8450331125827815</v>
      </c>
      <c r="AH798" s="65">
        <f t="shared" si="827"/>
        <v>1.8765954606141522</v>
      </c>
      <c r="AI798" s="65">
        <f t="shared" ref="AI798:AY798" si="828">AI791/AI803</f>
        <v>1.4711022044088176</v>
      </c>
      <c r="AJ798" s="936">
        <f t="shared" si="828"/>
        <v>7.0796549435965499</v>
      </c>
      <c r="AK798" s="65">
        <f t="shared" si="828"/>
        <v>1.8411481975967956</v>
      </c>
      <c r="AL798" s="931">
        <f t="shared" si="828"/>
        <v>1.6135068314899155</v>
      </c>
      <c r="AM798" s="65">
        <f t="shared" si="828"/>
        <v>1.3521719955898568</v>
      </c>
      <c r="AN798" s="65">
        <f t="shared" si="828"/>
        <v>1.0722687224669603</v>
      </c>
      <c r="AO798" s="936">
        <f t="shared" si="828"/>
        <v>5.7771068427370951</v>
      </c>
      <c r="AP798" s="65">
        <f t="shared" si="828"/>
        <v>1.5339130434782609</v>
      </c>
      <c r="AQ798" s="931">
        <f t="shared" si="828"/>
        <v>0.60156387665198241</v>
      </c>
      <c r="AR798" s="65">
        <f t="shared" si="828"/>
        <v>7.1929242675511276E-2</v>
      </c>
      <c r="AS798" s="65">
        <f>AS791/AS803</f>
        <v>-0.20248203427307906</v>
      </c>
      <c r="AT798" s="936">
        <f>AT791/AT803</f>
        <v>2.0236283185840702</v>
      </c>
      <c r="AU798" s="65">
        <f>AU791/AU803</f>
        <v>0.31590784421283596</v>
      </c>
      <c r="AV798" s="931">
        <f>AV791/AV803</f>
        <v>0.77863313285948599</v>
      </c>
      <c r="AW798" s="953">
        <f>AW791/AW803</f>
        <v>0.80437158469945358</v>
      </c>
      <c r="AX798" s="212">
        <f t="shared" ca="1" si="828"/>
        <v>0.71976637864262494</v>
      </c>
      <c r="AY798" s="116">
        <f t="shared" ca="1" si="828"/>
        <v>2.604591068334793</v>
      </c>
      <c r="AZ798" s="212">
        <f t="shared" ref="AZ798:BG798" ca="1" si="829">AZ791/AZ803</f>
        <v>0.80025923801981591</v>
      </c>
      <c r="BA798" s="212">
        <f t="shared" ca="1" si="829"/>
        <v>0.94374640636130802</v>
      </c>
      <c r="BB798" s="212">
        <f t="shared" ca="1" si="829"/>
        <v>1.3550463565983069</v>
      </c>
      <c r="BC798" s="212">
        <f t="shared" ca="1" si="829"/>
        <v>1.493269714821613</v>
      </c>
      <c r="BD798" s="116">
        <f t="shared" ca="1" si="829"/>
        <v>4.592321715801047</v>
      </c>
      <c r="BE798" s="116">
        <f t="shared" ca="1" si="829"/>
        <v>5.8375956138751715</v>
      </c>
      <c r="BF798" s="116">
        <f t="shared" ca="1" si="829"/>
        <v>6.9536145161357172</v>
      </c>
      <c r="BG798" s="116">
        <f t="shared" ca="1" si="829"/>
        <v>7.9934812270114106</v>
      </c>
      <c r="BH798" s="65"/>
    </row>
    <row r="799" spans="1:60" s="166" customFormat="1" x14ac:dyDescent="0.25">
      <c r="A799" s="163" t="str">
        <f>CONCATENATE("Consensus Estimates - ",IFERROR(LEFT(A798,FIND("(",A798)-1),A798))</f>
        <v>Consensus Estimates - Adjusted Earnings Per Share - WAD</v>
      </c>
      <c r="B799" s="208"/>
      <c r="C799" s="164"/>
      <c r="D799" s="164"/>
      <c r="E799" s="164"/>
      <c r="F799" s="164"/>
      <c r="G799" s="165"/>
      <c r="H799" s="165"/>
      <c r="I799" s="165"/>
      <c r="J799" s="165"/>
      <c r="K799" s="164"/>
      <c r="L799" s="165"/>
      <c r="M799" s="165"/>
      <c r="N799" s="165"/>
      <c r="O799" s="165"/>
      <c r="P799" s="164"/>
      <c r="Q799" s="165"/>
      <c r="R799" s="165"/>
      <c r="S799" s="165"/>
      <c r="T799" s="165"/>
      <c r="U799" s="164"/>
      <c r="V799" s="165"/>
      <c r="W799" s="165"/>
      <c r="X799" s="165"/>
      <c r="Y799" s="165"/>
      <c r="Z799" s="164"/>
      <c r="AA799" s="165"/>
      <c r="AB799" s="165"/>
      <c r="AC799" s="165"/>
      <c r="AD799" s="165"/>
      <c r="AE799" s="164"/>
      <c r="AF799" s="165"/>
      <c r="AG799" s="165"/>
      <c r="AH799" s="165"/>
      <c r="AI799" s="165"/>
      <c r="AJ799" s="164"/>
      <c r="AK799" s="165"/>
      <c r="AL799" s="165"/>
      <c r="AM799" s="165"/>
      <c r="AN799" s="165"/>
      <c r="AO799" s="164"/>
      <c r="AP799" s="165"/>
      <c r="AQ799" s="165"/>
      <c r="AR799" s="165"/>
      <c r="AS799" s="165"/>
      <c r="AT799" s="164"/>
      <c r="AU799" s="165"/>
      <c r="AV799" s="165"/>
      <c r="AW799" s="707"/>
      <c r="AX799" s="165" t="str">
        <f t="shared" ref="AX799:BD799" ca="1" si="830">IFERROR(VLOOKUP($A799,tb_ConsensusEstimate,MATCH(AX$5,OFFSET(tb_ConsensusEstimate,0,0,1,COLUMNS(tb_ConsensusEstimate)),0),FALSE),"-")</f>
        <v>N/A</v>
      </c>
      <c r="AY799" s="117" t="str">
        <f t="shared" ca="1" si="830"/>
        <v>N/A</v>
      </c>
      <c r="AZ799" s="165" t="str">
        <f t="shared" ca="1" si="830"/>
        <v>N/A</v>
      </c>
      <c r="BA799" s="165" t="str">
        <f t="shared" ca="1" si="830"/>
        <v>N/A</v>
      </c>
      <c r="BB799" s="165" t="str">
        <f t="shared" ca="1" si="830"/>
        <v>N/A</v>
      </c>
      <c r="BC799" s="165" t="str">
        <f t="shared" ca="1" si="830"/>
        <v>N/A</v>
      </c>
      <c r="BD799" s="117" t="str">
        <f t="shared" ca="1" si="830"/>
        <v>N/A</v>
      </c>
      <c r="BE799" s="117" t="str">
        <f ca="1">IFERROR(VLOOKUP(A799,tb_ConsensusEstimate,MATCH(BE5,OFFSET(tb_ConsensusEstimate,0,0,1,COLUMNS(tb_ConsensusEstimate)),0),FALSE),"-")</f>
        <v>N/A</v>
      </c>
      <c r="BF799" s="117" t="str">
        <f ca="1">IFERROR(VLOOKUP(A799,tb_ConsensusEstimate,MATCH(BF5,OFFSET(tb_ConsensusEstimate,0,0,1,COLUMNS(tb_ConsensusEstimate)),0),FALSE),"-")</f>
        <v>N/A</v>
      </c>
      <c r="BG799" s="117" t="str">
        <f ca="1">IFERROR(VLOOKUP(A799,tb_ConsensusEstimate,MATCH(BG5,OFFSET(tb_ConsensusEstimate,0,0,1,COLUMNS(tb_ConsensusEstimate)),0),FALSE),"-")</f>
        <v>N/A</v>
      </c>
      <c r="BH799" s="165"/>
    </row>
    <row r="800" spans="1:60" s="40" customFormat="1" x14ac:dyDescent="0.25">
      <c r="A800" s="957"/>
      <c r="B800" s="787"/>
      <c r="C800" s="835"/>
      <c r="D800" s="835"/>
      <c r="E800" s="835"/>
      <c r="F800" s="835"/>
      <c r="G800" s="186"/>
      <c r="H800" s="186"/>
      <c r="I800" s="186"/>
      <c r="J800" s="186"/>
      <c r="K800" s="835"/>
      <c r="L800" s="186"/>
      <c r="M800" s="186"/>
      <c r="N800" s="186"/>
      <c r="O800" s="186"/>
      <c r="P800" s="835"/>
      <c r="Q800" s="186"/>
      <c r="R800" s="186"/>
      <c r="S800" s="186"/>
      <c r="T800" s="186"/>
      <c r="U800" s="835"/>
      <c r="V800" s="186"/>
      <c r="W800" s="186"/>
      <c r="X800" s="186"/>
      <c r="Y800" s="186"/>
      <c r="Z800" s="835"/>
      <c r="AA800" s="186"/>
      <c r="AB800" s="186"/>
      <c r="AC800" s="186"/>
      <c r="AD800" s="186"/>
      <c r="AE800" s="835"/>
      <c r="AF800" s="186"/>
      <c r="AG800" s="186"/>
      <c r="AH800" s="186"/>
      <c r="AI800" s="186"/>
      <c r="AJ800" s="835"/>
      <c r="AK800" s="186"/>
      <c r="AL800" s="186"/>
      <c r="AM800" s="186"/>
      <c r="AN800" s="186"/>
      <c r="AO800" s="835"/>
      <c r="AP800" s="186"/>
      <c r="AQ800" s="186"/>
      <c r="AR800" s="186"/>
      <c r="AS800" s="186"/>
      <c r="AT800" s="835"/>
      <c r="AU800" s="186"/>
      <c r="AV800" s="186"/>
      <c r="AW800" s="800"/>
      <c r="AX800" s="186"/>
      <c r="AY800" s="835"/>
      <c r="AZ800" s="186"/>
      <c r="BA800" s="186"/>
      <c r="BB800" s="186"/>
      <c r="BC800" s="186"/>
      <c r="BD800" s="835"/>
      <c r="BE800" s="835"/>
      <c r="BF800" s="835"/>
      <c r="BG800" s="835"/>
      <c r="BH800" s="728"/>
    </row>
    <row r="801" spans="1:60" s="223" customFormat="1" x14ac:dyDescent="0.25">
      <c r="A801" s="113" t="s">
        <v>257</v>
      </c>
      <c r="B801" s="209"/>
      <c r="C801" s="104">
        <v>1856</v>
      </c>
      <c r="D801" s="104">
        <v>1915</v>
      </c>
      <c r="E801" s="104">
        <v>1878</v>
      </c>
      <c r="F801" s="104">
        <v>1794</v>
      </c>
      <c r="G801" s="113">
        <v>1777</v>
      </c>
      <c r="H801" s="113">
        <v>1804</v>
      </c>
      <c r="I801" s="113">
        <v>1802</v>
      </c>
      <c r="J801" s="113">
        <v>1786</v>
      </c>
      <c r="K801" s="104">
        <v>1792</v>
      </c>
      <c r="L801" s="113">
        <v>1762</v>
      </c>
      <c r="M801" s="113">
        <v>1750</v>
      </c>
      <c r="N801" s="113">
        <v>1732</v>
      </c>
      <c r="O801" s="113">
        <v>1716</v>
      </c>
      <c r="P801" s="104">
        <v>1740</v>
      </c>
      <c r="Q801" s="113">
        <v>1700</v>
      </c>
      <c r="R801" s="113">
        <v>1699</v>
      </c>
      <c r="S801" s="113">
        <v>1696</v>
      </c>
      <c r="T801" s="113">
        <v>1679</v>
      </c>
      <c r="U801" s="104">
        <v>1694</v>
      </c>
      <c r="V801" s="113">
        <v>1654</v>
      </c>
      <c r="W801" s="113">
        <v>1633</v>
      </c>
      <c r="X801" s="113">
        <v>1621</v>
      </c>
      <c r="Y801" s="113">
        <v>1606</v>
      </c>
      <c r="Z801" s="104">
        <v>1629</v>
      </c>
      <c r="AA801" s="113">
        <v>1592</v>
      </c>
      <c r="AB801" s="113">
        <v>1580</v>
      </c>
      <c r="AC801" s="113">
        <v>1562</v>
      </c>
      <c r="AD801" s="113">
        <v>1538</v>
      </c>
      <c r="AE801" s="104">
        <v>1568</v>
      </c>
      <c r="AF801" s="113">
        <v>1512</v>
      </c>
      <c r="AG801" s="113">
        <v>1503</v>
      </c>
      <c r="AH801" s="113">
        <v>1491</v>
      </c>
      <c r="AI801" s="113">
        <v>1489</v>
      </c>
      <c r="AJ801" s="104">
        <v>1499</v>
      </c>
      <c r="AK801" s="113">
        <v>1490</v>
      </c>
      <c r="AL801" s="113">
        <v>1530</v>
      </c>
      <c r="AM801" s="113">
        <v>1802</v>
      </c>
      <c r="AN801" s="113">
        <v>1804</v>
      </c>
      <c r="AO801" s="104">
        <v>1656</v>
      </c>
      <c r="AP801" s="113">
        <v>1805</v>
      </c>
      <c r="AQ801" s="113">
        <v>1808</v>
      </c>
      <c r="AR801" s="113">
        <v>1809</v>
      </c>
      <c r="AS801" s="113">
        <v>1809</v>
      </c>
      <c r="AT801" s="104">
        <v>1808</v>
      </c>
      <c r="AU801" s="113">
        <v>1812</v>
      </c>
      <c r="AV801" s="113">
        <v>1817</v>
      </c>
      <c r="AW801" s="699">
        <v>1818</v>
      </c>
      <c r="AX801" s="113">
        <f ca="1">AW801+AX817/(AX818/AX858)</f>
        <v>1818</v>
      </c>
      <c r="AY801" s="104">
        <f ca="1">AVERAGE(AU801,AV801,AW801,AX801)</f>
        <v>1816.25</v>
      </c>
      <c r="AZ801" s="113">
        <f ca="1">AX801+AZ817/(AZ818/AZ858)</f>
        <v>1818</v>
      </c>
      <c r="BA801" s="113">
        <f ca="1">AZ801+BA817/(BA818/BA858)</f>
        <v>1818</v>
      </c>
      <c r="BB801" s="113">
        <f ca="1">BA801+BB817/(BB818/BB858)</f>
        <v>1818</v>
      </c>
      <c r="BC801" s="113">
        <f ca="1">BB801+BC817/(BC818/BC858)</f>
        <v>1818</v>
      </c>
      <c r="BD801" s="104">
        <f ca="1">AVERAGE(AZ801,BA801,BB801,BC801)</f>
        <v>1818</v>
      </c>
      <c r="BE801" s="104">
        <f ca="1">BC801+BE817/(BE818/BE858)</f>
        <v>1818</v>
      </c>
      <c r="BF801" s="104">
        <f ca="1">BE801+BF817/(BF818/BF858)</f>
        <v>1818</v>
      </c>
      <c r="BG801" s="104">
        <f ca="1">BF801+BG817/(BG818/BG858)</f>
        <v>1818</v>
      </c>
      <c r="BH801" s="113"/>
    </row>
    <row r="802" spans="1:60" s="223" customFormat="1" x14ac:dyDescent="0.25">
      <c r="A802" s="113" t="s">
        <v>258</v>
      </c>
      <c r="B802" s="209"/>
      <c r="C802" s="104">
        <v>1875</v>
      </c>
      <c r="D802" s="104">
        <v>1948</v>
      </c>
      <c r="E802" s="104">
        <v>1909</v>
      </c>
      <c r="F802" s="104">
        <v>1818</v>
      </c>
      <c r="G802" s="113">
        <v>1800</v>
      </c>
      <c r="H802" s="113">
        <v>1825</v>
      </c>
      <c r="I802" s="113">
        <v>1821</v>
      </c>
      <c r="J802" s="113">
        <v>1805</v>
      </c>
      <c r="K802" s="104">
        <v>1813</v>
      </c>
      <c r="L802" s="113">
        <v>1784</v>
      </c>
      <c r="M802" s="113">
        <v>1770</v>
      </c>
      <c r="N802" s="113">
        <v>1748</v>
      </c>
      <c r="O802" s="113">
        <v>1734</v>
      </c>
      <c r="P802" s="104">
        <v>1759</v>
      </c>
      <c r="Q802" s="113">
        <v>1717</v>
      </c>
      <c r="R802" s="113">
        <v>1715</v>
      </c>
      <c r="S802" s="113">
        <v>1711</v>
      </c>
      <c r="T802" s="113">
        <v>1694</v>
      </c>
      <c r="U802" s="104">
        <v>1709</v>
      </c>
      <c r="V802" s="113">
        <v>1668</v>
      </c>
      <c r="W802" s="113">
        <v>1643</v>
      </c>
      <c r="X802" s="113">
        <v>1631</v>
      </c>
      <c r="Y802" s="113">
        <v>1615</v>
      </c>
      <c r="Z802" s="104">
        <v>1639</v>
      </c>
      <c r="AA802" s="113">
        <v>1603</v>
      </c>
      <c r="AB802" s="113">
        <v>1591</v>
      </c>
      <c r="AC802" s="113">
        <v>1572</v>
      </c>
      <c r="AD802" s="113">
        <v>1547</v>
      </c>
      <c r="AE802" s="104">
        <v>1578</v>
      </c>
      <c r="AF802" s="113">
        <v>1521</v>
      </c>
      <c r="AG802" s="113">
        <v>1510</v>
      </c>
      <c r="AH802" s="113">
        <v>1498</v>
      </c>
      <c r="AI802" s="113">
        <v>1497</v>
      </c>
      <c r="AJ802" s="104">
        <v>1507</v>
      </c>
      <c r="AK802" s="113">
        <v>1498</v>
      </c>
      <c r="AL802" s="113">
        <v>1537</v>
      </c>
      <c r="AM802" s="113">
        <v>1814</v>
      </c>
      <c r="AN802" s="113">
        <v>1816</v>
      </c>
      <c r="AO802" s="104">
        <v>1666</v>
      </c>
      <c r="AP802" s="113">
        <v>1817</v>
      </c>
      <c r="AQ802" s="113">
        <v>1816</v>
      </c>
      <c r="AR802" s="113">
        <v>1809</v>
      </c>
      <c r="AS802" s="113">
        <v>1809</v>
      </c>
      <c r="AT802" s="104">
        <v>1808</v>
      </c>
      <c r="AU802" s="113">
        <v>1823</v>
      </c>
      <c r="AV802" s="113">
        <v>1829</v>
      </c>
      <c r="AW802" s="699">
        <v>1830</v>
      </c>
      <c r="AX802" s="113">
        <f ca="1">AW802+AX817/(AX818/AX858)</f>
        <v>1830</v>
      </c>
      <c r="AY802" s="104">
        <f ca="1">AVERAGE(AU802,AV802,AW802,AX802)</f>
        <v>1828</v>
      </c>
      <c r="AZ802" s="113">
        <f ca="1">AX802+AZ817/(AZ818/AZ858)</f>
        <v>1830</v>
      </c>
      <c r="BA802" s="113">
        <f ca="1">AZ802+BA817/(BA818/BA858)</f>
        <v>1830</v>
      </c>
      <c r="BB802" s="113">
        <f ca="1">BA802+BB817/(BB818/BB858)</f>
        <v>1830</v>
      </c>
      <c r="BC802" s="113">
        <f ca="1">BB802+BC817/(BC818/BC858)</f>
        <v>1830</v>
      </c>
      <c r="BD802" s="104">
        <f ca="1">AVERAGE(AZ802,BA802,BB802,BC802)</f>
        <v>1830</v>
      </c>
      <c r="BE802" s="104">
        <f ca="1">BC802+BE817/(BE818/BE858)</f>
        <v>1830</v>
      </c>
      <c r="BF802" s="104">
        <f ca="1">BE802+BF817/(BF818/BF858)</f>
        <v>1830</v>
      </c>
      <c r="BG802" s="104">
        <f ca="1">BF802+BG817/(BG818/BG858)</f>
        <v>1830</v>
      </c>
      <c r="BH802" s="113"/>
    </row>
    <row r="803" spans="1:60" s="223" customFormat="1" x14ac:dyDescent="0.25">
      <c r="A803" s="113" t="s">
        <v>259</v>
      </c>
      <c r="B803" s="209"/>
      <c r="C803" s="104">
        <f t="shared" ref="C803:AO803" si="831">C802</f>
        <v>1875</v>
      </c>
      <c r="D803" s="104">
        <f t="shared" si="831"/>
        <v>1948</v>
      </c>
      <c r="E803" s="104">
        <f t="shared" si="831"/>
        <v>1909</v>
      </c>
      <c r="F803" s="104">
        <f t="shared" si="831"/>
        <v>1818</v>
      </c>
      <c r="G803" s="113">
        <f t="shared" si="831"/>
        <v>1800</v>
      </c>
      <c r="H803" s="113">
        <f t="shared" si="831"/>
        <v>1825</v>
      </c>
      <c r="I803" s="113">
        <f t="shared" si="831"/>
        <v>1821</v>
      </c>
      <c r="J803" s="113">
        <f t="shared" si="831"/>
        <v>1805</v>
      </c>
      <c r="K803" s="104">
        <f t="shared" si="831"/>
        <v>1813</v>
      </c>
      <c r="L803" s="113">
        <f t="shared" si="831"/>
        <v>1784</v>
      </c>
      <c r="M803" s="113">
        <f t="shared" si="831"/>
        <v>1770</v>
      </c>
      <c r="N803" s="113">
        <f t="shared" si="831"/>
        <v>1748</v>
      </c>
      <c r="O803" s="113">
        <f t="shared" si="831"/>
        <v>1734</v>
      </c>
      <c r="P803" s="104">
        <f t="shared" si="831"/>
        <v>1759</v>
      </c>
      <c r="Q803" s="113">
        <f t="shared" si="831"/>
        <v>1717</v>
      </c>
      <c r="R803" s="113">
        <f t="shared" si="831"/>
        <v>1715</v>
      </c>
      <c r="S803" s="113">
        <f t="shared" si="831"/>
        <v>1711</v>
      </c>
      <c r="T803" s="113">
        <f t="shared" si="831"/>
        <v>1694</v>
      </c>
      <c r="U803" s="104">
        <f t="shared" si="831"/>
        <v>1709</v>
      </c>
      <c r="V803" s="113">
        <f t="shared" si="831"/>
        <v>1668</v>
      </c>
      <c r="W803" s="113">
        <f t="shared" si="831"/>
        <v>1643</v>
      </c>
      <c r="X803" s="113">
        <f t="shared" si="831"/>
        <v>1631</v>
      </c>
      <c r="Y803" s="113">
        <f t="shared" si="831"/>
        <v>1615</v>
      </c>
      <c r="Z803" s="104">
        <f t="shared" si="831"/>
        <v>1639</v>
      </c>
      <c r="AA803" s="113">
        <f t="shared" si="831"/>
        <v>1603</v>
      </c>
      <c r="AB803" s="113">
        <f t="shared" si="831"/>
        <v>1591</v>
      </c>
      <c r="AC803" s="113">
        <f t="shared" si="831"/>
        <v>1572</v>
      </c>
      <c r="AD803" s="113">
        <f t="shared" si="831"/>
        <v>1547</v>
      </c>
      <c r="AE803" s="104">
        <f t="shared" si="831"/>
        <v>1578</v>
      </c>
      <c r="AF803" s="113">
        <f t="shared" si="831"/>
        <v>1521</v>
      </c>
      <c r="AG803" s="113">
        <f t="shared" si="831"/>
        <v>1510</v>
      </c>
      <c r="AH803" s="113">
        <f t="shared" si="831"/>
        <v>1498</v>
      </c>
      <c r="AI803" s="113">
        <f t="shared" si="831"/>
        <v>1497</v>
      </c>
      <c r="AJ803" s="104">
        <f t="shared" si="831"/>
        <v>1507</v>
      </c>
      <c r="AK803" s="113">
        <f t="shared" si="831"/>
        <v>1498</v>
      </c>
      <c r="AL803" s="113">
        <f t="shared" si="831"/>
        <v>1537</v>
      </c>
      <c r="AM803" s="113">
        <f t="shared" si="831"/>
        <v>1814</v>
      </c>
      <c r="AN803" s="113">
        <f t="shared" si="831"/>
        <v>1816</v>
      </c>
      <c r="AO803" s="104">
        <f t="shared" si="831"/>
        <v>1666</v>
      </c>
      <c r="AP803" s="113">
        <v>1817</v>
      </c>
      <c r="AQ803" s="113">
        <f>AQ802</f>
        <v>1816</v>
      </c>
      <c r="AR803" s="113">
        <f>AR802</f>
        <v>1809</v>
      </c>
      <c r="AS803" s="113">
        <f>AS802</f>
        <v>1809</v>
      </c>
      <c r="AT803" s="104">
        <f>AT802</f>
        <v>1808</v>
      </c>
      <c r="AU803" s="113">
        <v>1823</v>
      </c>
      <c r="AV803" s="113">
        <f>AV802</f>
        <v>1829</v>
      </c>
      <c r="AW803" s="699">
        <f>AW802</f>
        <v>1830</v>
      </c>
      <c r="AX803" s="113">
        <f ca="1">AW803+AX817/(AX818/AX858)</f>
        <v>1830</v>
      </c>
      <c r="AY803" s="104">
        <f ca="1">AY802</f>
        <v>1828</v>
      </c>
      <c r="AZ803" s="113">
        <f ca="1">AX803+AZ817/(AZ818/AZ858)</f>
        <v>1830</v>
      </c>
      <c r="BA803" s="113">
        <f ca="1">AZ803+BA817/(BA818/BA858)</f>
        <v>1830</v>
      </c>
      <c r="BB803" s="113">
        <f ca="1">BA803+BB817/(BB818/BB858)</f>
        <v>1830</v>
      </c>
      <c r="BC803" s="113">
        <f ca="1">BB803+BC817/(BC818/BC858)</f>
        <v>1830</v>
      </c>
      <c r="BD803" s="104">
        <f ca="1">BD802</f>
        <v>1830</v>
      </c>
      <c r="BE803" s="104">
        <f ca="1">BC803+BE817/(BE818/BE858)</f>
        <v>1830</v>
      </c>
      <c r="BF803" s="104">
        <f ca="1">BE803+BF817/(BF818/BF858)</f>
        <v>1830</v>
      </c>
      <c r="BG803" s="104">
        <f ca="1">BF803+BG817/(BG818/BG858)</f>
        <v>1830</v>
      </c>
      <c r="BH803" s="113"/>
    </row>
    <row r="804" spans="1:60" s="40" customFormat="1" x14ac:dyDescent="0.25">
      <c r="A804" s="787"/>
      <c r="B804" s="787"/>
      <c r="C804" s="990"/>
      <c r="D804" s="990"/>
      <c r="E804" s="990"/>
      <c r="F804" s="990"/>
      <c r="G804" s="991"/>
      <c r="H804" s="991"/>
      <c r="I804" s="991"/>
      <c r="J804" s="991"/>
      <c r="K804" s="990"/>
      <c r="L804" s="991"/>
      <c r="M804" s="991"/>
      <c r="N804" s="991"/>
      <c r="O804" s="991"/>
      <c r="P804" s="990"/>
      <c r="Q804" s="991"/>
      <c r="R804" s="991"/>
      <c r="S804" s="991"/>
      <c r="T804" s="991"/>
      <c r="U804" s="990"/>
      <c r="V804" s="991"/>
      <c r="W804" s="991"/>
      <c r="X804" s="991"/>
      <c r="Y804" s="991"/>
      <c r="Z804" s="990"/>
      <c r="AA804" s="991"/>
      <c r="AB804" s="991"/>
      <c r="AC804" s="991"/>
      <c r="AD804" s="991"/>
      <c r="AE804" s="990"/>
      <c r="AF804" s="991"/>
      <c r="AG804" s="991"/>
      <c r="AH804" s="991"/>
      <c r="AI804" s="991"/>
      <c r="AJ804" s="990"/>
      <c r="AK804" s="991"/>
      <c r="AL804" s="991"/>
      <c r="AM804" s="991"/>
      <c r="AN804" s="991"/>
      <c r="AO804" s="990"/>
      <c r="AP804" s="991"/>
      <c r="AQ804" s="991"/>
      <c r="AR804" s="991"/>
      <c r="AS804" s="991"/>
      <c r="AT804" s="990"/>
      <c r="AU804" s="991"/>
      <c r="AV804" s="991"/>
      <c r="AW804" s="992"/>
      <c r="AX804" s="991"/>
      <c r="AY804" s="990"/>
      <c r="AZ804" s="991"/>
      <c r="BA804" s="991"/>
      <c r="BB804" s="991"/>
      <c r="BC804" s="991"/>
      <c r="BD804" s="990"/>
      <c r="BE804" s="990"/>
      <c r="BF804" s="990"/>
      <c r="BG804" s="990"/>
      <c r="BH804" s="728"/>
    </row>
    <row r="805" spans="1:60" s="19" customFormat="1" x14ac:dyDescent="0.25">
      <c r="A805" s="956" t="s">
        <v>260</v>
      </c>
      <c r="B805" s="956"/>
      <c r="C805" s="986"/>
      <c r="D805" s="986"/>
      <c r="E805" s="986"/>
      <c r="F805" s="986"/>
      <c r="G805" s="986"/>
      <c r="H805" s="986"/>
      <c r="I805" s="986"/>
      <c r="J805" s="986"/>
      <c r="K805" s="986"/>
      <c r="L805" s="986"/>
      <c r="M805" s="986"/>
      <c r="N805" s="986"/>
      <c r="O805" s="986"/>
      <c r="P805" s="986"/>
      <c r="Q805" s="986"/>
      <c r="R805" s="986"/>
      <c r="S805" s="986"/>
      <c r="T805" s="986"/>
      <c r="U805" s="986"/>
      <c r="V805" s="986"/>
      <c r="W805" s="986"/>
      <c r="X805" s="986"/>
      <c r="Y805" s="986"/>
      <c r="Z805" s="986"/>
      <c r="AA805" s="986"/>
      <c r="AB805" s="986"/>
      <c r="AC805" s="986"/>
      <c r="AD805" s="986"/>
      <c r="AE805" s="986"/>
      <c r="AF805" s="986"/>
      <c r="AG805" s="986"/>
      <c r="AH805" s="986"/>
      <c r="AI805" s="986"/>
      <c r="AJ805" s="986"/>
      <c r="AK805" s="986"/>
      <c r="AL805" s="986"/>
      <c r="AM805" s="986"/>
      <c r="AN805" s="986"/>
      <c r="AO805" s="986"/>
      <c r="AP805" s="986"/>
      <c r="AQ805" s="986"/>
      <c r="AR805" s="986"/>
      <c r="AS805" s="986"/>
      <c r="AT805" s="986"/>
      <c r="AU805" s="986"/>
      <c r="AV805" s="986"/>
      <c r="AW805" s="987"/>
      <c r="AX805" s="986"/>
      <c r="AY805" s="986"/>
      <c r="AZ805" s="986"/>
      <c r="BA805" s="986"/>
      <c r="BB805" s="986"/>
      <c r="BC805" s="986"/>
      <c r="BD805" s="986"/>
      <c r="BE805" s="986"/>
      <c r="BF805" s="986"/>
      <c r="BG805" s="986"/>
      <c r="BH805" s="730"/>
    </row>
    <row r="806" spans="1:60" s="49" customFormat="1" x14ac:dyDescent="0.25">
      <c r="A806" s="484" t="s">
        <v>261</v>
      </c>
      <c r="B806" s="209"/>
      <c r="C806" s="39">
        <f t="shared" ref="C806:AH806" si="832">C931</f>
        <v>5775</v>
      </c>
      <c r="D806" s="39">
        <f t="shared" si="832"/>
        <v>6844</v>
      </c>
      <c r="E806" s="39">
        <f t="shared" si="832"/>
        <v>8133</v>
      </c>
      <c r="F806" s="39">
        <f t="shared" si="832"/>
        <v>9057</v>
      </c>
      <c r="G806" s="484">
        <f t="shared" si="832"/>
        <v>1578</v>
      </c>
      <c r="H806" s="484">
        <f t="shared" si="832"/>
        <v>1881</v>
      </c>
      <c r="I806" s="484">
        <f t="shared" si="832"/>
        <v>3381</v>
      </c>
      <c r="J806" s="484">
        <f t="shared" si="832"/>
        <v>2509</v>
      </c>
      <c r="K806" s="39">
        <f t="shared" si="832"/>
        <v>9349</v>
      </c>
      <c r="L806" s="484">
        <f t="shared" si="832"/>
        <v>2041</v>
      </c>
      <c r="M806" s="484">
        <f t="shared" si="832"/>
        <v>2377</v>
      </c>
      <c r="N806" s="484">
        <f t="shared" si="832"/>
        <v>2886</v>
      </c>
      <c r="O806" s="484">
        <f t="shared" si="832"/>
        <v>2748</v>
      </c>
      <c r="P806" s="39">
        <f t="shared" si="832"/>
        <v>10052</v>
      </c>
      <c r="Q806" s="484">
        <f t="shared" si="832"/>
        <v>3500</v>
      </c>
      <c r="R806" s="484">
        <f t="shared" si="832"/>
        <v>2580</v>
      </c>
      <c r="S806" s="484">
        <f t="shared" si="832"/>
        <v>2349</v>
      </c>
      <c r="T806" s="484">
        <f t="shared" si="832"/>
        <v>2351</v>
      </c>
      <c r="U806" s="39">
        <f t="shared" si="832"/>
        <v>10780</v>
      </c>
      <c r="V806" s="484">
        <f t="shared" si="832"/>
        <v>4728</v>
      </c>
      <c r="W806" s="484">
        <f t="shared" si="832"/>
        <v>2563</v>
      </c>
      <c r="X806" s="484">
        <f t="shared" si="832"/>
        <v>3605</v>
      </c>
      <c r="Y806" s="484">
        <f t="shared" si="832"/>
        <v>3219</v>
      </c>
      <c r="Z806" s="39">
        <f t="shared" si="832"/>
        <v>14115</v>
      </c>
      <c r="AA806" s="484">
        <f t="shared" si="832"/>
        <v>3908</v>
      </c>
      <c r="AB806" s="191">
        <f t="shared" si="832"/>
        <v>2824</v>
      </c>
      <c r="AC806" s="484">
        <f t="shared" si="832"/>
        <v>3300</v>
      </c>
      <c r="AD806" s="484">
        <f t="shared" si="832"/>
        <v>2421</v>
      </c>
      <c r="AE806" s="39">
        <f t="shared" si="832"/>
        <v>12453</v>
      </c>
      <c r="AF806" s="484">
        <f t="shared" si="832"/>
        <v>3883</v>
      </c>
      <c r="AG806" s="191">
        <f t="shared" si="832"/>
        <v>3754</v>
      </c>
      <c r="AH806" s="484">
        <f t="shared" si="832"/>
        <v>4284</v>
      </c>
      <c r="AI806" s="484">
        <f t="shared" ref="AI806:AY806" si="833">AI931</f>
        <v>3211</v>
      </c>
      <c r="AJ806" s="39">
        <f t="shared" si="833"/>
        <v>15132</v>
      </c>
      <c r="AK806" s="484">
        <f t="shared" si="833"/>
        <v>4279</v>
      </c>
      <c r="AL806" s="191">
        <f t="shared" si="833"/>
        <v>2851</v>
      </c>
      <c r="AM806" s="484">
        <f t="shared" si="833"/>
        <v>4239</v>
      </c>
      <c r="AN806" s="484">
        <f t="shared" si="833"/>
        <v>259</v>
      </c>
      <c r="AO806" s="39">
        <f t="shared" si="833"/>
        <v>11628</v>
      </c>
      <c r="AP806" s="484">
        <f t="shared" si="833"/>
        <v>4103</v>
      </c>
      <c r="AQ806" s="191">
        <f t="shared" si="833"/>
        <v>960</v>
      </c>
      <c r="AR806" s="484">
        <f t="shared" si="833"/>
        <v>583</v>
      </c>
      <c r="AS806" s="484">
        <f>AS931</f>
        <v>2615</v>
      </c>
      <c r="AT806" s="39">
        <f>AT931</f>
        <v>8261</v>
      </c>
      <c r="AU806" s="484">
        <f>AU931</f>
        <v>2143</v>
      </c>
      <c r="AV806" s="191">
        <f>AV931</f>
        <v>-302</v>
      </c>
      <c r="AW806" s="289">
        <f>AW931</f>
        <v>1190</v>
      </c>
      <c r="AX806" s="113">
        <f t="shared" si="833"/>
        <v>2424.8003293553802</v>
      </c>
      <c r="AY806" s="104">
        <f t="shared" si="833"/>
        <v>5455.8003293553802</v>
      </c>
      <c r="AZ806" s="113">
        <f t="shared" ref="AZ806:BG806" ca="1" si="834">AZ931</f>
        <v>3807.0971174094129</v>
      </c>
      <c r="BA806" s="113">
        <f t="shared" ca="1" si="834"/>
        <v>2845.3301034760298</v>
      </c>
      <c r="BB806" s="113">
        <f t="shared" ca="1" si="834"/>
        <v>3412.3643087456785</v>
      </c>
      <c r="BC806" s="113">
        <f t="shared" ca="1" si="834"/>
        <v>3671.8831515813063</v>
      </c>
      <c r="BD806" s="104">
        <f t="shared" ca="1" si="834"/>
        <v>13736.674681212427</v>
      </c>
      <c r="BE806" s="104">
        <f t="shared" ca="1" si="834"/>
        <v>16795.496076596541</v>
      </c>
      <c r="BF806" s="104">
        <f t="shared" ca="1" si="834"/>
        <v>17864.883773996629</v>
      </c>
      <c r="BG806" s="104">
        <f t="shared" ca="1" si="834"/>
        <v>18791.293259597918</v>
      </c>
      <c r="BH806" s="484"/>
    </row>
    <row r="807" spans="1:60" s="45" customFormat="1" x14ac:dyDescent="0.25">
      <c r="A807" s="92" t="s">
        <v>262</v>
      </c>
      <c r="B807" s="799"/>
      <c r="C807" s="17">
        <f t="shared" ref="C807:AH807" si="835">C806/C802</f>
        <v>3.08</v>
      </c>
      <c r="D807" s="17">
        <f t="shared" si="835"/>
        <v>3.5133470225872689</v>
      </c>
      <c r="E807" s="18">
        <f t="shared" si="835"/>
        <v>4.2603457307490835</v>
      </c>
      <c r="F807" s="18">
        <f t="shared" si="835"/>
        <v>4.9818481848184817</v>
      </c>
      <c r="G807" s="66">
        <f t="shared" si="835"/>
        <v>0.87666666666666671</v>
      </c>
      <c r="H807" s="66">
        <f t="shared" si="835"/>
        <v>1.0306849315068494</v>
      </c>
      <c r="I807" s="66">
        <f t="shared" si="835"/>
        <v>1.85667215815486</v>
      </c>
      <c r="J807" s="66">
        <f t="shared" si="835"/>
        <v>1.3900277008310249</v>
      </c>
      <c r="K807" s="18">
        <f t="shared" si="835"/>
        <v>5.1566464423607279</v>
      </c>
      <c r="L807" s="66">
        <f t="shared" si="835"/>
        <v>1.1440582959641257</v>
      </c>
      <c r="M807" s="66">
        <f t="shared" si="835"/>
        <v>1.3429378531073446</v>
      </c>
      <c r="N807" s="66">
        <f t="shared" si="835"/>
        <v>1.6510297482837528</v>
      </c>
      <c r="O807" s="66">
        <f t="shared" si="835"/>
        <v>1.5847750865051904</v>
      </c>
      <c r="P807" s="18">
        <f t="shared" si="835"/>
        <v>5.7146105741898809</v>
      </c>
      <c r="Q807" s="66">
        <f t="shared" si="835"/>
        <v>2.0384391380314502</v>
      </c>
      <c r="R807" s="66">
        <f t="shared" si="835"/>
        <v>1.5043731778425655</v>
      </c>
      <c r="S807" s="66">
        <f t="shared" si="835"/>
        <v>1.3728813559322033</v>
      </c>
      <c r="T807" s="66">
        <f t="shared" si="835"/>
        <v>1.3878394332939787</v>
      </c>
      <c r="U807" s="18">
        <f t="shared" si="835"/>
        <v>6.3077823288472787</v>
      </c>
      <c r="V807" s="66">
        <f t="shared" si="835"/>
        <v>2.8345323741007196</v>
      </c>
      <c r="W807" s="66">
        <f t="shared" si="835"/>
        <v>1.5599513085818624</v>
      </c>
      <c r="X807" s="66">
        <f t="shared" si="835"/>
        <v>2.2103004291845494</v>
      </c>
      <c r="Y807" s="66">
        <f t="shared" si="835"/>
        <v>1.9931888544891641</v>
      </c>
      <c r="Z807" s="18">
        <f t="shared" si="835"/>
        <v>8.6119585112873711</v>
      </c>
      <c r="AA807" s="66">
        <f t="shared" si="835"/>
        <v>2.4379288833437305</v>
      </c>
      <c r="AB807" s="196">
        <f t="shared" si="835"/>
        <v>1.7749842866121937</v>
      </c>
      <c r="AC807" s="66">
        <f t="shared" si="835"/>
        <v>2.0992366412213741</v>
      </c>
      <c r="AD807" s="66">
        <f t="shared" si="835"/>
        <v>1.5649644473173885</v>
      </c>
      <c r="AE807" s="18">
        <f t="shared" si="835"/>
        <v>7.8916349809885933</v>
      </c>
      <c r="AF807" s="66">
        <f t="shared" si="835"/>
        <v>2.5529257067718607</v>
      </c>
      <c r="AG807" s="196">
        <f t="shared" si="835"/>
        <v>2.4860927152317882</v>
      </c>
      <c r="AH807" s="66">
        <f t="shared" si="835"/>
        <v>2.8598130841121496</v>
      </c>
      <c r="AI807" s="66">
        <f t="shared" ref="AI807:AY807" si="836">AI806/AI802</f>
        <v>2.1449565798263195</v>
      </c>
      <c r="AJ807" s="18">
        <f t="shared" si="836"/>
        <v>10.041141340411414</v>
      </c>
      <c r="AK807" s="66">
        <f t="shared" si="836"/>
        <v>2.8564753004005339</v>
      </c>
      <c r="AL807" s="196">
        <f t="shared" si="836"/>
        <v>1.8549121665582302</v>
      </c>
      <c r="AM807" s="66">
        <f t="shared" si="836"/>
        <v>2.3368246968026463</v>
      </c>
      <c r="AN807" s="66">
        <f t="shared" si="836"/>
        <v>0.14262114537444934</v>
      </c>
      <c r="AO807" s="18">
        <f t="shared" si="836"/>
        <v>6.9795918367346941</v>
      </c>
      <c r="AP807" s="66">
        <f t="shared" si="836"/>
        <v>2.2581177765547604</v>
      </c>
      <c r="AQ807" s="196">
        <f t="shared" si="836"/>
        <v>0.52863436123348018</v>
      </c>
      <c r="AR807" s="66">
        <f t="shared" si="836"/>
        <v>0.32227750138197897</v>
      </c>
      <c r="AS807" s="66">
        <f>AS806/AS802</f>
        <v>1.4455500276395798</v>
      </c>
      <c r="AT807" s="18">
        <f>AT806/AT802</f>
        <v>4.5691371681415927</v>
      </c>
      <c r="AU807" s="66">
        <f>AU806/AU802</f>
        <v>1.1755348326933626</v>
      </c>
      <c r="AV807" s="196">
        <f>AV806/AV802</f>
        <v>-0.1651175505740842</v>
      </c>
      <c r="AW807" s="877">
        <f>AW806/AW802</f>
        <v>0.65027322404371579</v>
      </c>
      <c r="AX807" s="213">
        <f t="shared" ca="1" si="836"/>
        <v>1.3250275023799891</v>
      </c>
      <c r="AY807" s="118">
        <f t="shared" ca="1" si="836"/>
        <v>2.9845734843300766</v>
      </c>
      <c r="AZ807" s="213">
        <f t="shared" ref="AZ807:BG807" ca="1" si="837">AZ806/AZ802</f>
        <v>2.0803809384750891</v>
      </c>
      <c r="BA807" s="213">
        <f t="shared" ca="1" si="837"/>
        <v>1.5548251931563004</v>
      </c>
      <c r="BB807" s="213">
        <f t="shared" ca="1" si="837"/>
        <v>1.8646799501342506</v>
      </c>
      <c r="BC807" s="213">
        <f t="shared" ca="1" si="837"/>
        <v>2.0064935254542657</v>
      </c>
      <c r="BD807" s="118">
        <f t="shared" ca="1" si="837"/>
        <v>7.5063796072199054</v>
      </c>
      <c r="BE807" s="118">
        <f t="shared" ca="1" si="837"/>
        <v>9.1778667085226999</v>
      </c>
      <c r="BF807" s="118">
        <f t="shared" ca="1" si="837"/>
        <v>9.7622315704899609</v>
      </c>
      <c r="BG807" s="118">
        <f t="shared" ca="1" si="837"/>
        <v>10.268466262075366</v>
      </c>
      <c r="BH807" s="65"/>
    </row>
    <row r="808" spans="1:60" s="166" customFormat="1" x14ac:dyDescent="0.25">
      <c r="A808" s="163" t="str">
        <f>CONCATENATE("Consensus Estimates - ",IFERROR(LEFT(A807,FIND("(",A807)-1),A807))</f>
        <v>Consensus Estimates - Cash Flow Per Diluted Share</v>
      </c>
      <c r="B808" s="208"/>
      <c r="C808" s="164"/>
      <c r="D808" s="164"/>
      <c r="E808" s="164"/>
      <c r="F808" s="164"/>
      <c r="G808" s="165"/>
      <c r="H808" s="165"/>
      <c r="I808" s="165"/>
      <c r="J808" s="165"/>
      <c r="K808" s="164"/>
      <c r="L808" s="165"/>
      <c r="M808" s="165"/>
      <c r="N808" s="165"/>
      <c r="O808" s="165"/>
      <c r="P808" s="164"/>
      <c r="Q808" s="165"/>
      <c r="R808" s="165"/>
      <c r="S808" s="165"/>
      <c r="T808" s="165"/>
      <c r="U808" s="164"/>
      <c r="V808" s="165"/>
      <c r="W808" s="165"/>
      <c r="X808" s="165"/>
      <c r="Y808" s="165"/>
      <c r="Z808" s="164"/>
      <c r="AA808" s="165"/>
      <c r="AB808" s="165"/>
      <c r="AC808" s="165"/>
      <c r="AD808" s="165"/>
      <c r="AE808" s="164"/>
      <c r="AF808" s="165"/>
      <c r="AG808" s="165"/>
      <c r="AH808" s="165"/>
      <c r="AI808" s="165"/>
      <c r="AJ808" s="164"/>
      <c r="AK808" s="165"/>
      <c r="AL808" s="165"/>
      <c r="AM808" s="165"/>
      <c r="AN808" s="165"/>
      <c r="AO808" s="164"/>
      <c r="AP808" s="165"/>
      <c r="AQ808" s="165"/>
      <c r="AR808" s="165"/>
      <c r="AS808" s="165"/>
      <c r="AT808" s="164"/>
      <c r="AU808" s="165"/>
      <c r="AV808" s="165"/>
      <c r="AW808" s="707"/>
      <c r="AX808" s="165" t="str">
        <f t="shared" ref="AX808:BD808" ca="1" si="838">IFERROR(VLOOKUP($A808,tb_ConsensusEstimate,MATCH(AX$5,OFFSET(tb_ConsensusEstimate,0,0,1,COLUMNS(tb_ConsensusEstimate)),0),FALSE),"-")</f>
        <v>N/A</v>
      </c>
      <c r="AY808" s="119" t="str">
        <f t="shared" ca="1" si="838"/>
        <v>N/A</v>
      </c>
      <c r="AZ808" s="165" t="str">
        <f t="shared" ca="1" si="838"/>
        <v>N/A</v>
      </c>
      <c r="BA808" s="165" t="str">
        <f t="shared" ca="1" si="838"/>
        <v>N/A</v>
      </c>
      <c r="BB808" s="165" t="str">
        <f t="shared" ca="1" si="838"/>
        <v>N/A</v>
      </c>
      <c r="BC808" s="165" t="str">
        <f t="shared" ca="1" si="838"/>
        <v>N/A</v>
      </c>
      <c r="BD808" s="119" t="str">
        <f t="shared" ca="1" si="838"/>
        <v>N/A</v>
      </c>
      <c r="BE808" s="119" t="str">
        <f ca="1">IFERROR(VLOOKUP(A808,tb_ConsensusEstimate,MATCH(BE5,OFFSET(tb_ConsensusEstimate,0,0,1,COLUMNS(tb_ConsensusEstimate)),0),FALSE),"-")</f>
        <v>N/A</v>
      </c>
      <c r="BF808" s="119" t="str">
        <f ca="1">IFERROR(VLOOKUP(A808,tb_ConsensusEstimate,MATCH(BF5,OFFSET(tb_ConsensusEstimate,0,0,1,COLUMNS(tb_ConsensusEstimate)),0),FALSE),"-")</f>
        <v>N/A</v>
      </c>
      <c r="BG808" s="119" t="str">
        <f ca="1">IFERROR(VLOOKUP(A808,tb_ConsensusEstimate,MATCH(BG5,OFFSET(tb_ConsensusEstimate,0,0,1,COLUMNS(tb_ConsensusEstimate)),0),FALSE),"-")</f>
        <v>N/A</v>
      </c>
      <c r="BH808" s="165"/>
    </row>
    <row r="809" spans="1:60" s="52" customFormat="1" x14ac:dyDescent="0.25">
      <c r="A809" s="93" t="s">
        <v>263</v>
      </c>
      <c r="B809" s="602"/>
      <c r="C809" s="51">
        <f t="shared" ref="C809:AQ809" si="839">C941</f>
        <v>-1753</v>
      </c>
      <c r="D809" s="51">
        <f t="shared" si="839"/>
        <v>-2110</v>
      </c>
      <c r="E809" s="51">
        <f t="shared" si="839"/>
        <v>-3559</v>
      </c>
      <c r="F809" s="51">
        <f t="shared" si="839"/>
        <v>-3784</v>
      </c>
      <c r="G809" s="499">
        <f t="shared" si="839"/>
        <v>-545</v>
      </c>
      <c r="H809" s="499">
        <f t="shared" si="839"/>
        <v>-574</v>
      </c>
      <c r="I809" s="499">
        <f t="shared" si="839"/>
        <v>-690</v>
      </c>
      <c r="J809" s="499">
        <f t="shared" si="839"/>
        <v>-987</v>
      </c>
      <c r="K809" s="51">
        <f t="shared" si="839"/>
        <v>-2796</v>
      </c>
      <c r="L809" s="499">
        <f t="shared" si="839"/>
        <v>-658</v>
      </c>
      <c r="M809" s="499">
        <f t="shared" si="839"/>
        <v>-701</v>
      </c>
      <c r="N809" s="499">
        <f t="shared" si="839"/>
        <v>-889</v>
      </c>
      <c r="O809" s="499">
        <f t="shared" si="839"/>
        <v>-1063</v>
      </c>
      <c r="P809" s="51">
        <f t="shared" si="839"/>
        <v>-3311</v>
      </c>
      <c r="Q809" s="499">
        <f t="shared" si="839"/>
        <v>-998</v>
      </c>
      <c r="R809" s="499">
        <f t="shared" si="839"/>
        <v>-907</v>
      </c>
      <c r="S809" s="499">
        <f t="shared" si="839"/>
        <v>-1156</v>
      </c>
      <c r="T809" s="499">
        <f t="shared" si="839"/>
        <v>-1204</v>
      </c>
      <c r="U809" s="51">
        <f t="shared" si="839"/>
        <v>-4265</v>
      </c>
      <c r="V809" s="499">
        <f t="shared" si="839"/>
        <v>-1406</v>
      </c>
      <c r="W809" s="499">
        <f t="shared" si="839"/>
        <v>-1150</v>
      </c>
      <c r="X809" s="499">
        <f t="shared" si="839"/>
        <v>-1135</v>
      </c>
      <c r="Y809" s="499">
        <f t="shared" si="839"/>
        <v>-1082</v>
      </c>
      <c r="Z809" s="51">
        <f t="shared" si="839"/>
        <v>-4773</v>
      </c>
      <c r="AA809" s="499">
        <f t="shared" si="839"/>
        <v>-1040</v>
      </c>
      <c r="AB809" s="194">
        <f t="shared" si="839"/>
        <v>-883</v>
      </c>
      <c r="AC809" s="499">
        <f t="shared" si="839"/>
        <v>-805</v>
      </c>
      <c r="AD809" s="499">
        <f t="shared" si="839"/>
        <v>-895</v>
      </c>
      <c r="AE809" s="51">
        <f t="shared" si="839"/>
        <v>-3623</v>
      </c>
      <c r="AF809" s="499">
        <f t="shared" si="839"/>
        <v>-981</v>
      </c>
      <c r="AG809" s="194">
        <f t="shared" si="839"/>
        <v>-1063</v>
      </c>
      <c r="AH809" s="499">
        <f t="shared" si="839"/>
        <v>-1220</v>
      </c>
      <c r="AI809" s="499">
        <f t="shared" si="839"/>
        <v>-1201</v>
      </c>
      <c r="AJ809" s="51">
        <f t="shared" si="839"/>
        <v>-4465</v>
      </c>
      <c r="AK809" s="499">
        <f t="shared" si="839"/>
        <v>-1195</v>
      </c>
      <c r="AL809" s="194">
        <f t="shared" si="839"/>
        <v>-1195</v>
      </c>
      <c r="AM809" s="499">
        <f t="shared" si="839"/>
        <v>-1177</v>
      </c>
      <c r="AN809" s="499">
        <f t="shared" si="839"/>
        <v>-1309</v>
      </c>
      <c r="AO809" s="51">
        <f t="shared" si="839"/>
        <v>-4876</v>
      </c>
      <c r="AP809" s="499">
        <f t="shared" si="839"/>
        <v>-1338</v>
      </c>
      <c r="AQ809" s="194">
        <f t="shared" si="839"/>
        <v>-1247</v>
      </c>
      <c r="AR809" s="499">
        <f t="shared" ref="AR809:AW809" si="840">AR941</f>
        <v>-708</v>
      </c>
      <c r="AS809" s="499">
        <f t="shared" si="840"/>
        <v>-729</v>
      </c>
      <c r="AT809" s="51">
        <f t="shared" si="840"/>
        <v>-4022</v>
      </c>
      <c r="AU809" s="499">
        <f t="shared" si="840"/>
        <v>-760</v>
      </c>
      <c r="AV809" s="194">
        <f t="shared" si="840"/>
        <v>-770</v>
      </c>
      <c r="AW809" s="873">
        <f t="shared" si="840"/>
        <v>-938</v>
      </c>
      <c r="AX809" s="499">
        <f>-AX155-AX221-AX548-AX582</f>
        <v>-765</v>
      </c>
      <c r="AY809" s="51">
        <f>AY941</f>
        <v>-3233</v>
      </c>
      <c r="AZ809" s="499">
        <f>-AZ155-AZ221-AZ548-AZ582</f>
        <v>-1165</v>
      </c>
      <c r="BA809" s="499">
        <f>-BA155-BA221-BA548-BA582</f>
        <v>-1165</v>
      </c>
      <c r="BB809" s="499">
        <f>-BB155-BB221-BB548-BB582</f>
        <v>-1165</v>
      </c>
      <c r="BC809" s="499">
        <f>-BC155-BC221-BC548-BC582</f>
        <v>-1165</v>
      </c>
      <c r="BD809" s="51">
        <f>BD941</f>
        <v>-4660</v>
      </c>
      <c r="BE809" s="51">
        <f>-BE155-BE221-BE548-BE582</f>
        <v>-4660</v>
      </c>
      <c r="BF809" s="51">
        <f>-BF155-BF221-BF548-BF582</f>
        <v>-4660</v>
      </c>
      <c r="BG809" s="51">
        <f>-BG155-BG221-BG548-BG582</f>
        <v>-4660</v>
      </c>
      <c r="BH809" s="499"/>
    </row>
    <row r="810" spans="1:60" s="162" customFormat="1" x14ac:dyDescent="0.25">
      <c r="A810" s="159" t="str">
        <f>CONCATENATE("Consensus Estimates - ",IFERROR(LEFT(A809,FIND("(",A809)-1),A809))</f>
        <v>Consensus Estimates - Capex</v>
      </c>
      <c r="B810" s="207"/>
      <c r="C810" s="160"/>
      <c r="D810" s="160"/>
      <c r="E810" s="160"/>
      <c r="F810" s="160"/>
      <c r="G810" s="161"/>
      <c r="H810" s="161"/>
      <c r="I810" s="161"/>
      <c r="J810" s="161"/>
      <c r="K810" s="160"/>
      <c r="L810" s="161"/>
      <c r="M810" s="161"/>
      <c r="N810" s="161"/>
      <c r="O810" s="161"/>
      <c r="P810" s="160"/>
      <c r="Q810" s="161"/>
      <c r="R810" s="161"/>
      <c r="S810" s="161"/>
      <c r="T810" s="161"/>
      <c r="U810" s="160"/>
      <c r="V810" s="161"/>
      <c r="W810" s="161"/>
      <c r="X810" s="161"/>
      <c r="Y810" s="161"/>
      <c r="Z810" s="160"/>
      <c r="AA810" s="161"/>
      <c r="AB810" s="161"/>
      <c r="AC810" s="161"/>
      <c r="AD810" s="161"/>
      <c r="AE810" s="160"/>
      <c r="AF810" s="161"/>
      <c r="AG810" s="161"/>
      <c r="AH810" s="161"/>
      <c r="AI810" s="161"/>
      <c r="AJ810" s="160"/>
      <c r="AK810" s="161"/>
      <c r="AL810" s="161"/>
      <c r="AM810" s="161"/>
      <c r="AN810" s="161"/>
      <c r="AO810" s="160"/>
      <c r="AP810" s="161"/>
      <c r="AQ810" s="161"/>
      <c r="AR810" s="161"/>
      <c r="AS810" s="161"/>
      <c r="AT810" s="160"/>
      <c r="AU810" s="161"/>
      <c r="AV810" s="161"/>
      <c r="AW810" s="706"/>
      <c r="AX810" s="161" t="str">
        <f t="shared" ref="AX810:BD810" ca="1" si="841">IFERROR(VLOOKUP($A810,tb_ConsensusEstimate,MATCH(AX$5,OFFSET(tb_ConsensusEstimate,0,0,1,COLUMNS(tb_ConsensusEstimate)),0),FALSE),"-")</f>
        <v>N/A</v>
      </c>
      <c r="AY810" s="120" t="str">
        <f t="shared" ca="1" si="841"/>
        <v>N/A</v>
      </c>
      <c r="AZ810" s="161" t="str">
        <f t="shared" ca="1" si="841"/>
        <v>N/A</v>
      </c>
      <c r="BA810" s="161" t="str">
        <f t="shared" ca="1" si="841"/>
        <v>N/A</v>
      </c>
      <c r="BB810" s="161" t="str">
        <f t="shared" ca="1" si="841"/>
        <v>N/A</v>
      </c>
      <c r="BC810" s="161" t="str">
        <f t="shared" ca="1" si="841"/>
        <v>N/A</v>
      </c>
      <c r="BD810" s="120" t="str">
        <f t="shared" ca="1" si="841"/>
        <v>N/A</v>
      </c>
      <c r="BE810" s="120" t="str">
        <f ca="1">IFERROR(VLOOKUP(A810,tb_ConsensusEstimate,MATCH(BE5,OFFSET(tb_ConsensusEstimate,0,0,1,COLUMNS(tb_ConsensusEstimate)),0),FALSE),"-")</f>
        <v>N/A</v>
      </c>
      <c r="BF810" s="120" t="str">
        <f ca="1">IFERROR(VLOOKUP(A810,tb_ConsensusEstimate,MATCH(BF5,OFFSET(tb_ConsensusEstimate,0,0,1,COLUMNS(tb_ConsensusEstimate)),0),FALSE),"-")</f>
        <v>N/A</v>
      </c>
      <c r="BG810" s="120" t="str">
        <f ca="1">IFERROR(VLOOKUP(A810,tb_ConsensusEstimate,MATCH(BG5,OFFSET(tb_ConsensusEstimate,0,0,1,COLUMNS(tb_ConsensusEstimate)),0),FALSE),"-")</f>
        <v>N/A</v>
      </c>
      <c r="BH810" s="161"/>
    </row>
    <row r="811" spans="1:60" s="49" customFormat="1" x14ac:dyDescent="0.25">
      <c r="A811" s="484" t="s">
        <v>264</v>
      </c>
      <c r="B811" s="209"/>
      <c r="C811" s="39">
        <f t="shared" ref="C811:AR811" si="842">C943+C956</f>
        <v>-176</v>
      </c>
      <c r="D811" s="39">
        <f t="shared" si="842"/>
        <v>-2493</v>
      </c>
      <c r="E811" s="39">
        <f t="shared" si="842"/>
        <v>-184</v>
      </c>
      <c r="F811" s="39">
        <f t="shared" si="842"/>
        <v>-1088</v>
      </c>
      <c r="G811" s="484">
        <f t="shared" si="842"/>
        <v>-2265</v>
      </c>
      <c r="H811" s="484">
        <f t="shared" si="842"/>
        <v>-45</v>
      </c>
      <c r="I811" s="484">
        <f t="shared" si="842"/>
        <v>0</v>
      </c>
      <c r="J811" s="484">
        <f t="shared" si="842"/>
        <v>-133</v>
      </c>
      <c r="K811" s="39">
        <f t="shared" si="842"/>
        <v>-2443</v>
      </c>
      <c r="L811" s="484">
        <f t="shared" si="842"/>
        <v>0</v>
      </c>
      <c r="M811" s="484">
        <f t="shared" si="842"/>
        <v>0</v>
      </c>
      <c r="N811" s="484">
        <f t="shared" si="842"/>
        <v>-402</v>
      </c>
      <c r="O811" s="484">
        <f t="shared" si="842"/>
        <v>0</v>
      </c>
      <c r="P811" s="39">
        <f t="shared" si="842"/>
        <v>-402</v>
      </c>
      <c r="Q811" s="484">
        <f t="shared" si="842"/>
        <v>0</v>
      </c>
      <c r="R811" s="484">
        <f t="shared" si="842"/>
        <v>0</v>
      </c>
      <c r="S811" s="484">
        <f t="shared" si="842"/>
        <v>0</v>
      </c>
      <c r="T811" s="484">
        <f t="shared" si="842"/>
        <v>0</v>
      </c>
      <c r="U811" s="39">
        <f t="shared" si="842"/>
        <v>0</v>
      </c>
      <c r="V811" s="484">
        <f t="shared" si="842"/>
        <v>-400</v>
      </c>
      <c r="W811" s="484">
        <f t="shared" si="842"/>
        <v>0</v>
      </c>
      <c r="X811" s="484">
        <f t="shared" si="842"/>
        <v>0</v>
      </c>
      <c r="Y811" s="484">
        <f t="shared" si="842"/>
        <v>-450</v>
      </c>
      <c r="Z811" s="39">
        <f t="shared" si="842"/>
        <v>-850</v>
      </c>
      <c r="AA811" s="484">
        <f t="shared" si="842"/>
        <v>0</v>
      </c>
      <c r="AB811" s="191">
        <f t="shared" si="842"/>
        <v>-557</v>
      </c>
      <c r="AC811" s="484">
        <f t="shared" si="842"/>
        <v>0</v>
      </c>
      <c r="AD811" s="484">
        <f t="shared" si="842"/>
        <v>140</v>
      </c>
      <c r="AE811" s="39">
        <f t="shared" si="842"/>
        <v>-417</v>
      </c>
      <c r="AF811" s="484">
        <f t="shared" si="842"/>
        <v>0</v>
      </c>
      <c r="AG811" s="191">
        <f t="shared" si="842"/>
        <v>-1581</v>
      </c>
      <c r="AH811" s="484">
        <f t="shared" si="842"/>
        <v>0</v>
      </c>
      <c r="AI811" s="484">
        <f t="shared" si="842"/>
        <v>0</v>
      </c>
      <c r="AJ811" s="39">
        <f t="shared" si="842"/>
        <v>-1581</v>
      </c>
      <c r="AK811" s="484">
        <f t="shared" si="842"/>
        <v>0</v>
      </c>
      <c r="AL811" s="191">
        <f t="shared" si="842"/>
        <v>-9901</v>
      </c>
      <c r="AM811" s="484">
        <f t="shared" si="842"/>
        <v>-1430</v>
      </c>
      <c r="AN811" s="484">
        <f t="shared" si="842"/>
        <v>0</v>
      </c>
      <c r="AO811" s="39">
        <f t="shared" si="842"/>
        <v>-11331</v>
      </c>
      <c r="AP811" s="484">
        <f t="shared" si="842"/>
        <v>0</v>
      </c>
      <c r="AQ811" s="191">
        <f t="shared" si="842"/>
        <v>0</v>
      </c>
      <c r="AR811" s="484">
        <f t="shared" si="842"/>
        <v>0</v>
      </c>
      <c r="AS811" s="484">
        <f>AS943+AS956</f>
        <v>0</v>
      </c>
      <c r="AT811" s="39">
        <f>AT943+AT956</f>
        <v>0</v>
      </c>
      <c r="AU811" s="484">
        <f>AU943+AU956</f>
        <v>0</v>
      </c>
      <c r="AV811" s="191">
        <f>AV943+AV956</f>
        <v>0</v>
      </c>
      <c r="AW811" s="289">
        <f>AW943+AW956</f>
        <v>0</v>
      </c>
      <c r="AX811" s="69">
        <v>0</v>
      </c>
      <c r="AY811" s="104">
        <f>AY943+AY956</f>
        <v>0</v>
      </c>
      <c r="AZ811" s="69">
        <v>0</v>
      </c>
      <c r="BA811" s="69">
        <v>0</v>
      </c>
      <c r="BB811" s="69">
        <v>0</v>
      </c>
      <c r="BC811" s="69">
        <v>0</v>
      </c>
      <c r="BD811" s="104">
        <f>BD943+BD956</f>
        <v>0</v>
      </c>
      <c r="BE811" s="57">
        <v>0</v>
      </c>
      <c r="BF811" s="57">
        <v>0</v>
      </c>
      <c r="BG811" s="57">
        <v>0</v>
      </c>
      <c r="BH811" s="484"/>
    </row>
    <row r="812" spans="1:60" s="49" customFormat="1" x14ac:dyDescent="0.25">
      <c r="A812" s="113" t="s">
        <v>265</v>
      </c>
      <c r="B812" s="209"/>
      <c r="C812" s="104">
        <f t="shared" ref="C812:AR812" si="843">C942</f>
        <v>185</v>
      </c>
      <c r="D812" s="104">
        <f t="shared" si="843"/>
        <v>170</v>
      </c>
      <c r="E812" s="104">
        <f t="shared" si="843"/>
        <v>564</v>
      </c>
      <c r="F812" s="104">
        <f t="shared" si="843"/>
        <v>110</v>
      </c>
      <c r="G812" s="113">
        <f t="shared" si="843"/>
        <v>340</v>
      </c>
      <c r="H812" s="113">
        <f t="shared" si="843"/>
        <v>10</v>
      </c>
      <c r="I812" s="113">
        <f t="shared" si="843"/>
        <v>17</v>
      </c>
      <c r="J812" s="113">
        <f t="shared" si="843"/>
        <v>112</v>
      </c>
      <c r="K812" s="104">
        <f t="shared" si="843"/>
        <v>479</v>
      </c>
      <c r="L812" s="113">
        <f t="shared" si="843"/>
        <v>136</v>
      </c>
      <c r="M812" s="113">
        <f t="shared" si="843"/>
        <v>230</v>
      </c>
      <c r="N812" s="113">
        <f t="shared" si="843"/>
        <v>16</v>
      </c>
      <c r="O812" s="113">
        <f t="shared" si="843"/>
        <v>13</v>
      </c>
      <c r="P812" s="104">
        <f t="shared" si="843"/>
        <v>395</v>
      </c>
      <c r="Q812" s="113">
        <f t="shared" si="843"/>
        <v>0</v>
      </c>
      <c r="R812" s="113">
        <f t="shared" si="843"/>
        <v>81</v>
      </c>
      <c r="S812" s="113">
        <f t="shared" si="843"/>
        <v>62</v>
      </c>
      <c r="T812" s="113">
        <f t="shared" si="843"/>
        <v>23</v>
      </c>
      <c r="U812" s="104">
        <f t="shared" si="843"/>
        <v>166</v>
      </c>
      <c r="V812" s="113">
        <f t="shared" si="843"/>
        <v>40</v>
      </c>
      <c r="W812" s="113">
        <f t="shared" si="843"/>
        <v>2</v>
      </c>
      <c r="X812" s="113">
        <f t="shared" si="843"/>
        <v>2</v>
      </c>
      <c r="Y812" s="113">
        <f t="shared" si="843"/>
        <v>1</v>
      </c>
      <c r="Z812" s="104">
        <f t="shared" si="843"/>
        <v>45</v>
      </c>
      <c r="AA812" s="113">
        <f t="shared" si="843"/>
        <v>0</v>
      </c>
      <c r="AB812" s="113">
        <f t="shared" si="843"/>
        <v>0</v>
      </c>
      <c r="AC812" s="113">
        <f t="shared" si="843"/>
        <v>0</v>
      </c>
      <c r="AD812" s="113">
        <f t="shared" si="843"/>
        <v>0</v>
      </c>
      <c r="AE812" s="104">
        <f t="shared" si="843"/>
        <v>0</v>
      </c>
      <c r="AF812" s="113">
        <f t="shared" si="843"/>
        <v>0</v>
      </c>
      <c r="AG812" s="113">
        <f t="shared" si="843"/>
        <v>0</v>
      </c>
      <c r="AH812" s="113">
        <f t="shared" si="843"/>
        <v>0</v>
      </c>
      <c r="AI812" s="113">
        <f t="shared" si="843"/>
        <v>0</v>
      </c>
      <c r="AJ812" s="104">
        <f t="shared" si="843"/>
        <v>0</v>
      </c>
      <c r="AK812" s="113">
        <f t="shared" si="843"/>
        <v>0</v>
      </c>
      <c r="AL812" s="113">
        <f t="shared" si="843"/>
        <v>0</v>
      </c>
      <c r="AM812" s="113">
        <f t="shared" si="843"/>
        <v>0</v>
      </c>
      <c r="AN812" s="113">
        <f t="shared" si="843"/>
        <v>0</v>
      </c>
      <c r="AO812" s="104">
        <f t="shared" si="843"/>
        <v>0</v>
      </c>
      <c r="AP812" s="113">
        <f t="shared" si="843"/>
        <v>0</v>
      </c>
      <c r="AQ812" s="113">
        <f t="shared" si="843"/>
        <v>0</v>
      </c>
      <c r="AR812" s="113">
        <f t="shared" si="843"/>
        <v>0</v>
      </c>
      <c r="AS812" s="113">
        <f>AS942</f>
        <v>0</v>
      </c>
      <c r="AT812" s="104">
        <f>AT942</f>
        <v>0</v>
      </c>
      <c r="AU812" s="113">
        <f>AU942</f>
        <v>0</v>
      </c>
      <c r="AV812" s="113">
        <f>AV942</f>
        <v>0</v>
      </c>
      <c r="AW812" s="699">
        <f>AW942</f>
        <v>0</v>
      </c>
      <c r="AX812" s="69">
        <v>0</v>
      </c>
      <c r="AY812" s="104">
        <f>AY942</f>
        <v>0</v>
      </c>
      <c r="AZ812" s="69">
        <v>0</v>
      </c>
      <c r="BA812" s="69">
        <v>0</v>
      </c>
      <c r="BB812" s="69">
        <v>0</v>
      </c>
      <c r="BC812" s="69">
        <v>0</v>
      </c>
      <c r="BD812" s="104">
        <f>BD942</f>
        <v>0</v>
      </c>
      <c r="BE812" s="57">
        <v>0</v>
      </c>
      <c r="BF812" s="57">
        <v>0</v>
      </c>
      <c r="BG812" s="57">
        <v>0</v>
      </c>
      <c r="BH812" s="484"/>
    </row>
    <row r="813" spans="1:60" s="49" customFormat="1" x14ac:dyDescent="0.25">
      <c r="A813" s="484" t="s">
        <v>266</v>
      </c>
      <c r="B813" s="209"/>
      <c r="C813" s="39">
        <f t="shared" ref="C813:AR813" si="844">C952</f>
        <v>-648</v>
      </c>
      <c r="D813" s="39">
        <f t="shared" si="844"/>
        <v>-653</v>
      </c>
      <c r="E813" s="39">
        <f t="shared" si="844"/>
        <v>-756</v>
      </c>
      <c r="F813" s="39">
        <f t="shared" si="844"/>
        <v>-1076</v>
      </c>
      <c r="G813" s="484">
        <f t="shared" si="844"/>
        <v>-1300</v>
      </c>
      <c r="H813" s="484">
        <f t="shared" si="844"/>
        <v>-24</v>
      </c>
      <c r="I813" s="484">
        <f t="shared" si="844"/>
        <v>0</v>
      </c>
      <c r="J813" s="484">
        <f t="shared" si="844"/>
        <v>0</v>
      </c>
      <c r="K813" s="39">
        <f t="shared" si="844"/>
        <v>-1324</v>
      </c>
      <c r="L813" s="484">
        <f t="shared" si="844"/>
        <v>0</v>
      </c>
      <c r="M813" s="484">
        <f t="shared" si="844"/>
        <v>-1508</v>
      </c>
      <c r="N813" s="484">
        <f t="shared" si="844"/>
        <v>0</v>
      </c>
      <c r="O813" s="484">
        <f t="shared" si="844"/>
        <v>0</v>
      </c>
      <c r="P813" s="39">
        <f t="shared" si="844"/>
        <v>-1508</v>
      </c>
      <c r="Q813" s="484">
        <f t="shared" si="844"/>
        <v>0</v>
      </c>
      <c r="R813" s="484">
        <f t="shared" si="844"/>
        <v>-1948</v>
      </c>
      <c r="S813" s="484">
        <f t="shared" si="844"/>
        <v>0</v>
      </c>
      <c r="T813" s="484">
        <f t="shared" si="844"/>
        <v>-1115</v>
      </c>
      <c r="U813" s="39">
        <f t="shared" si="844"/>
        <v>-3063</v>
      </c>
      <c r="V813" s="484">
        <f t="shared" si="844"/>
        <v>0</v>
      </c>
      <c r="W813" s="484">
        <f t="shared" si="844"/>
        <v>-1168</v>
      </c>
      <c r="X813" s="484">
        <f t="shared" si="844"/>
        <v>0</v>
      </c>
      <c r="Y813" s="484">
        <f t="shared" si="844"/>
        <v>-1145</v>
      </c>
      <c r="Z813" s="39">
        <f t="shared" si="844"/>
        <v>-2313</v>
      </c>
      <c r="AA813" s="484">
        <f t="shared" si="844"/>
        <v>0</v>
      </c>
      <c r="AB813" s="191">
        <f t="shared" si="844"/>
        <v>-1237</v>
      </c>
      <c r="AC813" s="484">
        <f t="shared" si="844"/>
        <v>0</v>
      </c>
      <c r="AD813" s="484">
        <f t="shared" si="844"/>
        <v>-1208</v>
      </c>
      <c r="AE813" s="39">
        <f t="shared" si="844"/>
        <v>-2445</v>
      </c>
      <c r="AF813" s="484">
        <f t="shared" si="844"/>
        <v>0</v>
      </c>
      <c r="AG813" s="191">
        <f t="shared" si="844"/>
        <v>-1266</v>
      </c>
      <c r="AH813" s="484">
        <f t="shared" si="844"/>
        <v>0</v>
      </c>
      <c r="AI813" s="484">
        <f t="shared" si="844"/>
        <v>-1249</v>
      </c>
      <c r="AJ813" s="39">
        <f t="shared" si="844"/>
        <v>-2515</v>
      </c>
      <c r="AK813" s="484">
        <f t="shared" si="844"/>
        <v>0</v>
      </c>
      <c r="AL813" s="191">
        <f t="shared" si="844"/>
        <v>-1310</v>
      </c>
      <c r="AM813" s="484">
        <f t="shared" si="844"/>
        <v>0</v>
      </c>
      <c r="AN813" s="484">
        <f t="shared" si="844"/>
        <v>-1585</v>
      </c>
      <c r="AO813" s="39">
        <f t="shared" si="844"/>
        <v>-2895</v>
      </c>
      <c r="AP813" s="484">
        <f t="shared" si="844"/>
        <v>0</v>
      </c>
      <c r="AQ813" s="191">
        <f t="shared" si="844"/>
        <v>-1587</v>
      </c>
      <c r="AR813" s="484">
        <f t="shared" si="844"/>
        <v>0</v>
      </c>
      <c r="AS813" s="484">
        <f>AS952</f>
        <v>0</v>
      </c>
      <c r="AT813" s="39">
        <f>AT952</f>
        <v>-1587</v>
      </c>
      <c r="AU813" s="484">
        <f>AU952</f>
        <v>0</v>
      </c>
      <c r="AV813" s="191">
        <f>AV952</f>
        <v>0</v>
      </c>
      <c r="AW813" s="289">
        <f>AW952</f>
        <v>0</v>
      </c>
      <c r="AX813" s="113">
        <f ca="1">AX814*-AX801</f>
        <v>-1599.84</v>
      </c>
      <c r="AY813" s="104">
        <f ca="1">AY952</f>
        <v>-1599.84</v>
      </c>
      <c r="AZ813" s="113">
        <f ca="1">AZ814*-AZ801</f>
        <v>0</v>
      </c>
      <c r="BA813" s="113">
        <f ca="1">BA814*-BA801</f>
        <v>-1599.84</v>
      </c>
      <c r="BB813" s="113">
        <f ca="1">BB814*-BB801</f>
        <v>0</v>
      </c>
      <c r="BC813" s="113">
        <f ca="1">BC814*-BC801</f>
        <v>-1599.84</v>
      </c>
      <c r="BD813" s="104">
        <f ca="1">BD952</f>
        <v>-3199.68</v>
      </c>
      <c r="BE813" s="104">
        <f ca="1">BE814*-BE801</f>
        <v>-3199.68</v>
      </c>
      <c r="BF813" s="104">
        <f ca="1">BF814*-BF801</f>
        <v>-3199.68</v>
      </c>
      <c r="BG813" s="104">
        <f ca="1">BG814*-BG801</f>
        <v>-3199.68</v>
      </c>
      <c r="BH813" s="484"/>
    </row>
    <row r="814" spans="1:60" s="46" customFormat="1" x14ac:dyDescent="0.25">
      <c r="A814" s="216" t="s">
        <v>267</v>
      </c>
      <c r="B814" s="801"/>
      <c r="C814" s="38">
        <v>0.35</v>
      </c>
      <c r="D814" s="38">
        <v>0.35</v>
      </c>
      <c r="E814" s="38">
        <v>0.4</v>
      </c>
      <c r="F814" s="38">
        <v>0.6</v>
      </c>
      <c r="G814" s="67">
        <v>0.75</v>
      </c>
      <c r="H814" s="67">
        <v>0</v>
      </c>
      <c r="I814" s="67">
        <v>0</v>
      </c>
      <c r="J814" s="67">
        <v>0</v>
      </c>
      <c r="K814" s="38">
        <v>0.75</v>
      </c>
      <c r="L814" s="67">
        <v>0</v>
      </c>
      <c r="M814" s="67">
        <v>0.86</v>
      </c>
      <c r="N814" s="67">
        <v>0</v>
      </c>
      <c r="O814" s="67">
        <v>0</v>
      </c>
      <c r="P814" s="38">
        <v>0.86</v>
      </c>
      <c r="Q814" s="67">
        <v>0</v>
      </c>
      <c r="R814" s="67">
        <v>1.1499999999999999</v>
      </c>
      <c r="S814" s="67">
        <v>0</v>
      </c>
      <c r="T814" s="67">
        <v>0.66</v>
      </c>
      <c r="U814" s="38">
        <f>SUM(Q814,R814,S814,T814)</f>
        <v>1.81</v>
      </c>
      <c r="V814" s="67">
        <v>0</v>
      </c>
      <c r="W814" s="67">
        <v>0.71</v>
      </c>
      <c r="X814" s="67">
        <v>0</v>
      </c>
      <c r="Y814" s="67">
        <v>0.71</v>
      </c>
      <c r="Z814" s="38">
        <f>SUM(V814,W814,X814,Y814)</f>
        <v>1.42</v>
      </c>
      <c r="AA814" s="67">
        <v>0</v>
      </c>
      <c r="AB814" s="932">
        <v>0.78</v>
      </c>
      <c r="AC814" s="67">
        <v>0</v>
      </c>
      <c r="AD814" s="67">
        <v>0.78</v>
      </c>
      <c r="AE814" s="38">
        <f>SUM(AA814,AB814,AC814,AD814)</f>
        <v>1.56</v>
      </c>
      <c r="AF814" s="67">
        <v>0</v>
      </c>
      <c r="AG814" s="932">
        <v>0.84</v>
      </c>
      <c r="AH814" s="67">
        <v>0</v>
      </c>
      <c r="AI814" s="67">
        <v>0.84</v>
      </c>
      <c r="AJ814" s="38">
        <f>SUM(AF814,AG814,AH814,AI814)</f>
        <v>1.68</v>
      </c>
      <c r="AK814" s="67">
        <v>0</v>
      </c>
      <c r="AL814" s="932">
        <v>0.88</v>
      </c>
      <c r="AM814" s="67">
        <v>0</v>
      </c>
      <c r="AN814" s="67">
        <v>0.88</v>
      </c>
      <c r="AO814" s="38">
        <f>SUM(AK814,AL814,AM814,AN814)</f>
        <v>1.76</v>
      </c>
      <c r="AP814" s="67">
        <v>0</v>
      </c>
      <c r="AQ814" s="932">
        <v>0.88</v>
      </c>
      <c r="AR814" s="67">
        <v>0</v>
      </c>
      <c r="AS814" s="67">
        <v>0.88</v>
      </c>
      <c r="AT814" s="38">
        <f>SUM(AP814,AQ814,AR814,AS814)</f>
        <v>1.76</v>
      </c>
      <c r="AU814" s="67">
        <v>0</v>
      </c>
      <c r="AV814" s="932">
        <v>0.88</v>
      </c>
      <c r="AW814" s="954">
        <v>0</v>
      </c>
      <c r="AX814" s="214">
        <v>0.88</v>
      </c>
      <c r="AY814" s="38">
        <f>SUM(AU814,AV814,AW814,AX814)</f>
        <v>1.76</v>
      </c>
      <c r="AZ814" s="214">
        <v>0</v>
      </c>
      <c r="BA814" s="214">
        <v>0.88</v>
      </c>
      <c r="BB814" s="214">
        <v>0</v>
      </c>
      <c r="BC814" s="214">
        <v>0.88</v>
      </c>
      <c r="BD814" s="38">
        <f>SUM(AZ814,BA814,BB814,BC814)</f>
        <v>1.76</v>
      </c>
      <c r="BE814" s="41">
        <v>1.76</v>
      </c>
      <c r="BF814" s="41">
        <v>1.76</v>
      </c>
      <c r="BG814" s="41">
        <v>1.76</v>
      </c>
      <c r="BH814" s="67"/>
    </row>
    <row r="815" spans="1:60" s="46" customFormat="1" x14ac:dyDescent="0.25">
      <c r="A815" s="802"/>
      <c r="B815" s="801"/>
      <c r="C815" s="836"/>
      <c r="D815" s="836"/>
      <c r="E815" s="836"/>
      <c r="F815" s="836"/>
      <c r="G815" s="803"/>
      <c r="H815" s="803"/>
      <c r="I815" s="803"/>
      <c r="J815" s="803"/>
      <c r="K815" s="836"/>
      <c r="L815" s="803"/>
      <c r="M815" s="803"/>
      <c r="N815" s="803"/>
      <c r="O815" s="803"/>
      <c r="P815" s="836"/>
      <c r="Q815" s="803"/>
      <c r="R815" s="803"/>
      <c r="S815" s="803"/>
      <c r="T815" s="803"/>
      <c r="U815" s="836"/>
      <c r="V815" s="803"/>
      <c r="W815" s="803"/>
      <c r="X815" s="803"/>
      <c r="Y815" s="803"/>
      <c r="Z815" s="836"/>
      <c r="AA815" s="803"/>
      <c r="AB815" s="803"/>
      <c r="AC815" s="803"/>
      <c r="AD815" s="803"/>
      <c r="AE815" s="836"/>
      <c r="AF815" s="803"/>
      <c r="AG815" s="803"/>
      <c r="AH815" s="803"/>
      <c r="AI815" s="803"/>
      <c r="AJ815" s="836"/>
      <c r="AK815" s="803"/>
      <c r="AL815" s="803"/>
      <c r="AM815" s="803"/>
      <c r="AN815" s="803"/>
      <c r="AO815" s="836"/>
      <c r="AP815" s="803"/>
      <c r="AQ815" s="803"/>
      <c r="AR815" s="803"/>
      <c r="AS815" s="803"/>
      <c r="AT815" s="836"/>
      <c r="AU815" s="803"/>
      <c r="AV815" s="803"/>
      <c r="AW815" s="804"/>
      <c r="AX815" s="803"/>
      <c r="AY815" s="836"/>
      <c r="AZ815" s="803"/>
      <c r="BA815" s="803"/>
      <c r="BB815" s="803"/>
      <c r="BC815" s="803"/>
      <c r="BD815" s="836"/>
      <c r="BE815" s="836"/>
      <c r="BF815" s="836"/>
      <c r="BG815" s="836"/>
      <c r="BH815" s="67"/>
    </row>
    <row r="816" spans="1:60" s="46" customFormat="1" x14ac:dyDescent="0.25">
      <c r="A816" s="216" t="s">
        <v>664</v>
      </c>
      <c r="B816" s="801"/>
      <c r="C816" s="39">
        <f t="shared" ref="C816:AR816" si="845">C949+C950+C951</f>
        <v>-1852</v>
      </c>
      <c r="D816" s="39">
        <f t="shared" si="845"/>
        <v>-181</v>
      </c>
      <c r="E816" s="39">
        <f t="shared" si="845"/>
        <v>1647</v>
      </c>
      <c r="F816" s="39">
        <f t="shared" si="845"/>
        <v>424</v>
      </c>
      <c r="G816" s="484">
        <f t="shared" si="845"/>
        <v>3255</v>
      </c>
      <c r="H816" s="484">
        <f t="shared" si="845"/>
        <v>-410</v>
      </c>
      <c r="I816" s="484">
        <f t="shared" si="845"/>
        <v>-1762</v>
      </c>
      <c r="J816" s="484">
        <f t="shared" si="845"/>
        <v>-704</v>
      </c>
      <c r="K816" s="39">
        <f t="shared" si="845"/>
        <v>379</v>
      </c>
      <c r="L816" s="484">
        <f t="shared" si="845"/>
        <v>1169</v>
      </c>
      <c r="M816" s="484">
        <f t="shared" si="845"/>
        <v>201</v>
      </c>
      <c r="N816" s="484">
        <f t="shared" si="845"/>
        <v>514</v>
      </c>
      <c r="O816" s="484">
        <f t="shared" si="845"/>
        <v>-1251</v>
      </c>
      <c r="P816" s="39">
        <f t="shared" si="845"/>
        <v>633</v>
      </c>
      <c r="Q816" s="484">
        <f t="shared" si="845"/>
        <v>1718</v>
      </c>
      <c r="R816" s="484">
        <f t="shared" si="845"/>
        <v>-1600</v>
      </c>
      <c r="S816" s="484">
        <f t="shared" si="845"/>
        <v>409</v>
      </c>
      <c r="T816" s="484">
        <f t="shared" si="845"/>
        <v>2178</v>
      </c>
      <c r="U816" s="39">
        <f t="shared" si="845"/>
        <v>2705</v>
      </c>
      <c r="V816" s="484">
        <f t="shared" si="845"/>
        <v>1725</v>
      </c>
      <c r="W816" s="484">
        <f t="shared" si="845"/>
        <v>2124</v>
      </c>
      <c r="X816" s="484">
        <f t="shared" si="845"/>
        <v>-691</v>
      </c>
      <c r="Y816" s="484">
        <f t="shared" si="845"/>
        <v>-218</v>
      </c>
      <c r="Z816" s="39">
        <f t="shared" si="845"/>
        <v>2940</v>
      </c>
      <c r="AA816" s="484">
        <f t="shared" si="845"/>
        <v>580</v>
      </c>
      <c r="AB816" s="191">
        <f t="shared" si="845"/>
        <v>1154</v>
      </c>
      <c r="AC816" s="484">
        <f t="shared" si="845"/>
        <v>471</v>
      </c>
      <c r="AD816" s="484">
        <f t="shared" si="845"/>
        <v>1498</v>
      </c>
      <c r="AE816" s="39">
        <f t="shared" si="845"/>
        <v>3703</v>
      </c>
      <c r="AF816" s="484">
        <f t="shared" si="845"/>
        <v>835</v>
      </c>
      <c r="AG816" s="191">
        <f t="shared" si="845"/>
        <v>235</v>
      </c>
      <c r="AH816" s="484">
        <f t="shared" si="845"/>
        <v>-917</v>
      </c>
      <c r="AI816" s="484">
        <f t="shared" si="845"/>
        <v>-2736</v>
      </c>
      <c r="AJ816" s="39">
        <f t="shared" si="845"/>
        <v>-2583</v>
      </c>
      <c r="AK816" s="484">
        <f t="shared" si="845"/>
        <v>-302</v>
      </c>
      <c r="AL816" s="191">
        <f t="shared" si="845"/>
        <v>14425</v>
      </c>
      <c r="AM816" s="484">
        <f t="shared" si="845"/>
        <v>1159</v>
      </c>
      <c r="AN816" s="484">
        <f t="shared" si="845"/>
        <v>-11605</v>
      </c>
      <c r="AO816" s="39">
        <f t="shared" si="845"/>
        <v>3677</v>
      </c>
      <c r="AP816" s="484">
        <f t="shared" si="845"/>
        <v>1177</v>
      </c>
      <c r="AQ816" s="191">
        <f t="shared" si="845"/>
        <v>6984</v>
      </c>
      <c r="AR816" s="484">
        <f t="shared" si="845"/>
        <v>8945</v>
      </c>
      <c r="AS816" s="484">
        <f>AS949+AS950+AS951</f>
        <v>-5873</v>
      </c>
      <c r="AT816" s="39">
        <f>AT949+AT950+AT951</f>
        <v>11233</v>
      </c>
      <c r="AU816" s="484">
        <f>AU949+AU950+AU951</f>
        <v>-317</v>
      </c>
      <c r="AV816" s="191">
        <f>AV949+AV950+AV951</f>
        <v>-1549</v>
      </c>
      <c r="AW816" s="289">
        <f>AW949+AW950+AW951</f>
        <v>-509</v>
      </c>
      <c r="AX816" s="69">
        <v>0</v>
      </c>
      <c r="AY816" s="39">
        <f>AY949+AY950+AY951</f>
        <v>-2375</v>
      </c>
      <c r="AZ816" s="69">
        <v>0</v>
      </c>
      <c r="BA816" s="69">
        <v>0</v>
      </c>
      <c r="BB816" s="69">
        <v>0</v>
      </c>
      <c r="BC816" s="69">
        <v>0</v>
      </c>
      <c r="BD816" s="39">
        <f>BD949+BD950+BD951</f>
        <v>0</v>
      </c>
      <c r="BE816" s="57">
        <v>0</v>
      </c>
      <c r="BF816" s="57">
        <v>0</v>
      </c>
      <c r="BG816" s="57">
        <v>0</v>
      </c>
      <c r="BH816" s="67"/>
    </row>
    <row r="817" spans="1:60" s="46" customFormat="1" x14ac:dyDescent="0.25">
      <c r="A817" s="216" t="s">
        <v>667</v>
      </c>
      <c r="B817" s="801"/>
      <c r="C817" s="39">
        <f t="shared" ref="C817:AR817" si="846">C953+C954</f>
        <v>-19</v>
      </c>
      <c r="D817" s="39">
        <f t="shared" si="846"/>
        <v>-1536</v>
      </c>
      <c r="E817" s="39">
        <f t="shared" si="846"/>
        <v>-3865</v>
      </c>
      <c r="F817" s="39">
        <f t="shared" si="846"/>
        <v>-2007</v>
      </c>
      <c r="G817" s="484">
        <f t="shared" si="846"/>
        <v>-920</v>
      </c>
      <c r="H817" s="484">
        <f t="shared" si="846"/>
        <v>-620</v>
      </c>
      <c r="I817" s="484">
        <f t="shared" si="846"/>
        <v>-636</v>
      </c>
      <c r="J817" s="484">
        <f t="shared" si="846"/>
        <v>-1324</v>
      </c>
      <c r="K817" s="39">
        <f t="shared" si="846"/>
        <v>-3500</v>
      </c>
      <c r="L817" s="484">
        <f t="shared" si="846"/>
        <v>-1624</v>
      </c>
      <c r="M817" s="484">
        <f t="shared" si="846"/>
        <v>-1335</v>
      </c>
      <c r="N817" s="484">
        <f t="shared" si="846"/>
        <v>-1780</v>
      </c>
      <c r="O817" s="484">
        <f t="shared" si="846"/>
        <v>-1384</v>
      </c>
      <c r="P817" s="39">
        <f t="shared" si="846"/>
        <v>-6123</v>
      </c>
      <c r="Q817" s="484">
        <f t="shared" si="846"/>
        <v>-1238</v>
      </c>
      <c r="R817" s="484">
        <f t="shared" si="846"/>
        <v>-315</v>
      </c>
      <c r="S817" s="484">
        <f t="shared" si="846"/>
        <v>-978</v>
      </c>
      <c r="T817" s="484">
        <f t="shared" si="846"/>
        <v>-3235</v>
      </c>
      <c r="U817" s="39">
        <f t="shared" si="846"/>
        <v>-5766</v>
      </c>
      <c r="V817" s="484">
        <f t="shared" si="846"/>
        <v>-2300</v>
      </c>
      <c r="W817" s="484">
        <f t="shared" si="846"/>
        <v>-1931</v>
      </c>
      <c r="X817" s="484">
        <f t="shared" si="846"/>
        <v>-1461</v>
      </c>
      <c r="Y817" s="484">
        <f t="shared" si="846"/>
        <v>-1548</v>
      </c>
      <c r="Z817" s="39">
        <f t="shared" si="846"/>
        <v>-7240</v>
      </c>
      <c r="AA817" s="484">
        <f t="shared" si="846"/>
        <v>-1400</v>
      </c>
      <c r="AB817" s="191">
        <f t="shared" si="846"/>
        <v>-1914</v>
      </c>
      <c r="AC817" s="484">
        <f t="shared" si="846"/>
        <v>-2374</v>
      </c>
      <c r="AD817" s="484">
        <f t="shared" si="846"/>
        <v>-3404</v>
      </c>
      <c r="AE817" s="39">
        <f t="shared" si="846"/>
        <v>-9092</v>
      </c>
      <c r="AF817" s="484">
        <f t="shared" si="846"/>
        <v>-1263</v>
      </c>
      <c r="AG817" s="191">
        <f t="shared" si="846"/>
        <v>-1254</v>
      </c>
      <c r="AH817" s="484">
        <f t="shared" si="846"/>
        <v>-931</v>
      </c>
      <c r="AI817" s="484">
        <f t="shared" si="846"/>
        <v>81</v>
      </c>
      <c r="AJ817" s="39">
        <f t="shared" si="846"/>
        <v>-3367</v>
      </c>
      <c r="AK817" s="484">
        <f t="shared" si="846"/>
        <v>37</v>
      </c>
      <c r="AL817" s="191">
        <f t="shared" si="846"/>
        <v>46</v>
      </c>
      <c r="AM817" s="484">
        <f t="shared" si="846"/>
        <v>195</v>
      </c>
      <c r="AN817" s="484">
        <f t="shared" si="846"/>
        <v>40</v>
      </c>
      <c r="AO817" s="39">
        <f t="shared" si="846"/>
        <v>318</v>
      </c>
      <c r="AP817" s="484">
        <f t="shared" si="846"/>
        <v>126</v>
      </c>
      <c r="AQ817" s="191">
        <f t="shared" si="846"/>
        <v>81</v>
      </c>
      <c r="AR817" s="484">
        <f t="shared" si="846"/>
        <v>31</v>
      </c>
      <c r="AS817" s="484">
        <f>AS953+AS954</f>
        <v>67</v>
      </c>
      <c r="AT817" s="39">
        <f>AT953+AT954</f>
        <v>305</v>
      </c>
      <c r="AU817" s="484">
        <f>AU953+AU954</f>
        <v>209</v>
      </c>
      <c r="AV817" s="191">
        <f>AV953+AV954</f>
        <v>185</v>
      </c>
      <c r="AW817" s="289">
        <f>AW953+AW954</f>
        <v>11</v>
      </c>
      <c r="AX817" s="69">
        <v>0</v>
      </c>
      <c r="AY817" s="39">
        <f>AY953+AY954</f>
        <v>405</v>
      </c>
      <c r="AZ817" s="69">
        <v>0</v>
      </c>
      <c r="BA817" s="69">
        <v>0</v>
      </c>
      <c r="BB817" s="69">
        <v>0</v>
      </c>
      <c r="BC817" s="69">
        <v>0</v>
      </c>
      <c r="BD817" s="39">
        <f>BD953+BD954</f>
        <v>0</v>
      </c>
      <c r="BE817" s="57">
        <v>0</v>
      </c>
      <c r="BF817" s="57">
        <v>0</v>
      </c>
      <c r="BG817" s="57">
        <v>0</v>
      </c>
      <c r="BH817" s="67"/>
    </row>
    <row r="818" spans="1:60" s="46" customFormat="1" x14ac:dyDescent="0.25">
      <c r="A818" s="608" t="s">
        <v>668</v>
      </c>
      <c r="B818" s="805"/>
      <c r="C818" s="447"/>
      <c r="D818" s="447"/>
      <c r="E818" s="447"/>
      <c r="F818" s="447"/>
      <c r="G818" s="740"/>
      <c r="H818" s="740"/>
      <c r="I818" s="740"/>
      <c r="J818" s="740"/>
      <c r="K818" s="447"/>
      <c r="L818" s="740"/>
      <c r="M818" s="740"/>
      <c r="N818" s="740"/>
      <c r="O818" s="740"/>
      <c r="P818" s="447"/>
      <c r="Q818" s="740"/>
      <c r="R818" s="740"/>
      <c r="S818" s="740"/>
      <c r="T818" s="740"/>
      <c r="U818" s="447"/>
      <c r="V818" s="740"/>
      <c r="W818" s="740"/>
      <c r="X818" s="740"/>
      <c r="Y818" s="740"/>
      <c r="Z818" s="447"/>
      <c r="AA818" s="740"/>
      <c r="AB818" s="740"/>
      <c r="AC818" s="740"/>
      <c r="AD818" s="740"/>
      <c r="AE818" s="447"/>
      <c r="AF818" s="740"/>
      <c r="AG818" s="740"/>
      <c r="AH818" s="740"/>
      <c r="AI818" s="740"/>
      <c r="AJ818" s="447"/>
      <c r="AK818" s="740"/>
      <c r="AL818" s="740"/>
      <c r="AM818" s="740"/>
      <c r="AN818" s="740"/>
      <c r="AO818" s="447"/>
      <c r="AP818" s="740"/>
      <c r="AQ818" s="740"/>
      <c r="AR818" s="740"/>
      <c r="AS818" s="740"/>
      <c r="AT818" s="447"/>
      <c r="AU818" s="740"/>
      <c r="AV818" s="740"/>
      <c r="AW818" s="806"/>
      <c r="AX818" s="610">
        <v>179</v>
      </c>
      <c r="AY818" s="609">
        <f>AVERAGE(AU818,AV818,AW818,AX818)</f>
        <v>179</v>
      </c>
      <c r="AZ818" s="610">
        <v>197</v>
      </c>
      <c r="BA818" s="610">
        <v>197</v>
      </c>
      <c r="BB818" s="610">
        <v>197</v>
      </c>
      <c r="BC818" s="610">
        <v>197</v>
      </c>
      <c r="BD818" s="609">
        <f>AVERAGE(AZ818,BA818,BB818,BC818)</f>
        <v>197</v>
      </c>
      <c r="BE818" s="611">
        <v>217</v>
      </c>
      <c r="BF818" s="611">
        <v>239</v>
      </c>
      <c r="BG818" s="611">
        <v>263</v>
      </c>
      <c r="BH818" s="67"/>
    </row>
    <row r="819" spans="1:60" s="72" customFormat="1" x14ac:dyDescent="0.25">
      <c r="A819" s="796"/>
      <c r="B819" s="797"/>
      <c r="C819" s="993"/>
      <c r="D819" s="993"/>
      <c r="E819" s="993"/>
      <c r="F819" s="993"/>
      <c r="G819" s="994"/>
      <c r="H819" s="994"/>
      <c r="I819" s="994"/>
      <c r="J819" s="994"/>
      <c r="K819" s="993"/>
      <c r="L819" s="994"/>
      <c r="M819" s="994"/>
      <c r="N819" s="994"/>
      <c r="O819" s="994"/>
      <c r="P819" s="993"/>
      <c r="Q819" s="994"/>
      <c r="R819" s="994"/>
      <c r="S819" s="994"/>
      <c r="T819" s="994"/>
      <c r="U819" s="993"/>
      <c r="V819" s="994"/>
      <c r="W819" s="994"/>
      <c r="X819" s="994"/>
      <c r="Y819" s="994"/>
      <c r="Z819" s="993"/>
      <c r="AA819" s="994"/>
      <c r="AB819" s="994"/>
      <c r="AC819" s="994"/>
      <c r="AD819" s="994"/>
      <c r="AE819" s="993"/>
      <c r="AF819" s="994"/>
      <c r="AG819" s="994"/>
      <c r="AH819" s="994"/>
      <c r="AI819" s="994"/>
      <c r="AJ819" s="993"/>
      <c r="AK819" s="994"/>
      <c r="AL819" s="994"/>
      <c r="AM819" s="994"/>
      <c r="AN819" s="994"/>
      <c r="AO819" s="993"/>
      <c r="AP819" s="994"/>
      <c r="AQ819" s="994"/>
      <c r="AR819" s="994"/>
      <c r="AS819" s="994"/>
      <c r="AT819" s="993"/>
      <c r="AU819" s="994"/>
      <c r="AV819" s="994"/>
      <c r="AW819" s="995"/>
      <c r="AX819" s="994"/>
      <c r="AY819" s="993"/>
      <c r="AZ819" s="994"/>
      <c r="BA819" s="994"/>
      <c r="BB819" s="994"/>
      <c r="BC819" s="994"/>
      <c r="BD819" s="993"/>
      <c r="BE819" s="993"/>
      <c r="BF819" s="993"/>
      <c r="BG819" s="993"/>
      <c r="BH819" s="729"/>
    </row>
    <row r="820" spans="1:60" s="49" customFormat="1" x14ac:dyDescent="0.25">
      <c r="A820" s="484" t="s">
        <v>268</v>
      </c>
      <c r="B820" s="209"/>
      <c r="C820" s="39">
        <f t="shared" ref="C820:AH820" si="847">C806+C809</f>
        <v>4022</v>
      </c>
      <c r="D820" s="39">
        <f t="shared" si="847"/>
        <v>4734</v>
      </c>
      <c r="E820" s="39">
        <f t="shared" si="847"/>
        <v>4574</v>
      </c>
      <c r="F820" s="39">
        <f t="shared" si="847"/>
        <v>5273</v>
      </c>
      <c r="G820" s="484">
        <f t="shared" si="847"/>
        <v>1033</v>
      </c>
      <c r="H820" s="484">
        <f t="shared" si="847"/>
        <v>1307</v>
      </c>
      <c r="I820" s="484">
        <f t="shared" si="847"/>
        <v>2691</v>
      </c>
      <c r="J820" s="484">
        <f t="shared" si="847"/>
        <v>1522</v>
      </c>
      <c r="K820" s="39">
        <f t="shared" si="847"/>
        <v>6553</v>
      </c>
      <c r="L820" s="484">
        <f t="shared" si="847"/>
        <v>1383</v>
      </c>
      <c r="M820" s="484">
        <f t="shared" si="847"/>
        <v>1676</v>
      </c>
      <c r="N820" s="484">
        <f t="shared" si="847"/>
        <v>1997</v>
      </c>
      <c r="O820" s="484">
        <f t="shared" si="847"/>
        <v>1685</v>
      </c>
      <c r="P820" s="39">
        <f t="shared" si="847"/>
        <v>6741</v>
      </c>
      <c r="Q820" s="484">
        <f t="shared" si="847"/>
        <v>2502</v>
      </c>
      <c r="R820" s="484">
        <f t="shared" si="847"/>
        <v>1673</v>
      </c>
      <c r="S820" s="484">
        <f t="shared" si="847"/>
        <v>1193</v>
      </c>
      <c r="T820" s="484">
        <f t="shared" si="847"/>
        <v>1147</v>
      </c>
      <c r="U820" s="39">
        <f t="shared" si="847"/>
        <v>6515</v>
      </c>
      <c r="V820" s="484">
        <f t="shared" si="847"/>
        <v>3322</v>
      </c>
      <c r="W820" s="484">
        <f t="shared" si="847"/>
        <v>1413</v>
      </c>
      <c r="X820" s="484">
        <f t="shared" si="847"/>
        <v>2470</v>
      </c>
      <c r="Y820" s="484">
        <f t="shared" si="847"/>
        <v>2137</v>
      </c>
      <c r="Z820" s="39">
        <f t="shared" si="847"/>
        <v>9342</v>
      </c>
      <c r="AA820" s="113">
        <f t="shared" si="847"/>
        <v>2868</v>
      </c>
      <c r="AB820" s="191">
        <f t="shared" si="847"/>
        <v>1941</v>
      </c>
      <c r="AC820" s="484">
        <f t="shared" si="847"/>
        <v>2495</v>
      </c>
      <c r="AD820" s="484">
        <f t="shared" si="847"/>
        <v>1526</v>
      </c>
      <c r="AE820" s="39">
        <f t="shared" si="847"/>
        <v>8830</v>
      </c>
      <c r="AF820" s="113">
        <f t="shared" si="847"/>
        <v>2902</v>
      </c>
      <c r="AG820" s="191">
        <f t="shared" si="847"/>
        <v>2691</v>
      </c>
      <c r="AH820" s="484">
        <f t="shared" si="847"/>
        <v>3064</v>
      </c>
      <c r="AI820" s="484">
        <f t="shared" ref="AI820:AY820" si="848">AI806+AI809</f>
        <v>2010</v>
      </c>
      <c r="AJ820" s="39">
        <f t="shared" si="848"/>
        <v>10667</v>
      </c>
      <c r="AK820" s="113">
        <f t="shared" si="848"/>
        <v>3084</v>
      </c>
      <c r="AL820" s="191">
        <f t="shared" si="848"/>
        <v>1656</v>
      </c>
      <c r="AM820" s="484">
        <f t="shared" si="848"/>
        <v>3062</v>
      </c>
      <c r="AN820" s="484">
        <f t="shared" si="848"/>
        <v>-1050</v>
      </c>
      <c r="AO820" s="39">
        <f t="shared" si="848"/>
        <v>6752</v>
      </c>
      <c r="AP820" s="113">
        <f t="shared" si="848"/>
        <v>2765</v>
      </c>
      <c r="AQ820" s="191">
        <f t="shared" si="848"/>
        <v>-287</v>
      </c>
      <c r="AR820" s="484">
        <f t="shared" si="848"/>
        <v>-125</v>
      </c>
      <c r="AS820" s="484">
        <f>AS806+AS809</f>
        <v>1886</v>
      </c>
      <c r="AT820" s="39">
        <f>AT806+AT809</f>
        <v>4239</v>
      </c>
      <c r="AU820" s="113">
        <f>AU806+AU809</f>
        <v>1383</v>
      </c>
      <c r="AV820" s="191">
        <f>AV806+AV809</f>
        <v>-1072</v>
      </c>
      <c r="AW820" s="289">
        <f>AW806+AW809</f>
        <v>252</v>
      </c>
      <c r="AX820" s="113">
        <f t="shared" si="848"/>
        <v>1659.8003293553802</v>
      </c>
      <c r="AY820" s="104">
        <f t="shared" si="848"/>
        <v>2222.8003293553802</v>
      </c>
      <c r="AZ820" s="113">
        <f t="shared" ref="AZ820:BG820" ca="1" si="849">AZ806+AZ809</f>
        <v>2642.0971174094129</v>
      </c>
      <c r="BA820" s="113">
        <f t="shared" ca="1" si="849"/>
        <v>1680.3301034760298</v>
      </c>
      <c r="BB820" s="113">
        <f t="shared" ca="1" si="849"/>
        <v>2247.3643087456785</v>
      </c>
      <c r="BC820" s="113">
        <f t="shared" ca="1" si="849"/>
        <v>2506.8831515813063</v>
      </c>
      <c r="BD820" s="104">
        <f t="shared" ca="1" si="849"/>
        <v>9076.6746812124275</v>
      </c>
      <c r="BE820" s="104">
        <f t="shared" ca="1" si="849"/>
        <v>12135.496076596541</v>
      </c>
      <c r="BF820" s="104">
        <f t="shared" ca="1" si="849"/>
        <v>13204.883773996629</v>
      </c>
      <c r="BG820" s="104">
        <f t="shared" ca="1" si="849"/>
        <v>14131.293259597918</v>
      </c>
      <c r="BH820" s="484"/>
    </row>
    <row r="821" spans="1:60" s="49" customFormat="1" x14ac:dyDescent="0.25">
      <c r="A821" s="484" t="s">
        <v>269</v>
      </c>
      <c r="B821" s="209"/>
      <c r="C821" s="39">
        <f t="shared" ref="C821:AH821" si="850">C820+C813</f>
        <v>3374</v>
      </c>
      <c r="D821" s="39">
        <f t="shared" si="850"/>
        <v>4081</v>
      </c>
      <c r="E821" s="39">
        <f t="shared" si="850"/>
        <v>3818</v>
      </c>
      <c r="F821" s="39">
        <f t="shared" si="850"/>
        <v>4197</v>
      </c>
      <c r="G821" s="484">
        <f t="shared" si="850"/>
        <v>-267</v>
      </c>
      <c r="H821" s="484">
        <f t="shared" si="850"/>
        <v>1283</v>
      </c>
      <c r="I821" s="484">
        <f t="shared" si="850"/>
        <v>2691</v>
      </c>
      <c r="J821" s="484">
        <f t="shared" si="850"/>
        <v>1522</v>
      </c>
      <c r="K821" s="39">
        <f t="shared" si="850"/>
        <v>5229</v>
      </c>
      <c r="L821" s="484">
        <f t="shared" si="850"/>
        <v>1383</v>
      </c>
      <c r="M821" s="484">
        <f t="shared" si="850"/>
        <v>168</v>
      </c>
      <c r="N821" s="484">
        <f t="shared" si="850"/>
        <v>1997</v>
      </c>
      <c r="O821" s="484">
        <f t="shared" si="850"/>
        <v>1685</v>
      </c>
      <c r="P821" s="39">
        <f t="shared" si="850"/>
        <v>5233</v>
      </c>
      <c r="Q821" s="484">
        <f t="shared" si="850"/>
        <v>2502</v>
      </c>
      <c r="R821" s="484">
        <f t="shared" si="850"/>
        <v>-275</v>
      </c>
      <c r="S821" s="484">
        <f t="shared" si="850"/>
        <v>1193</v>
      </c>
      <c r="T821" s="484">
        <f t="shared" si="850"/>
        <v>32</v>
      </c>
      <c r="U821" s="39">
        <f t="shared" si="850"/>
        <v>3452</v>
      </c>
      <c r="V821" s="484">
        <f t="shared" si="850"/>
        <v>3322</v>
      </c>
      <c r="W821" s="484">
        <f t="shared" si="850"/>
        <v>245</v>
      </c>
      <c r="X821" s="484">
        <f t="shared" si="850"/>
        <v>2470</v>
      </c>
      <c r="Y821" s="484">
        <f t="shared" si="850"/>
        <v>992</v>
      </c>
      <c r="Z821" s="39">
        <f t="shared" si="850"/>
        <v>7029</v>
      </c>
      <c r="AA821" s="113">
        <f t="shared" si="850"/>
        <v>2868</v>
      </c>
      <c r="AB821" s="191">
        <f t="shared" si="850"/>
        <v>704</v>
      </c>
      <c r="AC821" s="484">
        <f t="shared" si="850"/>
        <v>2495</v>
      </c>
      <c r="AD821" s="484">
        <f t="shared" si="850"/>
        <v>318</v>
      </c>
      <c r="AE821" s="39">
        <f t="shared" si="850"/>
        <v>6385</v>
      </c>
      <c r="AF821" s="113">
        <f t="shared" si="850"/>
        <v>2902</v>
      </c>
      <c r="AG821" s="191">
        <f t="shared" si="850"/>
        <v>1425</v>
      </c>
      <c r="AH821" s="484">
        <f t="shared" si="850"/>
        <v>3064</v>
      </c>
      <c r="AI821" s="484">
        <f t="shared" ref="AI821:AY821" si="851">AI820+AI813</f>
        <v>761</v>
      </c>
      <c r="AJ821" s="39">
        <f t="shared" si="851"/>
        <v>8152</v>
      </c>
      <c r="AK821" s="113">
        <f t="shared" si="851"/>
        <v>3084</v>
      </c>
      <c r="AL821" s="191">
        <f t="shared" si="851"/>
        <v>346</v>
      </c>
      <c r="AM821" s="484">
        <f t="shared" si="851"/>
        <v>3062</v>
      </c>
      <c r="AN821" s="484">
        <f t="shared" si="851"/>
        <v>-2635</v>
      </c>
      <c r="AO821" s="39">
        <f t="shared" si="851"/>
        <v>3857</v>
      </c>
      <c r="AP821" s="113">
        <f t="shared" si="851"/>
        <v>2765</v>
      </c>
      <c r="AQ821" s="191">
        <f t="shared" si="851"/>
        <v>-1874</v>
      </c>
      <c r="AR821" s="484">
        <f t="shared" si="851"/>
        <v>-125</v>
      </c>
      <c r="AS821" s="484">
        <f>AS820+AS813</f>
        <v>1886</v>
      </c>
      <c r="AT821" s="39">
        <f>AT820+AT813</f>
        <v>2652</v>
      </c>
      <c r="AU821" s="113">
        <f>AU820+AU813</f>
        <v>1383</v>
      </c>
      <c r="AV821" s="191">
        <f>AV820+AV813</f>
        <v>-1072</v>
      </c>
      <c r="AW821" s="289">
        <f>AW820+AW813</f>
        <v>252</v>
      </c>
      <c r="AX821" s="113">
        <f t="shared" ca="1" si="851"/>
        <v>59.960329355380281</v>
      </c>
      <c r="AY821" s="104">
        <f t="shared" ca="1" si="851"/>
        <v>622.96032935538028</v>
      </c>
      <c r="AZ821" s="113">
        <f t="shared" ref="AZ821:BG821" ca="1" si="852">AZ820+AZ813</f>
        <v>2642.0971174094129</v>
      </c>
      <c r="BA821" s="113">
        <f t="shared" ca="1" si="852"/>
        <v>80.490103476029844</v>
      </c>
      <c r="BB821" s="113">
        <f t="shared" ca="1" si="852"/>
        <v>2247.3643087456785</v>
      </c>
      <c r="BC821" s="113">
        <f t="shared" ca="1" si="852"/>
        <v>907.04315158130635</v>
      </c>
      <c r="BD821" s="104">
        <f t="shared" ca="1" si="852"/>
        <v>5876.9946812124272</v>
      </c>
      <c r="BE821" s="104">
        <f t="shared" ca="1" si="852"/>
        <v>8935.8160765965404</v>
      </c>
      <c r="BF821" s="104">
        <f t="shared" ca="1" si="852"/>
        <v>10005.203773996629</v>
      </c>
      <c r="BG821" s="104">
        <f t="shared" ca="1" si="852"/>
        <v>10931.613259597918</v>
      </c>
      <c r="BH821" s="484"/>
    </row>
    <row r="822" spans="1:60" s="49" customFormat="1" x14ac:dyDescent="0.25">
      <c r="A822" s="484" t="s">
        <v>270</v>
      </c>
      <c r="B822" s="209"/>
      <c r="C822" s="39">
        <f t="shared" ref="C822:AH822" si="853">C821+C811+C812</f>
        <v>3383</v>
      </c>
      <c r="D822" s="39">
        <f t="shared" si="853"/>
        <v>1758</v>
      </c>
      <c r="E822" s="39">
        <f t="shared" si="853"/>
        <v>4198</v>
      </c>
      <c r="F822" s="39">
        <f t="shared" si="853"/>
        <v>3219</v>
      </c>
      <c r="G822" s="484">
        <f t="shared" si="853"/>
        <v>-2192</v>
      </c>
      <c r="H822" s="484">
        <f t="shared" si="853"/>
        <v>1248</v>
      </c>
      <c r="I822" s="484">
        <f t="shared" si="853"/>
        <v>2708</v>
      </c>
      <c r="J822" s="484">
        <f t="shared" si="853"/>
        <v>1501</v>
      </c>
      <c r="K822" s="39">
        <f t="shared" si="853"/>
        <v>3265</v>
      </c>
      <c r="L822" s="484">
        <f t="shared" si="853"/>
        <v>1519</v>
      </c>
      <c r="M822" s="484">
        <f t="shared" si="853"/>
        <v>398</v>
      </c>
      <c r="N822" s="484">
        <f t="shared" si="853"/>
        <v>1611</v>
      </c>
      <c r="O822" s="484">
        <f t="shared" si="853"/>
        <v>1698</v>
      </c>
      <c r="P822" s="39">
        <f t="shared" si="853"/>
        <v>5226</v>
      </c>
      <c r="Q822" s="484">
        <f t="shared" si="853"/>
        <v>2502</v>
      </c>
      <c r="R822" s="484">
        <f t="shared" si="853"/>
        <v>-194</v>
      </c>
      <c r="S822" s="484">
        <f t="shared" si="853"/>
        <v>1255</v>
      </c>
      <c r="T822" s="484">
        <f t="shared" si="853"/>
        <v>55</v>
      </c>
      <c r="U822" s="39">
        <f t="shared" si="853"/>
        <v>3618</v>
      </c>
      <c r="V822" s="484">
        <f t="shared" si="853"/>
        <v>2962</v>
      </c>
      <c r="W822" s="484">
        <f t="shared" si="853"/>
        <v>247</v>
      </c>
      <c r="X822" s="484">
        <f t="shared" si="853"/>
        <v>2472</v>
      </c>
      <c r="Y822" s="484">
        <f t="shared" si="853"/>
        <v>543</v>
      </c>
      <c r="Z822" s="39">
        <f t="shared" si="853"/>
        <v>6224</v>
      </c>
      <c r="AA822" s="113">
        <f t="shared" si="853"/>
        <v>2868</v>
      </c>
      <c r="AB822" s="191">
        <f t="shared" si="853"/>
        <v>147</v>
      </c>
      <c r="AC822" s="484">
        <f t="shared" si="853"/>
        <v>2495</v>
      </c>
      <c r="AD822" s="484">
        <f t="shared" si="853"/>
        <v>458</v>
      </c>
      <c r="AE822" s="39">
        <f t="shared" si="853"/>
        <v>5968</v>
      </c>
      <c r="AF822" s="113">
        <f t="shared" si="853"/>
        <v>2902</v>
      </c>
      <c r="AG822" s="191">
        <f t="shared" si="853"/>
        <v>-156</v>
      </c>
      <c r="AH822" s="484">
        <f t="shared" si="853"/>
        <v>3064</v>
      </c>
      <c r="AI822" s="484">
        <f t="shared" ref="AI822:AY822" si="854">AI821+AI811+AI812</f>
        <v>761</v>
      </c>
      <c r="AJ822" s="39">
        <f t="shared" si="854"/>
        <v>6571</v>
      </c>
      <c r="AK822" s="113">
        <f t="shared" si="854"/>
        <v>3084</v>
      </c>
      <c r="AL822" s="191">
        <f t="shared" si="854"/>
        <v>-9555</v>
      </c>
      <c r="AM822" s="484">
        <f t="shared" si="854"/>
        <v>1632</v>
      </c>
      <c r="AN822" s="484">
        <f t="shared" si="854"/>
        <v>-2635</v>
      </c>
      <c r="AO822" s="39">
        <f t="shared" si="854"/>
        <v>-7474</v>
      </c>
      <c r="AP822" s="113">
        <f t="shared" si="854"/>
        <v>2765</v>
      </c>
      <c r="AQ822" s="191">
        <f t="shared" si="854"/>
        <v>-1874</v>
      </c>
      <c r="AR822" s="484">
        <f t="shared" si="854"/>
        <v>-125</v>
      </c>
      <c r="AS822" s="484">
        <f>AS821+AS811+AS812</f>
        <v>1886</v>
      </c>
      <c r="AT822" s="39">
        <f>AT821+AT811+AT812</f>
        <v>2652</v>
      </c>
      <c r="AU822" s="113">
        <f>AU821+AU811+AU812</f>
        <v>1383</v>
      </c>
      <c r="AV822" s="191">
        <f>AV821+AV811+AV812</f>
        <v>-1072</v>
      </c>
      <c r="AW822" s="289">
        <f>AW821+AW811+AW812</f>
        <v>252</v>
      </c>
      <c r="AX822" s="113">
        <f t="shared" ca="1" si="854"/>
        <v>59.960329355380281</v>
      </c>
      <c r="AY822" s="104">
        <f t="shared" ca="1" si="854"/>
        <v>622.96032935538028</v>
      </c>
      <c r="AZ822" s="113">
        <f t="shared" ref="AZ822:BG822" ca="1" si="855">AZ821+AZ811+AZ812</f>
        <v>2642.0971174094129</v>
      </c>
      <c r="BA822" s="113">
        <f t="shared" ca="1" si="855"/>
        <v>80.490103476029844</v>
      </c>
      <c r="BB822" s="113">
        <f t="shared" ca="1" si="855"/>
        <v>2247.3643087456785</v>
      </c>
      <c r="BC822" s="113">
        <f t="shared" ca="1" si="855"/>
        <v>907.04315158130635</v>
      </c>
      <c r="BD822" s="104">
        <f t="shared" ca="1" si="855"/>
        <v>5876.9946812124272</v>
      </c>
      <c r="BE822" s="104">
        <f t="shared" ca="1" si="855"/>
        <v>8935.8160765965404</v>
      </c>
      <c r="BF822" s="104">
        <f t="shared" ca="1" si="855"/>
        <v>10005.203773996629</v>
      </c>
      <c r="BG822" s="104">
        <f t="shared" ca="1" si="855"/>
        <v>10931.613259597918</v>
      </c>
      <c r="BH822" s="484"/>
    </row>
    <row r="823" spans="1:60" s="470" customFormat="1" x14ac:dyDescent="0.25">
      <c r="A823" s="499" t="s">
        <v>669</v>
      </c>
      <c r="B823" s="602"/>
      <c r="C823" s="51">
        <f t="shared" ref="C823:AH823" si="856">C822+C816+C817</f>
        <v>1512</v>
      </c>
      <c r="D823" s="51">
        <f t="shared" si="856"/>
        <v>41</v>
      </c>
      <c r="E823" s="51">
        <f t="shared" si="856"/>
        <v>1980</v>
      </c>
      <c r="F823" s="51">
        <f t="shared" si="856"/>
        <v>1636</v>
      </c>
      <c r="G823" s="499">
        <f t="shared" si="856"/>
        <v>143</v>
      </c>
      <c r="H823" s="499">
        <f t="shared" si="856"/>
        <v>218</v>
      </c>
      <c r="I823" s="499">
        <f t="shared" si="856"/>
        <v>310</v>
      </c>
      <c r="J823" s="499">
        <f t="shared" si="856"/>
        <v>-527</v>
      </c>
      <c r="K823" s="51">
        <f t="shared" si="856"/>
        <v>144</v>
      </c>
      <c r="L823" s="499">
        <f t="shared" si="856"/>
        <v>1064</v>
      </c>
      <c r="M823" s="499">
        <f t="shared" si="856"/>
        <v>-736</v>
      </c>
      <c r="N823" s="499">
        <f t="shared" si="856"/>
        <v>345</v>
      </c>
      <c r="O823" s="499">
        <f t="shared" si="856"/>
        <v>-937</v>
      </c>
      <c r="P823" s="51">
        <f t="shared" si="856"/>
        <v>-264</v>
      </c>
      <c r="Q823" s="499">
        <f t="shared" si="856"/>
        <v>2982</v>
      </c>
      <c r="R823" s="499">
        <f t="shared" si="856"/>
        <v>-2109</v>
      </c>
      <c r="S823" s="499">
        <f t="shared" si="856"/>
        <v>686</v>
      </c>
      <c r="T823" s="499">
        <f t="shared" si="856"/>
        <v>-1002</v>
      </c>
      <c r="U823" s="51">
        <f t="shared" si="856"/>
        <v>557</v>
      </c>
      <c r="V823" s="499">
        <f t="shared" si="856"/>
        <v>2387</v>
      </c>
      <c r="W823" s="499">
        <f t="shared" si="856"/>
        <v>440</v>
      </c>
      <c r="X823" s="499">
        <f t="shared" si="856"/>
        <v>320</v>
      </c>
      <c r="Y823" s="499">
        <f t="shared" si="856"/>
        <v>-1223</v>
      </c>
      <c r="Z823" s="51">
        <f t="shared" si="856"/>
        <v>1924</v>
      </c>
      <c r="AA823" s="114">
        <f t="shared" si="856"/>
        <v>2048</v>
      </c>
      <c r="AB823" s="194">
        <f t="shared" si="856"/>
        <v>-613</v>
      </c>
      <c r="AC823" s="499">
        <f t="shared" si="856"/>
        <v>592</v>
      </c>
      <c r="AD823" s="499">
        <f t="shared" si="856"/>
        <v>-1448</v>
      </c>
      <c r="AE823" s="51">
        <f t="shared" si="856"/>
        <v>579</v>
      </c>
      <c r="AF823" s="114">
        <f t="shared" si="856"/>
        <v>2474</v>
      </c>
      <c r="AG823" s="194">
        <f t="shared" si="856"/>
        <v>-1175</v>
      </c>
      <c r="AH823" s="499">
        <f t="shared" si="856"/>
        <v>1216</v>
      </c>
      <c r="AI823" s="499">
        <f t="shared" ref="AI823:AY823" si="857">AI822+AI816+AI817</f>
        <v>-1894</v>
      </c>
      <c r="AJ823" s="51">
        <f t="shared" si="857"/>
        <v>621</v>
      </c>
      <c r="AK823" s="114">
        <f t="shared" si="857"/>
        <v>2819</v>
      </c>
      <c r="AL823" s="194">
        <f t="shared" si="857"/>
        <v>4916</v>
      </c>
      <c r="AM823" s="499">
        <f t="shared" si="857"/>
        <v>2986</v>
      </c>
      <c r="AN823" s="499">
        <f t="shared" si="857"/>
        <v>-14200</v>
      </c>
      <c r="AO823" s="51">
        <f t="shared" si="857"/>
        <v>-3479</v>
      </c>
      <c r="AP823" s="114">
        <f t="shared" si="857"/>
        <v>4068</v>
      </c>
      <c r="AQ823" s="194">
        <f t="shared" si="857"/>
        <v>5191</v>
      </c>
      <c r="AR823" s="499">
        <f t="shared" si="857"/>
        <v>8851</v>
      </c>
      <c r="AS823" s="499">
        <f>AS822+AS816+AS817</f>
        <v>-3920</v>
      </c>
      <c r="AT823" s="51">
        <f>AT822+AT816+AT817</f>
        <v>14190</v>
      </c>
      <c r="AU823" s="114">
        <f>AU822+AU816+AU817</f>
        <v>1275</v>
      </c>
      <c r="AV823" s="194">
        <f>AV822+AV816+AV817</f>
        <v>-2436</v>
      </c>
      <c r="AW823" s="873">
        <f>AW822+AW816+AW817</f>
        <v>-246</v>
      </c>
      <c r="AX823" s="114">
        <f t="shared" ca="1" si="857"/>
        <v>59.960329355380281</v>
      </c>
      <c r="AY823" s="111">
        <f t="shared" ca="1" si="857"/>
        <v>-1347.0396706446197</v>
      </c>
      <c r="AZ823" s="114">
        <f t="shared" ref="AZ823:BG823" ca="1" si="858">AZ822+AZ816+AZ817</f>
        <v>2642.0971174094129</v>
      </c>
      <c r="BA823" s="114">
        <f t="shared" ca="1" si="858"/>
        <v>80.490103476029844</v>
      </c>
      <c r="BB823" s="114">
        <f t="shared" ca="1" si="858"/>
        <v>2247.3643087456785</v>
      </c>
      <c r="BC823" s="114">
        <f t="shared" ca="1" si="858"/>
        <v>907.04315158130635</v>
      </c>
      <c r="BD823" s="111">
        <f t="shared" ca="1" si="858"/>
        <v>5876.9946812124272</v>
      </c>
      <c r="BE823" s="111">
        <f t="shared" ca="1" si="858"/>
        <v>8935.8160765965404</v>
      </c>
      <c r="BF823" s="111">
        <f t="shared" ca="1" si="858"/>
        <v>10005.203773996629</v>
      </c>
      <c r="BG823" s="111">
        <f t="shared" ca="1" si="858"/>
        <v>10931.613259597918</v>
      </c>
      <c r="BH823" s="484"/>
    </row>
    <row r="824" spans="1:60" s="40" customFormat="1" x14ac:dyDescent="0.25">
      <c r="A824" s="957"/>
      <c r="B824" s="787"/>
      <c r="C824" s="990"/>
      <c r="D824" s="990"/>
      <c r="E824" s="990"/>
      <c r="F824" s="990"/>
      <c r="G824" s="991"/>
      <c r="H824" s="991"/>
      <c r="I824" s="991"/>
      <c r="J824" s="991"/>
      <c r="K824" s="990"/>
      <c r="L824" s="991"/>
      <c r="M824" s="991"/>
      <c r="N824" s="991"/>
      <c r="O824" s="991"/>
      <c r="P824" s="990"/>
      <c r="Q824" s="991"/>
      <c r="R824" s="991"/>
      <c r="S824" s="991"/>
      <c r="T824" s="991"/>
      <c r="U824" s="990"/>
      <c r="V824" s="991"/>
      <c r="W824" s="991"/>
      <c r="X824" s="991"/>
      <c r="Y824" s="991"/>
      <c r="Z824" s="990"/>
      <c r="AA824" s="991"/>
      <c r="AB824" s="991"/>
      <c r="AC824" s="991"/>
      <c r="AD824" s="991"/>
      <c r="AE824" s="990"/>
      <c r="AF824" s="991"/>
      <c r="AG824" s="991"/>
      <c r="AH824" s="991"/>
      <c r="AI824" s="991"/>
      <c r="AJ824" s="990"/>
      <c r="AK824" s="991"/>
      <c r="AL824" s="991"/>
      <c r="AM824" s="991"/>
      <c r="AN824" s="991"/>
      <c r="AO824" s="990"/>
      <c r="AP824" s="991"/>
      <c r="AQ824" s="991"/>
      <c r="AR824" s="991"/>
      <c r="AS824" s="991"/>
      <c r="AT824" s="990"/>
      <c r="AU824" s="991"/>
      <c r="AV824" s="991"/>
      <c r="AW824" s="992"/>
      <c r="AX824" s="991"/>
      <c r="AY824" s="990"/>
      <c r="AZ824" s="991"/>
      <c r="BA824" s="991"/>
      <c r="BB824" s="991"/>
      <c r="BC824" s="991"/>
      <c r="BD824" s="990"/>
      <c r="BE824" s="990"/>
      <c r="BF824" s="990"/>
      <c r="BG824" s="990"/>
      <c r="BH824" s="728"/>
    </row>
    <row r="825" spans="1:60" s="19" customFormat="1" x14ac:dyDescent="0.25">
      <c r="A825" s="956" t="s">
        <v>271</v>
      </c>
      <c r="B825" s="956"/>
      <c r="C825" s="986"/>
      <c r="D825" s="986"/>
      <c r="E825" s="986"/>
      <c r="F825" s="986"/>
      <c r="G825" s="986"/>
      <c r="H825" s="986"/>
      <c r="I825" s="986"/>
      <c r="J825" s="986"/>
      <c r="K825" s="986"/>
      <c r="L825" s="986"/>
      <c r="M825" s="986"/>
      <c r="N825" s="986"/>
      <c r="O825" s="986"/>
      <c r="P825" s="986"/>
      <c r="Q825" s="986"/>
      <c r="R825" s="986"/>
      <c r="S825" s="986"/>
      <c r="T825" s="986"/>
      <c r="U825" s="986"/>
      <c r="V825" s="986"/>
      <c r="W825" s="986"/>
      <c r="X825" s="986"/>
      <c r="Y825" s="986"/>
      <c r="Z825" s="986"/>
      <c r="AA825" s="986"/>
      <c r="AB825" s="986"/>
      <c r="AC825" s="986"/>
      <c r="AD825" s="986"/>
      <c r="AE825" s="986"/>
      <c r="AF825" s="986"/>
      <c r="AG825" s="986"/>
      <c r="AH825" s="986"/>
      <c r="AI825" s="986"/>
      <c r="AJ825" s="986"/>
      <c r="AK825" s="986"/>
      <c r="AL825" s="986"/>
      <c r="AM825" s="986"/>
      <c r="AN825" s="986"/>
      <c r="AO825" s="986"/>
      <c r="AP825" s="986"/>
      <c r="AQ825" s="986"/>
      <c r="AR825" s="986"/>
      <c r="AS825" s="986"/>
      <c r="AT825" s="986"/>
      <c r="AU825" s="986"/>
      <c r="AV825" s="986"/>
      <c r="AW825" s="987"/>
      <c r="AX825" s="986"/>
      <c r="AY825" s="986"/>
      <c r="AZ825" s="986"/>
      <c r="BA825" s="986"/>
      <c r="BB825" s="986"/>
      <c r="BC825" s="986"/>
      <c r="BD825" s="986"/>
      <c r="BE825" s="986"/>
      <c r="BF825" s="986"/>
      <c r="BG825" s="986"/>
      <c r="BH825" s="730"/>
    </row>
    <row r="826" spans="1:60" s="49" customFormat="1" x14ac:dyDescent="0.25">
      <c r="A826" s="484" t="s">
        <v>272</v>
      </c>
      <c r="B826" s="209"/>
      <c r="C826" s="39">
        <f t="shared" ref="C826:AH826" si="859">C1003+C1008+C1025</f>
        <v>3417</v>
      </c>
      <c r="D826" s="39">
        <f t="shared" si="859"/>
        <v>2722</v>
      </c>
      <c r="E826" s="39">
        <f t="shared" si="859"/>
        <v>3185</v>
      </c>
      <c r="F826" s="39">
        <f t="shared" si="859"/>
        <v>3387</v>
      </c>
      <c r="G826" s="484">
        <f t="shared" si="859"/>
        <v>3207</v>
      </c>
      <c r="H826" s="484">
        <f t="shared" si="859"/>
        <v>3952</v>
      </c>
      <c r="I826" s="484">
        <f t="shared" si="859"/>
        <v>3932</v>
      </c>
      <c r="J826" s="484">
        <f t="shared" si="859"/>
        <v>3931</v>
      </c>
      <c r="K826" s="39">
        <f t="shared" si="859"/>
        <v>3931</v>
      </c>
      <c r="L826" s="484">
        <f t="shared" si="859"/>
        <v>4397</v>
      </c>
      <c r="M826" s="484">
        <f t="shared" si="859"/>
        <v>4078</v>
      </c>
      <c r="N826" s="484">
        <f t="shared" si="859"/>
        <v>4090</v>
      </c>
      <c r="O826" s="484">
        <f t="shared" si="859"/>
        <v>3421</v>
      </c>
      <c r="P826" s="39">
        <f t="shared" si="859"/>
        <v>3421</v>
      </c>
      <c r="Q826" s="484">
        <f t="shared" si="859"/>
        <v>5077</v>
      </c>
      <c r="R826" s="484">
        <f t="shared" si="859"/>
        <v>3745</v>
      </c>
      <c r="S826" s="484">
        <f t="shared" si="859"/>
        <v>4475</v>
      </c>
      <c r="T826" s="484">
        <f t="shared" si="859"/>
        <v>4269</v>
      </c>
      <c r="U826" s="39">
        <f t="shared" si="859"/>
        <v>4269</v>
      </c>
      <c r="V826" s="484">
        <f t="shared" si="859"/>
        <v>4301</v>
      </c>
      <c r="W826" s="484">
        <f t="shared" si="859"/>
        <v>5015</v>
      </c>
      <c r="X826" s="484">
        <f t="shared" si="859"/>
        <v>5227</v>
      </c>
      <c r="Y826" s="484">
        <f t="shared" si="859"/>
        <v>4610</v>
      </c>
      <c r="Z826" s="39">
        <f t="shared" si="859"/>
        <v>4610</v>
      </c>
      <c r="AA826" s="113">
        <f t="shared" si="859"/>
        <v>3736</v>
      </c>
      <c r="AB826" s="191">
        <f t="shared" si="859"/>
        <v>3800</v>
      </c>
      <c r="AC826" s="484">
        <f t="shared" si="859"/>
        <v>4336</v>
      </c>
      <c r="AD826" s="484">
        <f t="shared" si="859"/>
        <v>4064</v>
      </c>
      <c r="AE826" s="39">
        <f t="shared" si="859"/>
        <v>4064</v>
      </c>
      <c r="AF826" s="113">
        <f t="shared" si="859"/>
        <v>4695</v>
      </c>
      <c r="AG826" s="191">
        <f t="shared" si="859"/>
        <v>4195</v>
      </c>
      <c r="AH826" s="484">
        <f t="shared" si="859"/>
        <v>4331</v>
      </c>
      <c r="AI826" s="484">
        <f t="shared" ref="AI826:AY826" si="860">AI1003+AI1008+AI1025</f>
        <v>4155</v>
      </c>
      <c r="AJ826" s="39">
        <f t="shared" si="860"/>
        <v>4155</v>
      </c>
      <c r="AK826" s="113">
        <f t="shared" si="860"/>
        <v>4463</v>
      </c>
      <c r="AL826" s="191">
        <f t="shared" si="860"/>
        <v>10108</v>
      </c>
      <c r="AM826" s="484">
        <f t="shared" si="860"/>
        <v>6766</v>
      </c>
      <c r="AN826" s="484">
        <f t="shared" si="860"/>
        <v>5455</v>
      </c>
      <c r="AO826" s="39">
        <f t="shared" si="860"/>
        <v>5455</v>
      </c>
      <c r="AP826" s="113">
        <f t="shared" si="860"/>
        <v>6874</v>
      </c>
      <c r="AQ826" s="191">
        <f t="shared" si="860"/>
        <v>14378</v>
      </c>
      <c r="AR826" s="484">
        <f t="shared" si="860"/>
        <v>23154</v>
      </c>
      <c r="AS826" s="484">
        <f>AS1003+AS1008+AS1025</f>
        <v>17954</v>
      </c>
      <c r="AT826" s="39">
        <f>AT1003+AT1008+AT1025</f>
        <v>17954</v>
      </c>
      <c r="AU826" s="113">
        <f>AU1003+AU1008+AU1025</f>
        <v>17112</v>
      </c>
      <c r="AV826" s="191">
        <f>AV1003+AV1008+AV1025</f>
        <v>15932</v>
      </c>
      <c r="AW826" s="289">
        <f>AW1003+AW1008+AW1025</f>
        <v>16115</v>
      </c>
      <c r="AX826" s="113">
        <f t="shared" ca="1" si="860"/>
        <v>17083.452124980293</v>
      </c>
      <c r="AY826" s="104">
        <f t="shared" ca="1" si="860"/>
        <v>17083.452124980293</v>
      </c>
      <c r="AZ826" s="113">
        <f t="shared" ref="AZ826:BG826" ca="1" si="861">AZ1003+AZ1008+AZ1025</f>
        <v>16788.057761956225</v>
      </c>
      <c r="BA826" s="113">
        <f t="shared" ca="1" si="861"/>
        <v>19466.955073268316</v>
      </c>
      <c r="BB826" s="113">
        <f t="shared" ca="1" si="861"/>
        <v>22312.638998935639</v>
      </c>
      <c r="BC826" s="113">
        <f t="shared" ca="1" si="861"/>
        <v>21839.260678502604</v>
      </c>
      <c r="BD826" s="104">
        <f t="shared" ca="1" si="861"/>
        <v>21839.260678502604</v>
      </c>
      <c r="BE826" s="104">
        <f t="shared" ca="1" si="861"/>
        <v>31116.797241260105</v>
      </c>
      <c r="BF826" s="104">
        <f t="shared" ca="1" si="861"/>
        <v>41391.951426134954</v>
      </c>
      <c r="BG826" s="104">
        <f t="shared" ca="1" si="861"/>
        <v>52677.111823617175</v>
      </c>
      <c r="BH826" s="484"/>
    </row>
    <row r="827" spans="1:60" s="470" customFormat="1" x14ac:dyDescent="0.25">
      <c r="A827" s="483" t="s">
        <v>662</v>
      </c>
      <c r="B827" s="209"/>
      <c r="C827" s="39">
        <f t="shared" ref="C827:AR827" si="862">C1033</f>
        <v>1206</v>
      </c>
      <c r="D827" s="39">
        <f t="shared" si="862"/>
        <v>2350</v>
      </c>
      <c r="E827" s="39">
        <f t="shared" si="862"/>
        <v>3055</v>
      </c>
      <c r="F827" s="39">
        <f t="shared" si="862"/>
        <v>3614</v>
      </c>
      <c r="G827" s="484">
        <f t="shared" si="862"/>
        <v>4815</v>
      </c>
      <c r="H827" s="484">
        <f t="shared" si="862"/>
        <v>3556</v>
      </c>
      <c r="I827" s="484">
        <f t="shared" si="862"/>
        <v>2219</v>
      </c>
      <c r="J827" s="484">
        <f t="shared" si="862"/>
        <v>1512</v>
      </c>
      <c r="K827" s="39">
        <f t="shared" si="862"/>
        <v>1512</v>
      </c>
      <c r="L827" s="484">
        <f t="shared" si="862"/>
        <v>3687</v>
      </c>
      <c r="M827" s="484">
        <f t="shared" si="862"/>
        <v>4695</v>
      </c>
      <c r="N827" s="484">
        <f t="shared" si="862"/>
        <v>3216</v>
      </c>
      <c r="O827" s="484">
        <f t="shared" si="862"/>
        <v>2164</v>
      </c>
      <c r="P827" s="39">
        <f t="shared" si="862"/>
        <v>2164</v>
      </c>
      <c r="Q827" s="484">
        <f t="shared" si="862"/>
        <v>4376</v>
      </c>
      <c r="R827" s="484">
        <f t="shared" si="862"/>
        <v>2771</v>
      </c>
      <c r="S827" s="484">
        <f t="shared" si="862"/>
        <v>3119</v>
      </c>
      <c r="T827" s="484">
        <f t="shared" si="862"/>
        <v>4563</v>
      </c>
      <c r="U827" s="39">
        <f t="shared" si="862"/>
        <v>4563</v>
      </c>
      <c r="V827" s="484">
        <f t="shared" si="862"/>
        <v>5950</v>
      </c>
      <c r="W827" s="484">
        <f t="shared" si="862"/>
        <v>5755</v>
      </c>
      <c r="X827" s="484">
        <f t="shared" si="862"/>
        <v>5312</v>
      </c>
      <c r="Y827" s="484">
        <f t="shared" si="862"/>
        <v>3687</v>
      </c>
      <c r="Z827" s="39">
        <f t="shared" si="862"/>
        <v>3687</v>
      </c>
      <c r="AA827" s="113">
        <f t="shared" si="862"/>
        <v>5698</v>
      </c>
      <c r="AB827" s="191">
        <f t="shared" si="862"/>
        <v>4865</v>
      </c>
      <c r="AC827" s="484">
        <f t="shared" si="862"/>
        <v>3338</v>
      </c>
      <c r="AD827" s="484">
        <f t="shared" si="862"/>
        <v>6172</v>
      </c>
      <c r="AE827" s="39">
        <f t="shared" si="862"/>
        <v>6172</v>
      </c>
      <c r="AF827" s="113">
        <f t="shared" si="862"/>
        <v>6009</v>
      </c>
      <c r="AG827" s="191">
        <f t="shared" si="862"/>
        <v>5918</v>
      </c>
      <c r="AH827" s="484">
        <f t="shared" si="862"/>
        <v>5992</v>
      </c>
      <c r="AI827" s="484">
        <f t="shared" si="862"/>
        <v>3790</v>
      </c>
      <c r="AJ827" s="39">
        <f t="shared" si="862"/>
        <v>3790</v>
      </c>
      <c r="AK827" s="113">
        <f t="shared" si="862"/>
        <v>3489</v>
      </c>
      <c r="AL827" s="191">
        <f t="shared" si="862"/>
        <v>19158</v>
      </c>
      <c r="AM827" s="484">
        <f t="shared" si="862"/>
        <v>21923</v>
      </c>
      <c r="AN827" s="484">
        <f t="shared" si="862"/>
        <v>8857</v>
      </c>
      <c r="AO827" s="39">
        <f t="shared" si="862"/>
        <v>8857</v>
      </c>
      <c r="AP827" s="113">
        <f t="shared" si="862"/>
        <v>10018</v>
      </c>
      <c r="AQ827" s="191">
        <f t="shared" si="862"/>
        <v>12676</v>
      </c>
      <c r="AR827" s="484">
        <f t="shared" si="862"/>
        <v>10224</v>
      </c>
      <c r="AS827" s="484">
        <f>AS1033</f>
        <v>5711</v>
      </c>
      <c r="AT827" s="39">
        <f>AT1033</f>
        <v>5711</v>
      </c>
      <c r="AU827" s="113">
        <f>AU1033</f>
        <v>5397</v>
      </c>
      <c r="AV827" s="191">
        <f>AV1033</f>
        <v>5243</v>
      </c>
      <c r="AW827" s="289">
        <f>AW1033</f>
        <v>4728</v>
      </c>
      <c r="AX827" s="113">
        <f>AX829-AX828</f>
        <v>4728</v>
      </c>
      <c r="AY827" s="104">
        <f>AY1033</f>
        <v>4728</v>
      </c>
      <c r="AZ827" s="113">
        <f>AZ829-AZ828</f>
        <v>4728</v>
      </c>
      <c r="BA827" s="113">
        <f>BA829-BA828</f>
        <v>4728</v>
      </c>
      <c r="BB827" s="113">
        <f>BB829-BB828</f>
        <v>4728</v>
      </c>
      <c r="BC827" s="113">
        <f>BC829-BC828</f>
        <v>4728</v>
      </c>
      <c r="BD827" s="104">
        <f>BD1033</f>
        <v>4728</v>
      </c>
      <c r="BE827" s="104">
        <f>BE829-BE828</f>
        <v>4728</v>
      </c>
      <c r="BF827" s="104">
        <f>BF829-BF828</f>
        <v>4728</v>
      </c>
      <c r="BG827" s="104">
        <f>BG829-BG828</f>
        <v>4728</v>
      </c>
      <c r="BH827" s="484"/>
    </row>
    <row r="828" spans="1:60" s="470" customFormat="1" x14ac:dyDescent="0.25">
      <c r="A828" s="286" t="s">
        <v>663</v>
      </c>
      <c r="B828" s="807"/>
      <c r="C828" s="604">
        <f t="shared" ref="C828:AR828" si="863">C1039</f>
        <v>11495</v>
      </c>
      <c r="D828" s="604">
        <f t="shared" si="863"/>
        <v>10130</v>
      </c>
      <c r="E828" s="604">
        <f t="shared" si="863"/>
        <v>10922</v>
      </c>
      <c r="F828" s="604">
        <f t="shared" si="863"/>
        <v>10697</v>
      </c>
      <c r="G828" s="287">
        <f t="shared" si="863"/>
        <v>12633</v>
      </c>
      <c r="H828" s="287">
        <f t="shared" si="863"/>
        <v>13381</v>
      </c>
      <c r="I828" s="287">
        <f t="shared" si="863"/>
        <v>12784</v>
      </c>
      <c r="J828" s="287">
        <f t="shared" si="863"/>
        <v>12776</v>
      </c>
      <c r="K828" s="604">
        <f t="shared" si="863"/>
        <v>12776</v>
      </c>
      <c r="L828" s="287">
        <f t="shared" si="863"/>
        <v>11714</v>
      </c>
      <c r="M828" s="287">
        <f t="shared" si="863"/>
        <v>10909</v>
      </c>
      <c r="N828" s="287">
        <f t="shared" si="863"/>
        <v>12920</v>
      </c>
      <c r="O828" s="287">
        <f t="shared" si="863"/>
        <v>12631</v>
      </c>
      <c r="P828" s="604">
        <f t="shared" si="863"/>
        <v>12631</v>
      </c>
      <c r="Q828" s="287">
        <f t="shared" si="863"/>
        <v>12167</v>
      </c>
      <c r="R828" s="287">
        <f t="shared" si="863"/>
        <v>12186</v>
      </c>
      <c r="S828" s="287">
        <f t="shared" si="863"/>
        <v>12154</v>
      </c>
      <c r="T828" s="287">
        <f t="shared" si="863"/>
        <v>12773</v>
      </c>
      <c r="U828" s="604">
        <f t="shared" si="863"/>
        <v>12773</v>
      </c>
      <c r="V828" s="287">
        <f t="shared" si="863"/>
        <v>12965</v>
      </c>
      <c r="W828" s="287">
        <f t="shared" si="863"/>
        <v>15367</v>
      </c>
      <c r="X828" s="287">
        <f t="shared" si="863"/>
        <v>15129</v>
      </c>
      <c r="Y828" s="287">
        <f t="shared" si="863"/>
        <v>16483</v>
      </c>
      <c r="Z828" s="604">
        <f t="shared" si="863"/>
        <v>16483</v>
      </c>
      <c r="AA828" s="605">
        <f t="shared" si="863"/>
        <v>14792</v>
      </c>
      <c r="AB828" s="606">
        <f t="shared" si="863"/>
        <v>16788</v>
      </c>
      <c r="AC828" s="287">
        <f t="shared" si="863"/>
        <v>18849</v>
      </c>
      <c r="AD828" s="287">
        <f t="shared" si="863"/>
        <v>19119</v>
      </c>
      <c r="AE828" s="604">
        <f t="shared" si="863"/>
        <v>19119</v>
      </c>
      <c r="AF828" s="605">
        <f t="shared" si="863"/>
        <v>20082</v>
      </c>
      <c r="AG828" s="606">
        <f t="shared" si="863"/>
        <v>18766</v>
      </c>
      <c r="AH828" s="287">
        <f t="shared" si="863"/>
        <v>17681</v>
      </c>
      <c r="AI828" s="287">
        <f t="shared" si="863"/>
        <v>17084</v>
      </c>
      <c r="AJ828" s="604">
        <f t="shared" si="863"/>
        <v>17084</v>
      </c>
      <c r="AK828" s="605">
        <f t="shared" si="863"/>
        <v>17176</v>
      </c>
      <c r="AL828" s="606">
        <f t="shared" si="863"/>
        <v>37803</v>
      </c>
      <c r="AM828" s="287">
        <f t="shared" si="863"/>
        <v>36311</v>
      </c>
      <c r="AN828" s="287">
        <f t="shared" si="863"/>
        <v>38129</v>
      </c>
      <c r="AO828" s="604">
        <f t="shared" si="863"/>
        <v>38129</v>
      </c>
      <c r="AP828" s="605">
        <f t="shared" si="863"/>
        <v>38057</v>
      </c>
      <c r="AQ828" s="606">
        <f t="shared" si="863"/>
        <v>42770</v>
      </c>
      <c r="AR828" s="287">
        <f t="shared" si="863"/>
        <v>54197</v>
      </c>
      <c r="AS828" s="287">
        <f>AS1039</f>
        <v>52917</v>
      </c>
      <c r="AT828" s="604">
        <f>AT1039</f>
        <v>52917</v>
      </c>
      <c r="AU828" s="605">
        <f>AU1039</f>
        <v>52878</v>
      </c>
      <c r="AV828" s="606">
        <f>AV1039</f>
        <v>50903</v>
      </c>
      <c r="AW828" s="878">
        <f>AW1039</f>
        <v>51110</v>
      </c>
      <c r="AX828" s="605">
        <f>MAX(0,AW828+AX816)</f>
        <v>51110</v>
      </c>
      <c r="AY828" s="607">
        <f>AY1039</f>
        <v>51110</v>
      </c>
      <c r="AZ828" s="605">
        <f>MAX(0,AY828+AZ816)</f>
        <v>51110</v>
      </c>
      <c r="BA828" s="605">
        <f>MAX(0,AZ828+BA816)</f>
        <v>51110</v>
      </c>
      <c r="BB828" s="605">
        <f>MAX(0,BA828+BB816)</f>
        <v>51110</v>
      </c>
      <c r="BC828" s="605">
        <f>MAX(0,BB828+BC816)</f>
        <v>51110</v>
      </c>
      <c r="BD828" s="607">
        <f>BD1039</f>
        <v>51110</v>
      </c>
      <c r="BE828" s="607">
        <f>MAX(0,BD828+BE816)</f>
        <v>51110</v>
      </c>
      <c r="BF828" s="607">
        <f>MAX(0,BE828+BF816)</f>
        <v>51110</v>
      </c>
      <c r="BG828" s="607">
        <f>MAX(0,BF828+BG816)</f>
        <v>51110</v>
      </c>
      <c r="BH828" s="484"/>
    </row>
    <row r="829" spans="1:60" s="49" customFormat="1" x14ac:dyDescent="0.25">
      <c r="A829" s="484" t="s">
        <v>273</v>
      </c>
      <c r="B829" s="209"/>
      <c r="C829" s="39">
        <f t="shared" ref="C829:AR829" si="864">C1039+C1033</f>
        <v>12701</v>
      </c>
      <c r="D829" s="39">
        <f t="shared" si="864"/>
        <v>12480</v>
      </c>
      <c r="E829" s="39">
        <f t="shared" si="864"/>
        <v>13977</v>
      </c>
      <c r="F829" s="39">
        <f t="shared" si="864"/>
        <v>14311</v>
      </c>
      <c r="G829" s="484">
        <f t="shared" si="864"/>
        <v>17448</v>
      </c>
      <c r="H829" s="484">
        <f t="shared" si="864"/>
        <v>16937</v>
      </c>
      <c r="I829" s="484">
        <f t="shared" si="864"/>
        <v>15003</v>
      </c>
      <c r="J829" s="484">
        <f t="shared" si="864"/>
        <v>14288</v>
      </c>
      <c r="K829" s="39">
        <f t="shared" si="864"/>
        <v>14288</v>
      </c>
      <c r="L829" s="484">
        <f t="shared" si="864"/>
        <v>15401</v>
      </c>
      <c r="M829" s="484">
        <f t="shared" si="864"/>
        <v>15604</v>
      </c>
      <c r="N829" s="484">
        <f t="shared" si="864"/>
        <v>16136</v>
      </c>
      <c r="O829" s="484">
        <f t="shared" si="864"/>
        <v>14795</v>
      </c>
      <c r="P829" s="39">
        <f t="shared" si="864"/>
        <v>14795</v>
      </c>
      <c r="Q829" s="484">
        <f t="shared" si="864"/>
        <v>16543</v>
      </c>
      <c r="R829" s="484">
        <f t="shared" si="864"/>
        <v>14957</v>
      </c>
      <c r="S829" s="484">
        <f t="shared" si="864"/>
        <v>15273</v>
      </c>
      <c r="T829" s="484">
        <f t="shared" si="864"/>
        <v>17336</v>
      </c>
      <c r="U829" s="39">
        <f t="shared" si="864"/>
        <v>17336</v>
      </c>
      <c r="V829" s="484">
        <f t="shared" si="864"/>
        <v>18915</v>
      </c>
      <c r="W829" s="484">
        <f t="shared" si="864"/>
        <v>21122</v>
      </c>
      <c r="X829" s="484">
        <f t="shared" si="864"/>
        <v>20441</v>
      </c>
      <c r="Y829" s="484">
        <f t="shared" si="864"/>
        <v>20170</v>
      </c>
      <c r="Z829" s="39">
        <f t="shared" si="864"/>
        <v>20170</v>
      </c>
      <c r="AA829" s="113">
        <f t="shared" si="864"/>
        <v>20490</v>
      </c>
      <c r="AB829" s="191">
        <f t="shared" si="864"/>
        <v>21653</v>
      </c>
      <c r="AC829" s="484">
        <f t="shared" si="864"/>
        <v>22187</v>
      </c>
      <c r="AD829" s="484">
        <f t="shared" si="864"/>
        <v>25291</v>
      </c>
      <c r="AE829" s="39">
        <f t="shared" si="864"/>
        <v>25291</v>
      </c>
      <c r="AF829" s="113">
        <f t="shared" si="864"/>
        <v>26091</v>
      </c>
      <c r="AG829" s="191">
        <f t="shared" si="864"/>
        <v>24684</v>
      </c>
      <c r="AH829" s="484">
        <f t="shared" si="864"/>
        <v>23673</v>
      </c>
      <c r="AI829" s="484">
        <f t="shared" si="864"/>
        <v>20874</v>
      </c>
      <c r="AJ829" s="39">
        <f t="shared" si="864"/>
        <v>20874</v>
      </c>
      <c r="AK829" s="113">
        <f t="shared" si="864"/>
        <v>20665</v>
      </c>
      <c r="AL829" s="191">
        <f t="shared" si="864"/>
        <v>56961</v>
      </c>
      <c r="AM829" s="484">
        <f t="shared" si="864"/>
        <v>58234</v>
      </c>
      <c r="AN829" s="484">
        <f t="shared" si="864"/>
        <v>46986</v>
      </c>
      <c r="AO829" s="39">
        <f t="shared" si="864"/>
        <v>46986</v>
      </c>
      <c r="AP829" s="113">
        <f t="shared" si="864"/>
        <v>48075</v>
      </c>
      <c r="AQ829" s="191">
        <f t="shared" si="864"/>
        <v>55446</v>
      </c>
      <c r="AR829" s="484">
        <f t="shared" si="864"/>
        <v>64421</v>
      </c>
      <c r="AS829" s="484">
        <f>AS1039+AS1033</f>
        <v>58628</v>
      </c>
      <c r="AT829" s="39">
        <f>AT1039+AT1033</f>
        <v>58628</v>
      </c>
      <c r="AU829" s="113">
        <f>AU1039+AU1033</f>
        <v>58275</v>
      </c>
      <c r="AV829" s="191">
        <f>AV1039+AV1033</f>
        <v>56146</v>
      </c>
      <c r="AW829" s="289">
        <f>AW1039+AW1033</f>
        <v>55838</v>
      </c>
      <c r="AX829" s="113">
        <f>AW829+AX816</f>
        <v>55838</v>
      </c>
      <c r="AY829" s="104">
        <f>AY1039+AY1033</f>
        <v>55838</v>
      </c>
      <c r="AZ829" s="113">
        <f>AY829+AZ816</f>
        <v>55838</v>
      </c>
      <c r="BA829" s="113">
        <f>AZ829+BA816</f>
        <v>55838</v>
      </c>
      <c r="BB829" s="113">
        <f>BA829+BB816</f>
        <v>55838</v>
      </c>
      <c r="BC829" s="113">
        <f>BB829+BC816</f>
        <v>55838</v>
      </c>
      <c r="BD829" s="104">
        <f>BD1039+BD1033</f>
        <v>55838</v>
      </c>
      <c r="BE829" s="104">
        <f>BD829+BE816</f>
        <v>55838</v>
      </c>
      <c r="BF829" s="104">
        <f>BE829+BF816</f>
        <v>55838</v>
      </c>
      <c r="BG829" s="104">
        <f>BF829+BG816</f>
        <v>55838</v>
      </c>
      <c r="BH829" s="484"/>
    </row>
    <row r="830" spans="1:60" s="49" customFormat="1" x14ac:dyDescent="0.25">
      <c r="A830" s="484" t="s">
        <v>274</v>
      </c>
      <c r="B830" s="209"/>
      <c r="C830" s="39">
        <f t="shared" ref="C830:AH830" si="865">C829-C826</f>
        <v>9284</v>
      </c>
      <c r="D830" s="39">
        <f t="shared" si="865"/>
        <v>9758</v>
      </c>
      <c r="E830" s="39">
        <f t="shared" si="865"/>
        <v>10792</v>
      </c>
      <c r="F830" s="39">
        <f t="shared" si="865"/>
        <v>10924</v>
      </c>
      <c r="G830" s="484">
        <f t="shared" si="865"/>
        <v>14241</v>
      </c>
      <c r="H830" s="484">
        <f t="shared" si="865"/>
        <v>12985</v>
      </c>
      <c r="I830" s="484">
        <f t="shared" si="865"/>
        <v>11071</v>
      </c>
      <c r="J830" s="484">
        <f t="shared" si="865"/>
        <v>10357</v>
      </c>
      <c r="K830" s="39">
        <f t="shared" si="865"/>
        <v>10357</v>
      </c>
      <c r="L830" s="484">
        <f t="shared" si="865"/>
        <v>11004</v>
      </c>
      <c r="M830" s="484">
        <f t="shared" si="865"/>
        <v>11526</v>
      </c>
      <c r="N830" s="484">
        <f t="shared" si="865"/>
        <v>12046</v>
      </c>
      <c r="O830" s="484">
        <f t="shared" si="865"/>
        <v>11374</v>
      </c>
      <c r="P830" s="39">
        <f t="shared" si="865"/>
        <v>11374</v>
      </c>
      <c r="Q830" s="484">
        <f t="shared" si="865"/>
        <v>11466</v>
      </c>
      <c r="R830" s="484">
        <f t="shared" si="865"/>
        <v>11212</v>
      </c>
      <c r="S830" s="484">
        <f t="shared" si="865"/>
        <v>10798</v>
      </c>
      <c r="T830" s="484">
        <f t="shared" si="865"/>
        <v>13067</v>
      </c>
      <c r="U830" s="39">
        <f t="shared" si="865"/>
        <v>13067</v>
      </c>
      <c r="V830" s="484">
        <f t="shared" si="865"/>
        <v>14614</v>
      </c>
      <c r="W830" s="484">
        <f t="shared" si="865"/>
        <v>16107</v>
      </c>
      <c r="X830" s="484">
        <f t="shared" si="865"/>
        <v>15214</v>
      </c>
      <c r="Y830" s="484">
        <f t="shared" si="865"/>
        <v>15560</v>
      </c>
      <c r="Z830" s="39">
        <f t="shared" si="865"/>
        <v>15560</v>
      </c>
      <c r="AA830" s="113">
        <f t="shared" si="865"/>
        <v>16754</v>
      </c>
      <c r="AB830" s="191">
        <f t="shared" si="865"/>
        <v>17853</v>
      </c>
      <c r="AC830" s="484">
        <f t="shared" si="865"/>
        <v>17851</v>
      </c>
      <c r="AD830" s="484">
        <f t="shared" si="865"/>
        <v>21227</v>
      </c>
      <c r="AE830" s="39">
        <f t="shared" si="865"/>
        <v>21227</v>
      </c>
      <c r="AF830" s="113">
        <f t="shared" si="865"/>
        <v>21396</v>
      </c>
      <c r="AG830" s="191">
        <f t="shared" si="865"/>
        <v>20489</v>
      </c>
      <c r="AH830" s="484">
        <f t="shared" si="865"/>
        <v>19342</v>
      </c>
      <c r="AI830" s="484">
        <f t="shared" ref="AI830:AY830" si="866">AI829-AI826</f>
        <v>16719</v>
      </c>
      <c r="AJ830" s="39">
        <f t="shared" si="866"/>
        <v>16719</v>
      </c>
      <c r="AK830" s="113">
        <f t="shared" si="866"/>
        <v>16202</v>
      </c>
      <c r="AL830" s="191">
        <f t="shared" si="866"/>
        <v>46853</v>
      </c>
      <c r="AM830" s="484">
        <f t="shared" si="866"/>
        <v>51468</v>
      </c>
      <c r="AN830" s="484">
        <f t="shared" si="866"/>
        <v>41531</v>
      </c>
      <c r="AO830" s="39">
        <f t="shared" si="866"/>
        <v>41531</v>
      </c>
      <c r="AP830" s="113">
        <f t="shared" si="866"/>
        <v>41201</v>
      </c>
      <c r="AQ830" s="191">
        <f t="shared" si="866"/>
        <v>41068</v>
      </c>
      <c r="AR830" s="484">
        <f t="shared" si="866"/>
        <v>41267</v>
      </c>
      <c r="AS830" s="484">
        <f>AS829-AS826</f>
        <v>40674</v>
      </c>
      <c r="AT830" s="39">
        <f>AT829-AT826</f>
        <v>40674</v>
      </c>
      <c r="AU830" s="113">
        <f>AU829-AU826</f>
        <v>41163</v>
      </c>
      <c r="AV830" s="191">
        <f>AV829-AV826</f>
        <v>40214</v>
      </c>
      <c r="AW830" s="289">
        <f>AW829-AW826</f>
        <v>39723</v>
      </c>
      <c r="AX830" s="113">
        <f t="shared" ca="1" si="866"/>
        <v>38754.547875019707</v>
      </c>
      <c r="AY830" s="104">
        <f t="shared" ca="1" si="866"/>
        <v>38754.547875019707</v>
      </c>
      <c r="AZ830" s="113">
        <f t="shared" ref="AZ830:BG830" ca="1" si="867">AZ829-AZ826</f>
        <v>39049.942238043775</v>
      </c>
      <c r="BA830" s="113">
        <f t="shared" ca="1" si="867"/>
        <v>36371.044926731687</v>
      </c>
      <c r="BB830" s="113">
        <f t="shared" ca="1" si="867"/>
        <v>33525.361001064361</v>
      </c>
      <c r="BC830" s="113">
        <f t="shared" ca="1" si="867"/>
        <v>33998.7393214974</v>
      </c>
      <c r="BD830" s="104">
        <f t="shared" ca="1" si="867"/>
        <v>33998.7393214974</v>
      </c>
      <c r="BE830" s="104">
        <f t="shared" ca="1" si="867"/>
        <v>24721.202758739895</v>
      </c>
      <c r="BF830" s="104">
        <f t="shared" ca="1" si="867"/>
        <v>14446.048573865046</v>
      </c>
      <c r="BG830" s="104">
        <f t="shared" ca="1" si="867"/>
        <v>3160.8881763828249</v>
      </c>
      <c r="BH830" s="484"/>
    </row>
    <row r="831" spans="1:60" s="470" customFormat="1" x14ac:dyDescent="0.25">
      <c r="A831" s="113"/>
      <c r="B831" s="209"/>
      <c r="C831" s="104"/>
      <c r="D831" s="104"/>
      <c r="E831" s="104"/>
      <c r="F831" s="104"/>
      <c r="G831" s="113"/>
      <c r="H831" s="113"/>
      <c r="I831" s="113"/>
      <c r="J831" s="113"/>
      <c r="K831" s="104"/>
      <c r="L831" s="113"/>
      <c r="M831" s="113"/>
      <c r="N831" s="113"/>
      <c r="O831" s="113"/>
      <c r="P831" s="104"/>
      <c r="Q831" s="113"/>
      <c r="R831" s="113"/>
      <c r="S831" s="113"/>
      <c r="T831" s="113"/>
      <c r="U831" s="104"/>
      <c r="V831" s="113"/>
      <c r="W831" s="113"/>
      <c r="X831" s="113"/>
      <c r="Y831" s="113"/>
      <c r="Z831" s="104"/>
      <c r="AA831" s="113"/>
      <c r="AB831" s="113"/>
      <c r="AC831" s="113"/>
      <c r="AD831" s="113"/>
      <c r="AE831" s="104"/>
      <c r="AF831" s="113"/>
      <c r="AG831" s="113"/>
      <c r="AH831" s="113"/>
      <c r="AI831" s="113"/>
      <c r="AJ831" s="104"/>
      <c r="AK831" s="113"/>
      <c r="AL831" s="113"/>
      <c r="AM831" s="113"/>
      <c r="AN831" s="113"/>
      <c r="AO831" s="104"/>
      <c r="AP831" s="113"/>
      <c r="AQ831" s="113"/>
      <c r="AR831" s="113"/>
      <c r="AS831" s="113"/>
      <c r="AT831" s="104"/>
      <c r="AU831" s="113"/>
      <c r="AV831" s="113"/>
      <c r="AW831" s="699"/>
      <c r="AX831" s="113"/>
      <c r="AY831" s="104"/>
      <c r="AZ831" s="113"/>
      <c r="BA831" s="113"/>
      <c r="BB831" s="113"/>
      <c r="BC831" s="113"/>
      <c r="BD831" s="104"/>
      <c r="BE831" s="104"/>
      <c r="BF831" s="104"/>
      <c r="BG831" s="104"/>
      <c r="BH831" s="484"/>
    </row>
    <row r="832" spans="1:60" s="470" customFormat="1" x14ac:dyDescent="0.25">
      <c r="A832" s="484" t="s">
        <v>655</v>
      </c>
      <c r="B832" s="209"/>
      <c r="C832" s="492"/>
      <c r="D832" s="492"/>
      <c r="E832" s="492"/>
      <c r="F832" s="492"/>
      <c r="G832" s="491"/>
      <c r="H832" s="491"/>
      <c r="I832" s="491"/>
      <c r="J832" s="491"/>
      <c r="K832" s="492"/>
      <c r="L832" s="491"/>
      <c r="M832" s="491"/>
      <c r="N832" s="491"/>
      <c r="O832" s="491"/>
      <c r="P832" s="492"/>
      <c r="Q832" s="491"/>
      <c r="R832" s="491"/>
      <c r="S832" s="491"/>
      <c r="T832" s="491"/>
      <c r="U832" s="492"/>
      <c r="V832" s="491"/>
      <c r="W832" s="491"/>
      <c r="X832" s="491"/>
      <c r="Y832" s="491"/>
      <c r="Z832" s="492"/>
      <c r="AA832" s="491"/>
      <c r="AB832" s="491"/>
      <c r="AC832" s="491"/>
      <c r="AD832" s="491"/>
      <c r="AE832" s="492"/>
      <c r="AF832" s="491"/>
      <c r="AG832" s="491"/>
      <c r="AH832" s="491"/>
      <c r="AI832" s="491"/>
      <c r="AJ832" s="492"/>
      <c r="AK832" s="491"/>
      <c r="AL832" s="491"/>
      <c r="AM832" s="491"/>
      <c r="AN832" s="491"/>
      <c r="AO832" s="492"/>
      <c r="AP832" s="491"/>
      <c r="AQ832" s="491"/>
      <c r="AR832" s="491"/>
      <c r="AS832" s="491"/>
      <c r="AT832" s="492"/>
      <c r="AU832" s="491"/>
      <c r="AV832" s="491"/>
      <c r="AW832" s="692"/>
      <c r="AX832" s="491">
        <f>MAX(0,AX833*AVERAGE(AW829,AX829)*AX3/AY3)</f>
        <v>422.22706849315063</v>
      </c>
      <c r="AY832" s="492" t="str">
        <f>IF(OR(ISBLANK(AU832),ISBLANK(AV832),ISBLANK(AW832),ISBLANK(AX832)),"n/a",SUM(AU832,AV832,AW832,AX832))</f>
        <v>n/a</v>
      </c>
      <c r="AZ832" s="491">
        <f>MAX(0,AZ833*AVERAGE(AY829,AZ829)*AZ3/BD3)</f>
        <v>422.22706849315063</v>
      </c>
      <c r="BA832" s="491">
        <f>MAX(0,BA833*AVERAGE(AZ829,BA829)*BA3/BD3)</f>
        <v>413.04821917808215</v>
      </c>
      <c r="BB832" s="491">
        <f>MAX(0,BB833*AVERAGE(BA829,BB829)*BB3/BD3)</f>
        <v>417.63764383561642</v>
      </c>
      <c r="BC832" s="491">
        <f>MAX(0,BC833*AVERAGE(BB829,BC829)*BC3/BD3)</f>
        <v>422.22706849315063</v>
      </c>
      <c r="BD832" s="492">
        <f>IF(OR(ISBLANK(AZ832),ISBLANK(BA832),ISBLANK(BB832),ISBLANK(BC832)),"n/a",SUM(AZ832,BA832,BB832,BC832))</f>
        <v>1675.1399999999999</v>
      </c>
      <c r="BE832" s="492">
        <f>MAX(0,BE833*AVERAGE(BD829,BE829))</f>
        <v>1675.1399999999999</v>
      </c>
      <c r="BF832" s="492">
        <f>MAX(0,BF833*AVERAGE(BE829,BF829))</f>
        <v>1675.1399999999999</v>
      </c>
      <c r="BG832" s="492">
        <f>MAX(0,BG833*AVERAGE(BF829,BG829))</f>
        <v>1675.1399999999999</v>
      </c>
      <c r="BH832" s="484"/>
    </row>
    <row r="833" spans="1:60" s="470" customFormat="1" x14ac:dyDescent="0.25">
      <c r="A833" s="499" t="s">
        <v>656</v>
      </c>
      <c r="B833" s="602"/>
      <c r="C833" s="478"/>
      <c r="D833" s="478"/>
      <c r="E833" s="478"/>
      <c r="F833" s="478"/>
      <c r="G833" s="480"/>
      <c r="H833" s="480"/>
      <c r="I833" s="480"/>
      <c r="J833" s="480"/>
      <c r="K833" s="478"/>
      <c r="L833" s="480"/>
      <c r="M833" s="480"/>
      <c r="N833" s="480"/>
      <c r="O833" s="480"/>
      <c r="P833" s="478"/>
      <c r="Q833" s="480"/>
      <c r="R833" s="480"/>
      <c r="S833" s="480"/>
      <c r="T833" s="480"/>
      <c r="U833" s="478"/>
      <c r="V833" s="480"/>
      <c r="W833" s="480"/>
      <c r="X833" s="480"/>
      <c r="Y833" s="480"/>
      <c r="Z833" s="478"/>
      <c r="AA833" s="480"/>
      <c r="AB833" s="480"/>
      <c r="AC833" s="480"/>
      <c r="AD833" s="480"/>
      <c r="AE833" s="478"/>
      <c r="AF833" s="480"/>
      <c r="AG833" s="480"/>
      <c r="AH833" s="480"/>
      <c r="AI833" s="480"/>
      <c r="AJ833" s="478"/>
      <c r="AK833" s="480"/>
      <c r="AL833" s="480"/>
      <c r="AM833" s="480"/>
      <c r="AN833" s="480"/>
      <c r="AO833" s="478"/>
      <c r="AP833" s="480"/>
      <c r="AQ833" s="480"/>
      <c r="AR833" s="480"/>
      <c r="AS833" s="480"/>
      <c r="AT833" s="478"/>
      <c r="AU833" s="480"/>
      <c r="AV833" s="480"/>
      <c r="AW833" s="708"/>
      <c r="AX833" s="70">
        <v>0.03</v>
      </c>
      <c r="AY833" s="478" t="str">
        <f>IFERROR(AY832/AVERAGE(AU829,AV829,AW829,AX829),"n/a")</f>
        <v>n/a</v>
      </c>
      <c r="AZ833" s="70">
        <v>0.03</v>
      </c>
      <c r="BA833" s="70">
        <v>0.03</v>
      </c>
      <c r="BB833" s="70">
        <v>0.03</v>
      </c>
      <c r="BC833" s="70">
        <v>0.03</v>
      </c>
      <c r="BD833" s="478">
        <f>IFERROR(BD832/AVERAGE(AZ829,BA829,BB829,BC829),"n/a")</f>
        <v>0.03</v>
      </c>
      <c r="BE833" s="37">
        <v>0.03</v>
      </c>
      <c r="BF833" s="37">
        <v>0.03</v>
      </c>
      <c r="BG833" s="37">
        <v>0.03</v>
      </c>
      <c r="BH833" s="484"/>
    </row>
    <row r="834" spans="1:60" s="470" customFormat="1" x14ac:dyDescent="0.25">
      <c r="A834" s="113" t="s">
        <v>657</v>
      </c>
      <c r="B834" s="209"/>
      <c r="C834" s="492"/>
      <c r="D834" s="492"/>
      <c r="E834" s="492"/>
      <c r="F834" s="492"/>
      <c r="G834" s="491"/>
      <c r="H834" s="491"/>
      <c r="I834" s="491"/>
      <c r="J834" s="491"/>
      <c r="K834" s="492"/>
      <c r="L834" s="491"/>
      <c r="M834" s="491"/>
      <c r="N834" s="491"/>
      <c r="O834" s="491"/>
      <c r="P834" s="492"/>
      <c r="Q834" s="491"/>
      <c r="R834" s="491"/>
      <c r="S834" s="491"/>
      <c r="T834" s="491"/>
      <c r="U834" s="492"/>
      <c r="V834" s="491"/>
      <c r="W834" s="491"/>
      <c r="X834" s="491"/>
      <c r="Y834" s="491"/>
      <c r="Z834" s="492"/>
      <c r="AA834" s="491"/>
      <c r="AB834" s="491"/>
      <c r="AC834" s="491"/>
      <c r="AD834" s="491"/>
      <c r="AE834" s="492"/>
      <c r="AF834" s="491"/>
      <c r="AG834" s="491"/>
      <c r="AH834" s="491"/>
      <c r="AI834" s="491"/>
      <c r="AJ834" s="492"/>
      <c r="AK834" s="491"/>
      <c r="AL834" s="491"/>
      <c r="AM834" s="491"/>
      <c r="AN834" s="491"/>
      <c r="AO834" s="492"/>
      <c r="AP834" s="491"/>
      <c r="AQ834" s="491"/>
      <c r="AR834" s="491"/>
      <c r="AS834" s="491"/>
      <c r="AT834" s="492"/>
      <c r="AU834" s="491"/>
      <c r="AV834" s="491"/>
      <c r="AW834" s="692"/>
      <c r="AX834" s="491">
        <f>MAX(0,AX835*AW826*AX3/AY3)</f>
        <v>40.618630136986305</v>
      </c>
      <c r="AY834" s="492" t="str">
        <f>IF(OR(ISBLANK(AU834),ISBLANK(AV834),ISBLANK(AW834),ISBLANK(AX834)),"n/a",SUM(AU834,AV834,AW834,AX834))</f>
        <v>n/a</v>
      </c>
      <c r="AZ834" s="491">
        <f ca="1">MAX(0,AZ835*AY826*AZ3/BD3)</f>
        <v>43.05966015063526</v>
      </c>
      <c r="BA834" s="491">
        <f ca="1">MAX(0,BA835*AZ826*BA3/BD3)</f>
        <v>41.395210919892058</v>
      </c>
      <c r="BB834" s="491">
        <f ca="1">MAX(0,BB835*BA826*BB3/BD3)</f>
        <v>48.534052374449772</v>
      </c>
      <c r="BC834" s="491">
        <f ca="1">MAX(0,BC835*BB826*BC3/BD3)</f>
        <v>56.240076380878868</v>
      </c>
      <c r="BD834" s="492">
        <f ca="1">IF(OR(ISBLANK(AZ834),ISBLANK(BA834),ISBLANK(BB834),ISBLANK(BC834)),"n/a",SUM(AZ834,BA834,BB834,BC834))</f>
        <v>189.22899982585596</v>
      </c>
      <c r="BE834" s="492">
        <f ca="1">MAX(0,BE835*BD826)</f>
        <v>218.39260678502603</v>
      </c>
      <c r="BF834" s="492">
        <f ca="1">MAX(0,BF835*BE826)</f>
        <v>311.16797241260105</v>
      </c>
      <c r="BG834" s="492">
        <f ca="1">MAX(0,BG835*BF826)</f>
        <v>413.91951426134955</v>
      </c>
      <c r="BH834" s="484"/>
    </row>
    <row r="835" spans="1:60" s="470" customFormat="1" x14ac:dyDescent="0.25">
      <c r="A835" s="114" t="s">
        <v>658</v>
      </c>
      <c r="B835" s="602"/>
      <c r="C835" s="478"/>
      <c r="D835" s="478"/>
      <c r="E835" s="478"/>
      <c r="F835" s="478"/>
      <c r="G835" s="480"/>
      <c r="H835" s="480"/>
      <c r="I835" s="480"/>
      <c r="J835" s="480"/>
      <c r="K835" s="478"/>
      <c r="L835" s="480"/>
      <c r="M835" s="480"/>
      <c r="N835" s="480"/>
      <c r="O835" s="480"/>
      <c r="P835" s="478"/>
      <c r="Q835" s="480"/>
      <c r="R835" s="480"/>
      <c r="S835" s="480"/>
      <c r="T835" s="480"/>
      <c r="U835" s="478"/>
      <c r="V835" s="480"/>
      <c r="W835" s="480"/>
      <c r="X835" s="480"/>
      <c r="Y835" s="480"/>
      <c r="Z835" s="478"/>
      <c r="AA835" s="480"/>
      <c r="AB835" s="480"/>
      <c r="AC835" s="480"/>
      <c r="AD835" s="480"/>
      <c r="AE835" s="478"/>
      <c r="AF835" s="480"/>
      <c r="AG835" s="480"/>
      <c r="AH835" s="480"/>
      <c r="AI835" s="480"/>
      <c r="AJ835" s="478"/>
      <c r="AK835" s="480"/>
      <c r="AL835" s="480"/>
      <c r="AM835" s="480"/>
      <c r="AN835" s="480"/>
      <c r="AO835" s="478"/>
      <c r="AP835" s="480"/>
      <c r="AQ835" s="480"/>
      <c r="AR835" s="480"/>
      <c r="AS835" s="480"/>
      <c r="AT835" s="478"/>
      <c r="AU835" s="480"/>
      <c r="AV835" s="480"/>
      <c r="AW835" s="708"/>
      <c r="AX835" s="70">
        <v>0.01</v>
      </c>
      <c r="AY835" s="478" t="str">
        <f ca="1">IFERROR(AY834/AVERAGE(AU826,AV826,AW826,AX826),"n/a")</f>
        <v>n/a</v>
      </c>
      <c r="AZ835" s="70">
        <v>0.01</v>
      </c>
      <c r="BA835" s="70">
        <v>0.01</v>
      </c>
      <c r="BB835" s="70">
        <v>0.01</v>
      </c>
      <c r="BC835" s="70">
        <v>0.01</v>
      </c>
      <c r="BD835" s="478">
        <f ca="1">IFERROR(BD834/AVERAGE(AZ826,BA826,BB826,BC826),"n/a")</f>
        <v>9.4135687548532829E-3</v>
      </c>
      <c r="BE835" s="37">
        <v>0.01</v>
      </c>
      <c r="BF835" s="37">
        <v>0.01</v>
      </c>
      <c r="BG835" s="37">
        <v>0.01</v>
      </c>
      <c r="BH835" s="484"/>
    </row>
    <row r="836" spans="1:60" s="470" customFormat="1" x14ac:dyDescent="0.25">
      <c r="A836" s="113" t="s">
        <v>659</v>
      </c>
      <c r="B836" s="209"/>
      <c r="C836" s="492">
        <f t="shared" ref="C836:AR836" si="868">C775</f>
        <v>466</v>
      </c>
      <c r="D836" s="492">
        <f t="shared" si="868"/>
        <v>409</v>
      </c>
      <c r="E836" s="492">
        <f t="shared" si="868"/>
        <v>343</v>
      </c>
      <c r="F836" s="492">
        <f t="shared" si="868"/>
        <v>369</v>
      </c>
      <c r="G836" s="491">
        <f t="shared" si="868"/>
        <v>72</v>
      </c>
      <c r="H836" s="491">
        <f t="shared" si="868"/>
        <v>54</v>
      </c>
      <c r="I836" s="491">
        <f t="shared" si="868"/>
        <v>83</v>
      </c>
      <c r="J836" s="491">
        <f t="shared" si="868"/>
        <v>26</v>
      </c>
      <c r="K836" s="492">
        <f t="shared" si="868"/>
        <v>235</v>
      </c>
      <c r="L836" s="491">
        <f t="shared" si="868"/>
        <v>-49</v>
      </c>
      <c r="M836" s="491">
        <f t="shared" si="868"/>
        <v>-62</v>
      </c>
      <c r="N836" s="491">
        <f t="shared" si="868"/>
        <v>50</v>
      </c>
      <c r="O836" s="491">
        <f t="shared" si="868"/>
        <v>38</v>
      </c>
      <c r="P836" s="492">
        <f t="shared" si="868"/>
        <v>-23</v>
      </c>
      <c r="Q836" s="491">
        <f t="shared" si="868"/>
        <v>58</v>
      </c>
      <c r="R836" s="491">
        <f t="shared" si="868"/>
        <v>-8</v>
      </c>
      <c r="S836" s="491">
        <f t="shared" si="868"/>
        <v>12</v>
      </c>
      <c r="T836" s="491">
        <f t="shared" si="868"/>
        <v>55</v>
      </c>
      <c r="U836" s="492">
        <f t="shared" si="868"/>
        <v>117</v>
      </c>
      <c r="V836" s="491">
        <f t="shared" si="868"/>
        <v>24</v>
      </c>
      <c r="W836" s="491">
        <f t="shared" si="868"/>
        <v>67</v>
      </c>
      <c r="X836" s="491">
        <f t="shared" si="868"/>
        <v>70</v>
      </c>
      <c r="Y836" s="491">
        <f t="shared" si="868"/>
        <v>99</v>
      </c>
      <c r="Z836" s="492">
        <f t="shared" si="868"/>
        <v>260</v>
      </c>
      <c r="AA836" s="491">
        <f t="shared" si="868"/>
        <v>99</v>
      </c>
      <c r="AB836" s="491">
        <f t="shared" si="868"/>
        <v>84</v>
      </c>
      <c r="AC836" s="491">
        <f t="shared" si="868"/>
        <v>117</v>
      </c>
      <c r="AD836" s="491">
        <f t="shared" si="868"/>
        <v>85</v>
      </c>
      <c r="AE836" s="492">
        <f t="shared" si="868"/>
        <v>385</v>
      </c>
      <c r="AF836" s="491">
        <f t="shared" si="868"/>
        <v>129</v>
      </c>
      <c r="AG836" s="491">
        <f t="shared" si="868"/>
        <v>143</v>
      </c>
      <c r="AH836" s="491">
        <f t="shared" si="868"/>
        <v>143</v>
      </c>
      <c r="AI836" s="491">
        <f t="shared" si="868"/>
        <v>159</v>
      </c>
      <c r="AJ836" s="492">
        <f t="shared" si="868"/>
        <v>574</v>
      </c>
      <c r="AK836" s="491">
        <f t="shared" si="868"/>
        <v>63</v>
      </c>
      <c r="AL836" s="491">
        <f t="shared" si="868"/>
        <v>143</v>
      </c>
      <c r="AM836" s="491">
        <f t="shared" si="868"/>
        <v>411</v>
      </c>
      <c r="AN836" s="491">
        <f t="shared" si="868"/>
        <v>361</v>
      </c>
      <c r="AO836" s="492">
        <f t="shared" si="868"/>
        <v>978</v>
      </c>
      <c r="AP836" s="491">
        <f t="shared" si="868"/>
        <v>283</v>
      </c>
      <c r="AQ836" s="491">
        <f t="shared" si="868"/>
        <v>300</v>
      </c>
      <c r="AR836" s="491">
        <f t="shared" si="868"/>
        <v>412</v>
      </c>
      <c r="AS836" s="491">
        <f>AS775</f>
        <v>496</v>
      </c>
      <c r="AT836" s="492">
        <f>AT775</f>
        <v>1491</v>
      </c>
      <c r="AU836" s="491">
        <f>AU775</f>
        <v>324</v>
      </c>
      <c r="AV836" s="491">
        <f>AV775</f>
        <v>320</v>
      </c>
      <c r="AW836" s="692">
        <f>AW775</f>
        <v>445</v>
      </c>
      <c r="AX836" s="491">
        <f>IFERROR(AX832-AX834,"n/a")</f>
        <v>381.6084383561643</v>
      </c>
      <c r="AY836" s="492">
        <f>SUM(AU836,AV836,AW836,AX836)</f>
        <v>1470.6084383561642</v>
      </c>
      <c r="AZ836" s="491">
        <f ca="1">IFERROR(AZ832-AZ834,"n/a")</f>
        <v>379.16740834251539</v>
      </c>
      <c r="BA836" s="491">
        <f ca="1">IFERROR(BA832-BA834,"n/a")</f>
        <v>371.65300825819008</v>
      </c>
      <c r="BB836" s="491">
        <f ca="1">IFERROR(BB832-BB834,"n/a")</f>
        <v>369.10359146116662</v>
      </c>
      <c r="BC836" s="491">
        <f ca="1">IFERROR(BC832-BC834,"n/a")</f>
        <v>365.98699211227176</v>
      </c>
      <c r="BD836" s="492">
        <f ca="1">SUM(AZ836,BA836,BB836,BC836)</f>
        <v>1485.9110001741437</v>
      </c>
      <c r="BE836" s="492">
        <f ca="1">IFERROR(BE832-BE834,"n/a")</f>
        <v>1456.7473932149737</v>
      </c>
      <c r="BF836" s="492">
        <f ca="1">IFERROR(BF832-BF834,"n/a")</f>
        <v>1363.9720275873988</v>
      </c>
      <c r="BG836" s="492">
        <f ca="1">IFERROR(BG832-BG834,"n/a")</f>
        <v>1261.2204857386503</v>
      </c>
      <c r="BH836" s="484"/>
    </row>
    <row r="837" spans="1:60" s="470" customFormat="1" x14ac:dyDescent="0.25">
      <c r="A837" s="114" t="s">
        <v>660</v>
      </c>
      <c r="B837" s="602"/>
      <c r="C837" s="478"/>
      <c r="D837" s="478">
        <f>IFERROR(IF(D836/AVERAGE(C829,D829)&lt;0,"n/a",D836/AVERAGE(C829,D829)),"n/a")</f>
        <v>3.2484809975775387E-2</v>
      </c>
      <c r="E837" s="478">
        <f>IFERROR(IF(E836/AVERAGE(D829,E829)&lt;0,"n/a",E836/AVERAGE(D829,E829)),"n/a")</f>
        <v>2.5928865706618287E-2</v>
      </c>
      <c r="F837" s="478">
        <f>IFERROR(IF(F836/AVERAGE(E829,F829)&lt;0,"n/a",F836/AVERAGE(E829,F829)),"n/a")</f>
        <v>2.6088800904977377E-2</v>
      </c>
      <c r="G837" s="480">
        <f>IFERROR(IF(G836/AVERAGE(F829,G829)&lt;0,"n/a",G836/AVERAGE(F829,G829)*K3/G3),"n/a")</f>
        <v>1.7988738556821281E-2</v>
      </c>
      <c r="H837" s="480">
        <f>IFERROR(IF(H836/AVERAGE(G829,H829)&lt;0,"n/a",H836/AVERAGE(G829,H829)*K3/H3),"n/a")</f>
        <v>1.2738112549076634E-2</v>
      </c>
      <c r="I837" s="480">
        <f>IFERROR(IF(I836/AVERAGE(H829,I829)&lt;0,"n/a",I836/AVERAGE(H829,I829)*K3/I3),"n/a")</f>
        <v>2.0846091916849586E-2</v>
      </c>
      <c r="J837" s="480">
        <f>IFERROR(IF(J836/AVERAGE(I829,J829)&lt;0,"n/a",J836/AVERAGE(I829,J829)*K3/J3),"n/a")</f>
        <v>7.0432674823695659E-3</v>
      </c>
      <c r="K837" s="478">
        <f>IFERROR(IF(K836/AVERAGE(G829,H829,I829,J829)&lt;0,"n/a",K836/AVERAGE(G829,H829,I829,J829)),"n/a")</f>
        <v>1.4762233808656322E-2</v>
      </c>
      <c r="L837" s="480" t="str">
        <f>IFERROR(IF(L836/AVERAGE(K829,L829)&lt;0,"n/a",L836/AVERAGE(K829,L829)*P3/L3),"n/a")</f>
        <v>n/a</v>
      </c>
      <c r="M837" s="480" t="str">
        <f>IFERROR(IF(M836/AVERAGE(L829,M829)&lt;0,"n/a",M836/AVERAGE(L829,M829)*P3/M3),"n/a")</f>
        <v>n/a</v>
      </c>
      <c r="N837" s="480">
        <f>IFERROR(IF(N836/AVERAGE(M829,N829)&lt;0,"n/a",N836/AVERAGE(M829,N829)*P3/N3),"n/a")</f>
        <v>1.2637016417734754E-2</v>
      </c>
      <c r="O837" s="480">
        <f>IFERROR(IF(O836/AVERAGE(N829,O829)&lt;0,"n/a",O836/AVERAGE(N829,O829)*P3/O3),"n/a")</f>
        <v>9.7482053322050614E-3</v>
      </c>
      <c r="P837" s="478" t="str">
        <f>IFERROR(IF(P836/AVERAGE(L829,M829,N829,O829)&lt;0,"n/a",P836/AVERAGE(L829,M829,N829,O829)),"n/a")</f>
        <v>n/a</v>
      </c>
      <c r="Q837" s="480">
        <f>IFERROR(IF(Q836/AVERAGE(P829,Q829)&lt;0,"n/a",Q836/AVERAGE(P829,Q829)*U3/Q3),"n/a")</f>
        <v>1.4685601866881991E-2</v>
      </c>
      <c r="R837" s="480" t="str">
        <f>IFERROR(IF(R836/AVERAGE(Q829,R829)&lt;0,"n/a",R836/AVERAGE(Q829,R829)*U3/R3),"n/a")</f>
        <v>n/a</v>
      </c>
      <c r="S837" s="480">
        <f>IFERROR(IF(S836/AVERAGE(R829,S829)&lt;0,"n/a",S836/AVERAGE(R829,S829)*U3/S3),"n/a")</f>
        <v>3.184377646832162E-3</v>
      </c>
      <c r="T837" s="480">
        <f>IFERROR(IF(T836/AVERAGE(S829,T829)&lt;0,"n/a",T836/AVERAGE(S829,T829)*U3/T3),"n/a")</f>
        <v>1.3383208423388049E-2</v>
      </c>
      <c r="U837" s="478">
        <f>IFERROR(IF(U836/AVERAGE(Q829,R829,S829,T829)&lt;0,"n/a",U836/AVERAGE(Q829,R829,S829,T829)),"n/a")</f>
        <v>7.3000670732658443E-3</v>
      </c>
      <c r="V837" s="480">
        <f>IFERROR(IF(V836/AVERAGE(U829,V829)&lt;0,"n/a",V836/AVERAGE(U829,V829)*Z3/V3),"n/a")</f>
        <v>5.267620803264198E-3</v>
      </c>
      <c r="W837" s="480">
        <f>IFERROR(IF(W836/AVERAGE(V829,W829)&lt;0,"n/a",W836/AVERAGE(V829,W829)*Z3/W3),"n/a")</f>
        <v>1.3461174786948445E-2</v>
      </c>
      <c r="X837" s="480">
        <f>IFERROR(IF(X836/AVERAGE(W829,X829)&lt;0,"n/a",X836/AVERAGE(W829,X829)*Z3/X3),"n/a")</f>
        <v>1.3547552464377525E-2</v>
      </c>
      <c r="Y837" s="480">
        <f>IFERROR(IF(Y836/AVERAGE(X829,Y829)&lt;0,"n/a",Y836/AVERAGE(X829,Y829)*Z3/Y3),"n/a")</f>
        <v>1.9396115637977714E-2</v>
      </c>
      <c r="Z837" s="478">
        <f>IFERROR(IF(Z836/AVERAGE(V829,W829,X829,Y829)&lt;0,"n/a",Z836/AVERAGE(V829,W829,X829,Y829)),"n/a")</f>
        <v>1.2895546076778097E-2</v>
      </c>
      <c r="AA837" s="480">
        <f>IFERROR(IF(AA836/AVERAGE(Z829,AA829)&lt;0,"n/a",AA836/AVERAGE(Z829,AA829)*AE3/AA3),"n/a")</f>
        <v>1.9319810090036141E-2</v>
      </c>
      <c r="AB837" s="480">
        <f>IFERROR(IF(AB836/AVERAGE(AA829,AB829)&lt;0,"n/a",AB836/AVERAGE(AA829,AB829)*AE3/AB3),"n/a")</f>
        <v>1.6167176834428813E-2</v>
      </c>
      <c r="AC837" s="480">
        <f>IFERROR(IF(AC836/AVERAGE(AB829,AC829)&lt;0,"n/a",AC836/AVERAGE(AB829,AC829)*AE3/AC3),"n/a")</f>
        <v>2.1409019812304482E-2</v>
      </c>
      <c r="AD837" s="480">
        <f>IFERROR(IF(AD836/AVERAGE(AC829,AD829)&lt;0,"n/a",AD836/AVERAGE(AC829,AD829)*AE3/AD3),"n/a")</f>
        <v>1.4205664133685717E-2</v>
      </c>
      <c r="AE837" s="478">
        <f>IFERROR(IF(AE836/AVERAGE(AA829,AB829,AC829,AD829)&lt;0,"n/a",AE836/AVERAGE(AA829,AB829,AC829,AD829)),"n/a")</f>
        <v>1.7183472623603844E-2</v>
      </c>
      <c r="AF837" s="480">
        <f>IFERROR(IF(AF836/AVERAGE(AE829,AF829)&lt;0,"n/a",AF836/AVERAGE(AE829,AF829)*AJ3/AF3),"n/a")</f>
        <v>1.9921119390481863E-2</v>
      </c>
      <c r="AG837" s="480">
        <f>IFERROR(IF(AG836/AVERAGE(AF829,AG829)&lt;0,"n/a",AG836/AVERAGE(AF829,AG829)*AJ3/AG3),"n/a")</f>
        <v>2.2843700421248423E-2</v>
      </c>
      <c r="AH837" s="480">
        <f>IFERROR(IF(AH836/AVERAGE(AG829,AH829)&lt;0,"n/a",AH836/AVERAGE(AG829,AH829)*AJ3/AH3),"n/a")</f>
        <v>2.3722374364473751E-2</v>
      </c>
      <c r="AI837" s="480">
        <f>IFERROR(IF(AI836/AVERAGE(AH829,AI829)&lt;0,"n/a",AI836/AVERAGE(AH829,AI829)*AJ3/AI3),"n/a")</f>
        <v>2.8321333306005086E-2</v>
      </c>
      <c r="AJ837" s="478">
        <f>IFERROR(IF(AJ836/AVERAGE(AF829,AG829,AH829,AI829)&lt;0,"n/a",AJ836/AVERAGE(AF829,AG829,AH829,AI829)),"n/a")</f>
        <v>2.4086779547218901E-2</v>
      </c>
      <c r="AK837" s="480">
        <f>IFERROR(IF(AK836/AVERAGE(AJ829,AK829)&lt;0,"n/a",AK836/AVERAGE(AJ829,AK829)*AO3/AK3),"n/a")</f>
        <v>1.2034264290132792E-2</v>
      </c>
      <c r="AL837" s="480">
        <f>IFERROR(IF(AL836/AVERAGE(AK829,AL829)&lt;0,"n/a",AL836/AVERAGE(AK829,AL829)*AO3/AL3),"n/a")</f>
        <v>1.4942015418659844E-2</v>
      </c>
      <c r="AM837" s="480">
        <f>IFERROR(IF(AM836/AVERAGE(AL829,AM829)&lt;0,"n/a",AM836/AVERAGE(AL829,AM829)*AO3/AM3),"n/a")</f>
        <v>2.8621320083623138E-2</v>
      </c>
      <c r="AN837" s="480">
        <f>IFERROR(IF(AN836/AVERAGE(AM829,AN829)&lt;0,"n/a",AN836/AVERAGE(AM829,AN829)*AO3/AN3),"n/a")</f>
        <v>2.7223498590944025E-2</v>
      </c>
      <c r="AO837" s="478">
        <f>IFERROR(IF(AO836/AVERAGE(AK829,AL829,AM829,AN829)&lt;0,"n/a",AO836/AVERAGE(AK829,AL829,AM829,AN829)),"n/a")</f>
        <v>2.1395053761088568E-2</v>
      </c>
      <c r="AP837" s="480">
        <f>IFERROR(IF(AP836/AVERAGE(AO829,AP829)&lt;0,"n/a",AP836/AVERAGE(AO829,AP829)*AT3/AP3),"n/a")</f>
        <v>2.3686850045485666E-2</v>
      </c>
      <c r="AQ837" s="480">
        <f>IFERROR(IF(AQ836/AVERAGE(AP829,AQ829)&lt;0,"n/a",AQ836/AVERAGE(AP829,AQ829)*AT3/AQ3),"n/a")</f>
        <v>2.3311084834833639E-2</v>
      </c>
      <c r="AR837" s="480">
        <f>IFERROR(IF(AR836/AVERAGE(AQ829,AR829)&lt;0,"n/a",AR836/AVERAGE(AQ829,AR829)*AT3/AR3),"n/a")</f>
        <v>2.764822586791936E-2</v>
      </c>
      <c r="AS837" s="480">
        <f>IFERROR(IF(AS836/AVERAGE(AR829,AS829)&lt;0,"n/a",AS836/AVERAGE(AR829,AS829)*AT3/AS3),"n/a")</f>
        <v>3.2072058957071534E-2</v>
      </c>
      <c r="AT837" s="478">
        <f>IFERROR(IF(AT836/AVERAGE(AP829,AQ829,AR829,AS829)&lt;0,"n/a",AT836/AVERAGE(AP829,AQ829,AR829,AS829)),"n/a")</f>
        <v>2.6322990687204836E-2</v>
      </c>
      <c r="AU837" s="480">
        <f>IFERROR(IF(AU836/AVERAGE(AT829,AU829)&lt;0,"n/a",AU836/AVERAGE(AT829,AU829)*AY3/AU3),"n/a")</f>
        <v>2.1991476396819511E-2</v>
      </c>
      <c r="AV837" s="480">
        <f>IFERROR(IF(AV836/AVERAGE(AU829,AV829)&lt;0,"n/a",AV836/AVERAGE(AU829,AV829)*AY3/AV3),"n/a")</f>
        <v>2.268425861996972E-2</v>
      </c>
      <c r="AW837" s="708">
        <f>IFERROR(IF(AW836/AVERAGE(AV829,AW829)&lt;0,"n/a",AW836/AVERAGE(AV829,AW829)*AY3/AW3),"n/a")</f>
        <v>3.1877591618268857E-2</v>
      </c>
      <c r="AX837" s="480">
        <f>IFERROR(IF(AX836/AVERAGE(AW829,AX829)&lt;0,"n/a",AX836/AVERAGE(AW829,AX829)*AY3/AX3),"n/a")</f>
        <v>2.7113972563487222E-2</v>
      </c>
      <c r="AY837" s="478">
        <f>IFERROR(IF(AY836/AVERAGE(AU829,AV829,AW829,AX829)&lt;0,"n/a",AY836/AVERAGE(AU829,AV829,AW829,AX829)),"n/a")</f>
        <v>2.601730121772804E-2</v>
      </c>
      <c r="AZ837" s="480">
        <f ca="1">IFERROR(IF(AZ836/AVERAGE(AY829,AZ829)&lt;0,"n/a",AZ836/AVERAGE(AY829,AZ829)*BD3/AZ3),"n/a")</f>
        <v>2.6940532947995931E-2</v>
      </c>
      <c r="BA837" s="480">
        <f ca="1">IFERROR(IF(BA836/AVERAGE(AZ829,BA829)&lt;0,"n/a",BA836/AVERAGE(AZ829,BA829)*BD3/BA3),"n/a")</f>
        <v>2.6993434979412537E-2</v>
      </c>
      <c r="BB837" s="480">
        <f ca="1">IFERROR(IF(BB836/AVERAGE(BA829,BB829)&lt;0,"n/a",BB836/AVERAGE(BA829,BB829)*BD3/BB3),"n/a")</f>
        <v>2.6513672575438171E-2</v>
      </c>
      <c r="BC837" s="480">
        <f ca="1">IFERROR(IF(BC836/AVERAGE(BB829,BC829)&lt;0,"n/a",BC836/AVERAGE(BB829,BC829)*BD3/BC3),"n/a")</f>
        <v>2.600404043860173E-2</v>
      </c>
      <c r="BD837" s="478">
        <f ca="1">IFERROR(IF(BD836/AVERAGE(AZ829,BA829,BB829,BC829)&lt;0,"n/a",BD836/AVERAGE(AZ829,BA829,BB829,BC829)),"n/a")</f>
        <v>2.6611107134462977E-2</v>
      </c>
      <c r="BE837" s="478">
        <f ca="1">IFERROR(IF(BE836/AVERAGE(BD829,BE829)&lt;0,"n/a",BE836/AVERAGE(BD829,BE829)),"n/a")</f>
        <v>2.6088817529549297E-2</v>
      </c>
      <c r="BF837" s="478">
        <f ca="1">IFERROR(IF(BF836/AVERAGE(BE829,BF829)&lt;0,"n/a",BF836/AVERAGE(BE829,BF829)),"n/a")</f>
        <v>2.4427308062384016E-2</v>
      </c>
      <c r="BG837" s="478">
        <f ca="1">IFERROR(IF(BG836/AVERAGE(BF829,BG829)&lt;0,"n/a",BG836/AVERAGE(BF829,BG829)),"n/a")</f>
        <v>2.2587135745167273E-2</v>
      </c>
      <c r="BH837" s="484"/>
    </row>
    <row r="838" spans="1:60" s="470" customFormat="1" x14ac:dyDescent="0.25">
      <c r="A838" s="114"/>
      <c r="B838" s="602"/>
      <c r="C838" s="478"/>
      <c r="D838" s="478"/>
      <c r="E838" s="478"/>
      <c r="F838" s="478"/>
      <c r="G838" s="480"/>
      <c r="H838" s="480"/>
      <c r="I838" s="480"/>
      <c r="J838" s="480"/>
      <c r="K838" s="478"/>
      <c r="L838" s="480"/>
      <c r="M838" s="480"/>
      <c r="N838" s="480"/>
      <c r="O838" s="480"/>
      <c r="P838" s="478"/>
      <c r="Q838" s="480"/>
      <c r="R838" s="480"/>
      <c r="S838" s="480"/>
      <c r="T838" s="480"/>
      <c r="U838" s="478"/>
      <c r="V838" s="480"/>
      <c r="W838" s="480"/>
      <c r="X838" s="480"/>
      <c r="Y838" s="480"/>
      <c r="Z838" s="478"/>
      <c r="AA838" s="480"/>
      <c r="AB838" s="480"/>
      <c r="AC838" s="480"/>
      <c r="AD838" s="480"/>
      <c r="AE838" s="478"/>
      <c r="AF838" s="480"/>
      <c r="AG838" s="480"/>
      <c r="AH838" s="480"/>
      <c r="AI838" s="480"/>
      <c r="AJ838" s="478"/>
      <c r="AK838" s="480"/>
      <c r="AL838" s="480"/>
      <c r="AM838" s="480"/>
      <c r="AN838" s="480"/>
      <c r="AO838" s="478"/>
      <c r="AP838" s="480"/>
      <c r="AQ838" s="480"/>
      <c r="AR838" s="480"/>
      <c r="AS838" s="480"/>
      <c r="AT838" s="478"/>
      <c r="AU838" s="480"/>
      <c r="AV838" s="480"/>
      <c r="AW838" s="708"/>
      <c r="AX838" s="480"/>
      <c r="AY838" s="478"/>
      <c r="AZ838" s="480"/>
      <c r="BA838" s="480"/>
      <c r="BB838" s="480"/>
      <c r="BC838" s="480"/>
      <c r="BD838" s="478"/>
      <c r="BE838" s="478"/>
      <c r="BF838" s="478"/>
      <c r="BG838" s="478"/>
      <c r="BH838" s="484"/>
    </row>
    <row r="839" spans="1:60" s="470" customFormat="1" x14ac:dyDescent="0.25">
      <c r="A839" s="114" t="s">
        <v>661</v>
      </c>
      <c r="B839" s="602"/>
      <c r="C839" s="108">
        <f t="shared" ref="C839:AH839" si="869">IFERROR(IF(OR(C766&lt;0,C836&lt;0),"n/a",C766/C836),"n/a")</f>
        <v>13</v>
      </c>
      <c r="D839" s="108">
        <f t="shared" si="869"/>
        <v>17.400977995110026</v>
      </c>
      <c r="E839" s="108">
        <f t="shared" si="869"/>
        <v>23.918367346938776</v>
      </c>
      <c r="F839" s="108">
        <f t="shared" si="869"/>
        <v>25.124661246612465</v>
      </c>
      <c r="G839" s="603">
        <f t="shared" si="869"/>
        <v>30.444444444444443</v>
      </c>
      <c r="H839" s="603">
        <f t="shared" si="869"/>
        <v>42.648148148148145</v>
      </c>
      <c r="I839" s="603">
        <f t="shared" si="869"/>
        <v>37.361445783132531</v>
      </c>
      <c r="J839" s="603">
        <f t="shared" si="869"/>
        <v>86.769230769230774</v>
      </c>
      <c r="K839" s="108">
        <f t="shared" si="869"/>
        <v>51.251063829787235</v>
      </c>
      <c r="L839" s="603" t="str">
        <f t="shared" si="869"/>
        <v>n/a</v>
      </c>
      <c r="M839" s="603" t="str">
        <f t="shared" si="869"/>
        <v>n/a</v>
      </c>
      <c r="N839" s="603">
        <f t="shared" si="869"/>
        <v>83.1</v>
      </c>
      <c r="O839" s="603">
        <f t="shared" si="869"/>
        <v>81.21052631578948</v>
      </c>
      <c r="P839" s="108" t="str">
        <f t="shared" si="869"/>
        <v>n/a</v>
      </c>
      <c r="Q839" s="603">
        <f t="shared" si="869"/>
        <v>67.310344827586206</v>
      </c>
      <c r="R839" s="603" t="str">
        <f t="shared" si="869"/>
        <v>n/a</v>
      </c>
      <c r="S839" s="603">
        <f t="shared" si="869"/>
        <v>369.41666666666669</v>
      </c>
      <c r="T839" s="603">
        <f t="shared" si="869"/>
        <v>70.036363636363632</v>
      </c>
      <c r="U839" s="108">
        <f t="shared" si="869"/>
        <v>136.64957264957266</v>
      </c>
      <c r="V839" s="603">
        <f t="shared" si="869"/>
        <v>195.91666666666666</v>
      </c>
      <c r="W839" s="603">
        <f t="shared" si="869"/>
        <v>60.701492537313435</v>
      </c>
      <c r="X839" s="603">
        <f t="shared" si="869"/>
        <v>69.585714285714289</v>
      </c>
      <c r="Y839" s="603">
        <f t="shared" si="869"/>
        <v>36.747474747474747</v>
      </c>
      <c r="Z839" s="108">
        <f t="shared" si="869"/>
        <v>66.453846153846158</v>
      </c>
      <c r="AA839" s="603">
        <f t="shared" si="869"/>
        <v>45.353535353535356</v>
      </c>
      <c r="AB839" s="603">
        <f t="shared" si="869"/>
        <v>53.785714285714285</v>
      </c>
      <c r="AC839" s="603">
        <f t="shared" si="869"/>
        <v>39.213675213675216</v>
      </c>
      <c r="AD839" s="603">
        <f t="shared" si="869"/>
        <v>40.27058823529412</v>
      </c>
      <c r="AE839" s="108">
        <f t="shared" si="869"/>
        <v>44.205194805194807</v>
      </c>
      <c r="AF839" s="603">
        <f t="shared" si="869"/>
        <v>35.883720930232556</v>
      </c>
      <c r="AG839" s="603">
        <f t="shared" si="869"/>
        <v>34.04195804195804</v>
      </c>
      <c r="AH839" s="603">
        <f t="shared" si="869"/>
        <v>33.433566433566433</v>
      </c>
      <c r="AI839" s="603">
        <f t="shared" ref="AI839:AY839" si="870">IFERROR(IF(OR(AI766&lt;0,AI836&lt;0),"n/a",AI766/AI836),"n/a")</f>
        <v>24.924528301886792</v>
      </c>
      <c r="AJ839" s="108">
        <f t="shared" si="870"/>
        <v>31.778745644599304</v>
      </c>
      <c r="AK839" s="603">
        <f t="shared" si="870"/>
        <v>67.333333333333329</v>
      </c>
      <c r="AL839" s="603">
        <f t="shared" si="870"/>
        <v>32.18181818181818</v>
      </c>
      <c r="AM839" s="603">
        <f t="shared" si="870"/>
        <v>10.170316301703163</v>
      </c>
      <c r="AN839" s="603">
        <f t="shared" si="870"/>
        <v>10.252077562326869</v>
      </c>
      <c r="AO839" s="108">
        <f t="shared" si="870"/>
        <v>17.098159509202453</v>
      </c>
      <c r="AP839" s="603">
        <f t="shared" si="870"/>
        <v>15.031802120141343</v>
      </c>
      <c r="AQ839" s="603">
        <f t="shared" si="870"/>
        <v>9.4466666666666672</v>
      </c>
      <c r="AR839" s="603">
        <f t="shared" si="870"/>
        <v>3.8106796116504853</v>
      </c>
      <c r="AS839" s="603">
        <f>IFERROR(IF(OR(AS766&lt;0,AS836&lt;0),"n/a",AS766/AS836),"n/a")</f>
        <v>2.0544354838709675</v>
      </c>
      <c r="AT839" s="108">
        <f>IFERROR(IF(OR(AT766&lt;0,AT836&lt;0),"n/a",AT766/AT836),"n/a")</f>
        <v>6.4815560026827637</v>
      </c>
      <c r="AU839" s="603">
        <f>IFERROR(IF(OR(AU766&lt;0,AU836&lt;0),"n/a",AU766/AU836),"n/a")</f>
        <v>5.2191358024691361</v>
      </c>
      <c r="AV839" s="603">
        <f>IFERROR(IF(OR(AV766&lt;0,AV836&lt;0),"n/a",AV766/AV836),"n/a")</f>
        <v>8.9187499999999993</v>
      </c>
      <c r="AW839" s="709">
        <f>IFERROR(IF(OR(AW766&lt;0,AW836&lt;0),"n/a",AW766/AW836),"n/a")</f>
        <v>6.2449438202247194</v>
      </c>
      <c r="AX839" s="603">
        <f t="shared" si="870"/>
        <v>8.6528517937099796</v>
      </c>
      <c r="AY839" s="108">
        <f t="shared" si="870"/>
        <v>7.2255815913872148</v>
      </c>
      <c r="AZ839" s="603">
        <f t="shared" ref="AZ839:BG839" ca="1" si="871">IFERROR(IF(OR(AZ766&lt;0,AZ836&lt;0),"n/a",AZ766/AZ836),"n/a")</f>
        <v>12.538796572160203</v>
      </c>
      <c r="BA839" s="603">
        <f t="shared" ca="1" si="871"/>
        <v>9.899992515179429</v>
      </c>
      <c r="BB839" s="603">
        <f t="shared" ca="1" si="871"/>
        <v>11.90608138653767</v>
      </c>
      <c r="BC839" s="603">
        <f t="shared" ca="1" si="871"/>
        <v>12.89653940365204</v>
      </c>
      <c r="BD839" s="108">
        <f t="shared" ca="1" si="871"/>
        <v>11.809730234814475</v>
      </c>
      <c r="BE839" s="108">
        <f t="shared" ca="1" si="871"/>
        <v>14.805279662018252</v>
      </c>
      <c r="BF839" s="108">
        <f t="shared" ca="1" si="871"/>
        <v>16.736730694822178</v>
      </c>
      <c r="BG839" s="108">
        <f t="shared" ca="1" si="871"/>
        <v>18.948591038857145</v>
      </c>
      <c r="BH839" s="484"/>
    </row>
    <row r="840" spans="1:60" s="47" customFormat="1" x14ac:dyDescent="0.25">
      <c r="A840" s="87" t="s">
        <v>275</v>
      </c>
      <c r="B840" s="808"/>
      <c r="C840" s="34">
        <f>IF(C830&lt;0,"n/a",C830/C766)</f>
        <v>1.5325189831627599</v>
      </c>
      <c r="D840" s="34">
        <f>IF(D830&lt;0,"n/a",D830/D766)</f>
        <v>1.3710833216242799</v>
      </c>
      <c r="E840" s="34">
        <f>IF(E830&lt;0,"n/a",E830/E766)</f>
        <v>1.3154558751828376</v>
      </c>
      <c r="F840" s="34">
        <f>IF(F830&lt;0,"n/a",F830/F766)</f>
        <v>1.178297918239672</v>
      </c>
      <c r="G840" s="603"/>
      <c r="H840" s="603"/>
      <c r="I840" s="603"/>
      <c r="J840" s="603"/>
      <c r="K840" s="34">
        <f>IF(K830&lt;0,"n/a",K830/K766)</f>
        <v>0.85993025572899373</v>
      </c>
      <c r="L840" s="603"/>
      <c r="M840" s="603"/>
      <c r="N840" s="603"/>
      <c r="O840" s="603"/>
      <c r="P840" s="34">
        <f>IF(P830&lt;0,"n/a",P830/P766)</f>
        <v>0.7989603821298118</v>
      </c>
      <c r="Q840" s="603"/>
      <c r="R840" s="603"/>
      <c r="S840" s="603"/>
      <c r="T840" s="603"/>
      <c r="U840" s="34">
        <f>IF(U830&lt;0,"n/a",U830/U766)</f>
        <v>0.8173004753565174</v>
      </c>
      <c r="V840" s="603"/>
      <c r="W840" s="603"/>
      <c r="X840" s="603"/>
      <c r="Y840" s="603"/>
      <c r="Z840" s="34">
        <f>IF(Z830&lt;0,"n/a",Z830/Z766)</f>
        <v>0.90056719527723117</v>
      </c>
      <c r="AA840" s="809"/>
      <c r="AB840" s="809"/>
      <c r="AC840" s="603"/>
      <c r="AD840" s="603"/>
      <c r="AE840" s="34">
        <f>IF(AE830&lt;0,"n/a",AE830/AE766)</f>
        <v>1.2472530700981257</v>
      </c>
      <c r="AF840" s="809"/>
      <c r="AG840" s="809"/>
      <c r="AH840" s="603"/>
      <c r="AI840" s="603"/>
      <c r="AJ840" s="34">
        <f>IF(AJ830&lt;0,"n/a",AJ830/AJ766)</f>
        <v>0.91656159201798149</v>
      </c>
      <c r="AK840" s="809"/>
      <c r="AL840" s="809"/>
      <c r="AM840" s="603"/>
      <c r="AN840" s="603"/>
      <c r="AO840" s="34">
        <f>IF(AO830&lt;0,"n/a",AO830/AO766)</f>
        <v>2.4836144001913647</v>
      </c>
      <c r="AP840" s="809"/>
      <c r="AQ840" s="809"/>
      <c r="AR840" s="603"/>
      <c r="AS840" s="603"/>
      <c r="AT840" s="34">
        <f>IF(AT830&lt;0,"n/a",AT830/AT766)</f>
        <v>4.2088162251655632</v>
      </c>
      <c r="AU840" s="809"/>
      <c r="AV840" s="809"/>
      <c r="AW840" s="709"/>
      <c r="AX840" s="809"/>
      <c r="AY840" s="108">
        <f ca="1">IF(AY830&lt;0,"n/a",AY830/AY766)</f>
        <v>3.647143165672313</v>
      </c>
      <c r="AZ840" s="809"/>
      <c r="BA840" s="809"/>
      <c r="BB840" s="809"/>
      <c r="BC840" s="809"/>
      <c r="BD840" s="108">
        <f ca="1">IF(BD830&lt;0,"n/a",BD830/BD766)</f>
        <v>1.937447926053947</v>
      </c>
      <c r="BE840" s="108">
        <f ca="1">IF(BE830&lt;0,"n/a",BE830/BE766)</f>
        <v>1.1462219784770924</v>
      </c>
      <c r="BF840" s="108">
        <f ca="1">IF(BF830&lt;0,"n/a",BF830/BF766)</f>
        <v>0.63280948322806196</v>
      </c>
      <c r="BG840" s="108">
        <f ca="1">IF(BG830&lt;0,"n/a",BG830/BG766)</f>
        <v>0.13226385999233478</v>
      </c>
      <c r="BH840" s="151"/>
    </row>
    <row r="841" spans="1:60" s="47" customFormat="1" x14ac:dyDescent="0.25">
      <c r="A841" s="87" t="s">
        <v>276</v>
      </c>
      <c r="B841" s="808"/>
      <c r="C841" s="34">
        <f>IF(C830&lt;0,"n/a",C830/C806)</f>
        <v>1.6076190476190477</v>
      </c>
      <c r="D841" s="34">
        <f>IF(D830&lt;0,"n/a",D830/D806)</f>
        <v>1.4257744009351256</v>
      </c>
      <c r="E841" s="34">
        <f>IF(E830&lt;0,"n/a",E830/E806)</f>
        <v>1.3269396286733064</v>
      </c>
      <c r="F841" s="34">
        <f>IF(F830&lt;0,"n/a",F830/F806)</f>
        <v>1.2061388980898753</v>
      </c>
      <c r="G841" s="603"/>
      <c r="H841" s="603"/>
      <c r="I841" s="603"/>
      <c r="J841" s="603"/>
      <c r="K841" s="34">
        <f>IF(K830&lt;0,"n/a",K830/K806)</f>
        <v>1.1078190180767997</v>
      </c>
      <c r="L841" s="603"/>
      <c r="M841" s="603"/>
      <c r="N841" s="603"/>
      <c r="O841" s="603"/>
      <c r="P841" s="34">
        <f>IF(P830&lt;0,"n/a",P830/P806)</f>
        <v>1.1315161161957819</v>
      </c>
      <c r="Q841" s="603"/>
      <c r="R841" s="603"/>
      <c r="S841" s="603"/>
      <c r="T841" s="603"/>
      <c r="U841" s="34">
        <f>IF(U830&lt;0,"n/a",U830/U806)</f>
        <v>1.2121521335807051</v>
      </c>
      <c r="V841" s="603"/>
      <c r="W841" s="603"/>
      <c r="X841" s="603"/>
      <c r="Y841" s="603"/>
      <c r="Z841" s="34">
        <f>IF(Z830&lt;0,"n/a",Z830/Z806)</f>
        <v>1.1023733616719802</v>
      </c>
      <c r="AA841" s="809"/>
      <c r="AB841" s="809"/>
      <c r="AC841" s="603"/>
      <c r="AD841" s="603"/>
      <c r="AE841" s="34">
        <f>IF(AE830&lt;0,"n/a",AE830/AE806)</f>
        <v>1.7045691801172409</v>
      </c>
      <c r="AF841" s="809"/>
      <c r="AG841" s="809"/>
      <c r="AH841" s="603"/>
      <c r="AI841" s="603"/>
      <c r="AJ841" s="34">
        <f>IF(AJ830&lt;0,"n/a",AJ830/AJ806)</f>
        <v>1.1048770816812055</v>
      </c>
      <c r="AK841" s="809"/>
      <c r="AL841" s="809"/>
      <c r="AM841" s="603"/>
      <c r="AN841" s="603"/>
      <c r="AO841" s="34">
        <f>IF(AO830&lt;0,"n/a",AO830/AO806)</f>
        <v>3.5716374269005846</v>
      </c>
      <c r="AP841" s="809"/>
      <c r="AQ841" s="809"/>
      <c r="AR841" s="603"/>
      <c r="AS841" s="603"/>
      <c r="AT841" s="34">
        <f>IF(AT830&lt;0,"n/a",AT830/AT806)</f>
        <v>4.9236169955211233</v>
      </c>
      <c r="AU841" s="809"/>
      <c r="AV841" s="809"/>
      <c r="AW841" s="709"/>
      <c r="AX841" s="809"/>
      <c r="AY841" s="108">
        <f ca="1">IF(AY830&lt;0,"n/a",AY830/AY806)</f>
        <v>7.1033662406040943</v>
      </c>
      <c r="AZ841" s="809"/>
      <c r="BA841" s="809"/>
      <c r="BB841" s="809"/>
      <c r="BC841" s="809"/>
      <c r="BD841" s="108">
        <f ca="1">IF(BD830&lt;0,"n/a",BD830/BD806)</f>
        <v>2.4750341775216738</v>
      </c>
      <c r="BE841" s="108">
        <f ca="1">IF(BE830&lt;0,"n/a",BE830/BE806)</f>
        <v>1.4718947654774737</v>
      </c>
      <c r="BF841" s="108">
        <f ca="1">IF(BF830&lt;0,"n/a",BF830/BF806)</f>
        <v>0.80862818681709558</v>
      </c>
      <c r="BG841" s="108">
        <f ca="1">IF(BG830&lt;0,"n/a",BG830/BG806)</f>
        <v>0.16821025209472246</v>
      </c>
      <c r="BH841" s="151"/>
    </row>
    <row r="842" spans="1:60" s="82" customFormat="1" x14ac:dyDescent="0.25">
      <c r="A842" s="810"/>
      <c r="B842" s="810"/>
      <c r="C842" s="837"/>
      <c r="D842" s="837"/>
      <c r="E842" s="837"/>
      <c r="F842" s="837"/>
      <c r="G842" s="743"/>
      <c r="H842" s="743"/>
      <c r="I842" s="743"/>
      <c r="J842" s="743"/>
      <c r="K842" s="837"/>
      <c r="L842" s="743"/>
      <c r="M842" s="743"/>
      <c r="N842" s="743"/>
      <c r="O842" s="743"/>
      <c r="P842" s="837"/>
      <c r="Q842" s="743"/>
      <c r="R842" s="743"/>
      <c r="S842" s="743"/>
      <c r="T842" s="743"/>
      <c r="U842" s="837"/>
      <c r="V842" s="743"/>
      <c r="W842" s="743"/>
      <c r="X842" s="743"/>
      <c r="Y842" s="743"/>
      <c r="Z842" s="837"/>
      <c r="AA842" s="743"/>
      <c r="AB842" s="743"/>
      <c r="AC842" s="743"/>
      <c r="AD842" s="743"/>
      <c r="AE842" s="837"/>
      <c r="AF842" s="743"/>
      <c r="AG842" s="743"/>
      <c r="AH842" s="743"/>
      <c r="AI842" s="743"/>
      <c r="AJ842" s="837"/>
      <c r="AK842" s="743"/>
      <c r="AL842" s="743"/>
      <c r="AM842" s="743"/>
      <c r="AN842" s="743"/>
      <c r="AO842" s="837"/>
      <c r="AP842" s="743"/>
      <c r="AQ842" s="743"/>
      <c r="AR842" s="743"/>
      <c r="AS842" s="743"/>
      <c r="AT842" s="837"/>
      <c r="AU842" s="743"/>
      <c r="AV842" s="743"/>
      <c r="AW842" s="744"/>
      <c r="AX842" s="743"/>
      <c r="AY842" s="837"/>
      <c r="AZ842" s="743"/>
      <c r="BA842" s="743"/>
      <c r="BB842" s="743"/>
      <c r="BC842" s="743"/>
      <c r="BD842" s="837"/>
      <c r="BE842" s="837"/>
      <c r="BF842" s="837"/>
      <c r="BG842" s="837"/>
      <c r="BH842" s="284"/>
    </row>
    <row r="843" spans="1:60" s="19" customFormat="1" x14ac:dyDescent="0.25">
      <c r="A843" s="956" t="s">
        <v>277</v>
      </c>
      <c r="B843" s="956"/>
      <c r="C843" s="986"/>
      <c r="D843" s="986"/>
      <c r="E843" s="986"/>
      <c r="F843" s="986"/>
      <c r="G843" s="986"/>
      <c r="H843" s="986"/>
      <c r="I843" s="986"/>
      <c r="J843" s="986"/>
      <c r="K843" s="986"/>
      <c r="L843" s="986"/>
      <c r="M843" s="986"/>
      <c r="N843" s="986"/>
      <c r="O843" s="986"/>
      <c r="P843" s="986"/>
      <c r="Q843" s="986"/>
      <c r="R843" s="986"/>
      <c r="S843" s="986"/>
      <c r="T843" s="986"/>
      <c r="U843" s="986"/>
      <c r="V843" s="986"/>
      <c r="W843" s="986"/>
      <c r="X843" s="986"/>
      <c r="Y843" s="986"/>
      <c r="Z843" s="986"/>
      <c r="AA843" s="986"/>
      <c r="AB843" s="986"/>
      <c r="AC843" s="986"/>
      <c r="AD843" s="986"/>
      <c r="AE843" s="986"/>
      <c r="AF843" s="986"/>
      <c r="AG843" s="986"/>
      <c r="AH843" s="986"/>
      <c r="AI843" s="986"/>
      <c r="AJ843" s="986"/>
      <c r="AK843" s="986"/>
      <c r="AL843" s="986"/>
      <c r="AM843" s="986"/>
      <c r="AN843" s="986"/>
      <c r="AO843" s="986"/>
      <c r="AP843" s="986"/>
      <c r="AQ843" s="986"/>
      <c r="AR843" s="986"/>
      <c r="AS843" s="986"/>
      <c r="AT843" s="986"/>
      <c r="AU843" s="986"/>
      <c r="AV843" s="986"/>
      <c r="AW843" s="987"/>
      <c r="AX843" s="986"/>
      <c r="AY843" s="986"/>
      <c r="AZ843" s="986"/>
      <c r="BA843" s="986"/>
      <c r="BB843" s="986"/>
      <c r="BC843" s="986"/>
      <c r="BD843" s="986"/>
      <c r="BE843" s="986"/>
      <c r="BF843" s="986"/>
      <c r="BG843" s="986"/>
      <c r="BH843" s="730"/>
    </row>
    <row r="844" spans="1:60" s="449" customFormat="1" x14ac:dyDescent="0.25">
      <c r="A844" s="204" t="str">
        <f>"Stock Price (Reporting Cur.) - "&amp;MO.ValuationToggle&amp;", "&amp;MO.ReportCurrency</f>
        <v>Stock Price (Reporting Cur.) - Avg, USD</v>
      </c>
      <c r="B844" s="443" t="s">
        <v>278</v>
      </c>
      <c r="C844" s="444">
        <f t="shared" ref="C844:AH844" ca="1" si="872">INDEX(MO_VA_StockPrice_TradingCurrency,1,COLUMN())/INDEX(MO_VA_FX_Average,1,COLUMN())</f>
        <v>23.26</v>
      </c>
      <c r="D844" s="444">
        <f t="shared" ca="1" si="872"/>
        <v>32.443750000000001</v>
      </c>
      <c r="E844" s="444">
        <f t="shared" ca="1" si="872"/>
        <v>32.443750000000001</v>
      </c>
      <c r="F844" s="444">
        <f t="shared" ca="1" si="872"/>
        <v>42.313749999999999</v>
      </c>
      <c r="G844" s="445">
        <f t="shared" ca="1" si="872"/>
        <v>49.84</v>
      </c>
      <c r="H844" s="445">
        <f t="shared" ca="1" si="872"/>
        <v>53.31</v>
      </c>
      <c r="I844" s="445">
        <f t="shared" ca="1" si="872"/>
        <v>62.02</v>
      </c>
      <c r="J844" s="445">
        <f t="shared" ca="1" si="872"/>
        <v>64.03</v>
      </c>
      <c r="K844" s="444">
        <f t="shared" ca="1" si="872"/>
        <v>57.3</v>
      </c>
      <c r="L844" s="445">
        <f t="shared" ca="1" si="872"/>
        <v>68.94</v>
      </c>
      <c r="M844" s="445">
        <f t="shared" ca="1" si="872"/>
        <v>76.75</v>
      </c>
      <c r="N844" s="445">
        <f t="shared" ca="1" si="872"/>
        <v>81.084999999999994</v>
      </c>
      <c r="O844" s="445">
        <f t="shared" ca="1" si="872"/>
        <v>88.034999999999997</v>
      </c>
      <c r="P844" s="444">
        <f t="shared" ca="1" si="872"/>
        <v>78.702500000000001</v>
      </c>
      <c r="Q844" s="445">
        <f t="shared" ca="1" si="872"/>
        <v>86.924999999999997</v>
      </c>
      <c r="R844" s="445">
        <f t="shared" ca="1" si="872"/>
        <v>99.5</v>
      </c>
      <c r="S844" s="445">
        <f t="shared" ca="1" si="872"/>
        <v>109.765</v>
      </c>
      <c r="T844" s="445">
        <f t="shared" ca="1" si="872"/>
        <v>106.04</v>
      </c>
      <c r="U844" s="444">
        <f t="shared" ca="1" si="872"/>
        <v>100.5575</v>
      </c>
      <c r="V844" s="445">
        <f t="shared" ca="1" si="872"/>
        <v>111.63</v>
      </c>
      <c r="W844" s="445">
        <f t="shared" ca="1" si="872"/>
        <v>94.84</v>
      </c>
      <c r="X844" s="445">
        <f t="shared" ca="1" si="872"/>
        <v>100.375</v>
      </c>
      <c r="Y844" s="445">
        <f t="shared" ca="1" si="872"/>
        <v>96.35</v>
      </c>
      <c r="Z844" s="444">
        <f t="shared" ca="1" si="872"/>
        <v>100.79875</v>
      </c>
      <c r="AA844" s="445">
        <f t="shared" ca="1" si="872"/>
        <v>98.29</v>
      </c>
      <c r="AB844" s="446">
        <f t="shared" ca="1" si="872"/>
        <v>109.46</v>
      </c>
      <c r="AC844" s="445">
        <f t="shared" ca="1" si="872"/>
        <v>109.63500000000001</v>
      </c>
      <c r="AD844" s="445">
        <f t="shared" ca="1" si="872"/>
        <v>103.515</v>
      </c>
      <c r="AE844" s="444">
        <f t="shared" ca="1" si="872"/>
        <v>105.22499999999999</v>
      </c>
      <c r="AF844" s="445">
        <f t="shared" ca="1" si="872"/>
        <v>100.803834920635</v>
      </c>
      <c r="AG844" s="446">
        <f t="shared" ca="1" si="872"/>
        <v>104.602770491803</v>
      </c>
      <c r="AH844" s="445">
        <f t="shared" ca="1" si="872"/>
        <v>100.66945468749999</v>
      </c>
      <c r="AI844" s="445">
        <f t="shared" ref="AI844:AY844" ca="1" si="873">INDEX(MO_VA_StockPrice_TradingCurrency,1,COLUMN())/INDEX(MO_VA_FX_Average,1,COLUMN())</f>
        <v>110.40836031745999</v>
      </c>
      <c r="AJ844" s="444">
        <f t="shared" ca="1" si="873"/>
        <v>104.10351553784901</v>
      </c>
      <c r="AK844" s="445">
        <f t="shared" ca="1" si="873"/>
        <v>113.036634920635</v>
      </c>
      <c r="AL844" s="446">
        <f t="shared" ca="1" si="873"/>
        <v>111.770491803279</v>
      </c>
      <c r="AM844" s="445">
        <f t="shared" ca="1" si="873"/>
        <v>132.621904761905</v>
      </c>
      <c r="AN844" s="445">
        <f t="shared" ca="1" si="873"/>
        <v>138.2746875</v>
      </c>
      <c r="AO844" s="444">
        <f t="shared" ca="1" si="873"/>
        <v>124.246135458167</v>
      </c>
      <c r="AP844" s="445">
        <f t="shared" ca="1" si="873"/>
        <v>139.57593750000001</v>
      </c>
      <c r="AQ844" s="446">
        <f t="shared" ca="1" si="873"/>
        <v>126.429677419355</v>
      </c>
      <c r="AR844" s="445">
        <f t="shared" ca="1" si="873"/>
        <v>110.398253968254</v>
      </c>
      <c r="AS844" s="445">
        <f ca="1">INDEX(MO_VA_StockPrice_TradingCurrency,1,COLUMN())/INDEX(MO_VA_FX_Average,1,COLUMN())</f>
        <v>124.99625</v>
      </c>
      <c r="AT844" s="444">
        <f ca="1">INDEX(MO_VA_StockPrice_TradingCurrency,1,COLUMN())/INDEX(MO_VA_FX_Average,1,COLUMN())</f>
        <v>125.400592885376</v>
      </c>
      <c r="AU844" s="445">
        <f ca="1">INDEX(MO_VA_StockPrice_TradingCurrency,1,COLUMN())/INDEX(MO_VA_FX_Average,1,COLUMN())</f>
        <v>143.5340625</v>
      </c>
      <c r="AV844" s="446">
        <f ca="1">INDEX(MO_VA_StockPrice_TradingCurrency,1,COLUMN())/INDEX(MO_VA_FX_Average,1,COLUMN())</f>
        <v>184.41557377049199</v>
      </c>
      <c r="AW844" s="879">
        <f ca="1">INDEX(MO_VA_StockPrice_TradingCurrency,1,COLUMN())/INDEX(MO_VA_FX_Average,1,COLUMN())</f>
        <v>179.84507936507899</v>
      </c>
      <c r="AX844" s="445">
        <f t="shared" ca="1" si="873"/>
        <v>172.01</v>
      </c>
      <c r="AY844" s="447">
        <f t="shared" ca="1" si="873"/>
        <v>172.01</v>
      </c>
      <c r="AZ844" s="445">
        <f t="shared" ref="AZ844:BG844" ca="1" si="874">INDEX(MO_VA_StockPrice_TradingCurrency,1,COLUMN())/INDEX(MO_VA_FX_Average,1,COLUMN())</f>
        <v>172.01</v>
      </c>
      <c r="BA844" s="445">
        <f t="shared" ca="1" si="874"/>
        <v>172.01</v>
      </c>
      <c r="BB844" s="445">
        <f t="shared" ca="1" si="874"/>
        <v>172.01</v>
      </c>
      <c r="BC844" s="445">
        <f t="shared" ca="1" si="874"/>
        <v>172.01</v>
      </c>
      <c r="BD844" s="447">
        <f t="shared" ca="1" si="874"/>
        <v>172.01</v>
      </c>
      <c r="BE844" s="447">
        <f t="shared" ca="1" si="874"/>
        <v>172.01</v>
      </c>
      <c r="BF844" s="447">
        <f t="shared" ca="1" si="874"/>
        <v>172.01</v>
      </c>
      <c r="BG844" s="447">
        <f t="shared" ca="1" si="874"/>
        <v>172.01</v>
      </c>
      <c r="BH844" s="448"/>
    </row>
    <row r="845" spans="1:60" s="470" customFormat="1" x14ac:dyDescent="0.25">
      <c r="A845" s="484" t="str">
        <f>"Market Cap - "&amp;MO.ValuationToggle</f>
        <v>Market Cap - Avg</v>
      </c>
      <c r="B845" s="209"/>
      <c r="C845" s="39">
        <f t="shared" ref="C845:AH845" ca="1" si="875">C803*C844</f>
        <v>43612.5</v>
      </c>
      <c r="D845" s="39">
        <f t="shared" ca="1" si="875"/>
        <v>63200.425000000003</v>
      </c>
      <c r="E845" s="39">
        <f t="shared" ca="1" si="875"/>
        <v>61935.118750000001</v>
      </c>
      <c r="F845" s="39">
        <f t="shared" ca="1" si="875"/>
        <v>76926.397499999992</v>
      </c>
      <c r="G845" s="484">
        <f t="shared" ca="1" si="875"/>
        <v>89712</v>
      </c>
      <c r="H845" s="484">
        <f t="shared" ca="1" si="875"/>
        <v>97290.75</v>
      </c>
      <c r="I845" s="484">
        <f t="shared" ca="1" si="875"/>
        <v>112938.42000000001</v>
      </c>
      <c r="J845" s="484">
        <f t="shared" ca="1" si="875"/>
        <v>115574.15000000001</v>
      </c>
      <c r="K845" s="39">
        <f t="shared" ca="1" si="875"/>
        <v>103884.9</v>
      </c>
      <c r="L845" s="484">
        <f t="shared" ca="1" si="875"/>
        <v>122988.95999999999</v>
      </c>
      <c r="M845" s="484">
        <f t="shared" ca="1" si="875"/>
        <v>135847.5</v>
      </c>
      <c r="N845" s="484">
        <f t="shared" ca="1" si="875"/>
        <v>141736.57999999999</v>
      </c>
      <c r="O845" s="484">
        <f t="shared" ca="1" si="875"/>
        <v>152652.69</v>
      </c>
      <c r="P845" s="39">
        <f t="shared" ca="1" si="875"/>
        <v>138437.69750000001</v>
      </c>
      <c r="Q845" s="484">
        <f t="shared" ca="1" si="875"/>
        <v>149250.22500000001</v>
      </c>
      <c r="R845" s="484">
        <f t="shared" ca="1" si="875"/>
        <v>170642.5</v>
      </c>
      <c r="S845" s="484">
        <f t="shared" ca="1" si="875"/>
        <v>187807.91500000001</v>
      </c>
      <c r="T845" s="484">
        <f t="shared" ca="1" si="875"/>
        <v>179631.76</v>
      </c>
      <c r="U845" s="39">
        <f t="shared" ca="1" si="875"/>
        <v>171852.76750000002</v>
      </c>
      <c r="V845" s="484">
        <f t="shared" ca="1" si="875"/>
        <v>186198.84</v>
      </c>
      <c r="W845" s="484">
        <f t="shared" ca="1" si="875"/>
        <v>155822.12</v>
      </c>
      <c r="X845" s="484">
        <f t="shared" ca="1" si="875"/>
        <v>163711.625</v>
      </c>
      <c r="Y845" s="484">
        <f t="shared" ca="1" si="875"/>
        <v>155605.25</v>
      </c>
      <c r="Z845" s="39">
        <f t="shared" ca="1" si="875"/>
        <v>165209.15125</v>
      </c>
      <c r="AA845" s="484">
        <f t="shared" ca="1" si="875"/>
        <v>157558.87000000002</v>
      </c>
      <c r="AB845" s="191">
        <f t="shared" ca="1" si="875"/>
        <v>174150.86</v>
      </c>
      <c r="AC845" s="484">
        <f t="shared" ca="1" si="875"/>
        <v>172346.22</v>
      </c>
      <c r="AD845" s="484">
        <f t="shared" ca="1" si="875"/>
        <v>160137.70499999999</v>
      </c>
      <c r="AE845" s="39">
        <f t="shared" ca="1" si="875"/>
        <v>166045.04999999999</v>
      </c>
      <c r="AF845" s="484">
        <f t="shared" ca="1" si="875"/>
        <v>153322.63291428584</v>
      </c>
      <c r="AG845" s="191">
        <f t="shared" ca="1" si="875"/>
        <v>157950.18344262254</v>
      </c>
      <c r="AH845" s="484">
        <f t="shared" ca="1" si="875"/>
        <v>150802.84312187499</v>
      </c>
      <c r="AI845" s="484">
        <f t="shared" ref="AI845:AY845" ca="1" si="876">AI803*AI844</f>
        <v>165281.31539523762</v>
      </c>
      <c r="AJ845" s="39">
        <f t="shared" ca="1" si="876"/>
        <v>156883.99791553846</v>
      </c>
      <c r="AK845" s="484">
        <f t="shared" ca="1" si="876"/>
        <v>169328.87911111122</v>
      </c>
      <c r="AL845" s="191">
        <f t="shared" ca="1" si="876"/>
        <v>171791.24590163984</v>
      </c>
      <c r="AM845" s="484">
        <f t="shared" ca="1" si="876"/>
        <v>240576.13523809568</v>
      </c>
      <c r="AN845" s="484">
        <f t="shared" ca="1" si="876"/>
        <v>251106.83249999999</v>
      </c>
      <c r="AO845" s="39">
        <f t="shared" ca="1" si="876"/>
        <v>206994.06167330622</v>
      </c>
      <c r="AP845" s="484">
        <f t="shared" ca="1" si="876"/>
        <v>253609.47843750002</v>
      </c>
      <c r="AQ845" s="191">
        <f t="shared" ca="1" si="876"/>
        <v>229596.29419354867</v>
      </c>
      <c r="AR845" s="484">
        <f t="shared" ca="1" si="876"/>
        <v>199710.44142857147</v>
      </c>
      <c r="AS845" s="484">
        <f ca="1">AS803*AS844</f>
        <v>226118.21625</v>
      </c>
      <c r="AT845" s="39">
        <f ca="1">AT803*AT844</f>
        <v>226724.27193675982</v>
      </c>
      <c r="AU845" s="484">
        <f ca="1">AU803*AU844</f>
        <v>261662.59593750001</v>
      </c>
      <c r="AV845" s="191">
        <f ca="1">AV803*AV844</f>
        <v>337296.08442622982</v>
      </c>
      <c r="AW845" s="289">
        <f ca="1">AW803*AW844</f>
        <v>329116.49523809453</v>
      </c>
      <c r="AX845" s="484">
        <f t="shared" ca="1" si="876"/>
        <v>314778.3</v>
      </c>
      <c r="AY845" s="104">
        <f t="shared" ca="1" si="876"/>
        <v>314434.27999999997</v>
      </c>
      <c r="AZ845" s="484">
        <f t="shared" ref="AZ845:BG845" ca="1" si="877">AZ803*AZ844</f>
        <v>314778.3</v>
      </c>
      <c r="BA845" s="484">
        <f t="shared" ca="1" si="877"/>
        <v>314778.3</v>
      </c>
      <c r="BB845" s="484">
        <f t="shared" ca="1" si="877"/>
        <v>314778.3</v>
      </c>
      <c r="BC845" s="484">
        <f t="shared" ca="1" si="877"/>
        <v>314778.3</v>
      </c>
      <c r="BD845" s="104">
        <f t="shared" ca="1" si="877"/>
        <v>314778.3</v>
      </c>
      <c r="BE845" s="104">
        <f t="shared" ca="1" si="877"/>
        <v>314778.3</v>
      </c>
      <c r="BF845" s="104">
        <f t="shared" ca="1" si="877"/>
        <v>314778.3</v>
      </c>
      <c r="BG845" s="104">
        <f t="shared" ca="1" si="877"/>
        <v>314778.3</v>
      </c>
      <c r="BH845" s="484"/>
    </row>
    <row r="846" spans="1:60" s="470" customFormat="1" x14ac:dyDescent="0.25">
      <c r="A846" s="484" t="str">
        <f>"Enterprise Value - "&amp;MO.ValuationToggle</f>
        <v>Enterprise Value - Avg</v>
      </c>
      <c r="B846" s="209"/>
      <c r="C846" s="39">
        <f t="shared" ref="C846:AH846" ca="1" si="878">C830+C845+C862+C863+C864</f>
        <v>54587.5</v>
      </c>
      <c r="D846" s="39">
        <f t="shared" ca="1" si="878"/>
        <v>74781.425000000003</v>
      </c>
      <c r="E846" s="39">
        <f t="shared" ca="1" si="878"/>
        <v>74795.118749999994</v>
      </c>
      <c r="F846" s="39">
        <f t="shared" ca="1" si="878"/>
        <v>90049.397499999992</v>
      </c>
      <c r="G846" s="484">
        <f t="shared" ca="1" si="878"/>
        <v>106307</v>
      </c>
      <c r="H846" s="484">
        <f t="shared" ca="1" si="878"/>
        <v>112330.75</v>
      </c>
      <c r="I846" s="484">
        <f t="shared" ca="1" si="878"/>
        <v>126380.42000000001</v>
      </c>
      <c r="J846" s="484">
        <f t="shared" ca="1" si="878"/>
        <v>128652.15000000001</v>
      </c>
      <c r="K846" s="39">
        <f t="shared" ca="1" si="878"/>
        <v>116962.9</v>
      </c>
      <c r="L846" s="484">
        <f t="shared" ca="1" si="878"/>
        <v>136964.96</v>
      </c>
      <c r="M846" s="484">
        <f t="shared" ca="1" si="878"/>
        <v>150124.5</v>
      </c>
      <c r="N846" s="484">
        <f t="shared" ca="1" si="878"/>
        <v>156874.57999999999</v>
      </c>
      <c r="O846" s="484">
        <f t="shared" ca="1" si="878"/>
        <v>167246.69</v>
      </c>
      <c r="P846" s="39">
        <f t="shared" ca="1" si="878"/>
        <v>153031.69750000001</v>
      </c>
      <c r="Q846" s="484">
        <f t="shared" ca="1" si="878"/>
        <v>164344.22500000001</v>
      </c>
      <c r="R846" s="484">
        <f t="shared" ca="1" si="878"/>
        <v>185553.5</v>
      </c>
      <c r="S846" s="484">
        <f t="shared" ca="1" si="878"/>
        <v>202593.91500000001</v>
      </c>
      <c r="T846" s="484">
        <f t="shared" ca="1" si="878"/>
        <v>196828.76</v>
      </c>
      <c r="U846" s="39">
        <f t="shared" ca="1" si="878"/>
        <v>189049.76750000002</v>
      </c>
      <c r="V846" s="484">
        <f t="shared" ca="1" si="878"/>
        <v>205052.84</v>
      </c>
      <c r="W846" s="484">
        <f t="shared" ca="1" si="878"/>
        <v>175815.12</v>
      </c>
      <c r="X846" s="484">
        <f t="shared" ca="1" si="878"/>
        <v>182878.625</v>
      </c>
      <c r="Y846" s="484">
        <f t="shared" ca="1" si="878"/>
        <v>175223.25</v>
      </c>
      <c r="Z846" s="39">
        <f t="shared" ca="1" si="878"/>
        <v>184827.15125</v>
      </c>
      <c r="AA846" s="484">
        <f t="shared" ca="1" si="878"/>
        <v>178279.87000000002</v>
      </c>
      <c r="AB846" s="191">
        <f t="shared" ca="1" si="878"/>
        <v>195486.86</v>
      </c>
      <c r="AC846" s="484">
        <f t="shared" ca="1" si="878"/>
        <v>193717.22</v>
      </c>
      <c r="AD846" s="484">
        <f t="shared" ca="1" si="878"/>
        <v>186201.70499999999</v>
      </c>
      <c r="AE846" s="39">
        <f t="shared" ca="1" si="878"/>
        <v>192109.05</v>
      </c>
      <c r="AF846" s="484">
        <f t="shared" ca="1" si="878"/>
        <v>179654.63291428584</v>
      </c>
      <c r="AG846" s="191">
        <f t="shared" ca="1" si="878"/>
        <v>183089.18344262254</v>
      </c>
      <c r="AH846" s="484">
        <f t="shared" ca="1" si="878"/>
        <v>175264.84312187499</v>
      </c>
      <c r="AI846" s="484">
        <f t="shared" ref="AI846:AY846" ca="1" si="879">AI830+AI845+AI862+AI863+AI864</f>
        <v>187182.31539523762</v>
      </c>
      <c r="AJ846" s="39">
        <f t="shared" ca="1" si="879"/>
        <v>178784.99791553846</v>
      </c>
      <c r="AK846" s="484">
        <f t="shared" ca="1" si="879"/>
        <v>190731.87911111122</v>
      </c>
      <c r="AL846" s="191">
        <f t="shared" ca="1" si="879"/>
        <v>234148.24590163984</v>
      </c>
      <c r="AM846" s="484">
        <f t="shared" ca="1" si="879"/>
        <v>306825.13523809565</v>
      </c>
      <c r="AN846" s="484">
        <f t="shared" ca="1" si="879"/>
        <v>306612.83250000002</v>
      </c>
      <c r="AO846" s="39">
        <f t="shared" ca="1" si="879"/>
        <v>262500.06167330622</v>
      </c>
      <c r="AP846" s="484">
        <f t="shared" ca="1" si="879"/>
        <v>308855.47843750002</v>
      </c>
      <c r="AQ846" s="191">
        <f t="shared" ca="1" si="879"/>
        <v>284230.29419354867</v>
      </c>
      <c r="AR846" s="484">
        <f t="shared" ca="1" si="879"/>
        <v>254736.44142857147</v>
      </c>
      <c r="AS846" s="484">
        <f ca="1">AS830+AS845+AS862+AS863+AS864</f>
        <v>280721.21625</v>
      </c>
      <c r="AT846" s="39">
        <f ca="1">AT830+AT845+AT862+AT863+AT864</f>
        <v>281327.27193675982</v>
      </c>
      <c r="AU846" s="484">
        <f ca="1">AU830+AU845+AU862+AU863+AU864</f>
        <v>316812.59593750001</v>
      </c>
      <c r="AV846" s="191">
        <f ca="1">AV830+AV845+AV862+AV863+AV864</f>
        <v>391166.08442622982</v>
      </c>
      <c r="AW846" s="289">
        <f ca="1">AW830+AW845+AW862+AW863+AW864</f>
        <v>382712.49523809453</v>
      </c>
      <c r="AX846" s="484">
        <f t="shared" ca="1" si="879"/>
        <v>367405.84787501971</v>
      </c>
      <c r="AY846" s="104">
        <f t="shared" ca="1" si="879"/>
        <v>367061.82787501969</v>
      </c>
      <c r="AZ846" s="484">
        <f t="shared" ref="AZ846:BG846" ca="1" si="880">AZ830+AZ845+AZ862+AZ863+AZ864</f>
        <v>367701.24223804375</v>
      </c>
      <c r="BA846" s="484">
        <f t="shared" ca="1" si="880"/>
        <v>365022.34492673166</v>
      </c>
      <c r="BB846" s="484">
        <f t="shared" ca="1" si="880"/>
        <v>362176.66100106435</v>
      </c>
      <c r="BC846" s="484">
        <f t="shared" ca="1" si="880"/>
        <v>362650.03932149737</v>
      </c>
      <c r="BD846" s="104">
        <f t="shared" ca="1" si="880"/>
        <v>362650.03932149737</v>
      </c>
      <c r="BE846" s="104">
        <f t="shared" ca="1" si="880"/>
        <v>353372.50275873987</v>
      </c>
      <c r="BF846" s="104">
        <f t="shared" ca="1" si="880"/>
        <v>343097.34857386502</v>
      </c>
      <c r="BG846" s="104">
        <f t="shared" ca="1" si="880"/>
        <v>331812.1881763828</v>
      </c>
      <c r="BH846" s="484"/>
    </row>
    <row r="847" spans="1:60" s="48" customFormat="1" x14ac:dyDescent="0.25">
      <c r="A847" s="811"/>
      <c r="B847" s="812"/>
      <c r="C847" s="121"/>
      <c r="D847" s="121"/>
      <c r="E847" s="121"/>
      <c r="F847" s="121"/>
      <c r="G847" s="741"/>
      <c r="H847" s="741"/>
      <c r="I847" s="741"/>
      <c r="J847" s="741"/>
      <c r="K847" s="121"/>
      <c r="L847" s="741"/>
      <c r="M847" s="741"/>
      <c r="N847" s="741"/>
      <c r="O847" s="741"/>
      <c r="P847" s="121"/>
      <c r="Q847" s="741"/>
      <c r="R847" s="741"/>
      <c r="S847" s="741"/>
      <c r="T847" s="741"/>
      <c r="U847" s="121"/>
      <c r="V847" s="741"/>
      <c r="W847" s="741"/>
      <c r="X847" s="741"/>
      <c r="Y847" s="741"/>
      <c r="Z847" s="121"/>
      <c r="AA847" s="813"/>
      <c r="AB847" s="813"/>
      <c r="AC847" s="741"/>
      <c r="AD847" s="741"/>
      <c r="AE847" s="121"/>
      <c r="AF847" s="813"/>
      <c r="AG847" s="813"/>
      <c r="AH847" s="741"/>
      <c r="AI847" s="741"/>
      <c r="AJ847" s="121"/>
      <c r="AK847" s="813"/>
      <c r="AL847" s="813"/>
      <c r="AM847" s="741"/>
      <c r="AN847" s="741"/>
      <c r="AO847" s="121"/>
      <c r="AP847" s="813"/>
      <c r="AQ847" s="813"/>
      <c r="AR847" s="741"/>
      <c r="AS847" s="741"/>
      <c r="AT847" s="121"/>
      <c r="AU847" s="813"/>
      <c r="AV847" s="813"/>
      <c r="AW847" s="880"/>
      <c r="AX847" s="813"/>
      <c r="AY847" s="121"/>
      <c r="AZ847" s="813"/>
      <c r="BA847" s="813"/>
      <c r="BB847" s="813"/>
      <c r="BC847" s="813"/>
      <c r="BD847" s="121"/>
      <c r="BE847" s="121"/>
      <c r="BF847" s="121"/>
      <c r="BG847" s="121"/>
      <c r="BH847" s="152"/>
    </row>
    <row r="848" spans="1:60" s="48" customFormat="1" x14ac:dyDescent="0.25">
      <c r="A848" s="217" t="str">
        <f>"P/E - "&amp;MO.ValuationToggle</f>
        <v>P/E - Avg</v>
      </c>
      <c r="B848" s="812"/>
      <c r="C848" s="35">
        <f ca="1">C844/C798</f>
        <v>12.754057610761807</v>
      </c>
      <c r="D848" s="35">
        <f ca="1">D844/D798</f>
        <v>15.64010794571533</v>
      </c>
      <c r="E848" s="35">
        <f ca="1">E844/E798</f>
        <v>12.782831339599353</v>
      </c>
      <c r="F848" s="35">
        <f ca="1">F844/F798</f>
        <v>13.803606995973386</v>
      </c>
      <c r="G848" s="741"/>
      <c r="H848" s="741"/>
      <c r="I848" s="741"/>
      <c r="J848" s="741"/>
      <c r="K848" s="35">
        <f ca="1">K844/K798</f>
        <v>16.93039439374185</v>
      </c>
      <c r="L848" s="741"/>
      <c r="M848" s="741"/>
      <c r="N848" s="741"/>
      <c r="O848" s="741"/>
      <c r="P848" s="35">
        <f ca="1">P844/P798</f>
        <v>18.199825084729721</v>
      </c>
      <c r="Q848" s="741"/>
      <c r="R848" s="741"/>
      <c r="S848" s="741"/>
      <c r="T848" s="741"/>
      <c r="U848" s="35">
        <f ca="1">U844/U798</f>
        <v>19.508217782444589</v>
      </c>
      <c r="V848" s="741"/>
      <c r="W848" s="741"/>
      <c r="X848" s="741"/>
      <c r="Y848" s="741"/>
      <c r="Z848" s="35">
        <f ca="1">Z844/Z798</f>
        <v>17.62304258523821</v>
      </c>
      <c r="AA848" s="813"/>
      <c r="AB848" s="813"/>
      <c r="AC848" s="741"/>
      <c r="AD848" s="741"/>
      <c r="AE848" s="35">
        <f ca="1">AE844/AE798</f>
        <v>18.45810480025078</v>
      </c>
      <c r="AF848" s="813"/>
      <c r="AG848" s="813"/>
      <c r="AH848" s="741"/>
      <c r="AI848" s="741"/>
      <c r="AJ848" s="35">
        <f ca="1">AJ844/AJ798</f>
        <v>14.704603030407464</v>
      </c>
      <c r="AK848" s="813"/>
      <c r="AL848" s="813"/>
      <c r="AM848" s="741"/>
      <c r="AN848" s="741"/>
      <c r="AO848" s="35">
        <f ca="1">AO844/AO798</f>
        <v>21.506636252429303</v>
      </c>
      <c r="AP848" s="813"/>
      <c r="AQ848" s="813"/>
      <c r="AR848" s="741"/>
      <c r="AS848" s="741"/>
      <c r="AT848" s="35">
        <f ca="1">AT844/AT798</f>
        <v>61.968194323905593</v>
      </c>
      <c r="AU848" s="813"/>
      <c r="AV848" s="813"/>
      <c r="AW848" s="880"/>
      <c r="AX848" s="813"/>
      <c r="AY848" s="121">
        <f ca="1">AY844/AY798</f>
        <v>66.041077269750474</v>
      </c>
      <c r="AZ848" s="813"/>
      <c r="BA848" s="813"/>
      <c r="BB848" s="813"/>
      <c r="BC848" s="813"/>
      <c r="BD848" s="121">
        <f ca="1">BD844/BD798</f>
        <v>37.45599952376071</v>
      </c>
      <c r="BE848" s="121">
        <f ca="1">BE844/BE798</f>
        <v>29.465898526981828</v>
      </c>
      <c r="BF848" s="121">
        <f ca="1">BF844/BF798</f>
        <v>24.736775327544311</v>
      </c>
      <c r="BG848" s="121">
        <f ca="1">BG844/BG798</f>
        <v>21.518784508900485</v>
      </c>
      <c r="BH848" s="152"/>
    </row>
    <row r="849" spans="1:60" s="48" customFormat="1" x14ac:dyDescent="0.25">
      <c r="A849" s="217" t="str">
        <f>"EV/Sales - "&amp;MO.ValuationToggle</f>
        <v>EV/Sales - Avg</v>
      </c>
      <c r="B849" s="812"/>
      <c r="C849" s="35">
        <f ca="1">C846/C758</f>
        <v>1.5100694348391379</v>
      </c>
      <c r="D849" s="35">
        <f ca="1">D846/D758</f>
        <v>1.9646750124793106</v>
      </c>
      <c r="E849" s="35">
        <f ca="1">E846/E758</f>
        <v>1.8290445491893477</v>
      </c>
      <c r="F849" s="35">
        <f ca="1">F846/F758</f>
        <v>2.1299351317470077</v>
      </c>
      <c r="G849" s="741"/>
      <c r="H849" s="741"/>
      <c r="I849" s="741"/>
      <c r="J849" s="741"/>
      <c r="K849" s="35">
        <f ca="1">K846/K758</f>
        <v>2.5968095734997001</v>
      </c>
      <c r="L849" s="741"/>
      <c r="M849" s="741"/>
      <c r="N849" s="741"/>
      <c r="O849" s="741"/>
      <c r="P849" s="35">
        <f ca="1">P846/P758</f>
        <v>3.1350602810726653</v>
      </c>
      <c r="Q849" s="741"/>
      <c r="R849" s="741"/>
      <c r="S849" s="741"/>
      <c r="T849" s="741"/>
      <c r="U849" s="35">
        <f ca="1">U846/U758</f>
        <v>3.603350185838178</v>
      </c>
      <c r="V849" s="741"/>
      <c r="W849" s="741"/>
      <c r="X849" s="741"/>
      <c r="Y849" s="741"/>
      <c r="Z849" s="35">
        <f ca="1">Z846/Z758</f>
        <v>3.3223172140135171</v>
      </c>
      <c r="AA849" s="813"/>
      <c r="AB849" s="813"/>
      <c r="AC849" s="741"/>
      <c r="AD849" s="741"/>
      <c r="AE849" s="35">
        <f ca="1">AE846/AE758</f>
        <v>3.4842129604439847</v>
      </c>
      <c r="AF849" s="813"/>
      <c r="AG849" s="813"/>
      <c r="AH849" s="741"/>
      <c r="AI849" s="741"/>
      <c r="AJ849" s="35">
        <f ca="1">AJ846/AJ758</f>
        <v>3.0081266264350113</v>
      </c>
      <c r="AK849" s="813"/>
      <c r="AL849" s="813"/>
      <c r="AM849" s="741"/>
      <c r="AN849" s="741"/>
      <c r="AO849" s="35">
        <f ca="1">AO846/AO758</f>
        <v>3.7731789804988676</v>
      </c>
      <c r="AP849" s="813"/>
      <c r="AQ849" s="813"/>
      <c r="AR849" s="741"/>
      <c r="AS849" s="741"/>
      <c r="AT849" s="35">
        <f ca="1">AT846/AT758</f>
        <v>4.3024296803199338</v>
      </c>
      <c r="AU849" s="813"/>
      <c r="AV849" s="813"/>
      <c r="AW849" s="880"/>
      <c r="AX849" s="813"/>
      <c r="AY849" s="121">
        <f ca="1">AY846/AY758</f>
        <v>5.3416061528831165</v>
      </c>
      <c r="AZ849" s="813"/>
      <c r="BA849" s="813"/>
      <c r="BB849" s="813"/>
      <c r="BC849" s="813"/>
      <c r="BD849" s="121">
        <f ca="1">BD846/BD758</f>
        <v>4.0901555119656736</v>
      </c>
      <c r="BE849" s="121">
        <f ca="1">BE846/BE758</f>
        <v>3.6220481633976696</v>
      </c>
      <c r="BF849" s="121">
        <f ca="1">BF846/BF758</f>
        <v>3.2803958728487164</v>
      </c>
      <c r="BG849" s="121">
        <f ca="1">BG846/BG758</f>
        <v>2.915862547405776</v>
      </c>
      <c r="BH849" s="152"/>
    </row>
    <row r="850" spans="1:60" s="48" customFormat="1" x14ac:dyDescent="0.25">
      <c r="A850" s="217" t="str">
        <f>"EV/EBITDA - "&amp;MO.ValuationToggle</f>
        <v>EV/EBITDA - Avg</v>
      </c>
      <c r="B850" s="812"/>
      <c r="C850" s="35">
        <f ca="1">C846/C766</f>
        <v>9.0108121492241668</v>
      </c>
      <c r="D850" s="35">
        <f ca="1">D846/D766</f>
        <v>10.50743641983982</v>
      </c>
      <c r="E850" s="35">
        <f ca="1">E846/E766</f>
        <v>9.1169086725987309</v>
      </c>
      <c r="F850" s="35">
        <f ca="1">F846/F766</f>
        <v>9.7130188221335345</v>
      </c>
      <c r="G850" s="741"/>
      <c r="H850" s="741"/>
      <c r="I850" s="741"/>
      <c r="J850" s="741"/>
      <c r="K850" s="35">
        <f ca="1">K846/K766</f>
        <v>9.7113002324809035</v>
      </c>
      <c r="L850" s="741"/>
      <c r="M850" s="741"/>
      <c r="N850" s="741"/>
      <c r="O850" s="741"/>
      <c r="P850" s="35">
        <f ca="1">P846/P766</f>
        <v>10.749627528800225</v>
      </c>
      <c r="Q850" s="741"/>
      <c r="R850" s="741"/>
      <c r="S850" s="741"/>
      <c r="T850" s="741"/>
      <c r="U850" s="35">
        <f ca="1">U846/U766</f>
        <v>11.824478827870903</v>
      </c>
      <c r="V850" s="741"/>
      <c r="W850" s="741"/>
      <c r="X850" s="741"/>
      <c r="Y850" s="741"/>
      <c r="Z850" s="35">
        <f ca="1">Z846/Z766</f>
        <v>10.697253805417294</v>
      </c>
      <c r="AA850" s="813"/>
      <c r="AB850" s="813"/>
      <c r="AC850" s="741"/>
      <c r="AD850" s="741"/>
      <c r="AE850" s="35">
        <f ca="1">AE846/AE766</f>
        <v>11.287916446324695</v>
      </c>
      <c r="AF850" s="813"/>
      <c r="AG850" s="813"/>
      <c r="AH850" s="741"/>
      <c r="AI850" s="741"/>
      <c r="AJ850" s="35">
        <f ca="1">AJ846/AJ766</f>
        <v>9.8012717458219658</v>
      </c>
      <c r="AK850" s="813"/>
      <c r="AL850" s="813"/>
      <c r="AM850" s="741"/>
      <c r="AN850" s="741"/>
      <c r="AO850" s="35">
        <f ca="1">AO846/AO766</f>
        <v>15.697886716499594</v>
      </c>
      <c r="AP850" s="813"/>
      <c r="AQ850" s="813"/>
      <c r="AR850" s="741"/>
      <c r="AS850" s="741"/>
      <c r="AT850" s="35">
        <f ca="1">AT846/AT766</f>
        <v>29.110851814648161</v>
      </c>
      <c r="AU850" s="813"/>
      <c r="AV850" s="813"/>
      <c r="AW850" s="880"/>
      <c r="AX850" s="813"/>
      <c r="AY850" s="121">
        <f ca="1">AY846/AY766</f>
        <v>34.543740291613048</v>
      </c>
      <c r="AZ850" s="813"/>
      <c r="BA850" s="813"/>
      <c r="BB850" s="813"/>
      <c r="BC850" s="813"/>
      <c r="BD850" s="121">
        <f ca="1">BD846/BD766</f>
        <v>20.665929990014472</v>
      </c>
      <c r="BE850" s="121">
        <f ca="1">BE846/BE766</f>
        <v>16.384450756884242</v>
      </c>
      <c r="BF850" s="121">
        <f ca="1">BF846/BF766</f>
        <v>15.029387083796609</v>
      </c>
      <c r="BG850" s="121">
        <f ca="1">BG846/BG766</f>
        <v>13.884313000573568</v>
      </c>
      <c r="BH850" s="152"/>
    </row>
    <row r="851" spans="1:60" s="48" customFormat="1" x14ac:dyDescent="0.25">
      <c r="A851" s="217" t="str">
        <f>"P/CF - "&amp;MO.ValuationToggle</f>
        <v>P/CF - Avg</v>
      </c>
      <c r="B851" s="812"/>
      <c r="C851" s="35">
        <f ca="1">C844/C807</f>
        <v>7.5519480519480524</v>
      </c>
      <c r="D851" s="35">
        <f ca="1">D844/D807</f>
        <v>9.2344279661016948</v>
      </c>
      <c r="E851" s="35">
        <f ca="1">E844/E807</f>
        <v>7.6152857186769953</v>
      </c>
      <c r="F851" s="35">
        <f ca="1">F844/F807</f>
        <v>8.4935847962901629</v>
      </c>
      <c r="G851" s="741"/>
      <c r="H851" s="741"/>
      <c r="I851" s="741"/>
      <c r="J851" s="741"/>
      <c r="K851" s="35">
        <f ca="1">K844/K807</f>
        <v>11.111872927585837</v>
      </c>
      <c r="L851" s="741"/>
      <c r="M851" s="741"/>
      <c r="N851" s="741"/>
      <c r="O851" s="741"/>
      <c r="P851" s="35">
        <f ca="1">P844/P807</f>
        <v>13.772154546358934</v>
      </c>
      <c r="Q851" s="741"/>
      <c r="R851" s="741"/>
      <c r="S851" s="741"/>
      <c r="T851" s="741"/>
      <c r="U851" s="35">
        <f ca="1">U844/U807</f>
        <v>15.941815166975882</v>
      </c>
      <c r="V851" s="741"/>
      <c r="W851" s="741"/>
      <c r="X851" s="741"/>
      <c r="Y851" s="741"/>
      <c r="Z851" s="35">
        <f ca="1">Z844/Z807</f>
        <v>11.704509475735032</v>
      </c>
      <c r="AA851" s="813"/>
      <c r="AB851" s="813"/>
      <c r="AC851" s="741"/>
      <c r="AD851" s="741"/>
      <c r="AE851" s="35">
        <f ca="1">AE844/AE807</f>
        <v>13.333738858106479</v>
      </c>
      <c r="AF851" s="813"/>
      <c r="AG851" s="813"/>
      <c r="AH851" s="741"/>
      <c r="AI851" s="741"/>
      <c r="AJ851" s="35">
        <f ca="1">AJ844/AJ807</f>
        <v>10.367697456749831</v>
      </c>
      <c r="AK851" s="813"/>
      <c r="AL851" s="813"/>
      <c r="AM851" s="741"/>
      <c r="AN851" s="741"/>
      <c r="AO851" s="35">
        <f ca="1">AO844/AO807</f>
        <v>17.801346893129189</v>
      </c>
      <c r="AP851" s="813"/>
      <c r="AQ851" s="813"/>
      <c r="AR851" s="741"/>
      <c r="AS851" s="741"/>
      <c r="AT851" s="35">
        <f ca="1">AT844/AT807</f>
        <v>27.445136416506454</v>
      </c>
      <c r="AU851" s="813"/>
      <c r="AV851" s="813"/>
      <c r="AW851" s="880"/>
      <c r="AX851" s="813"/>
      <c r="AY851" s="121">
        <f ca="1">AY844/AY807</f>
        <v>57.633025590793821</v>
      </c>
      <c r="AZ851" s="813"/>
      <c r="BA851" s="813"/>
      <c r="BB851" s="813"/>
      <c r="BC851" s="813"/>
      <c r="BD851" s="121">
        <f ca="1">BD844/BD807</f>
        <v>22.915174691479045</v>
      </c>
      <c r="BE851" s="121">
        <f ca="1">BE844/BE807</f>
        <v>18.741828080840293</v>
      </c>
      <c r="BF851" s="121">
        <f ca="1">BF844/BF807</f>
        <v>17.619946705624695</v>
      </c>
      <c r="BG851" s="121">
        <f ca="1">BG844/BG807</f>
        <v>16.751284525838717</v>
      </c>
      <c r="BH851" s="152"/>
    </row>
    <row r="852" spans="1:60" s="83" customFormat="1" x14ac:dyDescent="0.25">
      <c r="A852" s="94" t="str">
        <f>"FCF Yield % to "&amp;MO.ValuationToggle&amp;" Market Cap"</f>
        <v>FCF Yield % to Avg Market Cap</v>
      </c>
      <c r="B852" s="245"/>
      <c r="C852" s="468">
        <f t="shared" ref="C852:F853" ca="1" si="881">C$820/C845</f>
        <v>9.2221266838635713E-2</v>
      </c>
      <c r="D852" s="468">
        <f t="shared" ca="1" si="881"/>
        <v>7.4904559581680019E-2</v>
      </c>
      <c r="E852" s="468">
        <f t="shared" ca="1" si="881"/>
        <v>7.3851477034586291E-2</v>
      </c>
      <c r="F852" s="468">
        <f t="shared" ca="1" si="881"/>
        <v>6.8546041038773473E-2</v>
      </c>
      <c r="G852" s="101"/>
      <c r="H852" s="101"/>
      <c r="I852" s="101"/>
      <c r="J852" s="101"/>
      <c r="K852" s="468">
        <f ca="1">K$820/K845</f>
        <v>6.3079427327744464E-2</v>
      </c>
      <c r="L852" s="101"/>
      <c r="M852" s="101"/>
      <c r="N852" s="101"/>
      <c r="O852" s="101"/>
      <c r="P852" s="468">
        <f ca="1">P$820/P845</f>
        <v>4.8693384256842324E-2</v>
      </c>
      <c r="Q852" s="101"/>
      <c r="R852" s="101"/>
      <c r="S852" s="101"/>
      <c r="T852" s="101"/>
      <c r="U852" s="468">
        <f ca="1">U$820/U845</f>
        <v>3.7910358353699478E-2</v>
      </c>
      <c r="V852" s="101"/>
      <c r="W852" s="101"/>
      <c r="X852" s="101"/>
      <c r="Y852" s="101"/>
      <c r="Z852" s="468">
        <f ca="1">Z$820/Z845</f>
        <v>5.6546504411631379E-2</v>
      </c>
      <c r="AA852" s="101"/>
      <c r="AB852" s="101"/>
      <c r="AC852" s="101"/>
      <c r="AD852" s="101"/>
      <c r="AE852" s="468">
        <f ca="1">AE$820/AE845</f>
        <v>5.3178339251907847E-2</v>
      </c>
      <c r="AF852" s="101"/>
      <c r="AG852" s="101"/>
      <c r="AH852" s="101"/>
      <c r="AI852" s="101"/>
      <c r="AJ852" s="468">
        <f ca="1">AJ$820/AJ845</f>
        <v>6.7992912863826846E-2</v>
      </c>
      <c r="AK852" s="101"/>
      <c r="AL852" s="101"/>
      <c r="AM852" s="101"/>
      <c r="AN852" s="101"/>
      <c r="AO852" s="468">
        <f ca="1">AO$820/AO845</f>
        <v>3.2619293256134663E-2</v>
      </c>
      <c r="AP852" s="101"/>
      <c r="AQ852" s="101"/>
      <c r="AR852" s="101"/>
      <c r="AS852" s="101"/>
      <c r="AT852" s="468">
        <f ca="1">AT$820/AT845</f>
        <v>1.8696718987292124E-2</v>
      </c>
      <c r="AU852" s="101"/>
      <c r="AV852" s="101"/>
      <c r="AW852" s="686"/>
      <c r="AX852" s="101"/>
      <c r="AY852" s="103">
        <f ca="1">AY$820/AY845</f>
        <v>7.0692048251080651E-3</v>
      </c>
      <c r="AZ852" s="101"/>
      <c r="BA852" s="101"/>
      <c r="BB852" s="101"/>
      <c r="BC852" s="101"/>
      <c r="BD852" s="103">
        <f ca="1">BD$820/BD845</f>
        <v>2.883513470023959E-2</v>
      </c>
      <c r="BE852" s="103">
        <f ca="1">BE820/BE845</f>
        <v>3.8552517999482623E-2</v>
      </c>
      <c r="BF852" s="103">
        <f ca="1">BF820/BF845</f>
        <v>4.1949790611349735E-2</v>
      </c>
      <c r="BG852" s="103">
        <f ca="1">BG820/BG845</f>
        <v>4.4892844454646079E-2</v>
      </c>
      <c r="BH852" s="477"/>
    </row>
    <row r="853" spans="1:60" s="83" customFormat="1" x14ac:dyDescent="0.25">
      <c r="A853" s="94" t="str">
        <f>"FCF Yield % to "&amp;MO.ValuationToggle&amp;" Enterprise Value"</f>
        <v>FCF Yield % to Avg Enterprise Value</v>
      </c>
      <c r="B853" s="245"/>
      <c r="C853" s="468">
        <f t="shared" ca="1" si="881"/>
        <v>7.3679871765514077E-2</v>
      </c>
      <c r="D853" s="468">
        <f t="shared" ca="1" si="881"/>
        <v>6.3304490386483003E-2</v>
      </c>
      <c r="E853" s="468">
        <f t="shared" ca="1" si="881"/>
        <v>6.1153723350429207E-2</v>
      </c>
      <c r="F853" s="468">
        <f t="shared" ca="1" si="881"/>
        <v>5.8556749366368614E-2</v>
      </c>
      <c r="G853" s="101"/>
      <c r="H853" s="101"/>
      <c r="I853" s="101"/>
      <c r="J853" s="101"/>
      <c r="K853" s="468">
        <f ca="1">K$820/K846</f>
        <v>5.6026312617077724E-2</v>
      </c>
      <c r="L853" s="101"/>
      <c r="M853" s="101"/>
      <c r="N853" s="101"/>
      <c r="O853" s="101"/>
      <c r="P853" s="468">
        <f ca="1">P$820/P846</f>
        <v>4.4049697612483188E-2</v>
      </c>
      <c r="Q853" s="101"/>
      <c r="R853" s="101"/>
      <c r="S853" s="101"/>
      <c r="T853" s="101"/>
      <c r="U853" s="468">
        <f ca="1">U$820/U846</f>
        <v>3.4461824979499109E-2</v>
      </c>
      <c r="V853" s="101"/>
      <c r="W853" s="101"/>
      <c r="X853" s="101"/>
      <c r="Y853" s="101"/>
      <c r="Z853" s="468">
        <f ca="1">Z$820/Z846</f>
        <v>5.0544521932082746E-2</v>
      </c>
      <c r="AA853" s="101"/>
      <c r="AB853" s="101"/>
      <c r="AC853" s="101"/>
      <c r="AD853" s="101"/>
      <c r="AE853" s="468">
        <f ca="1">AE$820/AE846</f>
        <v>4.5963477514463794E-2</v>
      </c>
      <c r="AF853" s="101"/>
      <c r="AG853" s="101"/>
      <c r="AH853" s="101"/>
      <c r="AI853" s="101"/>
      <c r="AJ853" s="468">
        <f ca="1">AJ$820/AJ846</f>
        <v>5.9663842740537432E-2</v>
      </c>
      <c r="AK853" s="101"/>
      <c r="AL853" s="101"/>
      <c r="AM853" s="101"/>
      <c r="AN853" s="101"/>
      <c r="AO853" s="468">
        <f ca="1">AO$820/AO846</f>
        <v>2.5721898718649387E-2</v>
      </c>
      <c r="AP853" s="101"/>
      <c r="AQ853" s="101"/>
      <c r="AR853" s="101"/>
      <c r="AS853" s="101"/>
      <c r="AT853" s="468">
        <f ca="1">AT$820/AT846</f>
        <v>1.5067860185815523E-2</v>
      </c>
      <c r="AU853" s="101"/>
      <c r="AV853" s="101"/>
      <c r="AW853" s="686"/>
      <c r="AX853" s="101"/>
      <c r="AY853" s="103">
        <f ca="1">AY$820/AY846</f>
        <v>6.0556564604484506E-3</v>
      </c>
      <c r="AZ853" s="101"/>
      <c r="BA853" s="101"/>
      <c r="BB853" s="101"/>
      <c r="BC853" s="101"/>
      <c r="BD853" s="103">
        <f ca="1">BD$820/BD846</f>
        <v>2.5028743132620351E-2</v>
      </c>
      <c r="BE853" s="103">
        <f ca="1">BE820/BE846</f>
        <v>3.4341936573604542E-2</v>
      </c>
      <c r="BF853" s="103">
        <f ca="1">BF820/BF846</f>
        <v>3.8487280152075455E-2</v>
      </c>
      <c r="BG853" s="103">
        <f ca="1">BG820/BG846</f>
        <v>4.258822841096508E-2</v>
      </c>
      <c r="BH853" s="477"/>
    </row>
    <row r="854" spans="1:60" s="83" customFormat="1" hidden="1" outlineLevel="1" x14ac:dyDescent="0.25">
      <c r="A854" s="814"/>
      <c r="B854" s="245"/>
      <c r="C854" s="103"/>
      <c r="D854" s="103"/>
      <c r="E854" s="103"/>
      <c r="F854" s="103"/>
      <c r="G854" s="101"/>
      <c r="H854" s="101"/>
      <c r="I854" s="101"/>
      <c r="J854" s="101"/>
      <c r="K854" s="103"/>
      <c r="L854" s="101"/>
      <c r="M854" s="101"/>
      <c r="N854" s="101"/>
      <c r="O854" s="101"/>
      <c r="P854" s="103"/>
      <c r="Q854" s="101"/>
      <c r="R854" s="101"/>
      <c r="S854" s="101"/>
      <c r="T854" s="101"/>
      <c r="U854" s="103"/>
      <c r="V854" s="101"/>
      <c r="W854" s="101"/>
      <c r="X854" s="101"/>
      <c r="Y854" s="101"/>
      <c r="Z854" s="103"/>
      <c r="AA854" s="101"/>
      <c r="AB854" s="101"/>
      <c r="AC854" s="101"/>
      <c r="AD854" s="101"/>
      <c r="AE854" s="103"/>
      <c r="AF854" s="101"/>
      <c r="AG854" s="101"/>
      <c r="AH854" s="101"/>
      <c r="AI854" s="101"/>
      <c r="AJ854" s="103"/>
      <c r="AK854" s="101"/>
      <c r="AL854" s="101"/>
      <c r="AM854" s="101"/>
      <c r="AN854" s="101"/>
      <c r="AO854" s="103"/>
      <c r="AP854" s="101"/>
      <c r="AQ854" s="101"/>
      <c r="AR854" s="101"/>
      <c r="AS854" s="101"/>
      <c r="AT854" s="103"/>
      <c r="AU854" s="101"/>
      <c r="AV854" s="101"/>
      <c r="AW854" s="686"/>
      <c r="AX854" s="101"/>
      <c r="AY854" s="103"/>
      <c r="AZ854" s="101"/>
      <c r="BA854" s="101"/>
      <c r="BB854" s="101"/>
      <c r="BC854" s="101"/>
      <c r="BD854" s="103"/>
      <c r="BE854" s="103"/>
      <c r="BF854" s="103"/>
      <c r="BG854" s="103"/>
      <c r="BH854" s="477"/>
    </row>
    <row r="855" spans="1:60" s="427" customFormat="1" hidden="1" outlineLevel="1" x14ac:dyDescent="0.25">
      <c r="A855" s="433" t="str">
        <f ca="1">"Stock High, "&amp;HP.TradeCurrency</f>
        <v>Stock High, USD</v>
      </c>
      <c r="B855" s="815"/>
      <c r="C855" s="434">
        <f t="shared" ref="C855:AH855" ca="1" si="882">IF(INDEX(MO_SNA_IsHistoricalPeriod,1,COLUMN())=FALSE,0,INDEX(MO_SPT_StockHigh,1,COLUMN()))</f>
        <v>32.950000000000003</v>
      </c>
      <c r="D855" s="434">
        <f t="shared" ca="1" si="882"/>
        <v>37.979999999999997</v>
      </c>
      <c r="E855" s="434">
        <f t="shared" ca="1" si="882"/>
        <v>37.979999999999997</v>
      </c>
      <c r="F855" s="434">
        <f t="shared" ca="1" si="882"/>
        <v>53.4</v>
      </c>
      <c r="G855" s="435">
        <f t="shared" ca="1" si="882"/>
        <v>53.15</v>
      </c>
      <c r="H855" s="435">
        <f t="shared" ca="1" si="882"/>
        <v>57.82</v>
      </c>
      <c r="I855" s="435">
        <f t="shared" ca="1" si="882"/>
        <v>67.89</v>
      </c>
      <c r="J855" s="435">
        <f t="shared" ca="1" si="882"/>
        <v>67.650000000000006</v>
      </c>
      <c r="K855" s="434">
        <f t="shared" ca="1" si="882"/>
        <v>67.89</v>
      </c>
      <c r="L855" s="435">
        <f t="shared" ca="1" si="882"/>
        <v>74.78</v>
      </c>
      <c r="M855" s="435">
        <f t="shared" ca="1" si="882"/>
        <v>83.65</v>
      </c>
      <c r="N855" s="435">
        <f t="shared" ca="1" si="882"/>
        <v>85.86</v>
      </c>
      <c r="O855" s="435">
        <f t="shared" ca="1" si="882"/>
        <v>91.2</v>
      </c>
      <c r="P855" s="434">
        <f t="shared" ca="1" si="882"/>
        <v>91.2</v>
      </c>
      <c r="Q855" s="435">
        <f t="shared" ca="1" si="882"/>
        <v>95.31</v>
      </c>
      <c r="R855" s="435">
        <f t="shared" ca="1" si="882"/>
        <v>108.94</v>
      </c>
      <c r="S855" s="435">
        <f t="shared" ca="1" si="882"/>
        <v>115.28</v>
      </c>
      <c r="T855" s="435">
        <f t="shared" ca="1" si="882"/>
        <v>122.08</v>
      </c>
      <c r="U855" s="434">
        <f t="shared" ca="1" si="882"/>
        <v>122.08</v>
      </c>
      <c r="V855" s="435">
        <f t="shared" ca="1" si="882"/>
        <v>120.65</v>
      </c>
      <c r="W855" s="435">
        <f t="shared" ca="1" si="882"/>
        <v>103.43</v>
      </c>
      <c r="X855" s="435">
        <f t="shared" ca="1" si="882"/>
        <v>106.75</v>
      </c>
      <c r="Y855" s="435">
        <f t="shared" ca="1" si="882"/>
        <v>100.8</v>
      </c>
      <c r="Z855" s="434">
        <f t="shared" ca="1" si="882"/>
        <v>120.65</v>
      </c>
      <c r="AA855" s="435">
        <f t="shared" ca="1" si="882"/>
        <v>106.26</v>
      </c>
      <c r="AB855" s="436">
        <f t="shared" ca="1" si="882"/>
        <v>113.71</v>
      </c>
      <c r="AC855" s="435">
        <f t="shared" ca="1" si="882"/>
        <v>116.1</v>
      </c>
      <c r="AD855" s="435">
        <f t="shared" ca="1" si="882"/>
        <v>110.83</v>
      </c>
      <c r="AE855" s="434">
        <f t="shared" ca="1" si="882"/>
        <v>116.1</v>
      </c>
      <c r="AF855" s="435">
        <f t="shared" ca="1" si="882"/>
        <v>110.0647</v>
      </c>
      <c r="AG855" s="436">
        <f t="shared" ca="1" si="882"/>
        <v>110.7144</v>
      </c>
      <c r="AH855" s="435">
        <f t="shared" ca="1" si="882"/>
        <v>107.15089999999999</v>
      </c>
      <c r="AI855" s="435">
        <f t="shared" ref="AI855:AY855" ca="1" si="883">IF(INDEX(MO_SNA_IsHistoricalPeriod,1,COLUMN())=FALSE,0,INDEX(MO_SPT_StockHigh,1,COLUMN()))</f>
        <v>116.0399</v>
      </c>
      <c r="AJ855" s="434">
        <f t="shared" ca="1" si="883"/>
        <v>116.0399</v>
      </c>
      <c r="AK855" s="435">
        <f t="shared" ca="1" si="883"/>
        <v>117.98480000000001</v>
      </c>
      <c r="AL855" s="436">
        <f t="shared" ca="1" si="883"/>
        <v>115.25</v>
      </c>
      <c r="AM855" s="435">
        <f t="shared" ca="1" si="883"/>
        <v>142.02000000000001</v>
      </c>
      <c r="AN855" s="435">
        <f t="shared" ca="1" si="883"/>
        <v>146.38999999999999</v>
      </c>
      <c r="AO855" s="434">
        <f t="shared" ca="1" si="883"/>
        <v>146.38999999999999</v>
      </c>
      <c r="AP855" s="435">
        <f t="shared" ca="1" si="883"/>
        <v>151.63999999999999</v>
      </c>
      <c r="AQ855" s="436">
        <f t="shared" ca="1" si="883"/>
        <v>148.19999999999999</v>
      </c>
      <c r="AR855" s="435">
        <f t="shared" ca="1" si="883"/>
        <v>127.28</v>
      </c>
      <c r="AS855" s="435">
        <f ca="1">IF(INDEX(MO_SNA_IsHistoricalPeriod,1,COLUMN())=FALSE,0,INDEX(MO_SPT_StockHigh,1,COLUMN()))</f>
        <v>135.54</v>
      </c>
      <c r="AT855" s="434">
        <f ca="1">IF(INDEX(MO_SNA_IsHistoricalPeriod,1,COLUMN())=FALSE,0,INDEX(MO_SPT_StockHigh,1,COLUMN()))</f>
        <v>151.63999999999999</v>
      </c>
      <c r="AU855" s="435">
        <f ca="1">IF(INDEX(MO_SNA_IsHistoricalPeriod,1,COLUMN())=FALSE,0,INDEX(MO_SPT_StockHigh,1,COLUMN()))</f>
        <v>181.18</v>
      </c>
      <c r="AV855" s="436">
        <f ca="1">IF(INDEX(MO_SNA_IsHistoricalPeriod,1,COLUMN())=FALSE,0,INDEX(MO_SPT_StockHigh,1,COLUMN()))</f>
        <v>201.91</v>
      </c>
      <c r="AW855" s="881">
        <f ca="1">IF(INDEX(MO_SNA_IsHistoricalPeriod,1,COLUMN())=FALSE,0,INDEX(MO_SPT_StockHigh,1,COLUMN()))</f>
        <v>189.73</v>
      </c>
      <c r="AX855" s="435">
        <f t="shared" si="883"/>
        <v>0</v>
      </c>
      <c r="AY855" s="437">
        <f t="shared" si="883"/>
        <v>0</v>
      </c>
      <c r="AZ855" s="435">
        <f t="shared" ref="AZ855:BG855" si="884">IF(INDEX(MO_SNA_IsHistoricalPeriod,1,COLUMN())=FALSE,0,INDEX(MO_SPT_StockHigh,1,COLUMN()))</f>
        <v>0</v>
      </c>
      <c r="BA855" s="435">
        <f t="shared" si="884"/>
        <v>0</v>
      </c>
      <c r="BB855" s="435">
        <f t="shared" si="884"/>
        <v>0</v>
      </c>
      <c r="BC855" s="435">
        <f t="shared" si="884"/>
        <v>0</v>
      </c>
      <c r="BD855" s="437">
        <f t="shared" si="884"/>
        <v>0</v>
      </c>
      <c r="BE855" s="437">
        <f t="shared" si="884"/>
        <v>0</v>
      </c>
      <c r="BF855" s="437">
        <f t="shared" si="884"/>
        <v>0</v>
      </c>
      <c r="BG855" s="437">
        <f t="shared" si="884"/>
        <v>0</v>
      </c>
      <c r="BH855" s="426"/>
    </row>
    <row r="856" spans="1:60" s="427" customFormat="1" hidden="1" outlineLevel="1" x14ac:dyDescent="0.25">
      <c r="A856" s="433" t="str">
        <f ca="1">"Stock Low, "&amp;HP.TradeCurrency</f>
        <v>Stock Low, USD</v>
      </c>
      <c r="B856" s="815"/>
      <c r="C856" s="434">
        <f t="shared" ref="C856:AH856" ca="1" si="885">IF(INDEX(MO_SNA_IsHistoricalPeriod,1,COLUMN())=FALSE,0,INDEX(MO_SPT_StockLow,1,COLUMN()))</f>
        <v>15.14</v>
      </c>
      <c r="D856" s="434">
        <f t="shared" ca="1" si="885"/>
        <v>27</v>
      </c>
      <c r="E856" s="434">
        <f t="shared" ca="1" si="885"/>
        <v>27</v>
      </c>
      <c r="F856" s="434">
        <f t="shared" ca="1" si="885"/>
        <v>28.19</v>
      </c>
      <c r="G856" s="435">
        <f t="shared" ca="1" si="885"/>
        <v>46.53</v>
      </c>
      <c r="H856" s="435">
        <f t="shared" ca="1" si="885"/>
        <v>48.8</v>
      </c>
      <c r="I856" s="435">
        <f t="shared" ca="1" si="885"/>
        <v>56.15</v>
      </c>
      <c r="J856" s="435">
        <f t="shared" ca="1" si="885"/>
        <v>60.41</v>
      </c>
      <c r="K856" s="434">
        <f t="shared" ca="1" si="885"/>
        <v>46.53</v>
      </c>
      <c r="L856" s="435">
        <f t="shared" ca="1" si="885"/>
        <v>63.1</v>
      </c>
      <c r="M856" s="435">
        <f t="shared" ca="1" si="885"/>
        <v>69.849999999999994</v>
      </c>
      <c r="N856" s="435">
        <f t="shared" ca="1" si="885"/>
        <v>76.31</v>
      </c>
      <c r="O856" s="435">
        <f t="shared" ca="1" si="885"/>
        <v>84.87</v>
      </c>
      <c r="P856" s="434">
        <f t="shared" ca="1" si="885"/>
        <v>63.1</v>
      </c>
      <c r="Q856" s="435">
        <f t="shared" ca="1" si="885"/>
        <v>78.540000000000006</v>
      </c>
      <c r="R856" s="435">
        <f t="shared" ca="1" si="885"/>
        <v>90.06</v>
      </c>
      <c r="S856" s="435">
        <f t="shared" ca="1" si="885"/>
        <v>104.25</v>
      </c>
      <c r="T856" s="435">
        <f t="shared" ca="1" si="885"/>
        <v>90</v>
      </c>
      <c r="U856" s="434">
        <f t="shared" ca="1" si="885"/>
        <v>78.540000000000006</v>
      </c>
      <c r="V856" s="435">
        <f t="shared" ca="1" si="885"/>
        <v>102.61</v>
      </c>
      <c r="W856" s="435">
        <f t="shared" ca="1" si="885"/>
        <v>86.25</v>
      </c>
      <c r="X856" s="435">
        <f t="shared" ca="1" si="885"/>
        <v>94</v>
      </c>
      <c r="Y856" s="435">
        <f t="shared" ca="1" si="885"/>
        <v>91.9</v>
      </c>
      <c r="Z856" s="434">
        <f t="shared" ca="1" si="885"/>
        <v>86.25</v>
      </c>
      <c r="AA856" s="435">
        <f t="shared" ca="1" si="885"/>
        <v>90.32</v>
      </c>
      <c r="AB856" s="436">
        <f t="shared" ca="1" si="885"/>
        <v>105.21</v>
      </c>
      <c r="AC856" s="435">
        <f t="shared" ca="1" si="885"/>
        <v>103.17</v>
      </c>
      <c r="AD856" s="435">
        <f t="shared" ca="1" si="885"/>
        <v>96.2</v>
      </c>
      <c r="AE856" s="434">
        <f t="shared" ca="1" si="885"/>
        <v>90.32</v>
      </c>
      <c r="AF856" s="435">
        <f t="shared" ca="1" si="885"/>
        <v>94.655500000000004</v>
      </c>
      <c r="AG856" s="436">
        <f t="shared" ca="1" si="885"/>
        <v>97.001800000000003</v>
      </c>
      <c r="AH856" s="435">
        <f t="shared" ca="1" si="885"/>
        <v>97.12</v>
      </c>
      <c r="AI856" s="435">
        <f t="shared" ref="AI856:AY856" ca="1" si="886">IF(INDEX(MO_SNA_IsHistoricalPeriod,1,COLUMN())=FALSE,0,INDEX(MO_SPT_StockLow,1,COLUMN()))</f>
        <v>102.416</v>
      </c>
      <c r="AJ856" s="434">
        <f t="shared" ca="1" si="886"/>
        <v>94.655500000000004</v>
      </c>
      <c r="AK856" s="435">
        <f t="shared" ca="1" si="886"/>
        <v>100.35</v>
      </c>
      <c r="AL856" s="436">
        <f t="shared" ca="1" si="886"/>
        <v>106.33</v>
      </c>
      <c r="AM856" s="435">
        <f t="shared" ca="1" si="886"/>
        <v>111.96</v>
      </c>
      <c r="AN856" s="435">
        <f t="shared" ca="1" si="886"/>
        <v>129.96</v>
      </c>
      <c r="AO856" s="434">
        <f t="shared" ca="1" si="886"/>
        <v>100.35</v>
      </c>
      <c r="AP856" s="435">
        <f t="shared" ca="1" si="886"/>
        <v>128.15</v>
      </c>
      <c r="AQ856" s="436">
        <f t="shared" ca="1" si="886"/>
        <v>85.76</v>
      </c>
      <c r="AR856" s="435">
        <f t="shared" ca="1" si="886"/>
        <v>93.88</v>
      </c>
      <c r="AS856" s="435">
        <f ca="1">IF(INDEX(MO_SNA_IsHistoricalPeriod,1,COLUMN())=FALSE,0,INDEX(MO_SPT_StockLow,1,COLUMN()))</f>
        <v>112.18</v>
      </c>
      <c r="AT856" s="434">
        <f ca="1">IF(INDEX(MO_SNA_IsHistoricalPeriod,1,COLUMN())=FALSE,0,INDEX(MO_SPT_StockLow,1,COLUMN()))</f>
        <v>85.76</v>
      </c>
      <c r="AU856" s="435">
        <f ca="1">IF(INDEX(MO_SNA_IsHistoricalPeriod,1,COLUMN())=FALSE,0,INDEX(MO_SPT_StockLow,1,COLUMN()))</f>
        <v>118.47</v>
      </c>
      <c r="AV856" s="436">
        <f ca="1">IF(INDEX(MO_SNA_IsHistoricalPeriod,1,COLUMN())=FALSE,0,INDEX(MO_SPT_StockLow,1,COLUMN()))</f>
        <v>163.03</v>
      </c>
      <c r="AW856" s="881">
        <f ca="1">IF(INDEX(MO_SNA_IsHistoricalPeriod,1,COLUMN())=FALSE,0,INDEX(MO_SPT_StockLow,1,COLUMN()))</f>
        <v>169.27</v>
      </c>
      <c r="AX856" s="435">
        <f t="shared" si="886"/>
        <v>0</v>
      </c>
      <c r="AY856" s="437">
        <f t="shared" si="886"/>
        <v>0</v>
      </c>
      <c r="AZ856" s="435">
        <f t="shared" ref="AZ856:BG856" si="887">IF(INDEX(MO_SNA_IsHistoricalPeriod,1,COLUMN())=FALSE,0,INDEX(MO_SPT_StockLow,1,COLUMN()))</f>
        <v>0</v>
      </c>
      <c r="BA856" s="435">
        <f t="shared" si="887"/>
        <v>0</v>
      </c>
      <c r="BB856" s="435">
        <f t="shared" si="887"/>
        <v>0</v>
      </c>
      <c r="BC856" s="435">
        <f t="shared" si="887"/>
        <v>0</v>
      </c>
      <c r="BD856" s="437">
        <f t="shared" si="887"/>
        <v>0</v>
      </c>
      <c r="BE856" s="437">
        <f t="shared" si="887"/>
        <v>0</v>
      </c>
      <c r="BF856" s="437">
        <f t="shared" si="887"/>
        <v>0</v>
      </c>
      <c r="BG856" s="437">
        <f t="shared" si="887"/>
        <v>0</v>
      </c>
      <c r="BH856" s="426"/>
    </row>
    <row r="857" spans="1:60" s="427" customFormat="1" hidden="1" outlineLevel="1" x14ac:dyDescent="0.25">
      <c r="A857" s="433" t="str">
        <f ca="1">"Stock Average, "&amp;HP.TradeCurrency</f>
        <v>Stock Average, USD</v>
      </c>
      <c r="B857" s="815"/>
      <c r="C857" s="434">
        <f t="shared" ref="C857:AH857" ca="1" si="888">IF(INDEX(MO_SNA_IsHistoricalPeriod,1,COLUMN())=FALSE,0,INDEX(MO_SPT_StockAverage,1,COLUMN()))</f>
        <v>23.26</v>
      </c>
      <c r="D857" s="434">
        <f t="shared" ca="1" si="888"/>
        <v>32.443750000000001</v>
      </c>
      <c r="E857" s="434">
        <f t="shared" ca="1" si="888"/>
        <v>32.443750000000001</v>
      </c>
      <c r="F857" s="434">
        <f t="shared" ca="1" si="888"/>
        <v>42.313749999999999</v>
      </c>
      <c r="G857" s="435">
        <f t="shared" ca="1" si="888"/>
        <v>49.84</v>
      </c>
      <c r="H857" s="435">
        <f t="shared" ca="1" si="888"/>
        <v>53.31</v>
      </c>
      <c r="I857" s="435">
        <f t="shared" ca="1" si="888"/>
        <v>62.02</v>
      </c>
      <c r="J857" s="435">
        <f t="shared" ca="1" si="888"/>
        <v>64.03</v>
      </c>
      <c r="K857" s="434">
        <f t="shared" ca="1" si="888"/>
        <v>57.3</v>
      </c>
      <c r="L857" s="435">
        <f t="shared" ca="1" si="888"/>
        <v>68.94</v>
      </c>
      <c r="M857" s="435">
        <f t="shared" ca="1" si="888"/>
        <v>76.75</v>
      </c>
      <c r="N857" s="435">
        <f t="shared" ca="1" si="888"/>
        <v>81.084999999999994</v>
      </c>
      <c r="O857" s="435">
        <f t="shared" ca="1" si="888"/>
        <v>88.034999999999997</v>
      </c>
      <c r="P857" s="434">
        <f t="shared" ca="1" si="888"/>
        <v>78.702500000000001</v>
      </c>
      <c r="Q857" s="435">
        <f t="shared" ca="1" si="888"/>
        <v>86.924999999999997</v>
      </c>
      <c r="R857" s="435">
        <f t="shared" ca="1" si="888"/>
        <v>99.5</v>
      </c>
      <c r="S857" s="435">
        <f t="shared" ca="1" si="888"/>
        <v>109.765</v>
      </c>
      <c r="T857" s="435">
        <f t="shared" ca="1" si="888"/>
        <v>106.04</v>
      </c>
      <c r="U857" s="434">
        <f t="shared" ca="1" si="888"/>
        <v>100.5575</v>
      </c>
      <c r="V857" s="435">
        <f t="shared" ca="1" si="888"/>
        <v>111.63</v>
      </c>
      <c r="W857" s="435">
        <f t="shared" ca="1" si="888"/>
        <v>94.84</v>
      </c>
      <c r="X857" s="435">
        <f t="shared" ca="1" si="888"/>
        <v>100.375</v>
      </c>
      <c r="Y857" s="435">
        <f t="shared" ca="1" si="888"/>
        <v>96.35</v>
      </c>
      <c r="Z857" s="434">
        <f t="shared" ca="1" si="888"/>
        <v>100.79875</v>
      </c>
      <c r="AA857" s="435">
        <f t="shared" ca="1" si="888"/>
        <v>98.29</v>
      </c>
      <c r="AB857" s="436">
        <f t="shared" ca="1" si="888"/>
        <v>109.46</v>
      </c>
      <c r="AC857" s="435">
        <f t="shared" ca="1" si="888"/>
        <v>109.63500000000001</v>
      </c>
      <c r="AD857" s="435">
        <f t="shared" ca="1" si="888"/>
        <v>103.515</v>
      </c>
      <c r="AE857" s="434">
        <f t="shared" ca="1" si="888"/>
        <v>105.22499999999999</v>
      </c>
      <c r="AF857" s="435">
        <f t="shared" ca="1" si="888"/>
        <v>100.803834920635</v>
      </c>
      <c r="AG857" s="436">
        <f t="shared" ca="1" si="888"/>
        <v>104.602770491803</v>
      </c>
      <c r="AH857" s="435">
        <f t="shared" ca="1" si="888"/>
        <v>100.66945468749999</v>
      </c>
      <c r="AI857" s="435">
        <f t="shared" ref="AI857:AY857" ca="1" si="889">IF(INDEX(MO_SNA_IsHistoricalPeriod,1,COLUMN())=FALSE,0,INDEX(MO_SPT_StockAverage,1,COLUMN()))</f>
        <v>110.40836031745999</v>
      </c>
      <c r="AJ857" s="434">
        <f t="shared" ca="1" si="889"/>
        <v>104.10351553784901</v>
      </c>
      <c r="AK857" s="435">
        <f t="shared" ca="1" si="889"/>
        <v>113.036634920635</v>
      </c>
      <c r="AL857" s="436">
        <f t="shared" ca="1" si="889"/>
        <v>111.770491803279</v>
      </c>
      <c r="AM857" s="435">
        <f t="shared" ca="1" si="889"/>
        <v>132.621904761905</v>
      </c>
      <c r="AN857" s="435">
        <f t="shared" ca="1" si="889"/>
        <v>138.2746875</v>
      </c>
      <c r="AO857" s="434">
        <f t="shared" ca="1" si="889"/>
        <v>124.246135458167</v>
      </c>
      <c r="AP857" s="435">
        <f t="shared" ca="1" si="889"/>
        <v>139.57593750000001</v>
      </c>
      <c r="AQ857" s="436">
        <f t="shared" ca="1" si="889"/>
        <v>126.429677419355</v>
      </c>
      <c r="AR857" s="435">
        <f t="shared" ca="1" si="889"/>
        <v>110.398253968254</v>
      </c>
      <c r="AS857" s="435">
        <f ca="1">IF(INDEX(MO_SNA_IsHistoricalPeriod,1,COLUMN())=FALSE,0,INDEX(MO_SPT_StockAverage,1,COLUMN()))</f>
        <v>124.99625</v>
      </c>
      <c r="AT857" s="434">
        <f ca="1">IF(INDEX(MO_SNA_IsHistoricalPeriod,1,COLUMN())=FALSE,0,INDEX(MO_SPT_StockAverage,1,COLUMN()))</f>
        <v>125.400592885376</v>
      </c>
      <c r="AU857" s="435">
        <f ca="1">IF(INDEX(MO_SNA_IsHistoricalPeriod,1,COLUMN())=FALSE,0,INDEX(MO_SPT_StockAverage,1,COLUMN()))</f>
        <v>143.5340625</v>
      </c>
      <c r="AV857" s="436">
        <f ca="1">IF(INDEX(MO_SNA_IsHistoricalPeriod,1,COLUMN())=FALSE,0,INDEX(MO_SPT_StockAverage,1,COLUMN()))</f>
        <v>184.41557377049199</v>
      </c>
      <c r="AW857" s="881">
        <f ca="1">IF(INDEX(MO_SNA_IsHistoricalPeriod,1,COLUMN())=FALSE,0,INDEX(MO_SPT_StockAverage,1,COLUMN()))</f>
        <v>179.84507936507899</v>
      </c>
      <c r="AX857" s="435">
        <f t="shared" si="889"/>
        <v>0</v>
      </c>
      <c r="AY857" s="437">
        <f t="shared" si="889"/>
        <v>0</v>
      </c>
      <c r="AZ857" s="435">
        <f t="shared" ref="AZ857:BG857" si="890">IF(INDEX(MO_SNA_IsHistoricalPeriod,1,COLUMN())=FALSE,0,INDEX(MO_SPT_StockAverage,1,COLUMN()))</f>
        <v>0</v>
      </c>
      <c r="BA857" s="435">
        <f t="shared" si="890"/>
        <v>0</v>
      </c>
      <c r="BB857" s="435">
        <f t="shared" si="890"/>
        <v>0</v>
      </c>
      <c r="BC857" s="435">
        <f t="shared" si="890"/>
        <v>0</v>
      </c>
      <c r="BD857" s="437">
        <f t="shared" si="890"/>
        <v>0</v>
      </c>
      <c r="BE857" s="437">
        <f t="shared" si="890"/>
        <v>0</v>
      </c>
      <c r="BF857" s="437">
        <f t="shared" si="890"/>
        <v>0</v>
      </c>
      <c r="BG857" s="437">
        <f t="shared" si="890"/>
        <v>0</v>
      </c>
      <c r="BH857" s="426"/>
    </row>
    <row r="858" spans="1:60" s="431" customFormat="1" hidden="1" outlineLevel="1" x14ac:dyDescent="0.25">
      <c r="A858" s="438" t="str">
        <f ca="1">"Average FX Rate, "&amp;HP.TradeCurrency&amp;"/"&amp;MO.ReportCurrency</f>
        <v>Average FX Rate, USD/USD</v>
      </c>
      <c r="B858" s="816"/>
      <c r="C858" s="439">
        <f t="shared" ref="C858:AH858" ca="1" si="891">IF(INDEX(MO_SPT_FXAverage,1,COLUMN())=0,1,INDEX(MO_SPT_FXAverage,1,COLUMN()))</f>
        <v>1</v>
      </c>
      <c r="D858" s="439">
        <f t="shared" ca="1" si="891"/>
        <v>1</v>
      </c>
      <c r="E858" s="439">
        <f t="shared" ca="1" si="891"/>
        <v>1</v>
      </c>
      <c r="F858" s="439">
        <f t="shared" ca="1" si="891"/>
        <v>1</v>
      </c>
      <c r="G858" s="440">
        <f t="shared" ca="1" si="891"/>
        <v>1</v>
      </c>
      <c r="H858" s="440">
        <f t="shared" ca="1" si="891"/>
        <v>1</v>
      </c>
      <c r="I858" s="440">
        <f t="shared" ca="1" si="891"/>
        <v>1</v>
      </c>
      <c r="J858" s="440">
        <f t="shared" ca="1" si="891"/>
        <v>1</v>
      </c>
      <c r="K858" s="439">
        <f t="shared" ca="1" si="891"/>
        <v>1</v>
      </c>
      <c r="L858" s="440">
        <f t="shared" ca="1" si="891"/>
        <v>1</v>
      </c>
      <c r="M858" s="440">
        <f t="shared" ca="1" si="891"/>
        <v>1</v>
      </c>
      <c r="N858" s="440">
        <f t="shared" ca="1" si="891"/>
        <v>1</v>
      </c>
      <c r="O858" s="440">
        <f t="shared" ca="1" si="891"/>
        <v>1</v>
      </c>
      <c r="P858" s="439">
        <f t="shared" ca="1" si="891"/>
        <v>1</v>
      </c>
      <c r="Q858" s="440">
        <f t="shared" ca="1" si="891"/>
        <v>1</v>
      </c>
      <c r="R858" s="440">
        <f t="shared" ca="1" si="891"/>
        <v>1</v>
      </c>
      <c r="S858" s="440">
        <f t="shared" ca="1" si="891"/>
        <v>1</v>
      </c>
      <c r="T858" s="440">
        <f t="shared" ca="1" si="891"/>
        <v>1</v>
      </c>
      <c r="U858" s="439">
        <f t="shared" ca="1" si="891"/>
        <v>1</v>
      </c>
      <c r="V858" s="440">
        <f t="shared" ca="1" si="891"/>
        <v>1</v>
      </c>
      <c r="W858" s="440">
        <f t="shared" ca="1" si="891"/>
        <v>1</v>
      </c>
      <c r="X858" s="440">
        <f t="shared" ca="1" si="891"/>
        <v>1</v>
      </c>
      <c r="Y858" s="440">
        <f t="shared" ca="1" si="891"/>
        <v>1</v>
      </c>
      <c r="Z858" s="439">
        <f t="shared" ca="1" si="891"/>
        <v>1</v>
      </c>
      <c r="AA858" s="440">
        <f t="shared" ca="1" si="891"/>
        <v>1</v>
      </c>
      <c r="AB858" s="441">
        <f t="shared" ca="1" si="891"/>
        <v>1</v>
      </c>
      <c r="AC858" s="440">
        <f t="shared" ca="1" si="891"/>
        <v>1</v>
      </c>
      <c r="AD858" s="440">
        <f t="shared" ca="1" si="891"/>
        <v>1</v>
      </c>
      <c r="AE858" s="439">
        <f t="shared" ca="1" si="891"/>
        <v>1</v>
      </c>
      <c r="AF858" s="440">
        <f t="shared" ca="1" si="891"/>
        <v>1</v>
      </c>
      <c r="AG858" s="441">
        <f t="shared" ca="1" si="891"/>
        <v>1</v>
      </c>
      <c r="AH858" s="440">
        <f t="shared" ca="1" si="891"/>
        <v>1</v>
      </c>
      <c r="AI858" s="440">
        <f t="shared" ref="AI858:AY858" ca="1" si="892">IF(INDEX(MO_SPT_FXAverage,1,COLUMN())=0,1,INDEX(MO_SPT_FXAverage,1,COLUMN()))</f>
        <v>1</v>
      </c>
      <c r="AJ858" s="439">
        <f t="shared" ca="1" si="892"/>
        <v>1</v>
      </c>
      <c r="AK858" s="440">
        <f t="shared" ca="1" si="892"/>
        <v>1</v>
      </c>
      <c r="AL858" s="441">
        <f t="shared" ca="1" si="892"/>
        <v>1</v>
      </c>
      <c r="AM858" s="440">
        <f t="shared" ca="1" si="892"/>
        <v>1</v>
      </c>
      <c r="AN858" s="440">
        <f t="shared" ca="1" si="892"/>
        <v>1</v>
      </c>
      <c r="AO858" s="439">
        <f t="shared" ca="1" si="892"/>
        <v>1</v>
      </c>
      <c r="AP858" s="440">
        <f t="shared" ca="1" si="892"/>
        <v>1</v>
      </c>
      <c r="AQ858" s="441">
        <f t="shared" ca="1" si="892"/>
        <v>1</v>
      </c>
      <c r="AR858" s="440">
        <f t="shared" ca="1" si="892"/>
        <v>1</v>
      </c>
      <c r="AS858" s="440">
        <f ca="1">IF(INDEX(MO_SPT_FXAverage,1,COLUMN())=0,1,INDEX(MO_SPT_FXAverage,1,COLUMN()))</f>
        <v>1</v>
      </c>
      <c r="AT858" s="439">
        <f ca="1">IF(INDEX(MO_SPT_FXAverage,1,COLUMN())=0,1,INDEX(MO_SPT_FXAverage,1,COLUMN()))</f>
        <v>1</v>
      </c>
      <c r="AU858" s="440">
        <f ca="1">IF(INDEX(MO_SPT_FXAverage,1,COLUMN())=0,1,INDEX(MO_SPT_FXAverage,1,COLUMN()))</f>
        <v>1</v>
      </c>
      <c r="AV858" s="441">
        <f ca="1">IF(INDEX(MO_SPT_FXAverage,1,COLUMN())=0,1,INDEX(MO_SPT_FXAverage,1,COLUMN()))</f>
        <v>1</v>
      </c>
      <c r="AW858" s="882">
        <f ca="1">IF(INDEX(MO_SPT_FXAverage,1,COLUMN())=0,1,INDEX(MO_SPT_FXAverage,1,COLUMN()))</f>
        <v>1</v>
      </c>
      <c r="AX858" s="440">
        <f t="shared" ca="1" si="892"/>
        <v>1</v>
      </c>
      <c r="AY858" s="442">
        <f t="shared" ca="1" si="892"/>
        <v>1</v>
      </c>
      <c r="AZ858" s="440">
        <f t="shared" ref="AZ858:BG858" ca="1" si="893">IF(INDEX(MO_SPT_FXAverage,1,COLUMN())=0,1,INDEX(MO_SPT_FXAverage,1,COLUMN()))</f>
        <v>1</v>
      </c>
      <c r="BA858" s="440">
        <f t="shared" ca="1" si="893"/>
        <v>1</v>
      </c>
      <c r="BB858" s="440">
        <f t="shared" ca="1" si="893"/>
        <v>1</v>
      </c>
      <c r="BC858" s="440">
        <f t="shared" ca="1" si="893"/>
        <v>1</v>
      </c>
      <c r="BD858" s="442">
        <f t="shared" ca="1" si="893"/>
        <v>1</v>
      </c>
      <c r="BE858" s="442">
        <f t="shared" ca="1" si="893"/>
        <v>1</v>
      </c>
      <c r="BF858" s="442">
        <f t="shared" ca="1" si="893"/>
        <v>1</v>
      </c>
      <c r="BG858" s="442">
        <f t="shared" ca="1" si="893"/>
        <v>1</v>
      </c>
      <c r="BH858" s="430"/>
    </row>
    <row r="859" spans="1:60" s="427" customFormat="1" hidden="1" outlineLevel="1" x14ac:dyDescent="0.25">
      <c r="A859" s="433" t="str">
        <f ca="1">"Stock Price (Trading Cur.) - "&amp;MO.ValuationToggle&amp;", "&amp;HP.TradeCurrency</f>
        <v>Stock Price (Trading Cur.) - Avg, USD</v>
      </c>
      <c r="B859" s="815"/>
      <c r="C859" s="434">
        <f t="shared" ref="C859:AH859" ca="1" si="894">IF(INDEX(MO_SNA_IsHistoricalPeriod,1,COLUMN())=FALSE,MO.LastPrice,CHOOSE(VLOOKUP(MO.ValuationToggle,tb_ValuationToggle,COLUMNS(tb_ValuationToggle),FALSE),C855,C856,C857))</f>
        <v>23.26</v>
      </c>
      <c r="D859" s="434">
        <f t="shared" ca="1" si="894"/>
        <v>32.443750000000001</v>
      </c>
      <c r="E859" s="434">
        <f t="shared" ca="1" si="894"/>
        <v>32.443750000000001</v>
      </c>
      <c r="F859" s="434">
        <f t="shared" ca="1" si="894"/>
        <v>42.313749999999999</v>
      </c>
      <c r="G859" s="435">
        <f t="shared" ca="1" si="894"/>
        <v>49.84</v>
      </c>
      <c r="H859" s="435">
        <f t="shared" ca="1" si="894"/>
        <v>53.31</v>
      </c>
      <c r="I859" s="435">
        <f t="shared" ca="1" si="894"/>
        <v>62.02</v>
      </c>
      <c r="J859" s="435">
        <f t="shared" ca="1" si="894"/>
        <v>64.03</v>
      </c>
      <c r="K859" s="434">
        <f t="shared" ca="1" si="894"/>
        <v>57.3</v>
      </c>
      <c r="L859" s="435">
        <f t="shared" ca="1" si="894"/>
        <v>68.94</v>
      </c>
      <c r="M859" s="435">
        <f t="shared" ca="1" si="894"/>
        <v>76.75</v>
      </c>
      <c r="N859" s="435">
        <f t="shared" ca="1" si="894"/>
        <v>81.084999999999994</v>
      </c>
      <c r="O859" s="435">
        <f t="shared" ca="1" si="894"/>
        <v>88.034999999999997</v>
      </c>
      <c r="P859" s="434">
        <f t="shared" ca="1" si="894"/>
        <v>78.702500000000001</v>
      </c>
      <c r="Q859" s="435">
        <f t="shared" ca="1" si="894"/>
        <v>86.924999999999997</v>
      </c>
      <c r="R859" s="435">
        <f t="shared" ca="1" si="894"/>
        <v>99.5</v>
      </c>
      <c r="S859" s="435">
        <f t="shared" ca="1" si="894"/>
        <v>109.765</v>
      </c>
      <c r="T859" s="435">
        <f t="shared" ca="1" si="894"/>
        <v>106.04</v>
      </c>
      <c r="U859" s="434">
        <f t="shared" ca="1" si="894"/>
        <v>100.5575</v>
      </c>
      <c r="V859" s="435">
        <f t="shared" ca="1" si="894"/>
        <v>111.63</v>
      </c>
      <c r="W859" s="435">
        <f t="shared" ca="1" si="894"/>
        <v>94.84</v>
      </c>
      <c r="X859" s="435">
        <f t="shared" ca="1" si="894"/>
        <v>100.375</v>
      </c>
      <c r="Y859" s="435">
        <f t="shared" ca="1" si="894"/>
        <v>96.35</v>
      </c>
      <c r="Z859" s="434">
        <f t="shared" ca="1" si="894"/>
        <v>100.79875</v>
      </c>
      <c r="AA859" s="435">
        <f t="shared" ca="1" si="894"/>
        <v>98.29</v>
      </c>
      <c r="AB859" s="436">
        <f t="shared" ca="1" si="894"/>
        <v>109.46</v>
      </c>
      <c r="AC859" s="435">
        <f t="shared" ca="1" si="894"/>
        <v>109.63500000000001</v>
      </c>
      <c r="AD859" s="435">
        <f t="shared" ca="1" si="894"/>
        <v>103.515</v>
      </c>
      <c r="AE859" s="434">
        <f t="shared" ca="1" si="894"/>
        <v>105.22499999999999</v>
      </c>
      <c r="AF859" s="435">
        <f t="shared" ca="1" si="894"/>
        <v>100.803834920635</v>
      </c>
      <c r="AG859" s="436">
        <f t="shared" ca="1" si="894"/>
        <v>104.602770491803</v>
      </c>
      <c r="AH859" s="435">
        <f t="shared" ca="1" si="894"/>
        <v>100.66945468749999</v>
      </c>
      <c r="AI859" s="435">
        <f t="shared" ref="AI859:AY859" ca="1" si="895">IF(INDEX(MO_SNA_IsHistoricalPeriod,1,COLUMN())=FALSE,MO.LastPrice,CHOOSE(VLOOKUP(MO.ValuationToggle,tb_ValuationToggle,COLUMNS(tb_ValuationToggle),FALSE),AI855,AI856,AI857))</f>
        <v>110.40836031745999</v>
      </c>
      <c r="AJ859" s="434">
        <f t="shared" ca="1" si="895"/>
        <v>104.10351553784901</v>
      </c>
      <c r="AK859" s="435">
        <f t="shared" ca="1" si="895"/>
        <v>113.036634920635</v>
      </c>
      <c r="AL859" s="436">
        <f t="shared" ca="1" si="895"/>
        <v>111.770491803279</v>
      </c>
      <c r="AM859" s="435">
        <f t="shared" ca="1" si="895"/>
        <v>132.621904761905</v>
      </c>
      <c r="AN859" s="435">
        <f t="shared" ca="1" si="895"/>
        <v>138.2746875</v>
      </c>
      <c r="AO859" s="434">
        <f t="shared" ca="1" si="895"/>
        <v>124.246135458167</v>
      </c>
      <c r="AP859" s="435">
        <f t="shared" ca="1" si="895"/>
        <v>139.57593750000001</v>
      </c>
      <c r="AQ859" s="436">
        <f t="shared" ca="1" si="895"/>
        <v>126.429677419355</v>
      </c>
      <c r="AR859" s="435">
        <f t="shared" ca="1" si="895"/>
        <v>110.398253968254</v>
      </c>
      <c r="AS859" s="435">
        <f ca="1">IF(INDEX(MO_SNA_IsHistoricalPeriod,1,COLUMN())=FALSE,MO.LastPrice,CHOOSE(VLOOKUP(MO.ValuationToggle,tb_ValuationToggle,COLUMNS(tb_ValuationToggle),FALSE),AS855,AS856,AS857))</f>
        <v>124.99625</v>
      </c>
      <c r="AT859" s="434">
        <f ca="1">IF(INDEX(MO_SNA_IsHistoricalPeriod,1,COLUMN())=FALSE,MO.LastPrice,CHOOSE(VLOOKUP(MO.ValuationToggle,tb_ValuationToggle,COLUMNS(tb_ValuationToggle),FALSE),AT855,AT856,AT857))</f>
        <v>125.400592885376</v>
      </c>
      <c r="AU859" s="435">
        <f ca="1">IF(INDEX(MO_SNA_IsHistoricalPeriod,1,COLUMN())=FALSE,MO.LastPrice,CHOOSE(VLOOKUP(MO.ValuationToggle,tb_ValuationToggle,COLUMNS(tb_ValuationToggle),FALSE),AU855,AU856,AU857))</f>
        <v>143.5340625</v>
      </c>
      <c r="AV859" s="436">
        <f ca="1">IF(INDEX(MO_SNA_IsHistoricalPeriod,1,COLUMN())=FALSE,MO.LastPrice,CHOOSE(VLOOKUP(MO.ValuationToggle,tb_ValuationToggle,COLUMNS(tb_ValuationToggle),FALSE),AV855,AV856,AV857))</f>
        <v>184.41557377049199</v>
      </c>
      <c r="AW859" s="881">
        <f ca="1">IF(INDEX(MO_SNA_IsHistoricalPeriod,1,COLUMN())=FALSE,MO.LastPrice,CHOOSE(VLOOKUP(MO.ValuationToggle,tb_ValuationToggle,COLUMNS(tb_ValuationToggle),FALSE),AW855,AW856,AW857))</f>
        <v>179.84507936507899</v>
      </c>
      <c r="AX859" s="435">
        <f t="shared" ca="1" si="895"/>
        <v>172.01</v>
      </c>
      <c r="AY859" s="437">
        <f t="shared" ca="1" si="895"/>
        <v>172.01</v>
      </c>
      <c r="AZ859" s="435">
        <f t="shared" ref="AZ859:BG859" ca="1" si="896">IF(INDEX(MO_SNA_IsHistoricalPeriod,1,COLUMN())=FALSE,MO.LastPrice,CHOOSE(VLOOKUP(MO.ValuationToggle,tb_ValuationToggle,COLUMNS(tb_ValuationToggle),FALSE),AZ855,AZ856,AZ857))</f>
        <v>172.01</v>
      </c>
      <c r="BA859" s="435">
        <f t="shared" ca="1" si="896"/>
        <v>172.01</v>
      </c>
      <c r="BB859" s="435">
        <f t="shared" ca="1" si="896"/>
        <v>172.01</v>
      </c>
      <c r="BC859" s="435">
        <f t="shared" ca="1" si="896"/>
        <v>172.01</v>
      </c>
      <c r="BD859" s="437">
        <f t="shared" ca="1" si="896"/>
        <v>172.01</v>
      </c>
      <c r="BE859" s="437">
        <f t="shared" ca="1" si="896"/>
        <v>172.01</v>
      </c>
      <c r="BF859" s="437">
        <f t="shared" ca="1" si="896"/>
        <v>172.01</v>
      </c>
      <c r="BG859" s="437">
        <f t="shared" ca="1" si="896"/>
        <v>172.01</v>
      </c>
      <c r="BH859" s="426"/>
    </row>
    <row r="860" spans="1:60" s="40" customFormat="1" hidden="1" outlineLevel="1" x14ac:dyDescent="0.25">
      <c r="A860" s="657"/>
      <c r="B860" s="787"/>
      <c r="C860" s="990"/>
      <c r="D860" s="990"/>
      <c r="E860" s="990"/>
      <c r="F860" s="990"/>
      <c r="G860" s="991"/>
      <c r="H860" s="991"/>
      <c r="I860" s="991"/>
      <c r="J860" s="991"/>
      <c r="K860" s="990"/>
      <c r="L860" s="991"/>
      <c r="M860" s="991"/>
      <c r="N860" s="991"/>
      <c r="O860" s="991"/>
      <c r="P860" s="990"/>
      <c r="Q860" s="991"/>
      <c r="R860" s="991"/>
      <c r="S860" s="991"/>
      <c r="T860" s="991"/>
      <c r="U860" s="990"/>
      <c r="V860" s="991"/>
      <c r="W860" s="991"/>
      <c r="X860" s="991"/>
      <c r="Y860" s="991"/>
      <c r="Z860" s="990"/>
      <c r="AA860" s="991"/>
      <c r="AB860" s="991"/>
      <c r="AC860" s="991"/>
      <c r="AD860" s="991"/>
      <c r="AE860" s="990"/>
      <c r="AF860" s="991"/>
      <c r="AG860" s="991"/>
      <c r="AH860" s="991"/>
      <c r="AI860" s="991"/>
      <c r="AJ860" s="990"/>
      <c r="AK860" s="991"/>
      <c r="AL860" s="991"/>
      <c r="AM860" s="991"/>
      <c r="AN860" s="991"/>
      <c r="AO860" s="990"/>
      <c r="AP860" s="991"/>
      <c r="AQ860" s="991"/>
      <c r="AR860" s="991"/>
      <c r="AS860" s="991"/>
      <c r="AT860" s="990"/>
      <c r="AU860" s="991"/>
      <c r="AV860" s="991"/>
      <c r="AW860" s="992"/>
      <c r="AX860" s="991"/>
      <c r="AY860" s="990"/>
      <c r="AZ860" s="991"/>
      <c r="BA860" s="991"/>
      <c r="BB860" s="991"/>
      <c r="BC860" s="991"/>
      <c r="BD860" s="990"/>
      <c r="BE860" s="990"/>
      <c r="BF860" s="990"/>
      <c r="BG860" s="990"/>
      <c r="BH860" s="728"/>
    </row>
    <row r="861" spans="1:60" s="19" customFormat="1" hidden="1" outlineLevel="1" x14ac:dyDescent="0.25">
      <c r="A861" s="95" t="s">
        <v>279</v>
      </c>
      <c r="B861" s="817"/>
      <c r="C861" s="996"/>
      <c r="D861" s="996"/>
      <c r="E861" s="996"/>
      <c r="F861" s="996"/>
      <c r="G861" s="997"/>
      <c r="H861" s="997"/>
      <c r="I861" s="997"/>
      <c r="J861" s="997"/>
      <c r="K861" s="996"/>
      <c r="L861" s="997"/>
      <c r="M861" s="997"/>
      <c r="N861" s="997"/>
      <c r="O861" s="997"/>
      <c r="P861" s="996"/>
      <c r="Q861" s="997"/>
      <c r="R861" s="997"/>
      <c r="S861" s="997"/>
      <c r="T861" s="997"/>
      <c r="U861" s="996"/>
      <c r="V861" s="997"/>
      <c r="W861" s="997"/>
      <c r="X861" s="997"/>
      <c r="Y861" s="997"/>
      <c r="Z861" s="996"/>
      <c r="AA861" s="997"/>
      <c r="AB861" s="997"/>
      <c r="AC861" s="997"/>
      <c r="AD861" s="997"/>
      <c r="AE861" s="996"/>
      <c r="AF861" s="997"/>
      <c r="AG861" s="997"/>
      <c r="AH861" s="997"/>
      <c r="AI861" s="997"/>
      <c r="AJ861" s="996"/>
      <c r="AK861" s="997"/>
      <c r="AL861" s="997"/>
      <c r="AM861" s="997"/>
      <c r="AN861" s="997"/>
      <c r="AO861" s="996"/>
      <c r="AP861" s="997"/>
      <c r="AQ861" s="997"/>
      <c r="AR861" s="997"/>
      <c r="AS861" s="997"/>
      <c r="AT861" s="996"/>
      <c r="AU861" s="997"/>
      <c r="AV861" s="997"/>
      <c r="AW861" s="998"/>
      <c r="AX861" s="997"/>
      <c r="AY861" s="996"/>
      <c r="AZ861" s="997"/>
      <c r="BA861" s="997"/>
      <c r="BB861" s="997"/>
      <c r="BC861" s="997"/>
      <c r="BD861" s="996"/>
      <c r="BE861" s="996"/>
      <c r="BF861" s="996"/>
      <c r="BG861" s="996"/>
      <c r="BH861" s="730"/>
    </row>
    <row r="862" spans="1:60" s="49" customFormat="1" hidden="1" outlineLevel="1" x14ac:dyDescent="0.25">
      <c r="A862" s="96" t="s">
        <v>280</v>
      </c>
      <c r="B862" s="209"/>
      <c r="C862" s="39">
        <f t="shared" ref="C862:AH862" si="897">C1054</f>
        <v>1691</v>
      </c>
      <c r="D862" s="39">
        <f t="shared" si="897"/>
        <v>1823</v>
      </c>
      <c r="E862" s="39">
        <f t="shared" si="897"/>
        <v>2068</v>
      </c>
      <c r="F862" s="39">
        <f t="shared" si="897"/>
        <v>2199</v>
      </c>
      <c r="G862" s="484">
        <f t="shared" si="897"/>
        <v>2354</v>
      </c>
      <c r="H862" s="484">
        <f t="shared" si="897"/>
        <v>2055</v>
      </c>
      <c r="I862" s="484">
        <f t="shared" si="897"/>
        <v>2371</v>
      </c>
      <c r="J862" s="484">
        <f t="shared" si="897"/>
        <v>2721</v>
      </c>
      <c r="K862" s="39">
        <f t="shared" si="897"/>
        <v>2721</v>
      </c>
      <c r="L862" s="484">
        <f t="shared" si="897"/>
        <v>2972</v>
      </c>
      <c r="M862" s="484">
        <f t="shared" si="897"/>
        <v>2751</v>
      </c>
      <c r="N862" s="484">
        <f t="shared" si="897"/>
        <v>3092</v>
      </c>
      <c r="O862" s="484">
        <f t="shared" si="897"/>
        <v>3220</v>
      </c>
      <c r="P862" s="39">
        <f t="shared" si="897"/>
        <v>3220</v>
      </c>
      <c r="Q862" s="484">
        <f t="shared" si="897"/>
        <v>3628</v>
      </c>
      <c r="R862" s="484">
        <f t="shared" si="897"/>
        <v>3699</v>
      </c>
      <c r="S862" s="484">
        <f t="shared" si="897"/>
        <v>3988</v>
      </c>
      <c r="T862" s="484">
        <f t="shared" si="897"/>
        <v>4130</v>
      </c>
      <c r="U862" s="39">
        <f t="shared" si="897"/>
        <v>4130</v>
      </c>
      <c r="V862" s="484">
        <f t="shared" si="897"/>
        <v>4240</v>
      </c>
      <c r="W862" s="484">
        <f t="shared" si="897"/>
        <v>3886</v>
      </c>
      <c r="X862" s="484">
        <f t="shared" si="897"/>
        <v>3953</v>
      </c>
      <c r="Y862" s="484">
        <f t="shared" si="897"/>
        <v>4058</v>
      </c>
      <c r="Z862" s="39">
        <f t="shared" si="897"/>
        <v>4058</v>
      </c>
      <c r="AA862" s="484">
        <f t="shared" si="897"/>
        <v>3967</v>
      </c>
      <c r="AB862" s="191">
        <f t="shared" si="897"/>
        <v>3483</v>
      </c>
      <c r="AC862" s="484">
        <f t="shared" si="897"/>
        <v>3520</v>
      </c>
      <c r="AD862" s="484">
        <f t="shared" si="897"/>
        <v>3689</v>
      </c>
      <c r="AE862" s="39">
        <f t="shared" si="897"/>
        <v>3689</v>
      </c>
      <c r="AF862" s="484">
        <f t="shared" si="897"/>
        <v>3794</v>
      </c>
      <c r="AG862" s="191">
        <f t="shared" si="897"/>
        <v>3500</v>
      </c>
      <c r="AH862" s="484">
        <f t="shared" si="897"/>
        <v>3983</v>
      </c>
      <c r="AI862" s="484">
        <f t="shared" ref="AI862:AY862" si="898">AI1054</f>
        <v>4059</v>
      </c>
      <c r="AJ862" s="39">
        <f t="shared" si="898"/>
        <v>4059</v>
      </c>
      <c r="AK862" s="484">
        <f t="shared" si="898"/>
        <v>4077</v>
      </c>
      <c r="AL862" s="191">
        <f t="shared" si="898"/>
        <v>14401</v>
      </c>
      <c r="AM862" s="484">
        <f t="shared" si="898"/>
        <v>5884</v>
      </c>
      <c r="AN862" s="484">
        <f t="shared" si="898"/>
        <v>5012</v>
      </c>
      <c r="AO862" s="39">
        <f t="shared" si="898"/>
        <v>5012</v>
      </c>
      <c r="AP862" s="484">
        <f t="shared" si="898"/>
        <v>5016</v>
      </c>
      <c r="AQ862" s="191">
        <f t="shared" si="898"/>
        <v>4470</v>
      </c>
      <c r="AR862" s="484">
        <f t="shared" si="898"/>
        <v>4597</v>
      </c>
      <c r="AS862" s="484">
        <f>AS1054</f>
        <v>4680</v>
      </c>
      <c r="AT862" s="39">
        <f>AT1054</f>
        <v>4680</v>
      </c>
      <c r="AU862" s="484">
        <f>AU1054</f>
        <v>4657</v>
      </c>
      <c r="AV862" s="191">
        <f>AV1054</f>
        <v>4246</v>
      </c>
      <c r="AW862" s="289">
        <f>AW1054</f>
        <v>4381</v>
      </c>
      <c r="AX862" s="484">
        <f t="shared" si="898"/>
        <v>4381</v>
      </c>
      <c r="AY862" s="104">
        <f t="shared" si="898"/>
        <v>4381</v>
      </c>
      <c r="AZ862" s="484">
        <f t="shared" ref="AZ862:BG862" si="899">AZ1054</f>
        <v>4381</v>
      </c>
      <c r="BA862" s="484">
        <f t="shared" si="899"/>
        <v>4381</v>
      </c>
      <c r="BB862" s="484">
        <f t="shared" si="899"/>
        <v>4381</v>
      </c>
      <c r="BC862" s="484">
        <f t="shared" si="899"/>
        <v>4381</v>
      </c>
      <c r="BD862" s="104">
        <f t="shared" si="899"/>
        <v>4381</v>
      </c>
      <c r="BE862" s="104">
        <f t="shared" si="899"/>
        <v>4381</v>
      </c>
      <c r="BF862" s="104">
        <f t="shared" si="899"/>
        <v>4381</v>
      </c>
      <c r="BG862" s="104">
        <f t="shared" si="899"/>
        <v>4381</v>
      </c>
      <c r="BH862" s="484"/>
    </row>
    <row r="863" spans="1:60" s="49" customFormat="1" hidden="1" outlineLevel="1" x14ac:dyDescent="0.25">
      <c r="A863" s="96" t="s">
        <v>281</v>
      </c>
      <c r="B863" s="209"/>
      <c r="C863" s="39">
        <f t="shared" ref="C863:AH863" si="900">C1048</f>
        <v>0</v>
      </c>
      <c r="D863" s="39">
        <f t="shared" si="900"/>
        <v>0</v>
      </c>
      <c r="E863" s="39">
        <f t="shared" si="900"/>
        <v>0</v>
      </c>
      <c r="F863" s="39">
        <f t="shared" si="900"/>
        <v>0</v>
      </c>
      <c r="G863" s="484">
        <f t="shared" si="900"/>
        <v>0</v>
      </c>
      <c r="H863" s="484">
        <f t="shared" si="900"/>
        <v>0</v>
      </c>
      <c r="I863" s="484">
        <f t="shared" si="900"/>
        <v>0</v>
      </c>
      <c r="J863" s="484">
        <f t="shared" si="900"/>
        <v>0</v>
      </c>
      <c r="K863" s="39">
        <f t="shared" si="900"/>
        <v>0</v>
      </c>
      <c r="L863" s="484">
        <f t="shared" si="900"/>
        <v>0</v>
      </c>
      <c r="M863" s="484">
        <f t="shared" si="900"/>
        <v>0</v>
      </c>
      <c r="N863" s="484">
        <f t="shared" si="900"/>
        <v>0</v>
      </c>
      <c r="O863" s="484">
        <f t="shared" si="900"/>
        <v>0</v>
      </c>
      <c r="P863" s="39">
        <f t="shared" si="900"/>
        <v>0</v>
      </c>
      <c r="Q863" s="484">
        <f t="shared" si="900"/>
        <v>0</v>
      </c>
      <c r="R863" s="484">
        <f t="shared" si="900"/>
        <v>0</v>
      </c>
      <c r="S863" s="484">
        <f t="shared" si="900"/>
        <v>0</v>
      </c>
      <c r="T863" s="484">
        <f t="shared" si="900"/>
        <v>0</v>
      </c>
      <c r="U863" s="39">
        <f t="shared" si="900"/>
        <v>0</v>
      </c>
      <c r="V863" s="484">
        <f t="shared" si="900"/>
        <v>0</v>
      </c>
      <c r="W863" s="484">
        <f t="shared" si="900"/>
        <v>0</v>
      </c>
      <c r="X863" s="484">
        <f t="shared" si="900"/>
        <v>0</v>
      </c>
      <c r="Y863" s="484">
        <f t="shared" si="900"/>
        <v>0</v>
      </c>
      <c r="Z863" s="39">
        <f t="shared" si="900"/>
        <v>0</v>
      </c>
      <c r="AA863" s="484">
        <f t="shared" si="900"/>
        <v>0</v>
      </c>
      <c r="AB863" s="191">
        <f t="shared" si="900"/>
        <v>0</v>
      </c>
      <c r="AC863" s="484">
        <f t="shared" si="900"/>
        <v>0</v>
      </c>
      <c r="AD863" s="484">
        <f t="shared" si="900"/>
        <v>0</v>
      </c>
      <c r="AE863" s="39">
        <f t="shared" si="900"/>
        <v>0</v>
      </c>
      <c r="AF863" s="484">
        <f t="shared" si="900"/>
        <v>0</v>
      </c>
      <c r="AG863" s="191">
        <f t="shared" si="900"/>
        <v>0</v>
      </c>
      <c r="AH863" s="484">
        <f t="shared" si="900"/>
        <v>0</v>
      </c>
      <c r="AI863" s="484">
        <f t="shared" ref="AI863:AY863" si="901">AI1048</f>
        <v>0</v>
      </c>
      <c r="AJ863" s="39">
        <f t="shared" si="901"/>
        <v>0</v>
      </c>
      <c r="AK863" s="484">
        <f t="shared" si="901"/>
        <v>0</v>
      </c>
      <c r="AL863" s="191">
        <f t="shared" si="901"/>
        <v>0</v>
      </c>
      <c r="AM863" s="484">
        <f t="shared" si="901"/>
        <v>0</v>
      </c>
      <c r="AN863" s="484">
        <f t="shared" si="901"/>
        <v>0</v>
      </c>
      <c r="AO863" s="39">
        <f t="shared" si="901"/>
        <v>0</v>
      </c>
      <c r="AP863" s="484">
        <f t="shared" si="901"/>
        <v>0</v>
      </c>
      <c r="AQ863" s="191">
        <f t="shared" si="901"/>
        <v>0</v>
      </c>
      <c r="AR863" s="484">
        <f t="shared" si="901"/>
        <v>0</v>
      </c>
      <c r="AS863" s="484">
        <f>AS1048</f>
        <v>0</v>
      </c>
      <c r="AT863" s="39">
        <f>AT1048</f>
        <v>0</v>
      </c>
      <c r="AU863" s="484">
        <f>AU1048</f>
        <v>0</v>
      </c>
      <c r="AV863" s="191">
        <f>AV1048</f>
        <v>0</v>
      </c>
      <c r="AW863" s="289">
        <f>AW1048</f>
        <v>0</v>
      </c>
      <c r="AX863" s="484">
        <f t="shared" si="901"/>
        <v>0</v>
      </c>
      <c r="AY863" s="39">
        <f t="shared" si="901"/>
        <v>0</v>
      </c>
      <c r="AZ863" s="484">
        <f t="shared" ref="AZ863:BG863" si="902">AZ1048</f>
        <v>0</v>
      </c>
      <c r="BA863" s="484">
        <f t="shared" si="902"/>
        <v>0</v>
      </c>
      <c r="BB863" s="484">
        <f t="shared" si="902"/>
        <v>0</v>
      </c>
      <c r="BC863" s="484">
        <f t="shared" si="902"/>
        <v>0</v>
      </c>
      <c r="BD863" s="39">
        <f t="shared" si="902"/>
        <v>0</v>
      </c>
      <c r="BE863" s="39">
        <f t="shared" si="902"/>
        <v>0</v>
      </c>
      <c r="BF863" s="39">
        <f t="shared" si="902"/>
        <v>0</v>
      </c>
      <c r="BG863" s="39">
        <f t="shared" si="902"/>
        <v>0</v>
      </c>
      <c r="BH863" s="484"/>
    </row>
    <row r="864" spans="1:60" s="49" customFormat="1" hidden="1" outlineLevel="1" x14ac:dyDescent="0.25">
      <c r="A864" s="96" t="s">
        <v>282</v>
      </c>
      <c r="B864" s="209"/>
      <c r="C864" s="39">
        <f t="shared" ref="C864:AH864" si="903">C1043</f>
        <v>0</v>
      </c>
      <c r="D864" s="39">
        <f t="shared" si="903"/>
        <v>0</v>
      </c>
      <c r="E864" s="39">
        <f t="shared" si="903"/>
        <v>0</v>
      </c>
      <c r="F864" s="39">
        <f t="shared" si="903"/>
        <v>0</v>
      </c>
      <c r="G864" s="484">
        <f t="shared" si="903"/>
        <v>0</v>
      </c>
      <c r="H864" s="484">
        <f t="shared" si="903"/>
        <v>0</v>
      </c>
      <c r="I864" s="484">
        <f t="shared" si="903"/>
        <v>0</v>
      </c>
      <c r="J864" s="484">
        <f t="shared" si="903"/>
        <v>0</v>
      </c>
      <c r="K864" s="39">
        <f t="shared" si="903"/>
        <v>0</v>
      </c>
      <c r="L864" s="484">
        <f t="shared" si="903"/>
        <v>0</v>
      </c>
      <c r="M864" s="484">
        <f t="shared" si="903"/>
        <v>0</v>
      </c>
      <c r="N864" s="484">
        <f t="shared" si="903"/>
        <v>0</v>
      </c>
      <c r="O864" s="484">
        <f t="shared" si="903"/>
        <v>0</v>
      </c>
      <c r="P864" s="39">
        <f t="shared" si="903"/>
        <v>0</v>
      </c>
      <c r="Q864" s="484">
        <f t="shared" si="903"/>
        <v>0</v>
      </c>
      <c r="R864" s="484">
        <f t="shared" si="903"/>
        <v>0</v>
      </c>
      <c r="S864" s="484">
        <f t="shared" si="903"/>
        <v>0</v>
      </c>
      <c r="T864" s="484">
        <f t="shared" si="903"/>
        <v>0</v>
      </c>
      <c r="U864" s="39">
        <f t="shared" si="903"/>
        <v>0</v>
      </c>
      <c r="V864" s="484">
        <f t="shared" si="903"/>
        <v>0</v>
      </c>
      <c r="W864" s="484">
        <f t="shared" si="903"/>
        <v>0</v>
      </c>
      <c r="X864" s="484">
        <f t="shared" si="903"/>
        <v>0</v>
      </c>
      <c r="Y864" s="484">
        <f t="shared" si="903"/>
        <v>0</v>
      </c>
      <c r="Z864" s="39">
        <f t="shared" si="903"/>
        <v>0</v>
      </c>
      <c r="AA864" s="484">
        <f t="shared" si="903"/>
        <v>0</v>
      </c>
      <c r="AB864" s="191">
        <f t="shared" si="903"/>
        <v>0</v>
      </c>
      <c r="AC864" s="484">
        <f t="shared" si="903"/>
        <v>0</v>
      </c>
      <c r="AD864" s="484">
        <f t="shared" si="903"/>
        <v>1148</v>
      </c>
      <c r="AE864" s="39">
        <f t="shared" si="903"/>
        <v>1148</v>
      </c>
      <c r="AF864" s="484">
        <f t="shared" si="903"/>
        <v>1142</v>
      </c>
      <c r="AG864" s="191">
        <f t="shared" si="903"/>
        <v>1150</v>
      </c>
      <c r="AH864" s="484">
        <f t="shared" si="903"/>
        <v>1137</v>
      </c>
      <c r="AI864" s="484">
        <f t="shared" ref="AI864:AY864" si="904">AI1043</f>
        <v>1123</v>
      </c>
      <c r="AJ864" s="39">
        <f t="shared" si="904"/>
        <v>1123</v>
      </c>
      <c r="AK864" s="484">
        <f t="shared" si="904"/>
        <v>1124</v>
      </c>
      <c r="AL864" s="191">
        <f t="shared" si="904"/>
        <v>1103</v>
      </c>
      <c r="AM864" s="484">
        <f t="shared" si="904"/>
        <v>8897</v>
      </c>
      <c r="AN864" s="484">
        <f t="shared" si="904"/>
        <v>8963</v>
      </c>
      <c r="AO864" s="39">
        <f t="shared" si="904"/>
        <v>8963</v>
      </c>
      <c r="AP864" s="484">
        <f t="shared" si="904"/>
        <v>9029</v>
      </c>
      <c r="AQ864" s="191">
        <f t="shared" si="904"/>
        <v>9096</v>
      </c>
      <c r="AR864" s="484">
        <f t="shared" si="904"/>
        <v>9162</v>
      </c>
      <c r="AS864" s="484">
        <f>AS1043</f>
        <v>9249</v>
      </c>
      <c r="AT864" s="39">
        <f>AT1043</f>
        <v>9249</v>
      </c>
      <c r="AU864" s="484">
        <f>AU1043</f>
        <v>9330</v>
      </c>
      <c r="AV864" s="191">
        <f>AV1043</f>
        <v>9410</v>
      </c>
      <c r="AW864" s="289">
        <f>AW1043</f>
        <v>9492</v>
      </c>
      <c r="AX864" s="484">
        <f t="shared" si="904"/>
        <v>9492</v>
      </c>
      <c r="AY864" s="39">
        <f t="shared" si="904"/>
        <v>9492</v>
      </c>
      <c r="AZ864" s="484">
        <f t="shared" ref="AZ864:BG864" si="905">AZ1043</f>
        <v>9492</v>
      </c>
      <c r="BA864" s="484">
        <f t="shared" si="905"/>
        <v>9492</v>
      </c>
      <c r="BB864" s="484">
        <f t="shared" si="905"/>
        <v>9492</v>
      </c>
      <c r="BC864" s="484">
        <f t="shared" si="905"/>
        <v>9492</v>
      </c>
      <c r="BD864" s="39">
        <f t="shared" si="905"/>
        <v>9492</v>
      </c>
      <c r="BE864" s="39">
        <f t="shared" si="905"/>
        <v>9492</v>
      </c>
      <c r="BF864" s="39">
        <f t="shared" si="905"/>
        <v>9492</v>
      </c>
      <c r="BG864" s="39">
        <f t="shared" si="905"/>
        <v>9492</v>
      </c>
      <c r="BH864" s="484"/>
    </row>
    <row r="865" spans="1:60" s="40" customFormat="1" collapsed="1" x14ac:dyDescent="0.25">
      <c r="A865" s="818"/>
      <c r="B865" s="787"/>
      <c r="C865" s="990"/>
      <c r="D865" s="990"/>
      <c r="E865" s="990"/>
      <c r="F865" s="990"/>
      <c r="G865" s="991"/>
      <c r="H865" s="991"/>
      <c r="I865" s="991"/>
      <c r="J865" s="991"/>
      <c r="K865" s="990"/>
      <c r="L865" s="991"/>
      <c r="M865" s="991"/>
      <c r="N865" s="991"/>
      <c r="O865" s="991"/>
      <c r="P865" s="990"/>
      <c r="Q865" s="991"/>
      <c r="R865" s="991"/>
      <c r="S865" s="991"/>
      <c r="T865" s="991"/>
      <c r="U865" s="990"/>
      <c r="V865" s="991"/>
      <c r="W865" s="991"/>
      <c r="X865" s="991"/>
      <c r="Y865" s="991"/>
      <c r="Z865" s="990"/>
      <c r="AA865" s="991"/>
      <c r="AB865" s="991"/>
      <c r="AC865" s="991"/>
      <c r="AD865" s="991"/>
      <c r="AE865" s="990"/>
      <c r="AF865" s="991"/>
      <c r="AG865" s="991"/>
      <c r="AH865" s="991"/>
      <c r="AI865" s="991"/>
      <c r="AJ865" s="990"/>
      <c r="AK865" s="991"/>
      <c r="AL865" s="991"/>
      <c r="AM865" s="991"/>
      <c r="AN865" s="991"/>
      <c r="AO865" s="990"/>
      <c r="AP865" s="991"/>
      <c r="AQ865" s="991"/>
      <c r="AR865" s="991"/>
      <c r="AS865" s="991"/>
      <c r="AT865" s="990"/>
      <c r="AU865" s="991"/>
      <c r="AV865" s="991"/>
      <c r="AW865" s="992"/>
      <c r="AX865" s="991"/>
      <c r="AY865" s="990"/>
      <c r="AZ865" s="991"/>
      <c r="BA865" s="991"/>
      <c r="BB865" s="991"/>
      <c r="BC865" s="991"/>
      <c r="BD865" s="990"/>
      <c r="BE865" s="990"/>
      <c r="BF865" s="990"/>
      <c r="BG865" s="990"/>
      <c r="BH865" s="728"/>
    </row>
    <row r="866" spans="1:60" s="19" customFormat="1" x14ac:dyDescent="0.25">
      <c r="A866" s="956" t="s">
        <v>283</v>
      </c>
      <c r="B866" s="956"/>
      <c r="C866" s="986"/>
      <c r="D866" s="986"/>
      <c r="E866" s="986"/>
      <c r="F866" s="986"/>
      <c r="G866" s="986"/>
      <c r="H866" s="986"/>
      <c r="I866" s="986"/>
      <c r="J866" s="986"/>
      <c r="K866" s="986"/>
      <c r="L866" s="986"/>
      <c r="M866" s="986"/>
      <c r="N866" s="986"/>
      <c r="O866" s="986"/>
      <c r="P866" s="986"/>
      <c r="Q866" s="986"/>
      <c r="R866" s="986"/>
      <c r="S866" s="986"/>
      <c r="T866" s="986"/>
      <c r="U866" s="986"/>
      <c r="V866" s="986"/>
      <c r="W866" s="986"/>
      <c r="X866" s="986"/>
      <c r="Y866" s="986"/>
      <c r="Z866" s="986"/>
      <c r="AA866" s="986"/>
      <c r="AB866" s="986"/>
      <c r="AC866" s="986"/>
      <c r="AD866" s="986"/>
      <c r="AE866" s="986"/>
      <c r="AF866" s="986"/>
      <c r="AG866" s="986"/>
      <c r="AH866" s="986"/>
      <c r="AI866" s="986"/>
      <c r="AJ866" s="986"/>
      <c r="AK866" s="986"/>
      <c r="AL866" s="986"/>
      <c r="AM866" s="986"/>
      <c r="AN866" s="986"/>
      <c r="AO866" s="986"/>
      <c r="AP866" s="986"/>
      <c r="AQ866" s="986"/>
      <c r="AR866" s="986"/>
      <c r="AS866" s="986"/>
      <c r="AT866" s="986"/>
      <c r="AU866" s="986"/>
      <c r="AV866" s="986"/>
      <c r="AW866" s="987"/>
      <c r="AX866" s="986"/>
      <c r="AY866" s="986"/>
      <c r="AZ866" s="986"/>
      <c r="BA866" s="986"/>
      <c r="BB866" s="986"/>
      <c r="BC866" s="986"/>
      <c r="BD866" s="986"/>
      <c r="BE866" s="986"/>
      <c r="BF866" s="986"/>
      <c r="BG866" s="986"/>
      <c r="BH866" s="730"/>
    </row>
    <row r="867" spans="1:60" s="52" customFormat="1" hidden="1" outlineLevel="1" x14ac:dyDescent="0.25">
      <c r="A867" s="501" t="s">
        <v>284</v>
      </c>
      <c r="B867" s="602"/>
      <c r="C867" s="111"/>
      <c r="D867" s="111"/>
      <c r="E867" s="111"/>
      <c r="F867" s="111"/>
      <c r="G867" s="114"/>
      <c r="H867" s="114"/>
      <c r="I867" s="114"/>
      <c r="J867" s="114"/>
      <c r="K867" s="111"/>
      <c r="L867" s="114"/>
      <c r="M867" s="114"/>
      <c r="N867" s="114"/>
      <c r="O867" s="114"/>
      <c r="P867" s="111"/>
      <c r="Q867" s="114"/>
      <c r="R867" s="114"/>
      <c r="S867" s="114"/>
      <c r="T867" s="114"/>
      <c r="U867" s="111"/>
      <c r="V867" s="114"/>
      <c r="W867" s="114"/>
      <c r="X867" s="114"/>
      <c r="Y867" s="114"/>
      <c r="Z867" s="111"/>
      <c r="AA867" s="114"/>
      <c r="AB867" s="114"/>
      <c r="AC867" s="114"/>
      <c r="AD867" s="114"/>
      <c r="AE867" s="111"/>
      <c r="AF867" s="114"/>
      <c r="AG867" s="114"/>
      <c r="AH867" s="114"/>
      <c r="AI867" s="114"/>
      <c r="AJ867" s="111"/>
      <c r="AK867" s="114"/>
      <c r="AL867" s="114"/>
      <c r="AM867" s="114"/>
      <c r="AN867" s="114"/>
      <c r="AO867" s="111"/>
      <c r="AP867" s="114"/>
      <c r="AQ867" s="114"/>
      <c r="AR867" s="114"/>
      <c r="AS867" s="114"/>
      <c r="AT867" s="111"/>
      <c r="AU867" s="114"/>
      <c r="AV867" s="114"/>
      <c r="AW867" s="765"/>
      <c r="AX867" s="114"/>
      <c r="AY867" s="111"/>
      <c r="AZ867" s="114"/>
      <c r="BA867" s="114"/>
      <c r="BB867" s="114"/>
      <c r="BC867" s="114"/>
      <c r="BD867" s="111"/>
      <c r="BE867" s="111"/>
      <c r="BF867" s="111"/>
      <c r="BG867" s="111"/>
      <c r="BH867" s="499"/>
    </row>
    <row r="868" spans="1:60" s="49" customFormat="1" hidden="1" outlineLevel="1" x14ac:dyDescent="0.25">
      <c r="A868" s="483" t="s">
        <v>203</v>
      </c>
      <c r="B868" s="209"/>
      <c r="C868" s="39">
        <v>3609</v>
      </c>
      <c r="D868" s="39">
        <v>4313</v>
      </c>
      <c r="E868" s="39">
        <v>5258</v>
      </c>
      <c r="F868" s="39">
        <v>6173</v>
      </c>
      <c r="G868" s="484">
        <v>1438</v>
      </c>
      <c r="H868" s="484">
        <v>3059</v>
      </c>
      <c r="I868" s="484">
        <v>5093</v>
      </c>
      <c r="J868" s="484">
        <f>K868</f>
        <v>6636</v>
      </c>
      <c r="K868" s="39">
        <v>6636</v>
      </c>
      <c r="L868" s="484">
        <v>1904</v>
      </c>
      <c r="M868" s="484">
        <v>3960</v>
      </c>
      <c r="N868" s="484">
        <v>6379</v>
      </c>
      <c r="O868" s="484">
        <f>P868</f>
        <v>8004</v>
      </c>
      <c r="P868" s="39">
        <v>8004</v>
      </c>
      <c r="Q868" s="484">
        <v>2244</v>
      </c>
      <c r="R868" s="484">
        <v>4472</v>
      </c>
      <c r="S868" s="484">
        <v>7111</v>
      </c>
      <c r="T868" s="484">
        <f>U868</f>
        <v>8852</v>
      </c>
      <c r="U868" s="39">
        <v>8852</v>
      </c>
      <c r="V868" s="484">
        <v>2910</v>
      </c>
      <c r="W868" s="484">
        <v>5186</v>
      </c>
      <c r="X868" s="484">
        <v>7898</v>
      </c>
      <c r="Y868" s="484">
        <f>Z868</f>
        <v>9790</v>
      </c>
      <c r="Z868" s="39">
        <v>9790</v>
      </c>
      <c r="AA868" s="484">
        <v>2488</v>
      </c>
      <c r="AB868" s="191">
        <v>5027</v>
      </c>
      <c r="AC868" s="484">
        <v>7501</v>
      </c>
      <c r="AD868" s="484">
        <f>AE868</f>
        <v>9366</v>
      </c>
      <c r="AE868" s="39">
        <v>9366</v>
      </c>
      <c r="AF868" s="484">
        <v>4473</v>
      </c>
      <c r="AG868" s="191">
        <v>7588</v>
      </c>
      <c r="AH868" s="484">
        <v>10647</v>
      </c>
      <c r="AI868" s="484">
        <f>AJ868</f>
        <v>13066</v>
      </c>
      <c r="AJ868" s="39">
        <v>13066</v>
      </c>
      <c r="AK868" s="484">
        <v>2786</v>
      </c>
      <c r="AL868" s="191">
        <v>8376</v>
      </c>
      <c r="AM868" s="484">
        <v>9999</v>
      </c>
      <c r="AN868" s="484">
        <f t="shared" ref="AN868:AN876" si="906">AO868</f>
        <v>10913</v>
      </c>
      <c r="AO868" s="39">
        <v>10913</v>
      </c>
      <c r="AP868" s="484">
        <v>2173</v>
      </c>
      <c r="AQ868" s="191">
        <v>2708</v>
      </c>
      <c r="AR868" s="484">
        <v>-1813</v>
      </c>
      <c r="AS868" s="484">
        <f t="shared" ref="AS868:AS879" si="907">+AT868</f>
        <v>-2442</v>
      </c>
      <c r="AT868" s="39">
        <v>-2442</v>
      </c>
      <c r="AU868" s="484">
        <v>30</v>
      </c>
      <c r="AV868" s="191">
        <v>1152</v>
      </c>
      <c r="AW868" s="289">
        <v>2280</v>
      </c>
      <c r="AX868" s="113">
        <f>AY868</f>
        <v>0</v>
      </c>
      <c r="AY868" s="104"/>
      <c r="AZ868" s="113"/>
      <c r="BA868" s="113"/>
      <c r="BB868" s="113"/>
      <c r="BC868" s="113">
        <f>BD868</f>
        <v>0</v>
      </c>
      <c r="BD868" s="104"/>
      <c r="BE868" s="104"/>
      <c r="BF868" s="104"/>
      <c r="BG868" s="104"/>
      <c r="BH868" s="484"/>
    </row>
    <row r="869" spans="1:60" s="49" customFormat="1" hidden="1" outlineLevel="1" x14ac:dyDescent="0.25">
      <c r="A869" s="483" t="s">
        <v>195</v>
      </c>
      <c r="B869" s="209"/>
      <c r="C869" s="39">
        <v>1631</v>
      </c>
      <c r="D869" s="39">
        <v>1713</v>
      </c>
      <c r="E869" s="39">
        <v>1841</v>
      </c>
      <c r="F869" s="39">
        <v>1987</v>
      </c>
      <c r="G869" s="484">
        <v>514</v>
      </c>
      <c r="H869" s="484">
        <v>1064</v>
      </c>
      <c r="I869" s="484">
        <v>1633</v>
      </c>
      <c r="J869" s="484">
        <f>K869</f>
        <v>2192</v>
      </c>
      <c r="K869" s="39">
        <v>2192</v>
      </c>
      <c r="L869" s="484">
        <v>561</v>
      </c>
      <c r="M869" s="484">
        <v>1141</v>
      </c>
      <c r="N869" s="484">
        <v>1698</v>
      </c>
      <c r="O869" s="484">
        <f>P869</f>
        <v>2288</v>
      </c>
      <c r="P869" s="39">
        <v>2288</v>
      </c>
      <c r="Q869" s="484">
        <v>592</v>
      </c>
      <c r="R869" s="484">
        <v>1176</v>
      </c>
      <c r="S869" s="484">
        <v>1751</v>
      </c>
      <c r="T869" s="484">
        <f>U869</f>
        <v>2354</v>
      </c>
      <c r="U869" s="39">
        <v>2354</v>
      </c>
      <c r="V869" s="484">
        <v>607</v>
      </c>
      <c r="W869" s="484">
        <v>1212</v>
      </c>
      <c r="X869" s="484">
        <v>1838</v>
      </c>
      <c r="Y869" s="484">
        <f>Z869</f>
        <v>2527</v>
      </c>
      <c r="Z869" s="39">
        <v>2527</v>
      </c>
      <c r="AA869" s="484">
        <v>687</v>
      </c>
      <c r="AB869" s="191">
        <v>1363</v>
      </c>
      <c r="AC869" s="484">
        <v>2074</v>
      </c>
      <c r="AD869" s="484">
        <f>AE869</f>
        <v>2782</v>
      </c>
      <c r="AE869" s="39">
        <v>2782</v>
      </c>
      <c r="AF869" s="484">
        <v>742</v>
      </c>
      <c r="AG869" s="191">
        <v>1473</v>
      </c>
      <c r="AH869" s="484">
        <v>2217</v>
      </c>
      <c r="AI869" s="484">
        <f>AJ869</f>
        <v>3011</v>
      </c>
      <c r="AJ869" s="39">
        <v>3011</v>
      </c>
      <c r="AK869" s="484">
        <v>732</v>
      </c>
      <c r="AL869" s="191">
        <v>1560</v>
      </c>
      <c r="AM869" s="484">
        <v>2864</v>
      </c>
      <c r="AN869" s="484">
        <f t="shared" si="906"/>
        <v>4160</v>
      </c>
      <c r="AO869" s="39">
        <v>4160</v>
      </c>
      <c r="AP869" s="484">
        <v>1298</v>
      </c>
      <c r="AQ869" s="191">
        <v>2631</v>
      </c>
      <c r="AR869" s="484">
        <v>4010</v>
      </c>
      <c r="AS869" s="484">
        <f t="shared" si="907"/>
        <v>5345</v>
      </c>
      <c r="AT869" s="39">
        <v>5345</v>
      </c>
      <c r="AU869" s="484">
        <v>1298</v>
      </c>
      <c r="AV869" s="191">
        <v>2570</v>
      </c>
      <c r="AW869" s="289">
        <v>3836</v>
      </c>
      <c r="AX869" s="113">
        <f>AY869</f>
        <v>0</v>
      </c>
      <c r="AY869" s="104"/>
      <c r="AZ869" s="113"/>
      <c r="BA869" s="113"/>
      <c r="BB869" s="113"/>
      <c r="BC869" s="113">
        <f>BD869</f>
        <v>0</v>
      </c>
      <c r="BD869" s="104"/>
      <c r="BE869" s="104"/>
      <c r="BF869" s="104"/>
      <c r="BG869" s="104"/>
      <c r="BH869" s="484"/>
    </row>
    <row r="870" spans="1:60" s="49" customFormat="1" hidden="1" outlineLevel="1" x14ac:dyDescent="0.25">
      <c r="A870" s="483" t="s">
        <v>285</v>
      </c>
      <c r="B870" s="209"/>
      <c r="C870" s="104"/>
      <c r="D870" s="104"/>
      <c r="E870" s="104"/>
      <c r="F870" s="104"/>
      <c r="G870" s="113"/>
      <c r="H870" s="113"/>
      <c r="I870" s="113"/>
      <c r="J870" s="113"/>
      <c r="K870" s="104"/>
      <c r="L870" s="113"/>
      <c r="M870" s="113"/>
      <c r="N870" s="113"/>
      <c r="O870" s="113"/>
      <c r="P870" s="104"/>
      <c r="Q870" s="113"/>
      <c r="R870" s="113"/>
      <c r="S870" s="113"/>
      <c r="T870" s="113"/>
      <c r="U870" s="104"/>
      <c r="V870" s="113"/>
      <c r="W870" s="113"/>
      <c r="X870" s="113"/>
      <c r="Y870" s="113"/>
      <c r="Z870" s="104"/>
      <c r="AA870" s="113"/>
      <c r="AB870" s="113"/>
      <c r="AC870" s="113"/>
      <c r="AD870" s="113"/>
      <c r="AE870" s="104"/>
      <c r="AF870" s="113"/>
      <c r="AG870" s="113"/>
      <c r="AH870" s="113"/>
      <c r="AI870" s="113"/>
      <c r="AJ870" s="104"/>
      <c r="AK870" s="113"/>
      <c r="AL870" s="191">
        <v>-4917</v>
      </c>
      <c r="AM870" s="484">
        <v>-4794</v>
      </c>
      <c r="AN870" s="484">
        <f t="shared" si="906"/>
        <v>-4794</v>
      </c>
      <c r="AO870" s="39">
        <v>-4794</v>
      </c>
      <c r="AP870" s="113"/>
      <c r="AQ870" s="191">
        <v>0</v>
      </c>
      <c r="AR870" s="484">
        <v>-370</v>
      </c>
      <c r="AS870" s="484">
        <f t="shared" si="907"/>
        <v>-920</v>
      </c>
      <c r="AT870" s="39">
        <v>-920</v>
      </c>
      <c r="AU870" s="484">
        <v>-80</v>
      </c>
      <c r="AV870" s="191">
        <v>-481</v>
      </c>
      <c r="AW870" s="289">
        <v>-325</v>
      </c>
      <c r="AX870" s="113"/>
      <c r="AY870" s="104"/>
      <c r="AZ870" s="113"/>
      <c r="BA870" s="113"/>
      <c r="BB870" s="113"/>
      <c r="BC870" s="113"/>
      <c r="BD870" s="104"/>
      <c r="BE870" s="104"/>
      <c r="BF870" s="104"/>
      <c r="BG870" s="104"/>
      <c r="BH870" s="484"/>
    </row>
    <row r="871" spans="1:60" s="49" customFormat="1" hidden="1" outlineLevel="1" x14ac:dyDescent="0.25">
      <c r="A871" s="483" t="s">
        <v>286</v>
      </c>
      <c r="B871" s="209"/>
      <c r="C871" s="39">
        <v>-342</v>
      </c>
      <c r="D871" s="39">
        <v>-118</v>
      </c>
      <c r="E871" s="39">
        <v>-75</v>
      </c>
      <c r="F871" s="39">
        <v>-198</v>
      </c>
      <c r="G871" s="484">
        <v>-219</v>
      </c>
      <c r="H871" s="484">
        <v>-245</v>
      </c>
      <c r="I871" s="484">
        <v>-245</v>
      </c>
      <c r="J871" s="484">
        <f t="shared" ref="J871:J876" si="908">K871</f>
        <v>-325</v>
      </c>
      <c r="K871" s="39">
        <v>-325</v>
      </c>
      <c r="L871" s="484">
        <v>-111</v>
      </c>
      <c r="M871" s="484">
        <v>-280</v>
      </c>
      <c r="N871" s="484">
        <v>-285</v>
      </c>
      <c r="O871" s="484">
        <f t="shared" ref="O871:O876" si="909">P871</f>
        <v>-299</v>
      </c>
      <c r="P871" s="39">
        <v>-299</v>
      </c>
      <c r="Q871" s="484">
        <v>0</v>
      </c>
      <c r="R871" s="484">
        <v>-56</v>
      </c>
      <c r="S871" s="484">
        <v>-89</v>
      </c>
      <c r="T871" s="484">
        <f t="shared" ref="T871:T876" si="910">U871</f>
        <v>-91</v>
      </c>
      <c r="U871" s="39">
        <v>-91</v>
      </c>
      <c r="V871" s="484">
        <v>-27</v>
      </c>
      <c r="W871" s="484">
        <v>-27</v>
      </c>
      <c r="X871" s="484">
        <v>-27</v>
      </c>
      <c r="Y871" s="484">
        <f t="shared" ref="Y871:Y876" si="911">Z871</f>
        <v>-26</v>
      </c>
      <c r="Z871" s="39">
        <v>-26</v>
      </c>
      <c r="AA871" s="113"/>
      <c r="AB871" s="113"/>
      <c r="AC871" s="113"/>
      <c r="AD871" s="484">
        <f t="shared" ref="AD871:AD876" si="912">AE871</f>
        <v>-289</v>
      </c>
      <c r="AE871" s="39">
        <v>-289</v>
      </c>
      <c r="AF871" s="113"/>
      <c r="AG871" s="113"/>
      <c r="AH871" s="113"/>
      <c r="AI871" s="484">
        <f t="shared" ref="AI871:AI876" si="913">AJ871</f>
        <v>-560</v>
      </c>
      <c r="AJ871" s="39">
        <v>-560</v>
      </c>
      <c r="AK871" s="113"/>
      <c r="AL871" s="113"/>
      <c r="AM871" s="113"/>
      <c r="AN871" s="484">
        <f t="shared" si="906"/>
        <v>0</v>
      </c>
      <c r="AO871" s="104"/>
      <c r="AP871" s="113"/>
      <c r="AQ871" s="113"/>
      <c r="AR871" s="113"/>
      <c r="AS871" s="484">
        <f t="shared" si="907"/>
        <v>0</v>
      </c>
      <c r="AT871" s="104"/>
      <c r="AU871" s="113"/>
      <c r="AV871" s="113"/>
      <c r="AW871" s="699"/>
      <c r="AX871" s="113">
        <f t="shared" ref="AX871:AX876" si="914">AY871</f>
        <v>0</v>
      </c>
      <c r="AY871" s="104"/>
      <c r="AZ871" s="113"/>
      <c r="BA871" s="113"/>
      <c r="BB871" s="113"/>
      <c r="BC871" s="113">
        <f t="shared" ref="BC871:BC876" si="915">BD871</f>
        <v>0</v>
      </c>
      <c r="BD871" s="104"/>
      <c r="BE871" s="104"/>
      <c r="BF871" s="104"/>
      <c r="BG871" s="104"/>
      <c r="BH871" s="484"/>
    </row>
    <row r="872" spans="1:60" s="49" customFormat="1" hidden="1" outlineLevel="1" x14ac:dyDescent="0.25">
      <c r="A872" s="483" t="s">
        <v>287</v>
      </c>
      <c r="B872" s="209"/>
      <c r="C872" s="39">
        <v>323</v>
      </c>
      <c r="D872" s="39">
        <v>133</v>
      </c>
      <c r="E872" s="39">
        <v>127</v>
      </c>
      <c r="F872" s="39">
        <v>472</v>
      </c>
      <c r="G872" s="484">
        <v>-236</v>
      </c>
      <c r="H872" s="484">
        <v>-247</v>
      </c>
      <c r="I872" s="484">
        <v>163</v>
      </c>
      <c r="J872" s="484">
        <f t="shared" si="908"/>
        <v>92</v>
      </c>
      <c r="K872" s="39">
        <v>92</v>
      </c>
      <c r="L872" s="484">
        <v>-85</v>
      </c>
      <c r="M872" s="484">
        <v>176</v>
      </c>
      <c r="N872" s="484">
        <v>304</v>
      </c>
      <c r="O872" s="484">
        <f t="shared" si="909"/>
        <v>517</v>
      </c>
      <c r="P872" s="39">
        <v>517</v>
      </c>
      <c r="Q872" s="484">
        <v>290</v>
      </c>
      <c r="R872" s="484">
        <v>202</v>
      </c>
      <c r="S872" s="484">
        <v>-167</v>
      </c>
      <c r="T872" s="484">
        <f t="shared" si="910"/>
        <v>-102</v>
      </c>
      <c r="U872" s="39">
        <v>-102</v>
      </c>
      <c r="V872" s="484">
        <v>551</v>
      </c>
      <c r="W872" s="484">
        <v>797</v>
      </c>
      <c r="X872" s="484">
        <v>885</v>
      </c>
      <c r="Y872" s="484">
        <f t="shared" si="911"/>
        <v>1214</v>
      </c>
      <c r="Z872" s="39">
        <v>1214</v>
      </c>
      <c r="AA872" s="484">
        <v>-76</v>
      </c>
      <c r="AB872" s="191">
        <v>126</v>
      </c>
      <c r="AC872" s="484">
        <v>294</v>
      </c>
      <c r="AD872" s="484">
        <f t="shared" si="912"/>
        <v>334</v>
      </c>
      <c r="AE872" s="39">
        <v>334</v>
      </c>
      <c r="AF872" s="484">
        <v>-1726</v>
      </c>
      <c r="AG872" s="191">
        <v>-1623</v>
      </c>
      <c r="AH872" s="484">
        <v>-1411</v>
      </c>
      <c r="AI872" s="484">
        <f t="shared" si="913"/>
        <v>-1573</v>
      </c>
      <c r="AJ872" s="39">
        <v>-1573</v>
      </c>
      <c r="AK872" s="484">
        <v>46</v>
      </c>
      <c r="AL872" s="191">
        <v>1190</v>
      </c>
      <c r="AM872" s="484">
        <v>1716</v>
      </c>
      <c r="AN872" s="484">
        <f t="shared" si="906"/>
        <v>117</v>
      </c>
      <c r="AO872" s="39">
        <v>117</v>
      </c>
      <c r="AP872" s="484">
        <v>534</v>
      </c>
      <c r="AQ872" s="191">
        <v>297</v>
      </c>
      <c r="AR872" s="484">
        <v>-548</v>
      </c>
      <c r="AS872" s="484">
        <f t="shared" si="907"/>
        <v>-392</v>
      </c>
      <c r="AT872" s="39">
        <v>-392</v>
      </c>
      <c r="AU872" s="484">
        <v>-105</v>
      </c>
      <c r="AV872" s="191">
        <v>-556</v>
      </c>
      <c r="AW872" s="289">
        <v>-749</v>
      </c>
      <c r="AX872" s="113">
        <f t="shared" si="914"/>
        <v>0</v>
      </c>
      <c r="AY872" s="104"/>
      <c r="AZ872" s="113"/>
      <c r="BA872" s="113"/>
      <c r="BB872" s="113"/>
      <c r="BC872" s="113">
        <f t="shared" si="915"/>
        <v>0</v>
      </c>
      <c r="BD872" s="104"/>
      <c r="BE872" s="104"/>
      <c r="BF872" s="104"/>
      <c r="BG872" s="104"/>
      <c r="BH872" s="484"/>
    </row>
    <row r="873" spans="1:60" s="49" customFormat="1" hidden="1" outlineLevel="1" x14ac:dyDescent="0.25">
      <c r="A873" s="483" t="s">
        <v>200</v>
      </c>
      <c r="B873" s="209"/>
      <c r="C873" s="39">
        <v>-577</v>
      </c>
      <c r="D873" s="39">
        <v>-440</v>
      </c>
      <c r="E873" s="39">
        <v>-585</v>
      </c>
      <c r="F873" s="39">
        <v>-627</v>
      </c>
      <c r="G873" s="484">
        <v>-110</v>
      </c>
      <c r="H873" s="484">
        <v>-295</v>
      </c>
      <c r="I873" s="484">
        <v>-527</v>
      </c>
      <c r="J873" s="484">
        <f t="shared" si="908"/>
        <v>-688</v>
      </c>
      <c r="K873" s="39">
        <v>-688</v>
      </c>
      <c r="L873" s="484">
        <v>-239</v>
      </c>
      <c r="M873" s="484">
        <v>-456</v>
      </c>
      <c r="N873" s="484">
        <v>-678</v>
      </c>
      <c r="O873" s="484">
        <f t="shared" si="909"/>
        <v>-854</v>
      </c>
      <c r="P873" s="39">
        <v>-854</v>
      </c>
      <c r="Q873" s="484">
        <v>-212</v>
      </c>
      <c r="R873" s="484">
        <v>-418</v>
      </c>
      <c r="S873" s="484">
        <v>-630</v>
      </c>
      <c r="T873" s="484">
        <f t="shared" si="910"/>
        <v>-814</v>
      </c>
      <c r="U873" s="39">
        <v>-814</v>
      </c>
      <c r="V873" s="484">
        <v>-474</v>
      </c>
      <c r="W873" s="484">
        <v>-624</v>
      </c>
      <c r="X873" s="484">
        <v>-776</v>
      </c>
      <c r="Y873" s="484">
        <f t="shared" si="911"/>
        <v>-926</v>
      </c>
      <c r="Z873" s="39">
        <v>-926</v>
      </c>
      <c r="AA873" s="484">
        <v>-118</v>
      </c>
      <c r="AB873" s="191">
        <v>-203</v>
      </c>
      <c r="AC873" s="484">
        <v>-327</v>
      </c>
      <c r="AD873" s="484">
        <f t="shared" si="912"/>
        <v>-320</v>
      </c>
      <c r="AE873" s="39">
        <v>-320</v>
      </c>
      <c r="AF873" s="484">
        <v>-43</v>
      </c>
      <c r="AG873" s="191">
        <v>-49</v>
      </c>
      <c r="AH873" s="484">
        <v>-122</v>
      </c>
      <c r="AI873" s="484">
        <f t="shared" si="913"/>
        <v>102</v>
      </c>
      <c r="AJ873" s="39">
        <v>102</v>
      </c>
      <c r="AK873" s="484">
        <v>-76</v>
      </c>
      <c r="AL873" s="191">
        <v>236</v>
      </c>
      <c r="AM873" s="484">
        <v>234</v>
      </c>
      <c r="AN873" s="484">
        <f t="shared" si="906"/>
        <v>103</v>
      </c>
      <c r="AO873" s="39">
        <v>103</v>
      </c>
      <c r="AP873" s="484">
        <v>-224</v>
      </c>
      <c r="AQ873" s="191">
        <v>-359</v>
      </c>
      <c r="AR873" s="484">
        <v>-545</v>
      </c>
      <c r="AS873" s="484">
        <f t="shared" si="907"/>
        <v>-651</v>
      </c>
      <c r="AT873" s="39">
        <v>-651</v>
      </c>
      <c r="AU873" s="484">
        <v>-224</v>
      </c>
      <c r="AV873" s="191">
        <v>-437</v>
      </c>
      <c r="AW873" s="289">
        <v>-648</v>
      </c>
      <c r="AX873" s="113">
        <f t="shared" si="914"/>
        <v>0</v>
      </c>
      <c r="AY873" s="104"/>
      <c r="AZ873" s="113"/>
      <c r="BA873" s="113"/>
      <c r="BB873" s="113"/>
      <c r="BC873" s="113">
        <f t="shared" si="915"/>
        <v>0</v>
      </c>
      <c r="BD873" s="104"/>
      <c r="BE873" s="104"/>
      <c r="BF873" s="104"/>
      <c r="BG873" s="104"/>
      <c r="BH873" s="484"/>
    </row>
    <row r="874" spans="1:60" s="49" customFormat="1" hidden="1" outlineLevel="1" x14ac:dyDescent="0.25">
      <c r="A874" s="483" t="s">
        <v>288</v>
      </c>
      <c r="B874" s="209"/>
      <c r="C874" s="39">
        <v>505</v>
      </c>
      <c r="D874" s="39">
        <v>473</v>
      </c>
      <c r="E874" s="39">
        <v>608</v>
      </c>
      <c r="F874" s="39">
        <v>663</v>
      </c>
      <c r="G874" s="484">
        <v>192</v>
      </c>
      <c r="H874" s="484">
        <v>367</v>
      </c>
      <c r="I874" s="484">
        <v>526</v>
      </c>
      <c r="J874" s="484">
        <f t="shared" si="908"/>
        <v>694</v>
      </c>
      <c r="K874" s="39">
        <v>694</v>
      </c>
      <c r="L874" s="484">
        <v>187</v>
      </c>
      <c r="M874" s="484">
        <v>361</v>
      </c>
      <c r="N874" s="484">
        <v>538</v>
      </c>
      <c r="O874" s="484">
        <f t="shared" si="909"/>
        <v>718</v>
      </c>
      <c r="P874" s="39">
        <v>718</v>
      </c>
      <c r="Q874" s="484">
        <v>197</v>
      </c>
      <c r="R874" s="484">
        <v>349</v>
      </c>
      <c r="S874" s="484">
        <v>553</v>
      </c>
      <c r="T874" s="484">
        <f t="shared" si="910"/>
        <v>752</v>
      </c>
      <c r="U874" s="39">
        <v>752</v>
      </c>
      <c r="V874" s="484">
        <v>206</v>
      </c>
      <c r="W874" s="484">
        <v>383</v>
      </c>
      <c r="X874" s="484">
        <v>594</v>
      </c>
      <c r="Y874" s="484">
        <f t="shared" si="911"/>
        <v>799</v>
      </c>
      <c r="Z874" s="39">
        <v>799</v>
      </c>
      <c r="AA874" s="484">
        <v>203</v>
      </c>
      <c r="AB874" s="191">
        <v>397</v>
      </c>
      <c r="AC874" s="484">
        <v>584</v>
      </c>
      <c r="AD874" s="484">
        <f t="shared" si="912"/>
        <v>788</v>
      </c>
      <c r="AE874" s="39">
        <v>788</v>
      </c>
      <c r="AF874" s="484">
        <v>170</v>
      </c>
      <c r="AG874" s="191">
        <v>389</v>
      </c>
      <c r="AH874" s="484">
        <v>587</v>
      </c>
      <c r="AI874" s="484">
        <f t="shared" si="913"/>
        <v>775</v>
      </c>
      <c r="AJ874" s="39">
        <v>775</v>
      </c>
      <c r="AK874" s="484">
        <v>170</v>
      </c>
      <c r="AL874" s="191">
        <v>370</v>
      </c>
      <c r="AM874" s="484">
        <v>548</v>
      </c>
      <c r="AN874" s="484">
        <f t="shared" si="906"/>
        <v>754</v>
      </c>
      <c r="AO874" s="39">
        <v>754</v>
      </c>
      <c r="AP874" s="484">
        <v>219</v>
      </c>
      <c r="AQ874" s="191">
        <v>405</v>
      </c>
      <c r="AR874" s="484">
        <v>567</v>
      </c>
      <c r="AS874" s="484">
        <f t="shared" si="907"/>
        <v>774</v>
      </c>
      <c r="AT874" s="39">
        <v>774</v>
      </c>
      <c r="AU874" s="484">
        <v>193</v>
      </c>
      <c r="AV874" s="191">
        <v>372</v>
      </c>
      <c r="AW874" s="289">
        <v>546</v>
      </c>
      <c r="AX874" s="113">
        <f t="shared" si="914"/>
        <v>0</v>
      </c>
      <c r="AY874" s="104"/>
      <c r="AZ874" s="113"/>
      <c r="BA874" s="113"/>
      <c r="BB874" s="113"/>
      <c r="BC874" s="113">
        <f t="shared" si="915"/>
        <v>0</v>
      </c>
      <c r="BD874" s="104"/>
      <c r="BE874" s="104"/>
      <c r="BF874" s="104"/>
      <c r="BG874" s="104"/>
      <c r="BH874" s="484"/>
    </row>
    <row r="875" spans="1:60" s="49" customFormat="1" hidden="1" outlineLevel="1" x14ac:dyDescent="0.25">
      <c r="A875" s="483" t="s">
        <v>289</v>
      </c>
      <c r="B875" s="209"/>
      <c r="C875" s="39">
        <v>-43</v>
      </c>
      <c r="D875" s="39">
        <v>238</v>
      </c>
      <c r="E875" s="39">
        <v>332</v>
      </c>
      <c r="F875" s="39">
        <v>-52</v>
      </c>
      <c r="G875" s="484">
        <v>-187</v>
      </c>
      <c r="H875" s="484">
        <v>-571</v>
      </c>
      <c r="I875" s="484">
        <v>-357</v>
      </c>
      <c r="J875" s="484">
        <f t="shared" si="908"/>
        <v>-49</v>
      </c>
      <c r="K875" s="39">
        <v>-49</v>
      </c>
      <c r="L875" s="484">
        <v>-299</v>
      </c>
      <c r="M875" s="484">
        <v>-663</v>
      </c>
      <c r="N875" s="484">
        <v>-993</v>
      </c>
      <c r="O875" s="484">
        <f t="shared" si="909"/>
        <v>-964</v>
      </c>
      <c r="P875" s="39">
        <v>-964</v>
      </c>
      <c r="Q875" s="484">
        <v>114</v>
      </c>
      <c r="R875" s="484">
        <v>-33</v>
      </c>
      <c r="S875" s="484">
        <v>-623</v>
      </c>
      <c r="T875" s="484">
        <f t="shared" si="910"/>
        <v>-922</v>
      </c>
      <c r="U875" s="39">
        <v>-922</v>
      </c>
      <c r="V875" s="484">
        <v>705</v>
      </c>
      <c r="W875" s="484">
        <v>35</v>
      </c>
      <c r="X875" s="484">
        <v>-224</v>
      </c>
      <c r="Y875" s="484">
        <f t="shared" si="911"/>
        <v>-101</v>
      </c>
      <c r="Z875" s="39">
        <v>-101</v>
      </c>
      <c r="AA875" s="484">
        <v>440</v>
      </c>
      <c r="AB875" s="191">
        <v>-428</v>
      </c>
      <c r="AC875" s="484">
        <v>-745</v>
      </c>
      <c r="AD875" s="484">
        <f t="shared" si="912"/>
        <v>-1075</v>
      </c>
      <c r="AE875" s="39">
        <v>-1075</v>
      </c>
      <c r="AF875" s="484">
        <v>34</v>
      </c>
      <c r="AG875" s="191">
        <v>-490</v>
      </c>
      <c r="AH875" s="484">
        <v>-601</v>
      </c>
      <c r="AI875" s="484">
        <f t="shared" si="913"/>
        <v>-523</v>
      </c>
      <c r="AJ875" s="39">
        <v>-523</v>
      </c>
      <c r="AK875" s="484">
        <v>468</v>
      </c>
      <c r="AL875" s="191">
        <v>-281</v>
      </c>
      <c r="AM875" s="484">
        <v>59</v>
      </c>
      <c r="AN875" s="484">
        <f t="shared" si="906"/>
        <v>-542</v>
      </c>
      <c r="AO875" s="39">
        <v>-542</v>
      </c>
      <c r="AP875" s="484">
        <v>-77</v>
      </c>
      <c r="AQ875" s="191">
        <v>-925</v>
      </c>
      <c r="AR875" s="484">
        <v>-1483</v>
      </c>
      <c r="AS875" s="484">
        <f t="shared" si="907"/>
        <v>397</v>
      </c>
      <c r="AT875" s="39">
        <v>397</v>
      </c>
      <c r="AU875" s="484">
        <v>771</v>
      </c>
      <c r="AV875" s="191">
        <v>-1685</v>
      </c>
      <c r="AW875" s="289">
        <v>-3192</v>
      </c>
      <c r="AX875" s="113">
        <f t="shared" si="914"/>
        <v>0</v>
      </c>
      <c r="AY875" s="104"/>
      <c r="AZ875" s="113"/>
      <c r="BA875" s="113"/>
      <c r="BB875" s="113"/>
      <c r="BC875" s="113">
        <f t="shared" si="915"/>
        <v>0</v>
      </c>
      <c r="BD875" s="104"/>
      <c r="BE875" s="104"/>
      <c r="BF875" s="104"/>
      <c r="BG875" s="104"/>
      <c r="BH875" s="484"/>
    </row>
    <row r="876" spans="1:60" s="49" customFormat="1" hidden="1" outlineLevel="1" x14ac:dyDescent="0.25">
      <c r="A876" s="483" t="s">
        <v>290</v>
      </c>
      <c r="B876" s="209"/>
      <c r="C876" s="39">
        <v>361</v>
      </c>
      <c r="D876" s="39">
        <v>391</v>
      </c>
      <c r="E876" s="39">
        <v>423</v>
      </c>
      <c r="F876" s="39">
        <v>408</v>
      </c>
      <c r="G876" s="484">
        <v>100</v>
      </c>
      <c r="H876" s="484">
        <v>208</v>
      </c>
      <c r="I876" s="484">
        <v>305</v>
      </c>
      <c r="J876" s="484">
        <f t="shared" si="908"/>
        <v>402</v>
      </c>
      <c r="K876" s="39">
        <v>402</v>
      </c>
      <c r="L876" s="484">
        <v>96</v>
      </c>
      <c r="M876" s="484">
        <v>208</v>
      </c>
      <c r="N876" s="484">
        <v>308</v>
      </c>
      <c r="O876" s="484">
        <f t="shared" si="909"/>
        <v>408</v>
      </c>
      <c r="P876" s="39">
        <v>408</v>
      </c>
      <c r="Q876" s="484">
        <v>104</v>
      </c>
      <c r="R876" s="484">
        <v>213</v>
      </c>
      <c r="S876" s="484">
        <v>309</v>
      </c>
      <c r="T876" s="484">
        <f t="shared" si="910"/>
        <v>410</v>
      </c>
      <c r="U876" s="39">
        <v>410</v>
      </c>
      <c r="V876" s="484">
        <v>106</v>
      </c>
      <c r="W876" s="484">
        <v>205</v>
      </c>
      <c r="X876" s="484">
        <v>305</v>
      </c>
      <c r="Y876" s="484">
        <f t="shared" si="911"/>
        <v>393</v>
      </c>
      <c r="Z876" s="39">
        <v>393</v>
      </c>
      <c r="AA876" s="484">
        <v>97</v>
      </c>
      <c r="AB876" s="191">
        <v>189</v>
      </c>
      <c r="AC876" s="484">
        <v>278</v>
      </c>
      <c r="AD876" s="484">
        <f t="shared" si="912"/>
        <v>364</v>
      </c>
      <c r="AE876" s="39">
        <v>364</v>
      </c>
      <c r="AF876" s="484">
        <v>94</v>
      </c>
      <c r="AG876" s="191">
        <v>194</v>
      </c>
      <c r="AH876" s="484">
        <v>307</v>
      </c>
      <c r="AI876" s="484">
        <f t="shared" si="913"/>
        <v>393</v>
      </c>
      <c r="AJ876" s="39">
        <v>393</v>
      </c>
      <c r="AK876" s="484">
        <v>92</v>
      </c>
      <c r="AL876" s="191">
        <v>475</v>
      </c>
      <c r="AM876" s="484">
        <v>591</v>
      </c>
      <c r="AN876" s="484">
        <f t="shared" si="906"/>
        <v>711</v>
      </c>
      <c r="AO876" s="39">
        <v>711</v>
      </c>
      <c r="AP876" s="484">
        <v>115</v>
      </c>
      <c r="AQ876" s="191">
        <v>246</v>
      </c>
      <c r="AR876" s="484">
        <v>388</v>
      </c>
      <c r="AS876" s="484">
        <f t="shared" si="907"/>
        <v>525</v>
      </c>
      <c r="AT876" s="39">
        <v>525</v>
      </c>
      <c r="AU876" s="484">
        <v>134</v>
      </c>
      <c r="AV876" s="191">
        <v>270</v>
      </c>
      <c r="AW876" s="289">
        <v>428</v>
      </c>
      <c r="AX876" s="113">
        <f t="shared" si="914"/>
        <v>0</v>
      </c>
      <c r="AY876" s="104"/>
      <c r="AZ876" s="113"/>
      <c r="BA876" s="113"/>
      <c r="BB876" s="113"/>
      <c r="BC876" s="113">
        <f t="shared" si="915"/>
        <v>0</v>
      </c>
      <c r="BD876" s="104"/>
      <c r="BE876" s="104"/>
      <c r="BF876" s="104"/>
      <c r="BG876" s="104"/>
      <c r="BH876" s="484"/>
    </row>
    <row r="877" spans="1:60" s="470" customFormat="1" hidden="1" outlineLevel="1" x14ac:dyDescent="0.25">
      <c r="A877" s="483" t="s">
        <v>654</v>
      </c>
      <c r="B877" s="209"/>
      <c r="C877" s="104"/>
      <c r="D877" s="104"/>
      <c r="E877" s="104"/>
      <c r="F877" s="104"/>
      <c r="G877" s="113"/>
      <c r="H877" s="113"/>
      <c r="I877" s="113"/>
      <c r="J877" s="113"/>
      <c r="K877" s="104"/>
      <c r="L877" s="113"/>
      <c r="M877" s="113"/>
      <c r="N877" s="113"/>
      <c r="O877" s="113"/>
      <c r="P877" s="104"/>
      <c r="Q877" s="113"/>
      <c r="R877" s="113"/>
      <c r="S877" s="113"/>
      <c r="T877" s="113"/>
      <c r="U877" s="104"/>
      <c r="V877" s="113"/>
      <c r="W877" s="113"/>
      <c r="X877" s="113"/>
      <c r="Y877" s="113"/>
      <c r="Z877" s="104"/>
      <c r="AA877" s="113"/>
      <c r="AB877" s="113"/>
      <c r="AC877" s="113"/>
      <c r="AD877" s="113"/>
      <c r="AE877" s="104"/>
      <c r="AF877" s="113"/>
      <c r="AG877" s="113"/>
      <c r="AH877" s="113"/>
      <c r="AI877" s="113"/>
      <c r="AJ877" s="104"/>
      <c r="AK877" s="113"/>
      <c r="AL877" s="113"/>
      <c r="AM877" s="113"/>
      <c r="AN877" s="113"/>
      <c r="AO877" s="104"/>
      <c r="AP877" s="113"/>
      <c r="AQ877" s="191">
        <v>-96</v>
      </c>
      <c r="AR877" s="484">
        <v>16</v>
      </c>
      <c r="AS877" s="484">
        <f t="shared" si="907"/>
        <v>31</v>
      </c>
      <c r="AT877" s="39">
        <v>31</v>
      </c>
      <c r="AU877" s="484">
        <v>36</v>
      </c>
      <c r="AV877" s="191">
        <v>146</v>
      </c>
      <c r="AW877" s="289">
        <v>127</v>
      </c>
      <c r="AX877" s="113"/>
      <c r="AY877" s="104"/>
      <c r="AZ877" s="113"/>
      <c r="BA877" s="113"/>
      <c r="BB877" s="113"/>
      <c r="BC877" s="113"/>
      <c r="BD877" s="104"/>
      <c r="BE877" s="104"/>
      <c r="BF877" s="104"/>
      <c r="BG877" s="104"/>
      <c r="BH877" s="484"/>
    </row>
    <row r="878" spans="1:60" s="49" customFormat="1" hidden="1" outlineLevel="1" x14ac:dyDescent="0.25">
      <c r="A878" s="483" t="s">
        <v>291</v>
      </c>
      <c r="B878" s="209"/>
      <c r="C878" s="39">
        <v>279</v>
      </c>
      <c r="D878" s="39">
        <v>132</v>
      </c>
      <c r="E878" s="39">
        <v>0</v>
      </c>
      <c r="F878" s="39">
        <v>0</v>
      </c>
      <c r="G878" s="484">
        <v>0</v>
      </c>
      <c r="H878" s="484">
        <v>0</v>
      </c>
      <c r="I878" s="484">
        <v>0</v>
      </c>
      <c r="J878" s="484">
        <f>K878</f>
        <v>0</v>
      </c>
      <c r="K878" s="39">
        <v>0</v>
      </c>
      <c r="L878" s="484">
        <v>0</v>
      </c>
      <c r="M878" s="484">
        <v>0</v>
      </c>
      <c r="N878" s="484">
        <v>0</v>
      </c>
      <c r="O878" s="484">
        <f>P878</f>
        <v>0</v>
      </c>
      <c r="P878" s="39">
        <v>0</v>
      </c>
      <c r="Q878" s="484">
        <v>0</v>
      </c>
      <c r="R878" s="484">
        <v>0</v>
      </c>
      <c r="S878" s="484">
        <v>0</v>
      </c>
      <c r="T878" s="484">
        <f>U878</f>
        <v>0</v>
      </c>
      <c r="U878" s="39">
        <v>0</v>
      </c>
      <c r="V878" s="484">
        <v>0</v>
      </c>
      <c r="W878" s="484">
        <v>0</v>
      </c>
      <c r="X878" s="484">
        <v>0</v>
      </c>
      <c r="Y878" s="484">
        <f>Z878</f>
        <v>0</v>
      </c>
      <c r="Z878" s="104"/>
      <c r="AA878" s="113"/>
      <c r="AB878" s="113"/>
      <c r="AC878" s="113"/>
      <c r="AD878" s="484">
        <f>AE878</f>
        <v>0</v>
      </c>
      <c r="AE878" s="104"/>
      <c r="AF878" s="113"/>
      <c r="AG878" s="113"/>
      <c r="AH878" s="113"/>
      <c r="AI878" s="484">
        <f>AJ878</f>
        <v>0</v>
      </c>
      <c r="AJ878" s="104"/>
      <c r="AK878" s="113"/>
      <c r="AL878" s="113"/>
      <c r="AM878" s="113"/>
      <c r="AN878" s="484">
        <f>AO878</f>
        <v>0</v>
      </c>
      <c r="AO878" s="104"/>
      <c r="AP878" s="113"/>
      <c r="AQ878" s="113"/>
      <c r="AR878" s="484">
        <v>4953</v>
      </c>
      <c r="AS878" s="484">
        <f t="shared" si="907"/>
        <v>4953</v>
      </c>
      <c r="AT878" s="39">
        <v>4953</v>
      </c>
      <c r="AU878" s="113"/>
      <c r="AV878" s="113"/>
      <c r="AW878" s="699"/>
      <c r="AX878" s="113">
        <f>AY878</f>
        <v>0</v>
      </c>
      <c r="AY878" s="104"/>
      <c r="AZ878" s="113"/>
      <c r="BA878" s="113"/>
      <c r="BB878" s="113"/>
      <c r="BC878" s="113">
        <f>BD878</f>
        <v>0</v>
      </c>
      <c r="BD878" s="104"/>
      <c r="BE878" s="104"/>
      <c r="BF878" s="104"/>
      <c r="BG878" s="104"/>
      <c r="BH878" s="484"/>
    </row>
    <row r="879" spans="1:60" s="49" customFormat="1" hidden="1" outlineLevel="1" x14ac:dyDescent="0.25">
      <c r="A879" s="483" t="s">
        <v>292</v>
      </c>
      <c r="B879" s="209"/>
      <c r="C879" s="39">
        <v>29</v>
      </c>
      <c r="D879" s="39">
        <v>9</v>
      </c>
      <c r="E879" s="39">
        <v>204</v>
      </c>
      <c r="F879" s="39">
        <v>231</v>
      </c>
      <c r="G879" s="484">
        <v>86</v>
      </c>
      <c r="H879" s="484">
        <v>119</v>
      </c>
      <c r="I879" s="484">
        <v>249</v>
      </c>
      <c r="J879" s="484">
        <f>K879</f>
        <v>395</v>
      </c>
      <c r="K879" s="39">
        <v>395</v>
      </c>
      <c r="L879" s="484">
        <v>27</v>
      </c>
      <c r="M879" s="484">
        <v>-29</v>
      </c>
      <c r="N879" s="484">
        <v>33</v>
      </c>
      <c r="O879" s="484">
        <f>P879</f>
        <v>234</v>
      </c>
      <c r="P879" s="39">
        <v>234</v>
      </c>
      <c r="Q879" s="484">
        <v>171</v>
      </c>
      <c r="R879" s="484">
        <v>175</v>
      </c>
      <c r="S879" s="484">
        <v>214</v>
      </c>
      <c r="T879" s="484">
        <f>U879</f>
        <v>341</v>
      </c>
      <c r="U879" s="39">
        <v>341</v>
      </c>
      <c r="V879" s="484">
        <v>144</v>
      </c>
      <c r="W879" s="484">
        <v>124</v>
      </c>
      <c r="X879" s="484">
        <v>403</v>
      </c>
      <c r="Y879" s="484">
        <f>Z879</f>
        <v>445</v>
      </c>
      <c r="Z879" s="39">
        <v>445</v>
      </c>
      <c r="AA879" s="484">
        <v>187</v>
      </c>
      <c r="AB879" s="191">
        <v>261</v>
      </c>
      <c r="AC879" s="484">
        <v>373</v>
      </c>
      <c r="AD879" s="484">
        <f>AE879</f>
        <v>503</v>
      </c>
      <c r="AE879" s="39">
        <v>503</v>
      </c>
      <c r="AF879" s="484">
        <v>139</v>
      </c>
      <c r="AG879" s="191">
        <v>155</v>
      </c>
      <c r="AH879" s="484">
        <v>297</v>
      </c>
      <c r="AI879" s="484">
        <f>AJ879</f>
        <v>441</v>
      </c>
      <c r="AJ879" s="39">
        <v>441</v>
      </c>
      <c r="AK879" s="484">
        <v>61</v>
      </c>
      <c r="AL879" s="191">
        <v>121</v>
      </c>
      <c r="AM879" s="484">
        <v>152</v>
      </c>
      <c r="AN879" s="484">
        <f>AO879</f>
        <v>206</v>
      </c>
      <c r="AO879" s="39">
        <v>206</v>
      </c>
      <c r="AP879" s="484">
        <v>65</v>
      </c>
      <c r="AQ879" s="191">
        <v>156</v>
      </c>
      <c r="AR879" s="484">
        <v>471</v>
      </c>
      <c r="AS879" s="484">
        <f t="shared" si="907"/>
        <v>641</v>
      </c>
      <c r="AT879" s="39">
        <v>641</v>
      </c>
      <c r="AU879" s="484">
        <v>90</v>
      </c>
      <c r="AV879" s="191">
        <v>490</v>
      </c>
      <c r="AW879" s="289">
        <v>728</v>
      </c>
      <c r="AX879" s="113">
        <f>AY879</f>
        <v>0</v>
      </c>
      <c r="AY879" s="104"/>
      <c r="AZ879" s="113"/>
      <c r="BA879" s="113"/>
      <c r="BB879" s="113"/>
      <c r="BC879" s="113">
        <f>BD879</f>
        <v>0</v>
      </c>
      <c r="BD879" s="104"/>
      <c r="BE879" s="104"/>
      <c r="BF879" s="104"/>
      <c r="BG879" s="104"/>
      <c r="BH879" s="484"/>
    </row>
    <row r="880" spans="1:60" s="52" customFormat="1" hidden="1" outlineLevel="1" x14ac:dyDescent="0.25">
      <c r="A880" s="500" t="s">
        <v>293</v>
      </c>
      <c r="B880" s="775"/>
      <c r="C880" s="53">
        <f t="shared" ref="C880:AH880" si="916">SUM(C868:C879)</f>
        <v>5775</v>
      </c>
      <c r="D880" s="53">
        <f t="shared" si="916"/>
        <v>6844</v>
      </c>
      <c r="E880" s="53">
        <f t="shared" si="916"/>
        <v>8133</v>
      </c>
      <c r="F880" s="53">
        <f t="shared" si="916"/>
        <v>9057</v>
      </c>
      <c r="G880" s="61">
        <f t="shared" si="916"/>
        <v>1578</v>
      </c>
      <c r="H880" s="61">
        <f t="shared" si="916"/>
        <v>3459</v>
      </c>
      <c r="I880" s="61">
        <f t="shared" si="916"/>
        <v>6840</v>
      </c>
      <c r="J880" s="61">
        <f t="shared" si="916"/>
        <v>9349</v>
      </c>
      <c r="K880" s="53">
        <f t="shared" si="916"/>
        <v>9349</v>
      </c>
      <c r="L880" s="61">
        <f t="shared" si="916"/>
        <v>2041</v>
      </c>
      <c r="M880" s="61">
        <f t="shared" si="916"/>
        <v>4418</v>
      </c>
      <c r="N880" s="61">
        <f t="shared" si="916"/>
        <v>7304</v>
      </c>
      <c r="O880" s="61">
        <f t="shared" si="916"/>
        <v>10052</v>
      </c>
      <c r="P880" s="53">
        <f t="shared" si="916"/>
        <v>10052</v>
      </c>
      <c r="Q880" s="61">
        <f t="shared" si="916"/>
        <v>3500</v>
      </c>
      <c r="R880" s="61">
        <f t="shared" si="916"/>
        <v>6080</v>
      </c>
      <c r="S880" s="61">
        <f t="shared" si="916"/>
        <v>8429</v>
      </c>
      <c r="T880" s="61">
        <f t="shared" si="916"/>
        <v>10780</v>
      </c>
      <c r="U880" s="53">
        <f t="shared" si="916"/>
        <v>10780</v>
      </c>
      <c r="V880" s="61">
        <f t="shared" si="916"/>
        <v>4728</v>
      </c>
      <c r="W880" s="61">
        <f t="shared" si="916"/>
        <v>7291</v>
      </c>
      <c r="X880" s="61">
        <f t="shared" si="916"/>
        <v>10896</v>
      </c>
      <c r="Y880" s="61">
        <f t="shared" si="916"/>
        <v>14115</v>
      </c>
      <c r="Z880" s="53">
        <f t="shared" si="916"/>
        <v>14115</v>
      </c>
      <c r="AA880" s="105">
        <f t="shared" si="916"/>
        <v>3908</v>
      </c>
      <c r="AB880" s="192">
        <f t="shared" si="916"/>
        <v>6732</v>
      </c>
      <c r="AC880" s="61">
        <f t="shared" si="916"/>
        <v>10032</v>
      </c>
      <c r="AD880" s="61">
        <f t="shared" si="916"/>
        <v>12453</v>
      </c>
      <c r="AE880" s="53">
        <f t="shared" si="916"/>
        <v>12453</v>
      </c>
      <c r="AF880" s="105">
        <f t="shared" si="916"/>
        <v>3883</v>
      </c>
      <c r="AG880" s="192">
        <f t="shared" si="916"/>
        <v>7637</v>
      </c>
      <c r="AH880" s="61">
        <f t="shared" si="916"/>
        <v>11921</v>
      </c>
      <c r="AI880" s="61">
        <f t="shared" ref="AI880:AY880" si="917">SUM(AI868:AI879)</f>
        <v>15132</v>
      </c>
      <c r="AJ880" s="53">
        <f t="shared" si="917"/>
        <v>15132</v>
      </c>
      <c r="AK880" s="105">
        <f t="shared" si="917"/>
        <v>4279</v>
      </c>
      <c r="AL880" s="192">
        <f t="shared" si="917"/>
        <v>7130</v>
      </c>
      <c r="AM880" s="61">
        <f t="shared" si="917"/>
        <v>11369</v>
      </c>
      <c r="AN880" s="61">
        <f t="shared" si="917"/>
        <v>11628</v>
      </c>
      <c r="AO880" s="53">
        <f t="shared" si="917"/>
        <v>11628</v>
      </c>
      <c r="AP880" s="105">
        <f t="shared" si="917"/>
        <v>4103</v>
      </c>
      <c r="AQ880" s="192">
        <f t="shared" si="917"/>
        <v>5063</v>
      </c>
      <c r="AR880" s="61">
        <f t="shared" si="917"/>
        <v>5646</v>
      </c>
      <c r="AS880" s="61">
        <f>SUM(AS868:AS879)</f>
        <v>8261</v>
      </c>
      <c r="AT880" s="53">
        <f>SUM(AT868:AT879)</f>
        <v>8261</v>
      </c>
      <c r="AU880" s="105">
        <f>SUM(AU868:AU879)</f>
        <v>2143</v>
      </c>
      <c r="AV880" s="192">
        <f>SUM(AV868:AV879)</f>
        <v>1841</v>
      </c>
      <c r="AW880" s="872">
        <f>SUM(AW868:AW879)</f>
        <v>3031</v>
      </c>
      <c r="AX880" s="105">
        <f t="shared" si="917"/>
        <v>0</v>
      </c>
      <c r="AY880" s="106">
        <f t="shared" si="917"/>
        <v>0</v>
      </c>
      <c r="AZ880" s="105">
        <f t="shared" ref="AZ880:BG880" si="918">SUM(AZ868:AZ879)</f>
        <v>0</v>
      </c>
      <c r="BA880" s="105">
        <f t="shared" si="918"/>
        <v>0</v>
      </c>
      <c r="BB880" s="105">
        <f t="shared" si="918"/>
        <v>0</v>
      </c>
      <c r="BC880" s="105">
        <f t="shared" si="918"/>
        <v>0</v>
      </c>
      <c r="BD880" s="106">
        <f t="shared" si="918"/>
        <v>0</v>
      </c>
      <c r="BE880" s="106">
        <f t="shared" si="918"/>
        <v>0</v>
      </c>
      <c r="BF880" s="106">
        <f t="shared" si="918"/>
        <v>0</v>
      </c>
      <c r="BG880" s="106">
        <f t="shared" si="918"/>
        <v>0</v>
      </c>
      <c r="BH880" s="499"/>
    </row>
    <row r="881" spans="1:60" s="49" customFormat="1" hidden="1" outlineLevel="1" x14ac:dyDescent="0.25">
      <c r="A881" s="483" t="s">
        <v>294</v>
      </c>
      <c r="B881" s="209"/>
      <c r="C881" s="39">
        <v>468</v>
      </c>
      <c r="D881" s="39">
        <v>-686</v>
      </c>
      <c r="E881" s="39">
        <v>-518</v>
      </c>
      <c r="F881" s="39">
        <v>-108</v>
      </c>
      <c r="G881" s="484">
        <v>-934</v>
      </c>
      <c r="H881" s="484">
        <v>-76</v>
      </c>
      <c r="I881" s="484">
        <v>-3</v>
      </c>
      <c r="J881" s="484">
        <f>K881</f>
        <v>-374</v>
      </c>
      <c r="K881" s="39">
        <v>-374</v>
      </c>
      <c r="L881" s="484">
        <v>-1175</v>
      </c>
      <c r="M881" s="484">
        <v>-469</v>
      </c>
      <c r="N881" s="484">
        <v>-543</v>
      </c>
      <c r="O881" s="484">
        <f>P881</f>
        <v>-480</v>
      </c>
      <c r="P881" s="39">
        <v>-480</v>
      </c>
      <c r="Q881" s="484">
        <v>-1027</v>
      </c>
      <c r="R881" s="484">
        <v>-208</v>
      </c>
      <c r="S881" s="484">
        <v>-229</v>
      </c>
      <c r="T881" s="484">
        <f>U881</f>
        <v>-211</v>
      </c>
      <c r="U881" s="39">
        <v>-211</v>
      </c>
      <c r="V881" s="484">
        <v>-2358</v>
      </c>
      <c r="W881" s="484">
        <v>-542</v>
      </c>
      <c r="X881" s="484">
        <v>-821</v>
      </c>
      <c r="Y881" s="484">
        <f>Z881</f>
        <v>-393</v>
      </c>
      <c r="Z881" s="39">
        <v>-393</v>
      </c>
      <c r="AA881" s="484">
        <v>-1160</v>
      </c>
      <c r="AB881" s="191">
        <v>-284</v>
      </c>
      <c r="AC881" s="484">
        <v>-786</v>
      </c>
      <c r="AD881" s="484">
        <f>AE881</f>
        <v>107</v>
      </c>
      <c r="AE881" s="39">
        <v>107</v>
      </c>
      <c r="AF881" s="484">
        <v>-1378</v>
      </c>
      <c r="AG881" s="191">
        <v>-1004</v>
      </c>
      <c r="AH881" s="484">
        <v>-1178</v>
      </c>
      <c r="AI881" s="484">
        <f>AJ881</f>
        <v>-720</v>
      </c>
      <c r="AJ881" s="39">
        <v>-720</v>
      </c>
      <c r="AK881" s="484">
        <v>-1078</v>
      </c>
      <c r="AL881" s="191">
        <v>-386</v>
      </c>
      <c r="AM881" s="484">
        <v>-1428</v>
      </c>
      <c r="AN881" s="484">
        <f t="shared" ref="AN881:AN886" si="919">AO881</f>
        <v>55</v>
      </c>
      <c r="AO881" s="39">
        <v>55</v>
      </c>
      <c r="AP881" s="484">
        <v>-1424</v>
      </c>
      <c r="AQ881" s="191">
        <v>828</v>
      </c>
      <c r="AR881" s="484">
        <v>2100</v>
      </c>
      <c r="AS881" s="484">
        <f t="shared" ref="AS881:AS886" si="920">AT881</f>
        <v>1943</v>
      </c>
      <c r="AT881" s="39">
        <v>1943</v>
      </c>
      <c r="AU881" s="484">
        <v>-1324</v>
      </c>
      <c r="AV881" s="191">
        <v>-37</v>
      </c>
      <c r="AW881" s="289">
        <v>-301</v>
      </c>
      <c r="AX881" s="113">
        <f>AY881</f>
        <v>0</v>
      </c>
      <c r="AY881" s="104"/>
      <c r="AZ881" s="113"/>
      <c r="BA881" s="113"/>
      <c r="BB881" s="113"/>
      <c r="BC881" s="113">
        <f>BD881</f>
        <v>0</v>
      </c>
      <c r="BD881" s="104"/>
      <c r="BE881" s="104"/>
      <c r="BF881" s="104"/>
      <c r="BG881" s="104"/>
      <c r="BH881" s="484"/>
    </row>
    <row r="882" spans="1:60" s="49" customFormat="1" hidden="1" outlineLevel="1" x14ac:dyDescent="0.25">
      <c r="A882" s="483" t="s">
        <v>295</v>
      </c>
      <c r="B882" s="209"/>
      <c r="C882" s="39">
        <v>-117</v>
      </c>
      <c r="D882" s="39">
        <v>-127</v>
      </c>
      <c r="E882" s="39">
        <v>-199</v>
      </c>
      <c r="F882" s="39">
        <v>18</v>
      </c>
      <c r="G882" s="484">
        <v>95</v>
      </c>
      <c r="H882" s="484">
        <v>137</v>
      </c>
      <c r="I882" s="484">
        <v>78</v>
      </c>
      <c r="J882" s="484">
        <f>K882</f>
        <v>51</v>
      </c>
      <c r="K882" s="39">
        <v>51</v>
      </c>
      <c r="L882" s="484">
        <v>97</v>
      </c>
      <c r="M882" s="484">
        <v>134</v>
      </c>
      <c r="N882" s="484">
        <v>61</v>
      </c>
      <c r="O882" s="484">
        <f>P882</f>
        <v>-81</v>
      </c>
      <c r="P882" s="39">
        <v>-81</v>
      </c>
      <c r="Q882" s="484">
        <v>92</v>
      </c>
      <c r="R882" s="484">
        <v>129</v>
      </c>
      <c r="S882" s="484">
        <v>48</v>
      </c>
      <c r="T882" s="484">
        <f>U882</f>
        <v>1</v>
      </c>
      <c r="U882" s="39">
        <v>1</v>
      </c>
      <c r="V882" s="484">
        <v>134</v>
      </c>
      <c r="W882" s="484">
        <v>218</v>
      </c>
      <c r="X882" s="484">
        <v>214</v>
      </c>
      <c r="Y882" s="484">
        <f>Z882</f>
        <v>186</v>
      </c>
      <c r="Z882" s="39">
        <v>186</v>
      </c>
      <c r="AA882" s="484">
        <v>102</v>
      </c>
      <c r="AB882" s="191">
        <v>90</v>
      </c>
      <c r="AC882" s="484">
        <v>93</v>
      </c>
      <c r="AD882" s="484">
        <f>AE882</f>
        <v>-5</v>
      </c>
      <c r="AE882" s="39">
        <v>-5</v>
      </c>
      <c r="AF882" s="484">
        <v>65</v>
      </c>
      <c r="AG882" s="191">
        <v>64</v>
      </c>
      <c r="AH882" s="484">
        <v>53</v>
      </c>
      <c r="AI882" s="484">
        <f>AJ882</f>
        <v>-17</v>
      </c>
      <c r="AJ882" s="39">
        <v>-17</v>
      </c>
      <c r="AK882" s="484">
        <v>32</v>
      </c>
      <c r="AL882" s="191">
        <v>-19</v>
      </c>
      <c r="AM882" s="484">
        <v>-96</v>
      </c>
      <c r="AN882" s="484">
        <f t="shared" si="919"/>
        <v>-223</v>
      </c>
      <c r="AO882" s="39">
        <v>-223</v>
      </c>
      <c r="AP882" s="484">
        <v>81</v>
      </c>
      <c r="AQ882" s="191">
        <v>70</v>
      </c>
      <c r="AR882" s="484">
        <v>86</v>
      </c>
      <c r="AS882" s="484">
        <f t="shared" si="920"/>
        <v>14</v>
      </c>
      <c r="AT882" s="39">
        <v>14</v>
      </c>
      <c r="AU882" s="484">
        <v>94</v>
      </c>
      <c r="AV882" s="191">
        <v>175</v>
      </c>
      <c r="AW882" s="289">
        <v>236</v>
      </c>
      <c r="AX882" s="113">
        <f>AY882</f>
        <v>0</v>
      </c>
      <c r="AY882" s="104"/>
      <c r="AZ882" s="113"/>
      <c r="BA882" s="113"/>
      <c r="BB882" s="113"/>
      <c r="BC882" s="113">
        <f>BD882</f>
        <v>0</v>
      </c>
      <c r="BD882" s="104"/>
      <c r="BE882" s="104"/>
      <c r="BF882" s="104"/>
      <c r="BG882" s="104"/>
      <c r="BH882" s="484"/>
    </row>
    <row r="883" spans="1:60" s="49" customFormat="1" hidden="1" outlineLevel="1" x14ac:dyDescent="0.25">
      <c r="A883" s="483" t="s">
        <v>296</v>
      </c>
      <c r="B883" s="209"/>
      <c r="C883" s="39">
        <v>-565</v>
      </c>
      <c r="D883" s="39">
        <v>42</v>
      </c>
      <c r="E883" s="39">
        <v>-189</v>
      </c>
      <c r="F883" s="39">
        <v>-151</v>
      </c>
      <c r="G883" s="484">
        <v>42</v>
      </c>
      <c r="H883" s="484">
        <v>-1</v>
      </c>
      <c r="I883" s="484">
        <v>-3</v>
      </c>
      <c r="J883" s="484">
        <f>K883</f>
        <v>-30</v>
      </c>
      <c r="K883" s="39">
        <v>-30</v>
      </c>
      <c r="L883" s="484">
        <v>-20</v>
      </c>
      <c r="M883" s="484">
        <v>-31</v>
      </c>
      <c r="N883" s="484">
        <v>-73</v>
      </c>
      <c r="O883" s="484">
        <f>P883</f>
        <v>-151</v>
      </c>
      <c r="P883" s="39">
        <v>-151</v>
      </c>
      <c r="Q883" s="484">
        <v>-44</v>
      </c>
      <c r="R883" s="484">
        <v>-110</v>
      </c>
      <c r="S883" s="484">
        <v>-274</v>
      </c>
      <c r="T883" s="484">
        <f>U883</f>
        <v>34</v>
      </c>
      <c r="U883" s="39">
        <v>34</v>
      </c>
      <c r="V883" s="484">
        <v>91</v>
      </c>
      <c r="W883" s="484">
        <v>63</v>
      </c>
      <c r="X883" s="484">
        <v>-87</v>
      </c>
      <c r="Y883" s="484">
        <f>Z883</f>
        <v>-137</v>
      </c>
      <c r="Z883" s="39">
        <v>-137</v>
      </c>
      <c r="AA883" s="484">
        <v>126</v>
      </c>
      <c r="AB883" s="191">
        <v>103</v>
      </c>
      <c r="AC883" s="484">
        <v>130</v>
      </c>
      <c r="AD883" s="484">
        <f>AE883</f>
        <v>-52</v>
      </c>
      <c r="AE883" s="39">
        <v>-52</v>
      </c>
      <c r="AF883" s="484">
        <v>-29</v>
      </c>
      <c r="AG883" s="191">
        <v>-248</v>
      </c>
      <c r="AH883" s="484">
        <v>-472</v>
      </c>
      <c r="AI883" s="484">
        <f>AJ883</f>
        <v>-927</v>
      </c>
      <c r="AJ883" s="39">
        <v>-927</v>
      </c>
      <c r="AK883" s="484">
        <v>25</v>
      </c>
      <c r="AL883" s="191">
        <v>46</v>
      </c>
      <c r="AM883" s="484">
        <v>450</v>
      </c>
      <c r="AN883" s="484">
        <f t="shared" si="919"/>
        <v>932</v>
      </c>
      <c r="AO883" s="39">
        <v>932</v>
      </c>
      <c r="AP883" s="484">
        <v>-33</v>
      </c>
      <c r="AQ883" s="191">
        <v>-174</v>
      </c>
      <c r="AR883" s="484">
        <v>8</v>
      </c>
      <c r="AS883" s="484">
        <f t="shared" si="920"/>
        <v>-157</v>
      </c>
      <c r="AT883" s="39">
        <v>-157</v>
      </c>
      <c r="AU883" s="484">
        <v>-136</v>
      </c>
      <c r="AV883" s="191">
        <v>-131</v>
      </c>
      <c r="AW883" s="289">
        <v>-113</v>
      </c>
      <c r="AX883" s="113">
        <f>AY883</f>
        <v>0</v>
      </c>
      <c r="AY883" s="104"/>
      <c r="AZ883" s="113"/>
      <c r="BA883" s="113"/>
      <c r="BB883" s="113"/>
      <c r="BC883" s="113">
        <f>BD883</f>
        <v>0</v>
      </c>
      <c r="BD883" s="104"/>
      <c r="BE883" s="104"/>
      <c r="BF883" s="104"/>
      <c r="BG883" s="104"/>
      <c r="BH883" s="484"/>
    </row>
    <row r="884" spans="1:60" s="49" customFormat="1" hidden="1" outlineLevel="1" x14ac:dyDescent="0.25">
      <c r="A884" s="483" t="s">
        <v>297</v>
      </c>
      <c r="B884" s="209"/>
      <c r="C884" s="39">
        <v>-250</v>
      </c>
      <c r="D884" s="39">
        <v>649</v>
      </c>
      <c r="E884" s="39">
        <v>-367</v>
      </c>
      <c r="F884" s="39">
        <v>-608</v>
      </c>
      <c r="G884" s="484">
        <v>-314</v>
      </c>
      <c r="H884" s="484">
        <v>17</v>
      </c>
      <c r="I884" s="484">
        <v>-328</v>
      </c>
      <c r="J884" s="484">
        <f>K884</f>
        <v>367</v>
      </c>
      <c r="K884" s="39">
        <v>367</v>
      </c>
      <c r="L884" s="484">
        <v>-707</v>
      </c>
      <c r="M884" s="484">
        <v>-282</v>
      </c>
      <c r="N884" s="484">
        <v>-288</v>
      </c>
      <c r="O884" s="484">
        <f>P884</f>
        <v>536</v>
      </c>
      <c r="P884" s="39">
        <v>536</v>
      </c>
      <c r="Q884" s="484">
        <v>-1283</v>
      </c>
      <c r="R884" s="484">
        <v>-847</v>
      </c>
      <c r="S884" s="484">
        <v>-507</v>
      </c>
      <c r="T884" s="484">
        <f>U884</f>
        <v>-49</v>
      </c>
      <c r="U884" s="39">
        <v>-49</v>
      </c>
      <c r="V884" s="484">
        <v>-891</v>
      </c>
      <c r="W884" s="484">
        <v>-746</v>
      </c>
      <c r="X884" s="484">
        <v>-628</v>
      </c>
      <c r="Y884" s="484">
        <f>Z884</f>
        <v>40</v>
      </c>
      <c r="Z884" s="39">
        <v>40</v>
      </c>
      <c r="AA884" s="484">
        <v>-2763</v>
      </c>
      <c r="AB884" s="191">
        <v>-1934</v>
      </c>
      <c r="AC884" s="484">
        <v>-781</v>
      </c>
      <c r="AD884" s="484">
        <f>AE884</f>
        <v>-368</v>
      </c>
      <c r="AE884" s="39">
        <v>-368</v>
      </c>
      <c r="AF884" s="484">
        <v>-1160</v>
      </c>
      <c r="AG884" s="191">
        <v>-92</v>
      </c>
      <c r="AH884" s="484">
        <v>-316</v>
      </c>
      <c r="AI884" s="484">
        <f>AJ884</f>
        <v>235</v>
      </c>
      <c r="AJ884" s="39">
        <v>235</v>
      </c>
      <c r="AK884" s="484">
        <v>-1289</v>
      </c>
      <c r="AL884" s="191">
        <v>-283</v>
      </c>
      <c r="AM884" s="484">
        <v>219</v>
      </c>
      <c r="AN884" s="484">
        <f t="shared" si="919"/>
        <v>191</v>
      </c>
      <c r="AO884" s="39">
        <v>191</v>
      </c>
      <c r="AP884" s="484">
        <v>-841</v>
      </c>
      <c r="AQ884" s="191">
        <v>-888</v>
      </c>
      <c r="AR884" s="484">
        <v>-1986</v>
      </c>
      <c r="AS884" s="484">
        <f t="shared" si="920"/>
        <v>-2293</v>
      </c>
      <c r="AT884" s="39">
        <v>-2293</v>
      </c>
      <c r="AU884" s="484">
        <v>-642</v>
      </c>
      <c r="AV884" s="191">
        <v>-780</v>
      </c>
      <c r="AW884" s="289">
        <v>341</v>
      </c>
      <c r="AX884" s="113">
        <f>AY884</f>
        <v>0</v>
      </c>
      <c r="AY884" s="104"/>
      <c r="AZ884" s="113"/>
      <c r="BA884" s="113"/>
      <c r="BB884" s="113"/>
      <c r="BC884" s="113">
        <f>BD884</f>
        <v>0</v>
      </c>
      <c r="BD884" s="104"/>
      <c r="BE884" s="104"/>
      <c r="BF884" s="104"/>
      <c r="BG884" s="104"/>
      <c r="BH884" s="484"/>
    </row>
    <row r="885" spans="1:60" s="49" customFormat="1" hidden="1" outlineLevel="1" x14ac:dyDescent="0.25">
      <c r="A885" s="483" t="s">
        <v>202</v>
      </c>
      <c r="B885" s="209"/>
      <c r="C885" s="39">
        <v>8</v>
      </c>
      <c r="D885" s="39">
        <v>-144</v>
      </c>
      <c r="E885" s="39">
        <v>134</v>
      </c>
      <c r="F885" s="39">
        <v>-242</v>
      </c>
      <c r="G885" s="484">
        <v>677</v>
      </c>
      <c r="H885" s="484">
        <v>-232</v>
      </c>
      <c r="I885" s="484">
        <v>133</v>
      </c>
      <c r="J885" s="484">
        <f>K885</f>
        <v>89</v>
      </c>
      <c r="K885" s="39">
        <v>89</v>
      </c>
      <c r="L885" s="484">
        <v>976</v>
      </c>
      <c r="M885" s="484">
        <v>-31</v>
      </c>
      <c r="N885" s="484">
        <v>214</v>
      </c>
      <c r="O885" s="484">
        <f>P885</f>
        <v>-96</v>
      </c>
      <c r="P885" s="39">
        <v>-96</v>
      </c>
      <c r="Q885" s="484">
        <v>617</v>
      </c>
      <c r="R885" s="484">
        <v>-271</v>
      </c>
      <c r="S885" s="484">
        <v>114</v>
      </c>
      <c r="T885" s="484">
        <f>U885</f>
        <v>354</v>
      </c>
      <c r="U885" s="39">
        <v>354</v>
      </c>
      <c r="V885" s="484">
        <v>658</v>
      </c>
      <c r="W885" s="484">
        <v>-522</v>
      </c>
      <c r="X885" s="484">
        <v>-188</v>
      </c>
      <c r="Y885" s="484">
        <f>Z885</f>
        <v>-598</v>
      </c>
      <c r="Z885" s="39">
        <v>-598</v>
      </c>
      <c r="AA885" s="484">
        <v>1047</v>
      </c>
      <c r="AB885" s="191">
        <v>-9</v>
      </c>
      <c r="AC885" s="484">
        <v>143</v>
      </c>
      <c r="AD885" s="484">
        <f>AE885</f>
        <v>208</v>
      </c>
      <c r="AE885" s="39">
        <v>208</v>
      </c>
      <c r="AF885" s="484">
        <v>856</v>
      </c>
      <c r="AG885" s="191">
        <v>406</v>
      </c>
      <c r="AH885" s="484">
        <v>434</v>
      </c>
      <c r="AI885" s="484">
        <f>AJ885</f>
        <v>592</v>
      </c>
      <c r="AJ885" s="39">
        <v>592</v>
      </c>
      <c r="AK885" s="484">
        <v>130</v>
      </c>
      <c r="AL885" s="191">
        <v>-474</v>
      </c>
      <c r="AM885" s="484">
        <v>-6248</v>
      </c>
      <c r="AN885" s="484">
        <f t="shared" si="919"/>
        <v>-6599</v>
      </c>
      <c r="AO885" s="39">
        <v>-6599</v>
      </c>
      <c r="AP885" s="484">
        <v>-256</v>
      </c>
      <c r="AQ885" s="191">
        <v>-112</v>
      </c>
      <c r="AR885" s="484">
        <v>95</v>
      </c>
      <c r="AS885" s="484">
        <f t="shared" si="920"/>
        <v>-152</v>
      </c>
      <c r="AT885" s="39">
        <v>-152</v>
      </c>
      <c r="AU885" s="484">
        <v>-60</v>
      </c>
      <c r="AV885" s="191">
        <v>400</v>
      </c>
      <c r="AW885" s="289">
        <v>-260</v>
      </c>
      <c r="AX885" s="113">
        <f>AY885</f>
        <v>0</v>
      </c>
      <c r="AY885" s="104"/>
      <c r="AZ885" s="113"/>
      <c r="BA885" s="113"/>
      <c r="BB885" s="113"/>
      <c r="BC885" s="113">
        <f>BD885</f>
        <v>0</v>
      </c>
      <c r="BD885" s="104"/>
      <c r="BE885" s="104"/>
      <c r="BF885" s="104"/>
      <c r="BG885" s="104"/>
      <c r="BH885" s="484"/>
    </row>
    <row r="886" spans="1:60" s="470" customFormat="1" hidden="1" outlineLevel="1" x14ac:dyDescent="0.25">
      <c r="A886" s="483" t="s">
        <v>567</v>
      </c>
      <c r="B886" s="209"/>
      <c r="C886" s="104"/>
      <c r="D886" s="104"/>
      <c r="E886" s="104"/>
      <c r="F886" s="104"/>
      <c r="G886" s="113"/>
      <c r="H886" s="113"/>
      <c r="I886" s="113"/>
      <c r="J886" s="113"/>
      <c r="K886" s="104"/>
      <c r="L886" s="113"/>
      <c r="M886" s="113"/>
      <c r="N886" s="113"/>
      <c r="O886" s="113"/>
      <c r="P886" s="104"/>
      <c r="Q886" s="113"/>
      <c r="R886" s="113"/>
      <c r="S886" s="113"/>
      <c r="T886" s="113"/>
      <c r="U886" s="104"/>
      <c r="V886" s="113"/>
      <c r="W886" s="113"/>
      <c r="X886" s="113"/>
      <c r="Y886" s="113"/>
      <c r="Z886" s="104"/>
      <c r="AA886" s="113"/>
      <c r="AB886" s="113"/>
      <c r="AC886" s="113"/>
      <c r="AD886" s="113"/>
      <c r="AE886" s="104"/>
      <c r="AF886" s="113"/>
      <c r="AG886" s="113"/>
      <c r="AH886" s="113"/>
      <c r="AI886" s="113"/>
      <c r="AJ886" s="104"/>
      <c r="AK886" s="113"/>
      <c r="AL886" s="113"/>
      <c r="AM886" s="113"/>
      <c r="AN886" s="484">
        <f t="shared" si="919"/>
        <v>622</v>
      </c>
      <c r="AO886" s="39">
        <v>622</v>
      </c>
      <c r="AP886" s="484">
        <v>-19</v>
      </c>
      <c r="AQ886" s="113"/>
      <c r="AR886" s="484">
        <v>2</v>
      </c>
      <c r="AS886" s="484">
        <f t="shared" si="920"/>
        <v>2</v>
      </c>
      <c r="AT886" s="39">
        <v>2</v>
      </c>
      <c r="AU886" s="113"/>
      <c r="AV886" s="113"/>
      <c r="AW886" s="699"/>
      <c r="AX886" s="113"/>
      <c r="AY886" s="104"/>
      <c r="AZ886" s="113"/>
      <c r="BA886" s="113"/>
      <c r="BB886" s="113"/>
      <c r="BC886" s="113"/>
      <c r="BD886" s="104"/>
      <c r="BE886" s="104"/>
      <c r="BF886" s="104"/>
      <c r="BG886" s="104"/>
      <c r="BH886" s="484"/>
    </row>
    <row r="887" spans="1:60" s="52" customFormat="1" hidden="1" outlineLevel="1" x14ac:dyDescent="0.25">
      <c r="A887" s="500" t="s">
        <v>298</v>
      </c>
      <c r="B887" s="775"/>
      <c r="C887" s="53">
        <f t="shared" ref="C887:AH887" si="921">SUM(C880:C886)</f>
        <v>5319</v>
      </c>
      <c r="D887" s="53">
        <f t="shared" si="921"/>
        <v>6578</v>
      </c>
      <c r="E887" s="53">
        <f t="shared" si="921"/>
        <v>6994</v>
      </c>
      <c r="F887" s="53">
        <f t="shared" si="921"/>
        <v>7966</v>
      </c>
      <c r="G887" s="61">
        <f t="shared" si="921"/>
        <v>1144</v>
      </c>
      <c r="H887" s="61">
        <f t="shared" si="921"/>
        <v>3304</v>
      </c>
      <c r="I887" s="61">
        <f t="shared" si="921"/>
        <v>6717</v>
      </c>
      <c r="J887" s="61">
        <f t="shared" si="921"/>
        <v>9452</v>
      </c>
      <c r="K887" s="53">
        <f t="shared" si="921"/>
        <v>9452</v>
      </c>
      <c r="L887" s="61">
        <f t="shared" si="921"/>
        <v>1212</v>
      </c>
      <c r="M887" s="61">
        <f t="shared" si="921"/>
        <v>3739</v>
      </c>
      <c r="N887" s="61">
        <f t="shared" si="921"/>
        <v>6675</v>
      </c>
      <c r="O887" s="61">
        <f t="shared" si="921"/>
        <v>9780</v>
      </c>
      <c r="P887" s="53">
        <f t="shared" si="921"/>
        <v>9780</v>
      </c>
      <c r="Q887" s="61">
        <f t="shared" si="921"/>
        <v>1855</v>
      </c>
      <c r="R887" s="61">
        <f t="shared" si="921"/>
        <v>4773</v>
      </c>
      <c r="S887" s="61">
        <f t="shared" si="921"/>
        <v>7581</v>
      </c>
      <c r="T887" s="61">
        <f t="shared" si="921"/>
        <v>10909</v>
      </c>
      <c r="U887" s="53">
        <f t="shared" si="921"/>
        <v>10909</v>
      </c>
      <c r="V887" s="61">
        <f t="shared" si="921"/>
        <v>2362</v>
      </c>
      <c r="W887" s="61">
        <f t="shared" si="921"/>
        <v>5762</v>
      </c>
      <c r="X887" s="61">
        <f t="shared" si="921"/>
        <v>9386</v>
      </c>
      <c r="Y887" s="61">
        <f t="shared" si="921"/>
        <v>13213</v>
      </c>
      <c r="Z887" s="53">
        <f t="shared" si="921"/>
        <v>13213</v>
      </c>
      <c r="AA887" s="105">
        <f t="shared" si="921"/>
        <v>1260</v>
      </c>
      <c r="AB887" s="192">
        <f t="shared" si="921"/>
        <v>4698</v>
      </c>
      <c r="AC887" s="61">
        <f t="shared" si="921"/>
        <v>8831</v>
      </c>
      <c r="AD887" s="61">
        <f t="shared" si="921"/>
        <v>12343</v>
      </c>
      <c r="AE887" s="53">
        <f t="shared" si="921"/>
        <v>12343</v>
      </c>
      <c r="AF887" s="105">
        <f t="shared" si="921"/>
        <v>2237</v>
      </c>
      <c r="AG887" s="192">
        <f t="shared" si="921"/>
        <v>6763</v>
      </c>
      <c r="AH887" s="61">
        <f t="shared" si="921"/>
        <v>10442</v>
      </c>
      <c r="AI887" s="61">
        <f t="shared" ref="AI887:AY887" si="922">SUM(AI880:AI886)</f>
        <v>14295</v>
      </c>
      <c r="AJ887" s="53">
        <f t="shared" si="922"/>
        <v>14295</v>
      </c>
      <c r="AK887" s="105">
        <f t="shared" si="922"/>
        <v>2099</v>
      </c>
      <c r="AL887" s="192">
        <f t="shared" si="922"/>
        <v>6014</v>
      </c>
      <c r="AM887" s="61">
        <f t="shared" si="922"/>
        <v>4266</v>
      </c>
      <c r="AN887" s="61">
        <f t="shared" si="922"/>
        <v>6606</v>
      </c>
      <c r="AO887" s="53">
        <f t="shared" si="922"/>
        <v>6606</v>
      </c>
      <c r="AP887" s="105">
        <f t="shared" si="922"/>
        <v>1611</v>
      </c>
      <c r="AQ887" s="192">
        <f t="shared" si="922"/>
        <v>4787</v>
      </c>
      <c r="AR887" s="61">
        <f t="shared" si="922"/>
        <v>5951</v>
      </c>
      <c r="AS887" s="61">
        <f>SUM(AS880:AS886)</f>
        <v>7618</v>
      </c>
      <c r="AT887" s="53">
        <f>SUM(AT880:AT886)</f>
        <v>7618</v>
      </c>
      <c r="AU887" s="105">
        <f>SUM(AU880:AU886)</f>
        <v>75</v>
      </c>
      <c r="AV887" s="192">
        <f>SUM(AV880:AV886)</f>
        <v>1468</v>
      </c>
      <c r="AW887" s="872">
        <f>SUM(AW880:AW886)</f>
        <v>2934</v>
      </c>
      <c r="AX887" s="105">
        <f t="shared" si="922"/>
        <v>0</v>
      </c>
      <c r="AY887" s="106">
        <f t="shared" si="922"/>
        <v>0</v>
      </c>
      <c r="AZ887" s="105">
        <f t="shared" ref="AZ887:BG887" si="923">SUM(AZ880:AZ886)</f>
        <v>0</v>
      </c>
      <c r="BA887" s="105">
        <f t="shared" si="923"/>
        <v>0</v>
      </c>
      <c r="BB887" s="105">
        <f t="shared" si="923"/>
        <v>0</v>
      </c>
      <c r="BC887" s="105">
        <f t="shared" si="923"/>
        <v>0</v>
      </c>
      <c r="BD887" s="106">
        <f t="shared" si="923"/>
        <v>0</v>
      </c>
      <c r="BE887" s="106">
        <f t="shared" si="923"/>
        <v>0</v>
      </c>
      <c r="BF887" s="106">
        <f t="shared" si="923"/>
        <v>0</v>
      </c>
      <c r="BG887" s="106">
        <f t="shared" si="923"/>
        <v>0</v>
      </c>
      <c r="BH887" s="499"/>
    </row>
    <row r="888" spans="1:60" s="52" customFormat="1" hidden="1" outlineLevel="1" x14ac:dyDescent="0.25">
      <c r="A888" s="635"/>
      <c r="B888" s="602"/>
      <c r="C888" s="111"/>
      <c r="D888" s="111"/>
      <c r="E888" s="111"/>
      <c r="F888" s="111"/>
      <c r="G888" s="114"/>
      <c r="H888" s="114"/>
      <c r="I888" s="114"/>
      <c r="J888" s="114"/>
      <c r="K888" s="111"/>
      <c r="L888" s="114"/>
      <c r="M888" s="114"/>
      <c r="N888" s="114"/>
      <c r="O888" s="114"/>
      <c r="P888" s="111"/>
      <c r="Q888" s="114"/>
      <c r="R888" s="114"/>
      <c r="S888" s="114"/>
      <c r="T888" s="114"/>
      <c r="U888" s="111"/>
      <c r="V888" s="114"/>
      <c r="W888" s="114"/>
      <c r="X888" s="114"/>
      <c r="Y888" s="114"/>
      <c r="Z888" s="111"/>
      <c r="AA888" s="114"/>
      <c r="AB888" s="114"/>
      <c r="AC888" s="114"/>
      <c r="AD888" s="114"/>
      <c r="AE888" s="111"/>
      <c r="AF888" s="114"/>
      <c r="AG888" s="114"/>
      <c r="AH888" s="114"/>
      <c r="AI888" s="114"/>
      <c r="AJ888" s="111"/>
      <c r="AK888" s="114"/>
      <c r="AL888" s="114"/>
      <c r="AM888" s="114"/>
      <c r="AN888" s="114"/>
      <c r="AO888" s="111"/>
      <c r="AP888" s="114"/>
      <c r="AQ888" s="114"/>
      <c r="AR888" s="114"/>
      <c r="AS888" s="114"/>
      <c r="AT888" s="111"/>
      <c r="AU888" s="114"/>
      <c r="AV888" s="114"/>
      <c r="AW888" s="765"/>
      <c r="AX888" s="114"/>
      <c r="AY888" s="111"/>
      <c r="AZ888" s="114"/>
      <c r="BA888" s="114"/>
      <c r="BB888" s="114"/>
      <c r="BC888" s="114"/>
      <c r="BD888" s="111"/>
      <c r="BE888" s="111"/>
      <c r="BF888" s="111"/>
      <c r="BG888" s="111"/>
      <c r="BH888" s="499"/>
    </row>
    <row r="889" spans="1:60" s="52" customFormat="1" hidden="1" outlineLevel="1" x14ac:dyDescent="0.25">
      <c r="A889" s="501" t="s">
        <v>299</v>
      </c>
      <c r="B889" s="602"/>
      <c r="C889" s="111"/>
      <c r="D889" s="111"/>
      <c r="E889" s="111"/>
      <c r="F889" s="111"/>
      <c r="G889" s="114"/>
      <c r="H889" s="114"/>
      <c r="I889" s="114"/>
      <c r="J889" s="114"/>
      <c r="K889" s="111"/>
      <c r="L889" s="114"/>
      <c r="M889" s="114"/>
      <c r="N889" s="114"/>
      <c r="O889" s="114"/>
      <c r="P889" s="111"/>
      <c r="Q889" s="114"/>
      <c r="R889" s="114"/>
      <c r="S889" s="114"/>
      <c r="T889" s="114"/>
      <c r="U889" s="111"/>
      <c r="V889" s="114"/>
      <c r="W889" s="114"/>
      <c r="X889" s="114"/>
      <c r="Y889" s="114"/>
      <c r="Z889" s="111"/>
      <c r="AA889" s="114"/>
      <c r="AB889" s="114"/>
      <c r="AC889" s="114"/>
      <c r="AD889" s="114"/>
      <c r="AE889" s="111"/>
      <c r="AF889" s="114"/>
      <c r="AG889" s="114"/>
      <c r="AH889" s="114"/>
      <c r="AI889" s="114"/>
      <c r="AJ889" s="111"/>
      <c r="AK889" s="114"/>
      <c r="AL889" s="114"/>
      <c r="AM889" s="114"/>
      <c r="AN889" s="114"/>
      <c r="AO889" s="111"/>
      <c r="AP889" s="114"/>
      <c r="AQ889" s="114"/>
      <c r="AR889" s="114"/>
      <c r="AS889" s="114"/>
      <c r="AT889" s="111"/>
      <c r="AU889" s="114"/>
      <c r="AV889" s="114"/>
      <c r="AW889" s="765"/>
      <c r="AX889" s="114"/>
      <c r="AY889" s="111"/>
      <c r="AZ889" s="114"/>
      <c r="BA889" s="114"/>
      <c r="BB889" s="114"/>
      <c r="BC889" s="114"/>
      <c r="BD889" s="111"/>
      <c r="BE889" s="111"/>
      <c r="BF889" s="111"/>
      <c r="BG889" s="111"/>
      <c r="BH889" s="499"/>
    </row>
    <row r="890" spans="1:60" s="49" customFormat="1" hidden="1" outlineLevel="1" x14ac:dyDescent="0.25">
      <c r="A890" s="483" t="s">
        <v>300</v>
      </c>
      <c r="B890" s="209"/>
      <c r="C890" s="39">
        <v>-1753</v>
      </c>
      <c r="D890" s="39">
        <v>-2110</v>
      </c>
      <c r="E890" s="39">
        <v>-3559</v>
      </c>
      <c r="F890" s="39">
        <v>-3784</v>
      </c>
      <c r="G890" s="484">
        <v>-545</v>
      </c>
      <c r="H890" s="484">
        <v>-1119</v>
      </c>
      <c r="I890" s="484">
        <v>-1809</v>
      </c>
      <c r="J890" s="484">
        <f>K890</f>
        <v>-2796</v>
      </c>
      <c r="K890" s="39">
        <v>-2796</v>
      </c>
      <c r="L890" s="484">
        <v>-658</v>
      </c>
      <c r="M890" s="484">
        <v>-1359</v>
      </c>
      <c r="N890" s="484">
        <v>-2248</v>
      </c>
      <c r="O890" s="484">
        <f>P890</f>
        <v>-3311</v>
      </c>
      <c r="P890" s="39">
        <v>-3311</v>
      </c>
      <c r="Q890" s="484">
        <v>-998</v>
      </c>
      <c r="R890" s="484">
        <v>-1905</v>
      </c>
      <c r="S890" s="484">
        <v>-3061</v>
      </c>
      <c r="T890" s="484">
        <f>U890</f>
        <v>-4265</v>
      </c>
      <c r="U890" s="39">
        <v>-4265</v>
      </c>
      <c r="V890" s="484">
        <v>-1406</v>
      </c>
      <c r="W890" s="484">
        <v>-2556</v>
      </c>
      <c r="X890" s="484">
        <v>-3691</v>
      </c>
      <c r="Y890" s="484">
        <f>Z890</f>
        <v>-4773</v>
      </c>
      <c r="Z890" s="39">
        <v>-4773</v>
      </c>
      <c r="AA890" s="484">
        <v>-1040</v>
      </c>
      <c r="AB890" s="191">
        <v>-1923</v>
      </c>
      <c r="AC890" s="484">
        <v>-2728</v>
      </c>
      <c r="AD890" s="484">
        <f>AE890</f>
        <v>-3623</v>
      </c>
      <c r="AE890" s="39">
        <v>-3623</v>
      </c>
      <c r="AF890" s="484">
        <v>-981</v>
      </c>
      <c r="AG890" s="191">
        <v>-2044</v>
      </c>
      <c r="AH890" s="484">
        <v>-3264</v>
      </c>
      <c r="AI890" s="484">
        <f>AJ890</f>
        <v>-4465</v>
      </c>
      <c r="AJ890" s="39">
        <v>-4465</v>
      </c>
      <c r="AK890" s="484">
        <v>-1195</v>
      </c>
      <c r="AL890" s="191">
        <v>-2390</v>
      </c>
      <c r="AM890" s="484">
        <v>-3567</v>
      </c>
      <c r="AN890" s="484">
        <f>AO890</f>
        <v>-4876</v>
      </c>
      <c r="AO890" s="39">
        <v>-4876</v>
      </c>
      <c r="AP890" s="484">
        <v>-1338</v>
      </c>
      <c r="AQ890" s="191">
        <v>-2585</v>
      </c>
      <c r="AR890" s="484">
        <v>-3293</v>
      </c>
      <c r="AS890" s="484">
        <f>AT890</f>
        <v>-4022</v>
      </c>
      <c r="AT890" s="39">
        <v>-4022</v>
      </c>
      <c r="AU890" s="484">
        <v>-760</v>
      </c>
      <c r="AV890" s="191">
        <v>-1530</v>
      </c>
      <c r="AW890" s="289">
        <v>-2468</v>
      </c>
      <c r="AX890" s="113">
        <f>AY890</f>
        <v>0</v>
      </c>
      <c r="AY890" s="104"/>
      <c r="AZ890" s="113"/>
      <c r="BA890" s="113"/>
      <c r="BB890" s="113"/>
      <c r="BC890" s="113">
        <f>BD890</f>
        <v>0</v>
      </c>
      <c r="BD890" s="104"/>
      <c r="BE890" s="104"/>
      <c r="BF890" s="104"/>
      <c r="BG890" s="104"/>
      <c r="BH890" s="484"/>
    </row>
    <row r="891" spans="1:60" s="49" customFormat="1" hidden="1" outlineLevel="1" x14ac:dyDescent="0.25">
      <c r="A891" s="483" t="s">
        <v>301</v>
      </c>
      <c r="B891" s="209"/>
      <c r="C891" s="39">
        <v>185</v>
      </c>
      <c r="D891" s="39">
        <v>170</v>
      </c>
      <c r="E891" s="39">
        <v>564</v>
      </c>
      <c r="F891" s="39">
        <v>110</v>
      </c>
      <c r="G891" s="484">
        <v>340</v>
      </c>
      <c r="H891" s="484">
        <v>350</v>
      </c>
      <c r="I891" s="484">
        <v>367</v>
      </c>
      <c r="J891" s="484">
        <f>K891</f>
        <v>479</v>
      </c>
      <c r="K891" s="39">
        <v>479</v>
      </c>
      <c r="L891" s="484">
        <v>136</v>
      </c>
      <c r="M891" s="484">
        <v>366</v>
      </c>
      <c r="N891" s="484">
        <v>382</v>
      </c>
      <c r="O891" s="484">
        <f>P891</f>
        <v>395</v>
      </c>
      <c r="P891" s="39">
        <v>395</v>
      </c>
      <c r="Q891" s="484">
        <v>0</v>
      </c>
      <c r="R891" s="484">
        <v>81</v>
      </c>
      <c r="S891" s="484">
        <v>143</v>
      </c>
      <c r="T891" s="484">
        <f>U891</f>
        <v>166</v>
      </c>
      <c r="U891" s="39">
        <v>166</v>
      </c>
      <c r="V891" s="484">
        <v>40</v>
      </c>
      <c r="W891" s="484">
        <v>42</v>
      </c>
      <c r="X891" s="484">
        <v>44</v>
      </c>
      <c r="Y891" s="484">
        <f>Z891</f>
        <v>45</v>
      </c>
      <c r="Z891" s="39">
        <v>45</v>
      </c>
      <c r="AA891" s="113"/>
      <c r="AB891" s="113"/>
      <c r="AC891" s="113"/>
      <c r="AD891" s="484">
        <f>AE891</f>
        <v>0</v>
      </c>
      <c r="AE891" s="39">
        <v>0</v>
      </c>
      <c r="AF891" s="113"/>
      <c r="AG891" s="113"/>
      <c r="AH891" s="113"/>
      <c r="AI891" s="484">
        <f>AJ891</f>
        <v>0</v>
      </c>
      <c r="AJ891" s="104"/>
      <c r="AK891" s="113"/>
      <c r="AL891" s="113"/>
      <c r="AM891" s="113"/>
      <c r="AN891" s="484">
        <f>AO891</f>
        <v>0</v>
      </c>
      <c r="AO891" s="104"/>
      <c r="AP891" s="113"/>
      <c r="AQ891" s="113"/>
      <c r="AR891" s="113"/>
      <c r="AS891" s="484">
        <f>AT891</f>
        <v>0</v>
      </c>
      <c r="AT891" s="104"/>
      <c r="AU891" s="113"/>
      <c r="AV891" s="113"/>
      <c r="AW891" s="699"/>
      <c r="AX891" s="113">
        <f>AY891</f>
        <v>0</v>
      </c>
      <c r="AY891" s="104"/>
      <c r="AZ891" s="113"/>
      <c r="BA891" s="113"/>
      <c r="BB891" s="113"/>
      <c r="BC891" s="113">
        <f>BD891</f>
        <v>0</v>
      </c>
      <c r="BD891" s="104"/>
      <c r="BE891" s="104"/>
      <c r="BF891" s="104"/>
      <c r="BG891" s="104"/>
      <c r="BH891" s="484"/>
    </row>
    <row r="892" spans="1:60" s="49" customFormat="1" hidden="1" outlineLevel="1" x14ac:dyDescent="0.25">
      <c r="A892" s="483" t="s">
        <v>264</v>
      </c>
      <c r="B892" s="209"/>
      <c r="C892" s="39">
        <v>-176</v>
      </c>
      <c r="D892" s="39">
        <v>-2493</v>
      </c>
      <c r="E892" s="39">
        <v>-184</v>
      </c>
      <c r="F892" s="39">
        <v>-1088</v>
      </c>
      <c r="G892" s="484">
        <v>-2265</v>
      </c>
      <c r="H892" s="484">
        <v>-2310</v>
      </c>
      <c r="I892" s="484">
        <v>-2310</v>
      </c>
      <c r="J892" s="484">
        <f>K892</f>
        <v>-2443</v>
      </c>
      <c r="K892" s="39">
        <v>-2443</v>
      </c>
      <c r="L892" s="484">
        <v>0</v>
      </c>
      <c r="M892" s="484">
        <v>0</v>
      </c>
      <c r="N892" s="484">
        <v>-402</v>
      </c>
      <c r="O892" s="484">
        <f>P892</f>
        <v>-402</v>
      </c>
      <c r="P892" s="39">
        <v>-402</v>
      </c>
      <c r="Q892" s="484">
        <v>0</v>
      </c>
      <c r="R892" s="484">
        <v>0</v>
      </c>
      <c r="S892" s="484">
        <v>0</v>
      </c>
      <c r="T892" s="484">
        <f>U892</f>
        <v>0</v>
      </c>
      <c r="U892" s="39">
        <v>0</v>
      </c>
      <c r="V892" s="484">
        <v>-400</v>
      </c>
      <c r="W892" s="484">
        <v>-400</v>
      </c>
      <c r="X892" s="484">
        <v>-400</v>
      </c>
      <c r="Y892" s="484">
        <f>Z892</f>
        <v>-850</v>
      </c>
      <c r="Z892" s="39">
        <v>-850</v>
      </c>
      <c r="AA892" s="113"/>
      <c r="AB892" s="191">
        <v>-557</v>
      </c>
      <c r="AC892" s="484">
        <v>-557</v>
      </c>
      <c r="AD892" s="484">
        <f>AE892</f>
        <v>-417</v>
      </c>
      <c r="AE892" s="39">
        <v>-417</v>
      </c>
      <c r="AF892" s="113"/>
      <c r="AG892" s="191">
        <v>-1581</v>
      </c>
      <c r="AH892" s="484">
        <v>-1581</v>
      </c>
      <c r="AI892" s="484">
        <f>AJ892</f>
        <v>-1581</v>
      </c>
      <c r="AJ892" s="39">
        <v>-1581</v>
      </c>
      <c r="AK892" s="113"/>
      <c r="AL892" s="191">
        <v>-9901</v>
      </c>
      <c r="AM892" s="484">
        <v>-9901</v>
      </c>
      <c r="AN892" s="484">
        <f>AO892</f>
        <v>-9901</v>
      </c>
      <c r="AO892" s="39">
        <v>-9901</v>
      </c>
      <c r="AP892" s="113"/>
      <c r="AQ892" s="191">
        <v>0</v>
      </c>
      <c r="AR892" s="113"/>
      <c r="AS892" s="484">
        <f>AT892</f>
        <v>0</v>
      </c>
      <c r="AT892" s="104"/>
      <c r="AU892" s="113"/>
      <c r="AV892" s="113"/>
      <c r="AW892" s="699"/>
      <c r="AX892" s="113">
        <f>AY892</f>
        <v>0</v>
      </c>
      <c r="AY892" s="104"/>
      <c r="AZ892" s="113"/>
      <c r="BA892" s="113"/>
      <c r="BB892" s="113"/>
      <c r="BC892" s="113">
        <f>BD892</f>
        <v>0</v>
      </c>
      <c r="BD892" s="104"/>
      <c r="BE892" s="104"/>
      <c r="BF892" s="104"/>
      <c r="BG892" s="104"/>
      <c r="BH892" s="484"/>
    </row>
    <row r="893" spans="1:60" s="49" customFormat="1" hidden="1" outlineLevel="1" x14ac:dyDescent="0.25">
      <c r="A893" s="483" t="s">
        <v>292</v>
      </c>
      <c r="B893" s="209"/>
      <c r="C893" s="39">
        <v>-11</v>
      </c>
      <c r="D893" s="39">
        <v>-90</v>
      </c>
      <c r="E893" s="39">
        <v>-107</v>
      </c>
      <c r="F893" s="39">
        <v>3</v>
      </c>
      <c r="G893" s="484">
        <v>5</v>
      </c>
      <c r="H893" s="484">
        <v>89</v>
      </c>
      <c r="I893" s="484">
        <v>90</v>
      </c>
      <c r="J893" s="484">
        <f>K893</f>
        <v>84</v>
      </c>
      <c r="K893" s="39">
        <v>84</v>
      </c>
      <c r="L893" s="484">
        <v>-5</v>
      </c>
      <c r="M893" s="484">
        <v>-18</v>
      </c>
      <c r="N893" s="484">
        <v>-24</v>
      </c>
      <c r="O893" s="484">
        <f>P893</f>
        <v>-27</v>
      </c>
      <c r="P893" s="39">
        <v>-27</v>
      </c>
      <c r="Q893" s="484">
        <v>7</v>
      </c>
      <c r="R893" s="484">
        <v>-3</v>
      </c>
      <c r="S893" s="484">
        <v>-137</v>
      </c>
      <c r="T893" s="484">
        <f>U893</f>
        <v>-146</v>
      </c>
      <c r="U893" s="39">
        <v>-146</v>
      </c>
      <c r="V893" s="484">
        <v>-32</v>
      </c>
      <c r="W893" s="484">
        <v>-124</v>
      </c>
      <c r="X893" s="484">
        <v>-179</v>
      </c>
      <c r="Y893" s="484">
        <f>Z893</f>
        <v>-180</v>
      </c>
      <c r="Z893" s="39">
        <v>-180</v>
      </c>
      <c r="AA893" s="484">
        <v>5</v>
      </c>
      <c r="AB893" s="191">
        <v>90</v>
      </c>
      <c r="AC893" s="484">
        <v>-5</v>
      </c>
      <c r="AD893" s="484">
        <f>AE893</f>
        <v>-71</v>
      </c>
      <c r="AE893" s="39">
        <v>-71</v>
      </c>
      <c r="AF893" s="484">
        <v>-62</v>
      </c>
      <c r="AG893" s="191">
        <v>-180</v>
      </c>
      <c r="AH893" s="484">
        <v>-298</v>
      </c>
      <c r="AI893" s="484">
        <f>AJ893</f>
        <v>710</v>
      </c>
      <c r="AJ893" s="39">
        <v>710</v>
      </c>
      <c r="AK893" s="484">
        <v>-141</v>
      </c>
      <c r="AL893" s="191">
        <v>-392</v>
      </c>
      <c r="AM893" s="484">
        <v>-317</v>
      </c>
      <c r="AN893" s="484">
        <f>AO893</f>
        <v>-319</v>
      </c>
      <c r="AO893" s="39">
        <v>-319</v>
      </c>
      <c r="AP893" s="484">
        <v>-12</v>
      </c>
      <c r="AQ893" s="191">
        <v>-21</v>
      </c>
      <c r="AR893" s="484">
        <v>-27</v>
      </c>
      <c r="AS893" s="484">
        <f>AT893</f>
        <v>172</v>
      </c>
      <c r="AT893" s="39">
        <v>172</v>
      </c>
      <c r="AU893" s="484">
        <v>28</v>
      </c>
      <c r="AV893" s="191">
        <v>203</v>
      </c>
      <c r="AW893" s="289">
        <v>383</v>
      </c>
      <c r="AX893" s="113">
        <f>AY893</f>
        <v>0</v>
      </c>
      <c r="AY893" s="104"/>
      <c r="AZ893" s="113"/>
      <c r="BA893" s="113"/>
      <c r="BB893" s="113"/>
      <c r="BC893" s="113">
        <f>BD893</f>
        <v>0</v>
      </c>
      <c r="BD893" s="104"/>
      <c r="BE893" s="104"/>
      <c r="BF893" s="104"/>
      <c r="BG893" s="104"/>
      <c r="BH893" s="484"/>
    </row>
    <row r="894" spans="1:60" s="283" customFormat="1" hidden="1" outlineLevel="1" x14ac:dyDescent="0.25">
      <c r="A894" s="483" t="s">
        <v>566</v>
      </c>
      <c r="B894" s="209"/>
      <c r="C894" s="104"/>
      <c r="D894" s="104"/>
      <c r="E894" s="104"/>
      <c r="F894" s="104"/>
      <c r="G894" s="113"/>
      <c r="H894" s="113"/>
      <c r="I894" s="113"/>
      <c r="J894" s="113"/>
      <c r="K894" s="104"/>
      <c r="L894" s="113"/>
      <c r="M894" s="113"/>
      <c r="N894" s="113"/>
      <c r="O894" s="113"/>
      <c r="P894" s="104"/>
      <c r="Q894" s="113"/>
      <c r="R894" s="113"/>
      <c r="S894" s="113"/>
      <c r="T894" s="113"/>
      <c r="U894" s="104"/>
      <c r="V894" s="113"/>
      <c r="W894" s="113"/>
      <c r="X894" s="113"/>
      <c r="Y894" s="113"/>
      <c r="Z894" s="104"/>
      <c r="AA894" s="113"/>
      <c r="AB894" s="113"/>
      <c r="AC894" s="113"/>
      <c r="AD894" s="113"/>
      <c r="AE894" s="104"/>
      <c r="AF894" s="113"/>
      <c r="AG894" s="113"/>
      <c r="AH894" s="113"/>
      <c r="AI894" s="113"/>
      <c r="AJ894" s="104"/>
      <c r="AK894" s="113"/>
      <c r="AL894" s="113"/>
      <c r="AM894" s="113"/>
      <c r="AN894" s="484">
        <f>AO894</f>
        <v>10978</v>
      </c>
      <c r="AO894" s="39">
        <v>10978</v>
      </c>
      <c r="AP894" s="113"/>
      <c r="AQ894" s="191">
        <v>198</v>
      </c>
      <c r="AR894" s="484">
        <v>198</v>
      </c>
      <c r="AS894" s="484">
        <f>AT894</f>
        <v>213</v>
      </c>
      <c r="AT894" s="39">
        <v>213</v>
      </c>
      <c r="AU894" s="113"/>
      <c r="AV894" s="113"/>
      <c r="AW894" s="699"/>
      <c r="AX894" s="113"/>
      <c r="AY894" s="104"/>
      <c r="AZ894" s="113"/>
      <c r="BA894" s="113"/>
      <c r="BB894" s="113"/>
      <c r="BC894" s="113"/>
      <c r="BD894" s="104"/>
      <c r="BE894" s="104"/>
      <c r="BF894" s="104"/>
      <c r="BG894" s="104"/>
      <c r="BH894" s="484"/>
    </row>
    <row r="895" spans="1:60" s="52" customFormat="1" hidden="1" outlineLevel="1" x14ac:dyDescent="0.25">
      <c r="A895" s="500" t="s">
        <v>302</v>
      </c>
      <c r="B895" s="775"/>
      <c r="C895" s="53">
        <f t="shared" ref="C895:AH895" si="924">SUM(C890:C894)</f>
        <v>-1755</v>
      </c>
      <c r="D895" s="53">
        <f t="shared" si="924"/>
        <v>-4523</v>
      </c>
      <c r="E895" s="53">
        <f t="shared" si="924"/>
        <v>-3286</v>
      </c>
      <c r="F895" s="53">
        <f t="shared" si="924"/>
        <v>-4759</v>
      </c>
      <c r="G895" s="61">
        <f t="shared" si="924"/>
        <v>-2465</v>
      </c>
      <c r="H895" s="61">
        <f t="shared" si="924"/>
        <v>-2990</v>
      </c>
      <c r="I895" s="61">
        <f t="shared" si="924"/>
        <v>-3662</v>
      </c>
      <c r="J895" s="61">
        <f t="shared" si="924"/>
        <v>-4676</v>
      </c>
      <c r="K895" s="53">
        <f t="shared" si="924"/>
        <v>-4676</v>
      </c>
      <c r="L895" s="61">
        <f t="shared" si="924"/>
        <v>-527</v>
      </c>
      <c r="M895" s="61">
        <f t="shared" si="924"/>
        <v>-1011</v>
      </c>
      <c r="N895" s="61">
        <f t="shared" si="924"/>
        <v>-2292</v>
      </c>
      <c r="O895" s="61">
        <f t="shared" si="924"/>
        <v>-3345</v>
      </c>
      <c r="P895" s="53">
        <f t="shared" si="924"/>
        <v>-3345</v>
      </c>
      <c r="Q895" s="61">
        <f t="shared" si="924"/>
        <v>-991</v>
      </c>
      <c r="R895" s="61">
        <f t="shared" si="924"/>
        <v>-1827</v>
      </c>
      <c r="S895" s="61">
        <f t="shared" si="924"/>
        <v>-3055</v>
      </c>
      <c r="T895" s="61">
        <f t="shared" si="924"/>
        <v>-4245</v>
      </c>
      <c r="U895" s="53">
        <f t="shared" si="924"/>
        <v>-4245</v>
      </c>
      <c r="V895" s="61">
        <f t="shared" si="924"/>
        <v>-1798</v>
      </c>
      <c r="W895" s="61">
        <f t="shared" si="924"/>
        <v>-3038</v>
      </c>
      <c r="X895" s="61">
        <f t="shared" si="924"/>
        <v>-4226</v>
      </c>
      <c r="Y895" s="61">
        <f t="shared" si="924"/>
        <v>-5758</v>
      </c>
      <c r="Z895" s="53">
        <f t="shared" si="924"/>
        <v>-5758</v>
      </c>
      <c r="AA895" s="105">
        <f t="shared" si="924"/>
        <v>-1035</v>
      </c>
      <c r="AB895" s="192">
        <f t="shared" si="924"/>
        <v>-2390</v>
      </c>
      <c r="AC895" s="61">
        <f t="shared" si="924"/>
        <v>-3290</v>
      </c>
      <c r="AD895" s="61">
        <f t="shared" si="924"/>
        <v>-4111</v>
      </c>
      <c r="AE895" s="53">
        <f t="shared" si="924"/>
        <v>-4111</v>
      </c>
      <c r="AF895" s="105">
        <f t="shared" si="924"/>
        <v>-1043</v>
      </c>
      <c r="AG895" s="192">
        <f t="shared" si="924"/>
        <v>-3805</v>
      </c>
      <c r="AH895" s="61">
        <f t="shared" si="924"/>
        <v>-5143</v>
      </c>
      <c r="AI895" s="61">
        <f t="shared" ref="AI895:AY895" si="925">SUM(AI890:AI894)</f>
        <v>-5336</v>
      </c>
      <c r="AJ895" s="53">
        <f t="shared" si="925"/>
        <v>-5336</v>
      </c>
      <c r="AK895" s="105">
        <f t="shared" si="925"/>
        <v>-1336</v>
      </c>
      <c r="AL895" s="192">
        <f t="shared" si="925"/>
        <v>-12683</v>
      </c>
      <c r="AM895" s="61">
        <f t="shared" si="925"/>
        <v>-13785</v>
      </c>
      <c r="AN895" s="61">
        <f t="shared" si="925"/>
        <v>-4118</v>
      </c>
      <c r="AO895" s="53">
        <f t="shared" si="925"/>
        <v>-4118</v>
      </c>
      <c r="AP895" s="105">
        <f t="shared" si="925"/>
        <v>-1350</v>
      </c>
      <c r="AQ895" s="192">
        <f t="shared" si="925"/>
        <v>-2408</v>
      </c>
      <c r="AR895" s="61">
        <f t="shared" si="925"/>
        <v>-3122</v>
      </c>
      <c r="AS895" s="61">
        <f>SUM(AS890:AS894)</f>
        <v>-3637</v>
      </c>
      <c r="AT895" s="53">
        <f>SUM(AT890:AT894)</f>
        <v>-3637</v>
      </c>
      <c r="AU895" s="105">
        <f>SUM(AU890:AU894)</f>
        <v>-732</v>
      </c>
      <c r="AV895" s="192">
        <f>SUM(AV890:AV894)</f>
        <v>-1327</v>
      </c>
      <c r="AW895" s="872">
        <f>SUM(AW890:AW894)</f>
        <v>-2085</v>
      </c>
      <c r="AX895" s="105">
        <f t="shared" si="925"/>
        <v>0</v>
      </c>
      <c r="AY895" s="106">
        <f t="shared" si="925"/>
        <v>0</v>
      </c>
      <c r="AZ895" s="105">
        <f t="shared" ref="AZ895:BG895" si="926">SUM(AZ890:AZ894)</f>
        <v>0</v>
      </c>
      <c r="BA895" s="105">
        <f t="shared" si="926"/>
        <v>0</v>
      </c>
      <c r="BB895" s="105">
        <f t="shared" si="926"/>
        <v>0</v>
      </c>
      <c r="BC895" s="105">
        <f t="shared" si="926"/>
        <v>0</v>
      </c>
      <c r="BD895" s="106">
        <f t="shared" si="926"/>
        <v>0</v>
      </c>
      <c r="BE895" s="106">
        <f t="shared" si="926"/>
        <v>0</v>
      </c>
      <c r="BF895" s="106">
        <f t="shared" si="926"/>
        <v>0</v>
      </c>
      <c r="BG895" s="106">
        <f t="shared" si="926"/>
        <v>0</v>
      </c>
      <c r="BH895" s="499"/>
    </row>
    <row r="896" spans="1:60" s="52" customFormat="1" hidden="1" outlineLevel="1" x14ac:dyDescent="0.25">
      <c r="A896" s="635"/>
      <c r="B896" s="602"/>
      <c r="C896" s="111"/>
      <c r="D896" s="111"/>
      <c r="E896" s="111"/>
      <c r="F896" s="111"/>
      <c r="G896" s="114"/>
      <c r="H896" s="114"/>
      <c r="I896" s="114"/>
      <c r="J896" s="114"/>
      <c r="K896" s="111"/>
      <c r="L896" s="114"/>
      <c r="M896" s="114"/>
      <c r="N896" s="114"/>
      <c r="O896" s="114"/>
      <c r="P896" s="111"/>
      <c r="Q896" s="114"/>
      <c r="R896" s="114"/>
      <c r="S896" s="114"/>
      <c r="T896" s="114"/>
      <c r="U896" s="111"/>
      <c r="V896" s="114"/>
      <c r="W896" s="114"/>
      <c r="X896" s="114"/>
      <c r="Y896" s="114"/>
      <c r="Z896" s="111"/>
      <c r="AA896" s="114"/>
      <c r="AB896" s="114"/>
      <c r="AC896" s="114"/>
      <c r="AD896" s="114"/>
      <c r="AE896" s="111"/>
      <c r="AF896" s="114"/>
      <c r="AG896" s="114"/>
      <c r="AH896" s="114"/>
      <c r="AI896" s="114"/>
      <c r="AJ896" s="111"/>
      <c r="AK896" s="114"/>
      <c r="AL896" s="114"/>
      <c r="AM896" s="114"/>
      <c r="AN896" s="114"/>
      <c r="AO896" s="111"/>
      <c r="AP896" s="114"/>
      <c r="AQ896" s="114"/>
      <c r="AR896" s="114"/>
      <c r="AS896" s="114"/>
      <c r="AT896" s="111"/>
      <c r="AU896" s="114"/>
      <c r="AV896" s="114"/>
      <c r="AW896" s="765"/>
      <c r="AX896" s="114"/>
      <c r="AY896" s="111"/>
      <c r="AZ896" s="114"/>
      <c r="BA896" s="114"/>
      <c r="BB896" s="114"/>
      <c r="BC896" s="114"/>
      <c r="BD896" s="111"/>
      <c r="BE896" s="111"/>
      <c r="BF896" s="111"/>
      <c r="BG896" s="111"/>
      <c r="BH896" s="499"/>
    </row>
    <row r="897" spans="1:60" s="52" customFormat="1" hidden="1" outlineLevel="1" x14ac:dyDescent="0.25">
      <c r="A897" s="501" t="s">
        <v>303</v>
      </c>
      <c r="B897" s="602"/>
      <c r="C897" s="111"/>
      <c r="D897" s="111"/>
      <c r="E897" s="111"/>
      <c r="F897" s="111"/>
      <c r="G897" s="114"/>
      <c r="H897" s="114"/>
      <c r="I897" s="114"/>
      <c r="J897" s="114"/>
      <c r="K897" s="111"/>
      <c r="L897" s="114"/>
      <c r="M897" s="114"/>
      <c r="N897" s="114"/>
      <c r="O897" s="114"/>
      <c r="P897" s="111"/>
      <c r="Q897" s="114"/>
      <c r="R897" s="114"/>
      <c r="S897" s="114"/>
      <c r="T897" s="114"/>
      <c r="U897" s="111"/>
      <c r="V897" s="114"/>
      <c r="W897" s="114"/>
      <c r="X897" s="114"/>
      <c r="Y897" s="114"/>
      <c r="Z897" s="111"/>
      <c r="AA897" s="114"/>
      <c r="AB897" s="114"/>
      <c r="AC897" s="114"/>
      <c r="AD897" s="114"/>
      <c r="AE897" s="111"/>
      <c r="AF897" s="114"/>
      <c r="AG897" s="114"/>
      <c r="AH897" s="114"/>
      <c r="AI897" s="114"/>
      <c r="AJ897" s="111"/>
      <c r="AK897" s="114"/>
      <c r="AL897" s="114"/>
      <c r="AM897" s="114"/>
      <c r="AN897" s="114"/>
      <c r="AO897" s="111"/>
      <c r="AP897" s="114"/>
      <c r="AQ897" s="114"/>
      <c r="AR897" s="114"/>
      <c r="AS897" s="114"/>
      <c r="AT897" s="111"/>
      <c r="AU897" s="114"/>
      <c r="AV897" s="114"/>
      <c r="AW897" s="765"/>
      <c r="AX897" s="114"/>
      <c r="AY897" s="111"/>
      <c r="AZ897" s="114"/>
      <c r="BA897" s="114"/>
      <c r="BB897" s="114"/>
      <c r="BC897" s="114"/>
      <c r="BD897" s="111"/>
      <c r="BE897" s="111"/>
      <c r="BF897" s="111"/>
      <c r="BG897" s="111"/>
      <c r="BH897" s="499"/>
    </row>
    <row r="898" spans="1:60" s="49" customFormat="1" hidden="1" outlineLevel="1" x14ac:dyDescent="0.25">
      <c r="A898" s="483" t="s">
        <v>304</v>
      </c>
      <c r="B898" s="209"/>
      <c r="C898" s="39">
        <v>-1985</v>
      </c>
      <c r="D898" s="39">
        <v>1190</v>
      </c>
      <c r="E898" s="39">
        <v>393</v>
      </c>
      <c r="F898" s="39">
        <v>467</v>
      </c>
      <c r="G898" s="484">
        <v>994</v>
      </c>
      <c r="H898" s="484">
        <v>-245</v>
      </c>
      <c r="I898" s="484">
        <v>-2000</v>
      </c>
      <c r="J898" s="484">
        <f t="shared" ref="J898:J904" si="927">K898</f>
        <v>-2050</v>
      </c>
      <c r="K898" s="39">
        <v>-2050</v>
      </c>
      <c r="L898" s="484">
        <v>2149</v>
      </c>
      <c r="M898" s="484">
        <v>2316</v>
      </c>
      <c r="N898" s="484">
        <v>1253</v>
      </c>
      <c r="O898" s="484">
        <f t="shared" ref="O898:O904" si="928">P898</f>
        <v>50</v>
      </c>
      <c r="P898" s="39">
        <v>50</v>
      </c>
      <c r="Q898" s="484">
        <v>2747</v>
      </c>
      <c r="R898" s="484">
        <v>1954</v>
      </c>
      <c r="S898" s="484">
        <v>2352</v>
      </c>
      <c r="T898" s="484">
        <f t="shared" ref="T898:T904" si="929">U898</f>
        <v>2376</v>
      </c>
      <c r="U898" s="39">
        <v>2376</v>
      </c>
      <c r="V898" s="484">
        <v>1907</v>
      </c>
      <c r="W898" s="484">
        <v>709</v>
      </c>
      <c r="X898" s="484">
        <v>-216</v>
      </c>
      <c r="Y898" s="484">
        <f t="shared" ref="Y898:Y904" si="930">Z898</f>
        <v>-920</v>
      </c>
      <c r="Z898" s="39">
        <v>-920</v>
      </c>
      <c r="AA898" s="484">
        <v>732</v>
      </c>
      <c r="AB898" s="191">
        <v>914</v>
      </c>
      <c r="AC898" s="484">
        <v>-112</v>
      </c>
      <c r="AD898" s="484">
        <f t="shared" ref="AD898:AD904" si="931">AE898</f>
        <v>1247</v>
      </c>
      <c r="AE898" s="39">
        <v>1247</v>
      </c>
      <c r="AF898" s="484">
        <v>1140</v>
      </c>
      <c r="AG898" s="191">
        <v>1372</v>
      </c>
      <c r="AH898" s="484">
        <v>453</v>
      </c>
      <c r="AI898" s="484">
        <f t="shared" ref="AI898:AI904" si="932">AJ898</f>
        <v>-1768</v>
      </c>
      <c r="AJ898" s="39">
        <v>-1768</v>
      </c>
      <c r="AK898" s="484">
        <v>-302</v>
      </c>
      <c r="AL898" s="191">
        <v>376</v>
      </c>
      <c r="AM898" s="484">
        <v>2973</v>
      </c>
      <c r="AN898" s="484">
        <f t="shared" ref="AN898:AN906" si="933">AO898</f>
        <v>4318</v>
      </c>
      <c r="AO898" s="39">
        <v>4318</v>
      </c>
      <c r="AP898" s="484">
        <v>1172</v>
      </c>
      <c r="AQ898" s="191">
        <v>3138</v>
      </c>
      <c r="AR898" s="484">
        <v>1373</v>
      </c>
      <c r="AS898" s="484">
        <f t="shared" ref="AS898:AS907" si="934">+AT898</f>
        <v>-3354</v>
      </c>
      <c r="AT898" s="39">
        <v>-3354</v>
      </c>
      <c r="AU898" s="484">
        <v>-179</v>
      </c>
      <c r="AV898" s="191">
        <v>-87</v>
      </c>
      <c r="AW898" s="289">
        <v>-99</v>
      </c>
      <c r="AX898" s="113">
        <f t="shared" ref="AX898:AX904" si="935">AY898</f>
        <v>0</v>
      </c>
      <c r="AY898" s="104"/>
      <c r="AZ898" s="113"/>
      <c r="BA898" s="113"/>
      <c r="BB898" s="113"/>
      <c r="BC898" s="113">
        <f t="shared" ref="BC898:BC904" si="936">BD898</f>
        <v>0</v>
      </c>
      <c r="BD898" s="104"/>
      <c r="BE898" s="104"/>
      <c r="BF898" s="104"/>
      <c r="BG898" s="104"/>
      <c r="BH898" s="484"/>
    </row>
    <row r="899" spans="1:60" s="49" customFormat="1" hidden="1" outlineLevel="1" x14ac:dyDescent="0.25">
      <c r="A899" s="483" t="s">
        <v>305</v>
      </c>
      <c r="B899" s="209"/>
      <c r="C899" s="39">
        <v>1750</v>
      </c>
      <c r="D899" s="39">
        <v>0</v>
      </c>
      <c r="E899" s="39">
        <v>2350</v>
      </c>
      <c r="F899" s="39">
        <v>3779</v>
      </c>
      <c r="G899" s="484">
        <v>3037</v>
      </c>
      <c r="H899" s="484">
        <v>3878</v>
      </c>
      <c r="I899" s="484">
        <v>3900</v>
      </c>
      <c r="J899" s="484">
        <f t="shared" si="927"/>
        <v>3931</v>
      </c>
      <c r="K899" s="39">
        <v>3931</v>
      </c>
      <c r="L899" s="484">
        <v>66</v>
      </c>
      <c r="M899" s="484">
        <v>138</v>
      </c>
      <c r="N899" s="484">
        <v>2180</v>
      </c>
      <c r="O899" s="484">
        <f t="shared" si="928"/>
        <v>2231</v>
      </c>
      <c r="P899" s="39">
        <v>2231</v>
      </c>
      <c r="Q899" s="484">
        <v>69</v>
      </c>
      <c r="R899" s="484">
        <v>117</v>
      </c>
      <c r="S899" s="484">
        <v>181</v>
      </c>
      <c r="T899" s="484">
        <f t="shared" si="929"/>
        <v>2550</v>
      </c>
      <c r="U899" s="39">
        <v>2550</v>
      </c>
      <c r="V899" s="484">
        <v>382</v>
      </c>
      <c r="W899" s="484">
        <v>3766</v>
      </c>
      <c r="X899" s="484">
        <v>4046</v>
      </c>
      <c r="Y899" s="484">
        <f t="shared" si="930"/>
        <v>6065</v>
      </c>
      <c r="Z899" s="39">
        <v>6065</v>
      </c>
      <c r="AA899" s="484">
        <v>42</v>
      </c>
      <c r="AB899" s="191">
        <v>2053</v>
      </c>
      <c r="AC899" s="484">
        <v>4053</v>
      </c>
      <c r="AD899" s="484">
        <f t="shared" si="931"/>
        <v>4820</v>
      </c>
      <c r="AE899" s="39">
        <v>4820</v>
      </c>
      <c r="AF899" s="484">
        <v>1025</v>
      </c>
      <c r="AG899" s="191">
        <v>1048</v>
      </c>
      <c r="AH899" s="484">
        <v>1056</v>
      </c>
      <c r="AI899" s="484">
        <f t="shared" si="932"/>
        <v>1056</v>
      </c>
      <c r="AJ899" s="39">
        <v>1056</v>
      </c>
      <c r="AK899" s="113"/>
      <c r="AL899" s="191">
        <v>31145</v>
      </c>
      <c r="AM899" s="484">
        <v>31348</v>
      </c>
      <c r="AN899" s="484">
        <f t="shared" si="933"/>
        <v>38240</v>
      </c>
      <c r="AO899" s="39">
        <v>38240</v>
      </c>
      <c r="AP899" s="484">
        <v>51</v>
      </c>
      <c r="AQ899" s="191">
        <v>6071</v>
      </c>
      <c r="AR899" s="484">
        <v>18030</v>
      </c>
      <c r="AS899" s="484">
        <f t="shared" si="934"/>
        <v>18120</v>
      </c>
      <c r="AT899" s="39">
        <v>18120</v>
      </c>
      <c r="AU899" s="484">
        <v>1</v>
      </c>
      <c r="AV899" s="191">
        <v>37</v>
      </c>
      <c r="AW899" s="289">
        <v>43</v>
      </c>
      <c r="AX899" s="113">
        <f t="shared" si="935"/>
        <v>0</v>
      </c>
      <c r="AY899" s="104"/>
      <c r="AZ899" s="113"/>
      <c r="BA899" s="113"/>
      <c r="BB899" s="113"/>
      <c r="BC899" s="113">
        <f t="shared" si="936"/>
        <v>0</v>
      </c>
      <c r="BD899" s="104"/>
      <c r="BE899" s="104"/>
      <c r="BF899" s="104"/>
      <c r="BG899" s="104"/>
      <c r="BH899" s="484"/>
    </row>
    <row r="900" spans="1:60" s="49" customFormat="1" hidden="1" outlineLevel="1" x14ac:dyDescent="0.25">
      <c r="A900" s="483" t="s">
        <v>306</v>
      </c>
      <c r="B900" s="209"/>
      <c r="C900" s="39">
        <v>-1617</v>
      </c>
      <c r="D900" s="39">
        <v>-1371</v>
      </c>
      <c r="E900" s="39">
        <v>-1096</v>
      </c>
      <c r="F900" s="39">
        <v>-3822</v>
      </c>
      <c r="G900" s="484">
        <v>-776</v>
      </c>
      <c r="H900" s="484">
        <v>-788</v>
      </c>
      <c r="I900" s="484">
        <v>-817</v>
      </c>
      <c r="J900" s="484">
        <f t="shared" si="927"/>
        <v>-1502</v>
      </c>
      <c r="K900" s="39">
        <v>-1502</v>
      </c>
      <c r="L900" s="484">
        <v>-1046</v>
      </c>
      <c r="M900" s="484">
        <v>-1084</v>
      </c>
      <c r="N900" s="484">
        <v>-1549</v>
      </c>
      <c r="O900" s="484">
        <f t="shared" si="928"/>
        <v>-1648</v>
      </c>
      <c r="P900" s="39">
        <v>-1648</v>
      </c>
      <c r="Q900" s="484">
        <v>-1098</v>
      </c>
      <c r="R900" s="484">
        <v>-1953</v>
      </c>
      <c r="S900" s="484">
        <v>-2006</v>
      </c>
      <c r="T900" s="484">
        <f t="shared" si="929"/>
        <v>-2221</v>
      </c>
      <c r="U900" s="39">
        <v>-2221</v>
      </c>
      <c r="V900" s="484">
        <v>-564</v>
      </c>
      <c r="W900" s="484">
        <v>-626</v>
      </c>
      <c r="X900" s="484">
        <v>-672</v>
      </c>
      <c r="Y900" s="484">
        <f t="shared" si="930"/>
        <v>-2205</v>
      </c>
      <c r="Z900" s="39">
        <v>-2205</v>
      </c>
      <c r="AA900" s="484">
        <v>-194</v>
      </c>
      <c r="AB900" s="191">
        <v>-1233</v>
      </c>
      <c r="AC900" s="484">
        <v>-1736</v>
      </c>
      <c r="AD900" s="484">
        <f t="shared" si="931"/>
        <v>-2364</v>
      </c>
      <c r="AE900" s="39">
        <v>-2364</v>
      </c>
      <c r="AF900" s="484">
        <v>-1330</v>
      </c>
      <c r="AG900" s="191">
        <v>-1350</v>
      </c>
      <c r="AH900" s="484">
        <v>-1356</v>
      </c>
      <c r="AI900" s="484">
        <f t="shared" si="932"/>
        <v>-1871</v>
      </c>
      <c r="AJ900" s="39">
        <v>-1871</v>
      </c>
      <c r="AK900" s="113"/>
      <c r="AL900" s="191">
        <v>-17398</v>
      </c>
      <c r="AM900" s="484">
        <v>-19039</v>
      </c>
      <c r="AN900" s="484">
        <f t="shared" si="933"/>
        <v>-38881</v>
      </c>
      <c r="AO900" s="39">
        <v>-38881</v>
      </c>
      <c r="AP900" s="484">
        <v>-46</v>
      </c>
      <c r="AQ900" s="191">
        <v>-1048</v>
      </c>
      <c r="AR900" s="484">
        <v>-2297</v>
      </c>
      <c r="AS900" s="484">
        <f t="shared" si="934"/>
        <v>-3533</v>
      </c>
      <c r="AT900" s="39">
        <v>-3533</v>
      </c>
      <c r="AU900" s="484">
        <v>-139</v>
      </c>
      <c r="AV900" s="191">
        <v>-1816</v>
      </c>
      <c r="AW900" s="289">
        <v>-2319</v>
      </c>
      <c r="AX900" s="113">
        <f t="shared" si="935"/>
        <v>0</v>
      </c>
      <c r="AY900" s="104"/>
      <c r="AZ900" s="113"/>
      <c r="BA900" s="113"/>
      <c r="BB900" s="113"/>
      <c r="BC900" s="113">
        <f t="shared" si="936"/>
        <v>0</v>
      </c>
      <c r="BD900" s="104"/>
      <c r="BE900" s="104"/>
      <c r="BF900" s="104"/>
      <c r="BG900" s="104"/>
      <c r="BH900" s="484"/>
    </row>
    <row r="901" spans="1:60" s="49" customFormat="1" hidden="1" outlineLevel="1" x14ac:dyDescent="0.25">
      <c r="A901" s="483" t="s">
        <v>307</v>
      </c>
      <c r="B901" s="209"/>
      <c r="C901" s="39">
        <v>-648</v>
      </c>
      <c r="D901" s="39">
        <v>-653</v>
      </c>
      <c r="E901" s="39">
        <v>-756</v>
      </c>
      <c r="F901" s="39">
        <v>-1076</v>
      </c>
      <c r="G901" s="484">
        <v>-1300</v>
      </c>
      <c r="H901" s="484">
        <v>-1324</v>
      </c>
      <c r="I901" s="484">
        <v>-1324</v>
      </c>
      <c r="J901" s="484">
        <f t="shared" si="927"/>
        <v>-1324</v>
      </c>
      <c r="K901" s="39">
        <v>-1324</v>
      </c>
      <c r="L901" s="484">
        <v>0</v>
      </c>
      <c r="M901" s="484">
        <v>-1508</v>
      </c>
      <c r="N901" s="484">
        <v>-1508</v>
      </c>
      <c r="O901" s="484">
        <f t="shared" si="928"/>
        <v>-1508</v>
      </c>
      <c r="P901" s="39">
        <v>-1508</v>
      </c>
      <c r="Q901" s="484">
        <v>0</v>
      </c>
      <c r="R901" s="484">
        <v>-1948</v>
      </c>
      <c r="S901" s="484">
        <v>-1948</v>
      </c>
      <c r="T901" s="484">
        <f t="shared" si="929"/>
        <v>-3063</v>
      </c>
      <c r="U901" s="39">
        <v>-3063</v>
      </c>
      <c r="V901" s="484">
        <v>0</v>
      </c>
      <c r="W901" s="484">
        <v>-1168</v>
      </c>
      <c r="X901" s="484">
        <v>-1168</v>
      </c>
      <c r="Y901" s="484">
        <f t="shared" si="930"/>
        <v>-2313</v>
      </c>
      <c r="Z901" s="39">
        <v>-2313</v>
      </c>
      <c r="AA901" s="113"/>
      <c r="AB901" s="191">
        <v>-1237</v>
      </c>
      <c r="AC901" s="484">
        <v>-1237</v>
      </c>
      <c r="AD901" s="484">
        <f t="shared" si="931"/>
        <v>-2445</v>
      </c>
      <c r="AE901" s="39">
        <v>-2445</v>
      </c>
      <c r="AF901" s="113"/>
      <c r="AG901" s="191">
        <v>-1266</v>
      </c>
      <c r="AH901" s="484">
        <v>-1266</v>
      </c>
      <c r="AI901" s="484">
        <f t="shared" si="932"/>
        <v>-2515</v>
      </c>
      <c r="AJ901" s="39">
        <v>-2515</v>
      </c>
      <c r="AK901" s="113"/>
      <c r="AL901" s="191">
        <v>-1310</v>
      </c>
      <c r="AM901" s="484">
        <v>-1310</v>
      </c>
      <c r="AN901" s="484">
        <f t="shared" si="933"/>
        <v>-2895</v>
      </c>
      <c r="AO901" s="39">
        <v>-2895</v>
      </c>
      <c r="AP901" s="113"/>
      <c r="AQ901" s="191">
        <v>-1587</v>
      </c>
      <c r="AR901" s="484">
        <v>-1587</v>
      </c>
      <c r="AS901" s="484">
        <f t="shared" si="934"/>
        <v>-1587</v>
      </c>
      <c r="AT901" s="39">
        <v>-1587</v>
      </c>
      <c r="AU901" s="113"/>
      <c r="AV901" s="113"/>
      <c r="AW901" s="699"/>
      <c r="AX901" s="113">
        <f t="shared" si="935"/>
        <v>0</v>
      </c>
      <c r="AY901" s="104"/>
      <c r="AZ901" s="113"/>
      <c r="BA901" s="113"/>
      <c r="BB901" s="113"/>
      <c r="BC901" s="113">
        <f t="shared" si="936"/>
        <v>0</v>
      </c>
      <c r="BD901" s="104"/>
      <c r="BE901" s="104"/>
      <c r="BF901" s="104"/>
      <c r="BG901" s="104"/>
      <c r="BH901" s="484"/>
    </row>
    <row r="902" spans="1:60" s="49" customFormat="1" hidden="1" outlineLevel="1" x14ac:dyDescent="0.25">
      <c r="A902" s="483" t="s">
        <v>308</v>
      </c>
      <c r="B902" s="209"/>
      <c r="C902" s="39">
        <v>-138</v>
      </c>
      <c r="D902" s="39">
        <v>-2669</v>
      </c>
      <c r="E902" s="39">
        <v>-4993</v>
      </c>
      <c r="F902" s="39">
        <v>-3015</v>
      </c>
      <c r="G902" s="484">
        <v>-1044</v>
      </c>
      <c r="H902" s="484">
        <v>-1894</v>
      </c>
      <c r="I902" s="484">
        <v>-2694</v>
      </c>
      <c r="J902" s="484">
        <f t="shared" si="927"/>
        <v>-4087</v>
      </c>
      <c r="K902" s="39">
        <v>-4087</v>
      </c>
      <c r="L902" s="484">
        <v>-1718</v>
      </c>
      <c r="M902" s="484">
        <v>-3254</v>
      </c>
      <c r="N902" s="484">
        <v>-5087</v>
      </c>
      <c r="O902" s="484">
        <f t="shared" si="928"/>
        <v>-6527</v>
      </c>
      <c r="P902" s="39">
        <v>-6527</v>
      </c>
      <c r="Q902" s="484">
        <v>-1303</v>
      </c>
      <c r="R902" s="484">
        <v>-1788</v>
      </c>
      <c r="S902" s="484">
        <v>-2823</v>
      </c>
      <c r="T902" s="484">
        <f t="shared" si="929"/>
        <v>-6095</v>
      </c>
      <c r="U902" s="39">
        <v>-6095</v>
      </c>
      <c r="V902" s="484">
        <v>-2352</v>
      </c>
      <c r="W902" s="484">
        <v>-4391</v>
      </c>
      <c r="X902" s="484">
        <v>-5908</v>
      </c>
      <c r="Y902" s="484">
        <f t="shared" si="930"/>
        <v>-7499</v>
      </c>
      <c r="Z902" s="39">
        <v>-7499</v>
      </c>
      <c r="AA902" s="484">
        <v>-1465</v>
      </c>
      <c r="AB902" s="191">
        <v>-3500</v>
      </c>
      <c r="AC902" s="484">
        <v>-5944</v>
      </c>
      <c r="AD902" s="484">
        <f t="shared" si="931"/>
        <v>-9368</v>
      </c>
      <c r="AE902" s="39">
        <v>-9368</v>
      </c>
      <c r="AF902" s="484">
        <v>-1313</v>
      </c>
      <c r="AG902" s="191">
        <v>-2608</v>
      </c>
      <c r="AH902" s="484">
        <v>-3577</v>
      </c>
      <c r="AI902" s="484">
        <f t="shared" si="932"/>
        <v>-3577</v>
      </c>
      <c r="AJ902" s="39">
        <v>-3577</v>
      </c>
      <c r="AK902" s="113"/>
      <c r="AL902" s="113"/>
      <c r="AM902" s="113"/>
      <c r="AN902" s="484">
        <f t="shared" si="933"/>
        <v>0</v>
      </c>
      <c r="AO902" s="39">
        <v>0</v>
      </c>
      <c r="AP902" s="113"/>
      <c r="AQ902" s="113"/>
      <c r="AR902" s="113"/>
      <c r="AS902" s="484">
        <f t="shared" si="934"/>
        <v>0</v>
      </c>
      <c r="AT902" s="104"/>
      <c r="AU902" s="113"/>
      <c r="AV902" s="113"/>
      <c r="AW902" s="699"/>
      <c r="AX902" s="113">
        <f t="shared" si="935"/>
        <v>0</v>
      </c>
      <c r="AY902" s="104"/>
      <c r="AZ902" s="113"/>
      <c r="BA902" s="113"/>
      <c r="BB902" s="113"/>
      <c r="BC902" s="113">
        <f t="shared" si="936"/>
        <v>0</v>
      </c>
      <c r="BD902" s="104"/>
      <c r="BE902" s="104"/>
      <c r="BF902" s="104"/>
      <c r="BG902" s="104"/>
      <c r="BH902" s="484"/>
    </row>
    <row r="903" spans="1:60" s="49" customFormat="1" hidden="1" outlineLevel="1" x14ac:dyDescent="0.25">
      <c r="A903" s="483" t="s">
        <v>309</v>
      </c>
      <c r="B903" s="209"/>
      <c r="C903" s="39">
        <v>119</v>
      </c>
      <c r="D903" s="39">
        <v>1133</v>
      </c>
      <c r="E903" s="39">
        <v>1128</v>
      </c>
      <c r="F903" s="39">
        <v>1008</v>
      </c>
      <c r="G903" s="484">
        <v>124</v>
      </c>
      <c r="H903" s="484">
        <v>354</v>
      </c>
      <c r="I903" s="484">
        <v>518</v>
      </c>
      <c r="J903" s="484">
        <f t="shared" si="927"/>
        <v>587</v>
      </c>
      <c r="K903" s="39">
        <v>587</v>
      </c>
      <c r="L903" s="484">
        <v>94</v>
      </c>
      <c r="M903" s="484">
        <v>295</v>
      </c>
      <c r="N903" s="484">
        <v>348</v>
      </c>
      <c r="O903" s="484">
        <f t="shared" si="928"/>
        <v>404</v>
      </c>
      <c r="P903" s="39">
        <v>404</v>
      </c>
      <c r="Q903" s="484">
        <v>65</v>
      </c>
      <c r="R903" s="484">
        <v>235</v>
      </c>
      <c r="S903" s="484">
        <v>292</v>
      </c>
      <c r="T903" s="484">
        <f t="shared" si="929"/>
        <v>329</v>
      </c>
      <c r="U903" s="39">
        <v>329</v>
      </c>
      <c r="V903" s="484">
        <v>52</v>
      </c>
      <c r="W903" s="484">
        <v>160</v>
      </c>
      <c r="X903" s="484">
        <v>216</v>
      </c>
      <c r="Y903" s="484">
        <f t="shared" si="930"/>
        <v>259</v>
      </c>
      <c r="Z903" s="39">
        <v>259</v>
      </c>
      <c r="AA903" s="484">
        <v>65</v>
      </c>
      <c r="AB903" s="191">
        <v>186</v>
      </c>
      <c r="AC903" s="484">
        <v>256</v>
      </c>
      <c r="AD903" s="484">
        <f t="shared" si="931"/>
        <v>276</v>
      </c>
      <c r="AE903" s="39">
        <v>276</v>
      </c>
      <c r="AF903" s="484">
        <v>50</v>
      </c>
      <c r="AG903" s="191">
        <v>91</v>
      </c>
      <c r="AH903" s="484">
        <v>129</v>
      </c>
      <c r="AI903" s="484">
        <f t="shared" si="932"/>
        <v>210</v>
      </c>
      <c r="AJ903" s="39">
        <v>210</v>
      </c>
      <c r="AK903" s="484">
        <v>37</v>
      </c>
      <c r="AL903" s="191">
        <v>83</v>
      </c>
      <c r="AM903" s="484">
        <v>278</v>
      </c>
      <c r="AN903" s="484">
        <f t="shared" si="933"/>
        <v>318</v>
      </c>
      <c r="AO903" s="39">
        <v>318</v>
      </c>
      <c r="AP903" s="484">
        <v>126</v>
      </c>
      <c r="AQ903" s="191">
        <v>207</v>
      </c>
      <c r="AR903" s="484">
        <v>238</v>
      </c>
      <c r="AS903" s="484">
        <f t="shared" si="934"/>
        <v>305</v>
      </c>
      <c r="AT903" s="39">
        <v>305</v>
      </c>
      <c r="AU903" s="484">
        <v>209</v>
      </c>
      <c r="AV903" s="191">
        <v>394</v>
      </c>
      <c r="AW903" s="289">
        <v>405</v>
      </c>
      <c r="AX903" s="113">
        <f t="shared" si="935"/>
        <v>0</v>
      </c>
      <c r="AY903" s="104"/>
      <c r="AZ903" s="113"/>
      <c r="BA903" s="113"/>
      <c r="BB903" s="113"/>
      <c r="BC903" s="113">
        <f t="shared" si="936"/>
        <v>0</v>
      </c>
      <c r="BD903" s="104"/>
      <c r="BE903" s="104"/>
      <c r="BF903" s="104"/>
      <c r="BG903" s="104"/>
      <c r="BH903" s="484"/>
    </row>
    <row r="904" spans="1:60" s="49" customFormat="1" hidden="1" outlineLevel="1" x14ac:dyDescent="0.25">
      <c r="A904" s="483" t="s">
        <v>310</v>
      </c>
      <c r="B904" s="209"/>
      <c r="C904" s="39">
        <v>0</v>
      </c>
      <c r="D904" s="39">
        <v>0</v>
      </c>
      <c r="E904" s="39">
        <v>0</v>
      </c>
      <c r="F904" s="39">
        <v>0</v>
      </c>
      <c r="G904" s="484">
        <v>0</v>
      </c>
      <c r="H904" s="484">
        <v>0</v>
      </c>
      <c r="I904" s="484">
        <v>0</v>
      </c>
      <c r="J904" s="484">
        <f t="shared" si="927"/>
        <v>505</v>
      </c>
      <c r="K904" s="39">
        <v>505</v>
      </c>
      <c r="L904" s="484">
        <v>0</v>
      </c>
      <c r="M904" s="484">
        <v>441</v>
      </c>
      <c r="N904" s="484">
        <v>608</v>
      </c>
      <c r="O904" s="484">
        <f t="shared" si="928"/>
        <v>608</v>
      </c>
      <c r="P904" s="39">
        <v>608</v>
      </c>
      <c r="Q904" s="484">
        <v>351</v>
      </c>
      <c r="R904" s="484">
        <v>829</v>
      </c>
      <c r="S904" s="484">
        <v>1012</v>
      </c>
      <c r="T904" s="484">
        <f t="shared" si="929"/>
        <v>1012</v>
      </c>
      <c r="U904" s="39">
        <v>1012</v>
      </c>
      <c r="V904" s="484">
        <v>0</v>
      </c>
      <c r="W904" s="484">
        <v>0</v>
      </c>
      <c r="X904" s="484">
        <v>0</v>
      </c>
      <c r="Y904" s="484">
        <f t="shared" si="930"/>
        <v>0</v>
      </c>
      <c r="Z904" s="39">
        <v>0</v>
      </c>
      <c r="AA904" s="113"/>
      <c r="AB904" s="113"/>
      <c r="AC904" s="113"/>
      <c r="AD904" s="484">
        <f t="shared" si="931"/>
        <v>17</v>
      </c>
      <c r="AE904" s="39">
        <v>17</v>
      </c>
      <c r="AF904" s="113"/>
      <c r="AG904" s="113"/>
      <c r="AH904" s="113"/>
      <c r="AI904" s="484">
        <f t="shared" si="932"/>
        <v>399</v>
      </c>
      <c r="AJ904" s="39">
        <v>399</v>
      </c>
      <c r="AK904" s="113"/>
      <c r="AL904" s="113"/>
      <c r="AM904" s="484">
        <v>544</v>
      </c>
      <c r="AN904" s="484">
        <f t="shared" si="933"/>
        <v>737</v>
      </c>
      <c r="AO904" s="39">
        <v>737</v>
      </c>
      <c r="AP904" s="113"/>
      <c r="AQ904" s="113"/>
      <c r="AR904" s="113"/>
      <c r="AS904" s="484">
        <f t="shared" si="934"/>
        <v>94</v>
      </c>
      <c r="AT904" s="39">
        <v>94</v>
      </c>
      <c r="AU904" s="113"/>
      <c r="AV904" s="113"/>
      <c r="AW904" s="699"/>
      <c r="AX904" s="113">
        <f t="shared" si="935"/>
        <v>0</v>
      </c>
      <c r="AY904" s="104"/>
      <c r="AZ904" s="113"/>
      <c r="BA904" s="113"/>
      <c r="BB904" s="113"/>
      <c r="BC904" s="113">
        <f t="shared" si="936"/>
        <v>0</v>
      </c>
      <c r="BD904" s="104"/>
      <c r="BE904" s="104"/>
      <c r="BF904" s="104"/>
      <c r="BG904" s="104"/>
      <c r="BH904" s="484"/>
    </row>
    <row r="905" spans="1:60" s="283" customFormat="1" hidden="1" outlineLevel="1" x14ac:dyDescent="0.25">
      <c r="A905" s="483" t="s">
        <v>510</v>
      </c>
      <c r="B905" s="209"/>
      <c r="C905" s="104"/>
      <c r="D905" s="104"/>
      <c r="E905" s="104"/>
      <c r="F905" s="104"/>
      <c r="G905" s="113"/>
      <c r="H905" s="113"/>
      <c r="I905" s="113"/>
      <c r="J905" s="113"/>
      <c r="K905" s="104"/>
      <c r="L905" s="113"/>
      <c r="M905" s="113"/>
      <c r="N905" s="113"/>
      <c r="O905" s="113"/>
      <c r="P905" s="104"/>
      <c r="Q905" s="113"/>
      <c r="R905" s="113"/>
      <c r="S905" s="113"/>
      <c r="T905" s="113"/>
      <c r="U905" s="104"/>
      <c r="V905" s="113"/>
      <c r="W905" s="113"/>
      <c r="X905" s="113"/>
      <c r="Y905" s="113"/>
      <c r="Z905" s="104"/>
      <c r="AA905" s="113"/>
      <c r="AB905" s="113"/>
      <c r="AC905" s="113"/>
      <c r="AD905" s="113"/>
      <c r="AE905" s="104"/>
      <c r="AF905" s="113"/>
      <c r="AG905" s="113"/>
      <c r="AH905" s="113"/>
      <c r="AI905" s="113"/>
      <c r="AJ905" s="104"/>
      <c r="AK905" s="113"/>
      <c r="AL905" s="113"/>
      <c r="AM905" s="484">
        <v>-1430</v>
      </c>
      <c r="AN905" s="484">
        <f t="shared" si="933"/>
        <v>-1430</v>
      </c>
      <c r="AO905" s="39">
        <v>-1430</v>
      </c>
      <c r="AP905" s="113"/>
      <c r="AQ905" s="113"/>
      <c r="AR905" s="113"/>
      <c r="AS905" s="484">
        <f t="shared" si="934"/>
        <v>0</v>
      </c>
      <c r="AT905" s="104"/>
      <c r="AU905" s="113"/>
      <c r="AV905" s="113"/>
      <c r="AW905" s="699"/>
      <c r="AX905" s="113"/>
      <c r="AY905" s="104"/>
      <c r="AZ905" s="113"/>
      <c r="BA905" s="113"/>
      <c r="BB905" s="113"/>
      <c r="BC905" s="113"/>
      <c r="BD905" s="104"/>
      <c r="BE905" s="104"/>
      <c r="BF905" s="104"/>
      <c r="BG905" s="104"/>
      <c r="BH905" s="484"/>
    </row>
    <row r="906" spans="1:60" s="49" customFormat="1" hidden="1" outlineLevel="1" x14ac:dyDescent="0.25">
      <c r="A906" s="483" t="s">
        <v>292</v>
      </c>
      <c r="B906" s="209"/>
      <c r="C906" s="39">
        <v>-592</v>
      </c>
      <c r="D906" s="39">
        <v>-293</v>
      </c>
      <c r="E906" s="39">
        <v>-259</v>
      </c>
      <c r="F906" s="39">
        <v>-326</v>
      </c>
      <c r="G906" s="484">
        <v>101</v>
      </c>
      <c r="H906" s="484">
        <v>329</v>
      </c>
      <c r="I906" s="484">
        <v>-19</v>
      </c>
      <c r="J906" s="484">
        <f>K906</f>
        <v>-274</v>
      </c>
      <c r="K906" s="39">
        <v>-274</v>
      </c>
      <c r="L906" s="484">
        <v>218</v>
      </c>
      <c r="M906" s="484">
        <v>218</v>
      </c>
      <c r="N906" s="484">
        <v>-335</v>
      </c>
      <c r="O906" s="484">
        <f>P906</f>
        <v>-320</v>
      </c>
      <c r="P906" s="39">
        <v>-320</v>
      </c>
      <c r="Q906" s="484">
        <v>66</v>
      </c>
      <c r="R906" s="484">
        <v>209</v>
      </c>
      <c r="S906" s="484">
        <v>-301</v>
      </c>
      <c r="T906" s="484">
        <f>U906</f>
        <v>-402</v>
      </c>
      <c r="U906" s="39">
        <v>-402</v>
      </c>
      <c r="V906" s="484">
        <v>107</v>
      </c>
      <c r="W906" s="484">
        <v>-431</v>
      </c>
      <c r="X906" s="484">
        <v>-389</v>
      </c>
      <c r="Y906" s="484">
        <f>Z906</f>
        <v>-378</v>
      </c>
      <c r="Z906" s="39">
        <v>-378</v>
      </c>
      <c r="AA906" s="484">
        <v>-167</v>
      </c>
      <c r="AB906" s="191">
        <v>-232</v>
      </c>
      <c r="AC906" s="484">
        <v>-1072</v>
      </c>
      <c r="AD906" s="484">
        <f>AE906</f>
        <v>-1142</v>
      </c>
      <c r="AE906" s="39">
        <v>-1142</v>
      </c>
      <c r="AF906" s="484">
        <v>-156</v>
      </c>
      <c r="AG906" s="191">
        <v>-169</v>
      </c>
      <c r="AH906" s="484">
        <v>-420</v>
      </c>
      <c r="AI906" s="484">
        <f>AJ906</f>
        <v>-777</v>
      </c>
      <c r="AJ906" s="39">
        <v>-777</v>
      </c>
      <c r="AK906" s="484">
        <v>-146</v>
      </c>
      <c r="AL906" s="191">
        <v>-200</v>
      </c>
      <c r="AM906" s="484">
        <v>-831</v>
      </c>
      <c r="AN906" s="484">
        <f t="shared" si="933"/>
        <v>-871</v>
      </c>
      <c r="AO906" s="39">
        <v>-871</v>
      </c>
      <c r="AP906" s="484">
        <v>-186</v>
      </c>
      <c r="AQ906" s="191">
        <v>-165</v>
      </c>
      <c r="AR906" s="484">
        <v>-838</v>
      </c>
      <c r="AS906" s="484">
        <f t="shared" si="934"/>
        <v>-1565</v>
      </c>
      <c r="AT906" s="39">
        <v>-1565</v>
      </c>
      <c r="AU906" s="484">
        <v>-225</v>
      </c>
      <c r="AV906" s="191">
        <v>-769</v>
      </c>
      <c r="AW906" s="289">
        <v>-801</v>
      </c>
      <c r="AX906" s="113">
        <f>AY906</f>
        <v>0</v>
      </c>
      <c r="AY906" s="104"/>
      <c r="AZ906" s="113"/>
      <c r="BA906" s="113"/>
      <c r="BB906" s="113"/>
      <c r="BC906" s="113">
        <f>BD906</f>
        <v>0</v>
      </c>
      <c r="BD906" s="104"/>
      <c r="BE906" s="104"/>
      <c r="BF906" s="104"/>
      <c r="BG906" s="104"/>
      <c r="BH906" s="484"/>
    </row>
    <row r="907" spans="1:60" s="470" customFormat="1" hidden="1" outlineLevel="1" x14ac:dyDescent="0.25">
      <c r="A907" s="483" t="s">
        <v>565</v>
      </c>
      <c r="B907" s="209"/>
      <c r="C907" s="104"/>
      <c r="D907" s="104"/>
      <c r="E907" s="104"/>
      <c r="F907" s="104"/>
      <c r="G907" s="113"/>
      <c r="H907" s="113"/>
      <c r="I907" s="113"/>
      <c r="J907" s="113"/>
      <c r="K907" s="104"/>
      <c r="L907" s="113"/>
      <c r="M907" s="113"/>
      <c r="N907" s="113"/>
      <c r="O907" s="113"/>
      <c r="P907" s="104"/>
      <c r="Q907" s="113"/>
      <c r="R907" s="113"/>
      <c r="S907" s="113"/>
      <c r="T907" s="113"/>
      <c r="U907" s="104"/>
      <c r="V907" s="113"/>
      <c r="W907" s="113"/>
      <c r="X907" s="113"/>
      <c r="Y907" s="113"/>
      <c r="Z907" s="104"/>
      <c r="AA907" s="113"/>
      <c r="AB907" s="113"/>
      <c r="AC907" s="113"/>
      <c r="AD907" s="113"/>
      <c r="AE907" s="104"/>
      <c r="AF907" s="113"/>
      <c r="AG907" s="113"/>
      <c r="AH907" s="113"/>
      <c r="AI907" s="113"/>
      <c r="AJ907" s="104"/>
      <c r="AK907" s="113"/>
      <c r="AL907" s="113"/>
      <c r="AM907" s="484">
        <v>-179</v>
      </c>
      <c r="AN907" s="484">
        <v>-626</v>
      </c>
      <c r="AO907" s="39">
        <v>-626</v>
      </c>
      <c r="AP907" s="113"/>
      <c r="AQ907" s="113"/>
      <c r="AR907" s="113"/>
      <c r="AS907" s="484">
        <f t="shared" si="934"/>
        <v>0</v>
      </c>
      <c r="AT907" s="104"/>
      <c r="AU907" s="113"/>
      <c r="AV907" s="113"/>
      <c r="AW907" s="699"/>
      <c r="AX907" s="113"/>
      <c r="AY907" s="104"/>
      <c r="AZ907" s="113"/>
      <c r="BA907" s="113"/>
      <c r="BB907" s="113"/>
      <c r="BC907" s="113"/>
      <c r="BD907" s="104"/>
      <c r="BE907" s="104"/>
      <c r="BF907" s="104"/>
      <c r="BG907" s="104"/>
      <c r="BH907" s="484"/>
    </row>
    <row r="908" spans="1:60" s="52" customFormat="1" hidden="1" outlineLevel="1" x14ac:dyDescent="0.25">
      <c r="A908" s="500" t="s">
        <v>311</v>
      </c>
      <c r="B908" s="775"/>
      <c r="C908" s="53">
        <f t="shared" ref="C908:AH908" si="937">SUM(C898:C907)</f>
        <v>-3111</v>
      </c>
      <c r="D908" s="53">
        <f t="shared" si="937"/>
        <v>-2663</v>
      </c>
      <c r="E908" s="53">
        <f t="shared" si="937"/>
        <v>-3233</v>
      </c>
      <c r="F908" s="53">
        <f t="shared" si="937"/>
        <v>-2985</v>
      </c>
      <c r="G908" s="61">
        <f t="shared" si="937"/>
        <v>1136</v>
      </c>
      <c r="H908" s="61">
        <f t="shared" si="937"/>
        <v>310</v>
      </c>
      <c r="I908" s="61">
        <f t="shared" si="937"/>
        <v>-2436</v>
      </c>
      <c r="J908" s="61">
        <f t="shared" si="937"/>
        <v>-4214</v>
      </c>
      <c r="K908" s="53">
        <f t="shared" si="937"/>
        <v>-4214</v>
      </c>
      <c r="L908" s="61">
        <f t="shared" si="937"/>
        <v>-237</v>
      </c>
      <c r="M908" s="61">
        <f t="shared" si="937"/>
        <v>-2438</v>
      </c>
      <c r="N908" s="61">
        <f t="shared" si="937"/>
        <v>-4090</v>
      </c>
      <c r="O908" s="61">
        <f t="shared" si="937"/>
        <v>-6710</v>
      </c>
      <c r="P908" s="53">
        <f t="shared" si="937"/>
        <v>-6710</v>
      </c>
      <c r="Q908" s="61">
        <f t="shared" si="937"/>
        <v>897</v>
      </c>
      <c r="R908" s="61">
        <f t="shared" si="937"/>
        <v>-2345</v>
      </c>
      <c r="S908" s="61">
        <f t="shared" si="937"/>
        <v>-3241</v>
      </c>
      <c r="T908" s="61">
        <f t="shared" si="937"/>
        <v>-5514</v>
      </c>
      <c r="U908" s="53">
        <f t="shared" si="937"/>
        <v>-5514</v>
      </c>
      <c r="V908" s="61">
        <f t="shared" si="937"/>
        <v>-468</v>
      </c>
      <c r="W908" s="61">
        <f t="shared" si="937"/>
        <v>-1981</v>
      </c>
      <c r="X908" s="61">
        <f t="shared" si="937"/>
        <v>-4091</v>
      </c>
      <c r="Y908" s="61">
        <f t="shared" si="937"/>
        <v>-6991</v>
      </c>
      <c r="Z908" s="53">
        <f t="shared" si="937"/>
        <v>-6991</v>
      </c>
      <c r="AA908" s="105">
        <f t="shared" si="937"/>
        <v>-987</v>
      </c>
      <c r="AB908" s="192">
        <f t="shared" si="937"/>
        <v>-3049</v>
      </c>
      <c r="AC908" s="61">
        <f t="shared" si="937"/>
        <v>-5792</v>
      </c>
      <c r="AD908" s="61">
        <f t="shared" si="937"/>
        <v>-8959</v>
      </c>
      <c r="AE908" s="53">
        <f t="shared" si="937"/>
        <v>-8959</v>
      </c>
      <c r="AF908" s="105">
        <f t="shared" si="937"/>
        <v>-584</v>
      </c>
      <c r="AG908" s="192">
        <f t="shared" si="937"/>
        <v>-2882</v>
      </c>
      <c r="AH908" s="61">
        <f t="shared" si="937"/>
        <v>-4981</v>
      </c>
      <c r="AI908" s="61">
        <f t="shared" ref="AI908:AY908" si="938">SUM(AI898:AI907)</f>
        <v>-8843</v>
      </c>
      <c r="AJ908" s="53">
        <f t="shared" si="938"/>
        <v>-8843</v>
      </c>
      <c r="AK908" s="105">
        <f t="shared" si="938"/>
        <v>-411</v>
      </c>
      <c r="AL908" s="192">
        <f t="shared" si="938"/>
        <v>12696</v>
      </c>
      <c r="AM908" s="61">
        <f t="shared" si="938"/>
        <v>12354</v>
      </c>
      <c r="AN908" s="61">
        <f t="shared" si="938"/>
        <v>-1090</v>
      </c>
      <c r="AO908" s="53">
        <f t="shared" si="938"/>
        <v>-1090</v>
      </c>
      <c r="AP908" s="105">
        <f t="shared" si="938"/>
        <v>1117</v>
      </c>
      <c r="AQ908" s="192">
        <f t="shared" si="938"/>
        <v>6616</v>
      </c>
      <c r="AR908" s="61">
        <f t="shared" si="938"/>
        <v>14919</v>
      </c>
      <c r="AS908" s="61">
        <f>SUM(AS898:AS907)</f>
        <v>8480</v>
      </c>
      <c r="AT908" s="53">
        <f>SUM(AT898:AT907)</f>
        <v>8480</v>
      </c>
      <c r="AU908" s="105">
        <f>SUM(AU898:AU907)</f>
        <v>-333</v>
      </c>
      <c r="AV908" s="192">
        <f>SUM(AV898:AV907)</f>
        <v>-2241</v>
      </c>
      <c r="AW908" s="872">
        <f>SUM(AW898:AW907)</f>
        <v>-2771</v>
      </c>
      <c r="AX908" s="105">
        <f t="shared" si="938"/>
        <v>0</v>
      </c>
      <c r="AY908" s="106">
        <f t="shared" si="938"/>
        <v>0</v>
      </c>
      <c r="AZ908" s="105">
        <f t="shared" ref="AZ908:BG908" si="939">SUM(AZ898:AZ907)</f>
        <v>0</v>
      </c>
      <c r="BA908" s="105">
        <f t="shared" si="939"/>
        <v>0</v>
      </c>
      <c r="BB908" s="105">
        <f t="shared" si="939"/>
        <v>0</v>
      </c>
      <c r="BC908" s="105">
        <f t="shared" si="939"/>
        <v>0</v>
      </c>
      <c r="BD908" s="106">
        <f t="shared" si="939"/>
        <v>0</v>
      </c>
      <c r="BE908" s="106">
        <f t="shared" si="939"/>
        <v>0</v>
      </c>
      <c r="BF908" s="106">
        <f t="shared" si="939"/>
        <v>0</v>
      </c>
      <c r="BG908" s="106">
        <f t="shared" si="939"/>
        <v>0</v>
      </c>
      <c r="BH908" s="499"/>
    </row>
    <row r="909" spans="1:60" s="52" customFormat="1" hidden="1" outlineLevel="1" x14ac:dyDescent="0.25">
      <c r="A909" s="635"/>
      <c r="B909" s="602"/>
      <c r="C909" s="111"/>
      <c r="D909" s="111"/>
      <c r="E909" s="111"/>
      <c r="F909" s="111"/>
      <c r="G909" s="114"/>
      <c r="H909" s="114"/>
      <c r="I909" s="114"/>
      <c r="J909" s="114"/>
      <c r="K909" s="111"/>
      <c r="L909" s="114"/>
      <c r="M909" s="114"/>
      <c r="N909" s="114"/>
      <c r="O909" s="114"/>
      <c r="P909" s="111"/>
      <c r="Q909" s="114"/>
      <c r="R909" s="114"/>
      <c r="S909" s="114"/>
      <c r="T909" s="114"/>
      <c r="U909" s="111"/>
      <c r="V909" s="114"/>
      <c r="W909" s="114"/>
      <c r="X909" s="114"/>
      <c r="Y909" s="114"/>
      <c r="Z909" s="111"/>
      <c r="AA909" s="114"/>
      <c r="AB909" s="114"/>
      <c r="AC909" s="114"/>
      <c r="AD909" s="114"/>
      <c r="AE909" s="111"/>
      <c r="AF909" s="114"/>
      <c r="AG909" s="114"/>
      <c r="AH909" s="114"/>
      <c r="AI909" s="114"/>
      <c r="AJ909" s="111"/>
      <c r="AK909" s="114"/>
      <c r="AL909" s="114"/>
      <c r="AM909" s="114"/>
      <c r="AN909" s="114"/>
      <c r="AO909" s="111"/>
      <c r="AP909" s="114"/>
      <c r="AQ909" s="114"/>
      <c r="AR909" s="114"/>
      <c r="AS909" s="114"/>
      <c r="AT909" s="111"/>
      <c r="AU909" s="114"/>
      <c r="AV909" s="114"/>
      <c r="AW909" s="765"/>
      <c r="AX909" s="114"/>
      <c r="AY909" s="111"/>
      <c r="AZ909" s="114"/>
      <c r="BA909" s="114"/>
      <c r="BB909" s="114"/>
      <c r="BC909" s="114"/>
      <c r="BD909" s="111"/>
      <c r="BE909" s="111"/>
      <c r="BF909" s="111"/>
      <c r="BG909" s="111"/>
      <c r="BH909" s="499"/>
    </row>
    <row r="910" spans="1:60" s="52" customFormat="1" hidden="1" outlineLevel="1" x14ac:dyDescent="0.25">
      <c r="A910" s="501" t="s">
        <v>312</v>
      </c>
      <c r="B910" s="602"/>
      <c r="C910" s="111"/>
      <c r="D910" s="111"/>
      <c r="E910" s="111"/>
      <c r="F910" s="111"/>
      <c r="G910" s="114"/>
      <c r="H910" s="114"/>
      <c r="I910" s="114"/>
      <c r="J910" s="114"/>
      <c r="K910" s="111"/>
      <c r="L910" s="114"/>
      <c r="M910" s="114"/>
      <c r="N910" s="114"/>
      <c r="O910" s="114"/>
      <c r="P910" s="111"/>
      <c r="Q910" s="114"/>
      <c r="R910" s="114"/>
      <c r="S910" s="114"/>
      <c r="T910" s="114"/>
      <c r="U910" s="111"/>
      <c r="V910" s="114"/>
      <c r="W910" s="114"/>
      <c r="X910" s="114"/>
      <c r="Y910" s="114"/>
      <c r="Z910" s="111"/>
      <c r="AA910" s="114"/>
      <c r="AB910" s="114"/>
      <c r="AC910" s="114"/>
      <c r="AD910" s="114"/>
      <c r="AE910" s="111"/>
      <c r="AF910" s="114"/>
      <c r="AG910" s="114"/>
      <c r="AH910" s="114"/>
      <c r="AI910" s="114"/>
      <c r="AJ910" s="111"/>
      <c r="AK910" s="114"/>
      <c r="AL910" s="194">
        <v>-35</v>
      </c>
      <c r="AM910" s="499">
        <v>320</v>
      </c>
      <c r="AN910" s="114"/>
      <c r="AO910" s="111"/>
      <c r="AP910" s="114"/>
      <c r="AQ910" s="194">
        <v>4</v>
      </c>
      <c r="AR910" s="114"/>
      <c r="AS910" s="499">
        <f>+AT910</f>
        <v>0</v>
      </c>
      <c r="AT910" s="51">
        <v>0</v>
      </c>
      <c r="AU910" s="499">
        <v>9</v>
      </c>
      <c r="AV910" s="194">
        <v>8</v>
      </c>
      <c r="AW910" s="765">
        <v>6</v>
      </c>
      <c r="AX910" s="114"/>
      <c r="AY910" s="111"/>
      <c r="AZ910" s="114"/>
      <c r="BA910" s="114"/>
      <c r="BB910" s="114"/>
      <c r="BC910" s="114"/>
      <c r="BD910" s="111"/>
      <c r="BE910" s="111"/>
      <c r="BF910" s="111"/>
      <c r="BG910" s="111"/>
      <c r="BH910" s="499"/>
    </row>
    <row r="911" spans="1:60" s="52" customFormat="1" hidden="1" outlineLevel="1" x14ac:dyDescent="0.25">
      <c r="A911" s="501" t="s">
        <v>313</v>
      </c>
      <c r="B911" s="602"/>
      <c r="C911" s="51">
        <v>-37</v>
      </c>
      <c r="D911" s="51">
        <v>-87</v>
      </c>
      <c r="E911" s="51">
        <v>-12</v>
      </c>
      <c r="F911" s="51">
        <v>-20</v>
      </c>
      <c r="G911" s="499">
        <v>5</v>
      </c>
      <c r="H911" s="499">
        <v>-59</v>
      </c>
      <c r="I911" s="499">
        <v>-74</v>
      </c>
      <c r="J911" s="499">
        <f>K911</f>
        <v>-18</v>
      </c>
      <c r="K911" s="51">
        <v>-18</v>
      </c>
      <c r="L911" s="499">
        <v>18</v>
      </c>
      <c r="M911" s="499">
        <v>-143</v>
      </c>
      <c r="N911" s="499">
        <v>-134</v>
      </c>
      <c r="O911" s="499">
        <f>P911</f>
        <v>-235</v>
      </c>
      <c r="P911" s="51">
        <v>-235</v>
      </c>
      <c r="Q911" s="499">
        <v>-105</v>
      </c>
      <c r="R911" s="499">
        <v>-277</v>
      </c>
      <c r="S911" s="499">
        <v>-231</v>
      </c>
      <c r="T911" s="499">
        <f>U911</f>
        <v>-302</v>
      </c>
      <c r="U911" s="51">
        <v>-302</v>
      </c>
      <c r="V911" s="499">
        <v>-64</v>
      </c>
      <c r="W911" s="499">
        <v>3</v>
      </c>
      <c r="X911" s="499">
        <v>-111</v>
      </c>
      <c r="Y911" s="499">
        <f>Z911</f>
        <v>-123</v>
      </c>
      <c r="Z911" s="51">
        <v>-123</v>
      </c>
      <c r="AA911" s="499">
        <v>-112</v>
      </c>
      <c r="AB911" s="194">
        <v>-69</v>
      </c>
      <c r="AC911" s="499">
        <v>-23</v>
      </c>
      <c r="AD911" s="499">
        <f>AE911</f>
        <v>31</v>
      </c>
      <c r="AE911" s="51">
        <v>31</v>
      </c>
      <c r="AF911" s="499">
        <v>21</v>
      </c>
      <c r="AG911" s="194">
        <v>55</v>
      </c>
      <c r="AH911" s="499">
        <v>-51</v>
      </c>
      <c r="AI911" s="499">
        <f>AJ911</f>
        <v>-25</v>
      </c>
      <c r="AJ911" s="51">
        <v>-25</v>
      </c>
      <c r="AK911" s="499">
        <v>-44</v>
      </c>
      <c r="AL911" s="194">
        <v>75</v>
      </c>
      <c r="AM911" s="499">
        <v>47</v>
      </c>
      <c r="AN911" s="499">
        <f>AO911</f>
        <v>-98</v>
      </c>
      <c r="AO911" s="51">
        <v>-98</v>
      </c>
      <c r="AP911" s="499">
        <v>41</v>
      </c>
      <c r="AQ911" s="194">
        <v>-76</v>
      </c>
      <c r="AR911" s="499">
        <v>-49</v>
      </c>
      <c r="AS911" s="499">
        <f>AT911</f>
        <v>38</v>
      </c>
      <c r="AT911" s="51">
        <v>38</v>
      </c>
      <c r="AU911" s="499">
        <v>139</v>
      </c>
      <c r="AV911" s="194">
        <v>70</v>
      </c>
      <c r="AW911" s="873">
        <v>77</v>
      </c>
      <c r="AX911" s="114">
        <f>AY911</f>
        <v>0</v>
      </c>
      <c r="AY911" s="111"/>
      <c r="AZ911" s="114"/>
      <c r="BA911" s="114"/>
      <c r="BB911" s="114"/>
      <c r="BC911" s="114">
        <f>BD911</f>
        <v>0</v>
      </c>
      <c r="BD911" s="111"/>
      <c r="BE911" s="111"/>
      <c r="BF911" s="111"/>
      <c r="BG911" s="111"/>
      <c r="BH911" s="499"/>
    </row>
    <row r="912" spans="1:60" s="52" customFormat="1" hidden="1" outlineLevel="1" x14ac:dyDescent="0.25">
      <c r="A912" s="501" t="s">
        <v>314</v>
      </c>
      <c r="B912" s="602"/>
      <c r="C912" s="51">
        <f t="shared" ref="C912:AH912" si="940">C908+C895+C887+C911+C910</f>
        <v>416</v>
      </c>
      <c r="D912" s="51">
        <f t="shared" si="940"/>
        <v>-695</v>
      </c>
      <c r="E912" s="51">
        <f t="shared" si="940"/>
        <v>463</v>
      </c>
      <c r="F912" s="51">
        <f t="shared" si="940"/>
        <v>202</v>
      </c>
      <c r="G912" s="499">
        <f t="shared" si="940"/>
        <v>-180</v>
      </c>
      <c r="H912" s="499">
        <f t="shared" si="940"/>
        <v>565</v>
      </c>
      <c r="I912" s="499">
        <f t="shared" si="940"/>
        <v>545</v>
      </c>
      <c r="J912" s="499">
        <f t="shared" si="940"/>
        <v>544</v>
      </c>
      <c r="K912" s="51">
        <f t="shared" si="940"/>
        <v>544</v>
      </c>
      <c r="L912" s="499">
        <f t="shared" si="940"/>
        <v>466</v>
      </c>
      <c r="M912" s="499">
        <f t="shared" si="940"/>
        <v>147</v>
      </c>
      <c r="N912" s="499">
        <f t="shared" si="940"/>
        <v>159</v>
      </c>
      <c r="O912" s="499">
        <f t="shared" si="940"/>
        <v>-510</v>
      </c>
      <c r="P912" s="51">
        <f t="shared" si="940"/>
        <v>-510</v>
      </c>
      <c r="Q912" s="499">
        <f t="shared" si="940"/>
        <v>1656</v>
      </c>
      <c r="R912" s="499">
        <f t="shared" si="940"/>
        <v>324</v>
      </c>
      <c r="S912" s="499">
        <f t="shared" si="940"/>
        <v>1054</v>
      </c>
      <c r="T912" s="499">
        <f t="shared" si="940"/>
        <v>848</v>
      </c>
      <c r="U912" s="51">
        <f t="shared" si="940"/>
        <v>848</v>
      </c>
      <c r="V912" s="499">
        <f t="shared" si="940"/>
        <v>32</v>
      </c>
      <c r="W912" s="499">
        <f t="shared" si="940"/>
        <v>746</v>
      </c>
      <c r="X912" s="499">
        <f t="shared" si="940"/>
        <v>958</v>
      </c>
      <c r="Y912" s="499">
        <f t="shared" si="940"/>
        <v>341</v>
      </c>
      <c r="Z912" s="51">
        <f t="shared" si="940"/>
        <v>341</v>
      </c>
      <c r="AA912" s="114">
        <f t="shared" si="940"/>
        <v>-874</v>
      </c>
      <c r="AB912" s="194">
        <f t="shared" si="940"/>
        <v>-810</v>
      </c>
      <c r="AC912" s="499">
        <f t="shared" si="940"/>
        <v>-274</v>
      </c>
      <c r="AD912" s="499">
        <f t="shared" si="940"/>
        <v>-696</v>
      </c>
      <c r="AE912" s="51">
        <f t="shared" si="940"/>
        <v>-696</v>
      </c>
      <c r="AF912" s="114">
        <f t="shared" si="940"/>
        <v>631</v>
      </c>
      <c r="AG912" s="194">
        <f t="shared" si="940"/>
        <v>131</v>
      </c>
      <c r="AH912" s="499">
        <f t="shared" si="940"/>
        <v>267</v>
      </c>
      <c r="AI912" s="499">
        <f t="shared" ref="AI912:AY912" si="941">AI908+AI895+AI887+AI911+AI910</f>
        <v>91</v>
      </c>
      <c r="AJ912" s="51">
        <f t="shared" si="941"/>
        <v>91</v>
      </c>
      <c r="AK912" s="114">
        <f t="shared" si="941"/>
        <v>308</v>
      </c>
      <c r="AL912" s="194">
        <f t="shared" si="941"/>
        <v>6067</v>
      </c>
      <c r="AM912" s="499">
        <f t="shared" si="941"/>
        <v>3202</v>
      </c>
      <c r="AN912" s="499">
        <f t="shared" si="941"/>
        <v>1300</v>
      </c>
      <c r="AO912" s="51">
        <f t="shared" si="941"/>
        <v>1300</v>
      </c>
      <c r="AP912" s="114">
        <f t="shared" si="941"/>
        <v>1419</v>
      </c>
      <c r="AQ912" s="194">
        <f t="shared" si="941"/>
        <v>8923</v>
      </c>
      <c r="AR912" s="499">
        <f t="shared" si="941"/>
        <v>17699</v>
      </c>
      <c r="AS912" s="499">
        <f>AS908+AS895+AS887+AS911+AS910</f>
        <v>12499</v>
      </c>
      <c r="AT912" s="51">
        <f>AT908+AT895+AT887+AT911+AT910</f>
        <v>12499</v>
      </c>
      <c r="AU912" s="114">
        <f>AU908+AU895+AU887+AU911+AU910</f>
        <v>-842</v>
      </c>
      <c r="AV912" s="194">
        <f>AV908+AV895+AV887+AV911+AV910</f>
        <v>-2022</v>
      </c>
      <c r="AW912" s="873">
        <f>AW908+AW895+AW887+AW911+AW910</f>
        <v>-1839</v>
      </c>
      <c r="AX912" s="114">
        <f t="shared" si="941"/>
        <v>0</v>
      </c>
      <c r="AY912" s="111">
        <f t="shared" si="941"/>
        <v>0</v>
      </c>
      <c r="AZ912" s="114">
        <f t="shared" ref="AZ912:BG912" si="942">AZ908+AZ895+AZ887+AZ911+AZ910</f>
        <v>0</v>
      </c>
      <c r="BA912" s="114">
        <f t="shared" si="942"/>
        <v>0</v>
      </c>
      <c r="BB912" s="114">
        <f t="shared" si="942"/>
        <v>0</v>
      </c>
      <c r="BC912" s="114">
        <f t="shared" si="942"/>
        <v>0</v>
      </c>
      <c r="BD912" s="111">
        <f t="shared" si="942"/>
        <v>0</v>
      </c>
      <c r="BE912" s="111">
        <f t="shared" si="942"/>
        <v>0</v>
      </c>
      <c r="BF912" s="111">
        <f t="shared" si="942"/>
        <v>0</v>
      </c>
      <c r="BG912" s="111">
        <f t="shared" si="942"/>
        <v>0</v>
      </c>
      <c r="BH912" s="499"/>
    </row>
    <row r="913" spans="1:60" s="52" customFormat="1" hidden="1" outlineLevel="1" x14ac:dyDescent="0.25">
      <c r="A913" s="635"/>
      <c r="B913" s="602"/>
      <c r="C913" s="111"/>
      <c r="D913" s="111"/>
      <c r="E913" s="111"/>
      <c r="F913" s="111"/>
      <c r="G913" s="114"/>
      <c r="H913" s="114"/>
      <c r="I913" s="114"/>
      <c r="J913" s="114"/>
      <c r="K913" s="111"/>
      <c r="L913" s="114"/>
      <c r="M913" s="114"/>
      <c r="N913" s="114"/>
      <c r="O913" s="114"/>
      <c r="P913" s="111"/>
      <c r="Q913" s="114"/>
      <c r="R913" s="114"/>
      <c r="S913" s="114"/>
      <c r="T913" s="114"/>
      <c r="U913" s="111"/>
      <c r="V913" s="114"/>
      <c r="W913" s="114"/>
      <c r="X913" s="114"/>
      <c r="Y913" s="114"/>
      <c r="Z913" s="111"/>
      <c r="AA913" s="114"/>
      <c r="AB913" s="114"/>
      <c r="AC913" s="114"/>
      <c r="AD913" s="114"/>
      <c r="AE913" s="111"/>
      <c r="AF913" s="114"/>
      <c r="AG913" s="114"/>
      <c r="AH913" s="114"/>
      <c r="AI913" s="114"/>
      <c r="AJ913" s="111"/>
      <c r="AK913" s="114"/>
      <c r="AL913" s="114"/>
      <c r="AM913" s="114"/>
      <c r="AN913" s="114"/>
      <c r="AO913" s="111"/>
      <c r="AP913" s="114"/>
      <c r="AQ913" s="114"/>
      <c r="AR913" s="114"/>
      <c r="AS913" s="114"/>
      <c r="AT913" s="111"/>
      <c r="AU913" s="114"/>
      <c r="AV913" s="114"/>
      <c r="AW913" s="765"/>
      <c r="AX913" s="114"/>
      <c r="AY913" s="111"/>
      <c r="AZ913" s="114"/>
      <c r="BA913" s="114"/>
      <c r="BB913" s="114"/>
      <c r="BC913" s="114"/>
      <c r="BD913" s="111"/>
      <c r="BE913" s="111"/>
      <c r="BF913" s="111"/>
      <c r="BG913" s="111"/>
      <c r="BH913" s="499"/>
    </row>
    <row r="914" spans="1:60" s="52" customFormat="1" hidden="1" outlineLevel="1" x14ac:dyDescent="0.25">
      <c r="A914" s="501" t="s">
        <v>315</v>
      </c>
      <c r="B914" s="602"/>
      <c r="C914" s="51">
        <v>3001</v>
      </c>
      <c r="D914" s="51">
        <f>C915</f>
        <v>3417</v>
      </c>
      <c r="E914" s="51">
        <f>D915</f>
        <v>2722</v>
      </c>
      <c r="F914" s="51">
        <f>E915</f>
        <v>3185</v>
      </c>
      <c r="G914" s="499">
        <f>F915</f>
        <v>3387</v>
      </c>
      <c r="H914" s="499">
        <f>G914</f>
        <v>3387</v>
      </c>
      <c r="I914" s="499">
        <f>H914</f>
        <v>3387</v>
      </c>
      <c r="J914" s="499">
        <f>I914</f>
        <v>3387</v>
      </c>
      <c r="K914" s="51">
        <f>J914</f>
        <v>3387</v>
      </c>
      <c r="L914" s="499">
        <f>K915</f>
        <v>3931</v>
      </c>
      <c r="M914" s="499">
        <f>L914</f>
        <v>3931</v>
      </c>
      <c r="N914" s="499">
        <f>M914</f>
        <v>3931</v>
      </c>
      <c r="O914" s="499">
        <f>N914</f>
        <v>3931</v>
      </c>
      <c r="P914" s="51">
        <f>O914</f>
        <v>3931</v>
      </c>
      <c r="Q914" s="499">
        <f>P915</f>
        <v>3421</v>
      </c>
      <c r="R914" s="499">
        <f>Q914</f>
        <v>3421</v>
      </c>
      <c r="S914" s="499">
        <f>R914</f>
        <v>3421</v>
      </c>
      <c r="T914" s="499">
        <f>S914</f>
        <v>3421</v>
      </c>
      <c r="U914" s="51">
        <f>T914</f>
        <v>3421</v>
      </c>
      <c r="V914" s="499">
        <f>U915</f>
        <v>4269</v>
      </c>
      <c r="W914" s="499">
        <f>V914</f>
        <v>4269</v>
      </c>
      <c r="X914" s="499">
        <f>W914</f>
        <v>4269</v>
      </c>
      <c r="Y914" s="499">
        <f>X914</f>
        <v>4269</v>
      </c>
      <c r="Z914" s="51">
        <f>Y914</f>
        <v>4269</v>
      </c>
      <c r="AA914" s="499">
        <f>Z915</f>
        <v>4610</v>
      </c>
      <c r="AB914" s="194">
        <f>AA914</f>
        <v>4610</v>
      </c>
      <c r="AC914" s="499">
        <f>AB914</f>
        <v>4610</v>
      </c>
      <c r="AD914" s="499">
        <v>4760</v>
      </c>
      <c r="AE914" s="51">
        <v>4760</v>
      </c>
      <c r="AF914" s="499">
        <f>AE915</f>
        <v>4064</v>
      </c>
      <c r="AG914" s="194">
        <f>AF914</f>
        <v>4064</v>
      </c>
      <c r="AH914" s="499">
        <f>AG914</f>
        <v>4064</v>
      </c>
      <c r="AI914" s="499">
        <f>AH914</f>
        <v>4064</v>
      </c>
      <c r="AJ914" s="51">
        <f>AI914</f>
        <v>4064</v>
      </c>
      <c r="AK914" s="499">
        <f>AJ915</f>
        <v>4155</v>
      </c>
      <c r="AL914" s="194">
        <f>AK914</f>
        <v>4155</v>
      </c>
      <c r="AM914" s="499">
        <f>AL914</f>
        <v>4155</v>
      </c>
      <c r="AN914" s="499">
        <f>AM914</f>
        <v>4155</v>
      </c>
      <c r="AO914" s="51">
        <f>AN914</f>
        <v>4155</v>
      </c>
      <c r="AP914" s="499">
        <f>AO915</f>
        <v>5455</v>
      </c>
      <c r="AQ914" s="194">
        <f>AP914</f>
        <v>5455</v>
      </c>
      <c r="AR914" s="499">
        <f>AQ914</f>
        <v>5455</v>
      </c>
      <c r="AS914" s="499">
        <f>AR914</f>
        <v>5455</v>
      </c>
      <c r="AT914" s="51">
        <f>AS914</f>
        <v>5455</v>
      </c>
      <c r="AU914" s="499">
        <f>AT915</f>
        <v>17954</v>
      </c>
      <c r="AV914" s="194">
        <f>AU914</f>
        <v>17954</v>
      </c>
      <c r="AW914" s="873">
        <f>AV914</f>
        <v>17954</v>
      </c>
      <c r="AX914" s="114"/>
      <c r="AY914" s="111"/>
      <c r="AZ914" s="114"/>
      <c r="BA914" s="114"/>
      <c r="BB914" s="114"/>
      <c r="BC914" s="114"/>
      <c r="BD914" s="111"/>
      <c r="BE914" s="111"/>
      <c r="BF914" s="111"/>
      <c r="BG914" s="111"/>
      <c r="BH914" s="499"/>
    </row>
    <row r="915" spans="1:60" s="52" customFormat="1" hidden="1" outlineLevel="1" x14ac:dyDescent="0.25">
      <c r="A915" s="501" t="s">
        <v>316</v>
      </c>
      <c r="B915" s="602"/>
      <c r="C915" s="51">
        <f t="shared" ref="C915:AR915" si="943">C912+C914</f>
        <v>3417</v>
      </c>
      <c r="D915" s="51">
        <f t="shared" si="943"/>
        <v>2722</v>
      </c>
      <c r="E915" s="51">
        <f t="shared" si="943"/>
        <v>3185</v>
      </c>
      <c r="F915" s="51">
        <f t="shared" si="943"/>
        <v>3387</v>
      </c>
      <c r="G915" s="499">
        <f t="shared" si="943"/>
        <v>3207</v>
      </c>
      <c r="H915" s="499">
        <f t="shared" si="943"/>
        <v>3952</v>
      </c>
      <c r="I915" s="499">
        <f t="shared" si="943"/>
        <v>3932</v>
      </c>
      <c r="J915" s="499">
        <f t="shared" si="943"/>
        <v>3931</v>
      </c>
      <c r="K915" s="51">
        <f t="shared" si="943"/>
        <v>3931</v>
      </c>
      <c r="L915" s="499">
        <f t="shared" si="943"/>
        <v>4397</v>
      </c>
      <c r="M915" s="499">
        <f t="shared" si="943"/>
        <v>4078</v>
      </c>
      <c r="N915" s="499">
        <f t="shared" si="943"/>
        <v>4090</v>
      </c>
      <c r="O915" s="499">
        <f t="shared" si="943"/>
        <v>3421</v>
      </c>
      <c r="P915" s="51">
        <f t="shared" si="943"/>
        <v>3421</v>
      </c>
      <c r="Q915" s="499">
        <f t="shared" si="943"/>
        <v>5077</v>
      </c>
      <c r="R915" s="499">
        <f t="shared" si="943"/>
        <v>3745</v>
      </c>
      <c r="S915" s="499">
        <f t="shared" si="943"/>
        <v>4475</v>
      </c>
      <c r="T915" s="499">
        <f t="shared" si="943"/>
        <v>4269</v>
      </c>
      <c r="U915" s="51">
        <f t="shared" si="943"/>
        <v>4269</v>
      </c>
      <c r="V915" s="499">
        <f t="shared" si="943"/>
        <v>4301</v>
      </c>
      <c r="W915" s="499">
        <f t="shared" si="943"/>
        <v>5015</v>
      </c>
      <c r="X915" s="499">
        <f t="shared" si="943"/>
        <v>5227</v>
      </c>
      <c r="Y915" s="499">
        <f t="shared" si="943"/>
        <v>4610</v>
      </c>
      <c r="Z915" s="51">
        <f t="shared" si="943"/>
        <v>4610</v>
      </c>
      <c r="AA915" s="499">
        <f t="shared" si="943"/>
        <v>3736</v>
      </c>
      <c r="AB915" s="194">
        <f t="shared" si="943"/>
        <v>3800</v>
      </c>
      <c r="AC915" s="499">
        <f t="shared" si="943"/>
        <v>4336</v>
      </c>
      <c r="AD915" s="499">
        <f t="shared" si="943"/>
        <v>4064</v>
      </c>
      <c r="AE915" s="51">
        <f t="shared" si="943"/>
        <v>4064</v>
      </c>
      <c r="AF915" s="499">
        <f t="shared" si="943"/>
        <v>4695</v>
      </c>
      <c r="AG915" s="194">
        <f t="shared" si="943"/>
        <v>4195</v>
      </c>
      <c r="AH915" s="499">
        <f t="shared" si="943"/>
        <v>4331</v>
      </c>
      <c r="AI915" s="499">
        <f t="shared" si="943"/>
        <v>4155</v>
      </c>
      <c r="AJ915" s="51">
        <f t="shared" si="943"/>
        <v>4155</v>
      </c>
      <c r="AK915" s="499">
        <f t="shared" si="943"/>
        <v>4463</v>
      </c>
      <c r="AL915" s="194">
        <f t="shared" si="943"/>
        <v>10222</v>
      </c>
      <c r="AM915" s="499">
        <f t="shared" si="943"/>
        <v>7357</v>
      </c>
      <c r="AN915" s="499">
        <f t="shared" si="943"/>
        <v>5455</v>
      </c>
      <c r="AO915" s="51">
        <f t="shared" si="943"/>
        <v>5455</v>
      </c>
      <c r="AP915" s="499">
        <f t="shared" si="943"/>
        <v>6874</v>
      </c>
      <c r="AQ915" s="194">
        <f t="shared" si="943"/>
        <v>14378</v>
      </c>
      <c r="AR915" s="499">
        <f t="shared" si="943"/>
        <v>23154</v>
      </c>
      <c r="AS915" s="499">
        <f>AS912+AS914</f>
        <v>17954</v>
      </c>
      <c r="AT915" s="51">
        <f>AT912+AT914</f>
        <v>17954</v>
      </c>
      <c r="AU915" s="499">
        <f>AU912+AU914</f>
        <v>17112</v>
      </c>
      <c r="AV915" s="194">
        <f>AV912+AV914</f>
        <v>15932</v>
      </c>
      <c r="AW915" s="873">
        <f>AW912+AW914</f>
        <v>16115</v>
      </c>
      <c r="AX915" s="114"/>
      <c r="AY915" s="111"/>
      <c r="AZ915" s="114"/>
      <c r="BA915" s="114"/>
      <c r="BB915" s="114"/>
      <c r="BC915" s="114"/>
      <c r="BD915" s="111"/>
      <c r="BE915" s="111"/>
      <c r="BF915" s="111"/>
      <c r="BG915" s="111"/>
      <c r="BH915" s="499"/>
    </row>
    <row r="916" spans="1:60" s="52" customFormat="1" collapsed="1" x14ac:dyDescent="0.25">
      <c r="A916" s="635"/>
      <c r="B916" s="602"/>
      <c r="C916" s="111"/>
      <c r="D916" s="111"/>
      <c r="E916" s="111"/>
      <c r="F916" s="111"/>
      <c r="G916" s="114"/>
      <c r="H916" s="114"/>
      <c r="I916" s="114"/>
      <c r="J916" s="114"/>
      <c r="K916" s="111"/>
      <c r="L916" s="114"/>
      <c r="M916" s="114"/>
      <c r="N916" s="114"/>
      <c r="O916" s="114"/>
      <c r="P916" s="111"/>
      <c r="Q916" s="114"/>
      <c r="R916" s="114"/>
      <c r="S916" s="114"/>
      <c r="T916" s="114"/>
      <c r="U916" s="111"/>
      <c r="V916" s="114"/>
      <c r="W916" s="114"/>
      <c r="X916" s="114"/>
      <c r="Y916" s="114"/>
      <c r="Z916" s="111"/>
      <c r="AA916" s="114"/>
      <c r="AB916" s="114"/>
      <c r="AC916" s="114"/>
      <c r="AD916" s="114"/>
      <c r="AE916" s="111"/>
      <c r="AF916" s="114"/>
      <c r="AG916" s="114"/>
      <c r="AH916" s="114"/>
      <c r="AI916" s="114"/>
      <c r="AJ916" s="111"/>
      <c r="AK916" s="114"/>
      <c r="AL916" s="114"/>
      <c r="AM916" s="114"/>
      <c r="AN916" s="114"/>
      <c r="AO916" s="111"/>
      <c r="AP916" s="114"/>
      <c r="AQ916" s="114"/>
      <c r="AR916" s="114"/>
      <c r="AS916" s="114"/>
      <c r="AT916" s="111"/>
      <c r="AU916" s="114"/>
      <c r="AV916" s="114"/>
      <c r="AW916" s="765"/>
      <c r="AX916" s="114"/>
      <c r="AY916" s="111"/>
      <c r="AZ916" s="114"/>
      <c r="BA916" s="114"/>
      <c r="BB916" s="114"/>
      <c r="BC916" s="114"/>
      <c r="BD916" s="111"/>
      <c r="BE916" s="111"/>
      <c r="BF916" s="111"/>
      <c r="BG916" s="111"/>
      <c r="BH916" s="499"/>
    </row>
    <row r="917" spans="1:60" s="19" customFormat="1" x14ac:dyDescent="0.25">
      <c r="A917" s="956" t="s">
        <v>317</v>
      </c>
      <c r="B917" s="956"/>
      <c r="C917" s="986"/>
      <c r="D917" s="986"/>
      <c r="E917" s="986"/>
      <c r="F917" s="986"/>
      <c r="G917" s="986"/>
      <c r="H917" s="986"/>
      <c r="I917" s="986"/>
      <c r="J917" s="986"/>
      <c r="K917" s="986"/>
      <c r="L917" s="986"/>
      <c r="M917" s="986"/>
      <c r="N917" s="986"/>
      <c r="O917" s="986"/>
      <c r="P917" s="986"/>
      <c r="Q917" s="986"/>
      <c r="R917" s="986"/>
      <c r="S917" s="986"/>
      <c r="T917" s="986"/>
      <c r="U917" s="986"/>
      <c r="V917" s="986"/>
      <c r="W917" s="986"/>
      <c r="X917" s="986"/>
      <c r="Y917" s="986"/>
      <c r="Z917" s="986"/>
      <c r="AA917" s="986"/>
      <c r="AB917" s="986"/>
      <c r="AC917" s="986"/>
      <c r="AD917" s="986"/>
      <c r="AE917" s="986"/>
      <c r="AF917" s="986"/>
      <c r="AG917" s="986"/>
      <c r="AH917" s="986"/>
      <c r="AI917" s="986"/>
      <c r="AJ917" s="986"/>
      <c r="AK917" s="986"/>
      <c r="AL917" s="986"/>
      <c r="AM917" s="986"/>
      <c r="AN917" s="986"/>
      <c r="AO917" s="986"/>
      <c r="AP917" s="986"/>
      <c r="AQ917" s="986"/>
      <c r="AR917" s="986"/>
      <c r="AS917" s="986"/>
      <c r="AT917" s="986"/>
      <c r="AU917" s="986"/>
      <c r="AV917" s="986"/>
      <c r="AW917" s="987"/>
      <c r="AX917" s="986"/>
      <c r="AY917" s="986"/>
      <c r="AZ917" s="986"/>
      <c r="BA917" s="986"/>
      <c r="BB917" s="986"/>
      <c r="BC917" s="986"/>
      <c r="BD917" s="986"/>
      <c r="BE917" s="986"/>
      <c r="BF917" s="986"/>
      <c r="BG917" s="986"/>
      <c r="BH917" s="730"/>
    </row>
    <row r="918" spans="1:60" s="52" customFormat="1" x14ac:dyDescent="0.25">
      <c r="A918" s="501" t="str">
        <f t="shared" ref="A918:A938" si="944">A867</f>
        <v>CFO</v>
      </c>
      <c r="B918" s="602"/>
      <c r="C918" s="111"/>
      <c r="D918" s="111"/>
      <c r="E918" s="111"/>
      <c r="F918" s="111"/>
      <c r="G918" s="114"/>
      <c r="H918" s="114"/>
      <c r="I918" s="114"/>
      <c r="J918" s="114"/>
      <c r="K918" s="111"/>
      <c r="L918" s="114"/>
      <c r="M918" s="114"/>
      <c r="N918" s="114"/>
      <c r="O918" s="114"/>
      <c r="P918" s="111"/>
      <c r="Q918" s="114"/>
      <c r="R918" s="114"/>
      <c r="S918" s="114"/>
      <c r="T918" s="114"/>
      <c r="U918" s="111"/>
      <c r="V918" s="114"/>
      <c r="W918" s="114"/>
      <c r="X918" s="114"/>
      <c r="Y918" s="114"/>
      <c r="Z918" s="111"/>
      <c r="AA918" s="114"/>
      <c r="AB918" s="114"/>
      <c r="AC918" s="114"/>
      <c r="AD918" s="114"/>
      <c r="AE918" s="111"/>
      <c r="AF918" s="114"/>
      <c r="AG918" s="114"/>
      <c r="AH918" s="114"/>
      <c r="AI918" s="114"/>
      <c r="AJ918" s="111"/>
      <c r="AK918" s="114"/>
      <c r="AL918" s="114"/>
      <c r="AM918" s="114"/>
      <c r="AN918" s="114"/>
      <c r="AO918" s="111"/>
      <c r="AP918" s="114"/>
      <c r="AQ918" s="114"/>
      <c r="AR918" s="114"/>
      <c r="AS918" s="114"/>
      <c r="AT918" s="111"/>
      <c r="AU918" s="114"/>
      <c r="AV918" s="114"/>
      <c r="AW918" s="765"/>
      <c r="AX918" s="114"/>
      <c r="AY918" s="111"/>
      <c r="AZ918" s="114"/>
      <c r="BA918" s="114"/>
      <c r="BB918" s="114"/>
      <c r="BC918" s="114"/>
      <c r="BD918" s="111"/>
      <c r="BE918" s="111"/>
      <c r="BF918" s="111"/>
      <c r="BG918" s="111"/>
      <c r="BH918" s="499"/>
    </row>
    <row r="919" spans="1:60" s="49" customFormat="1" x14ac:dyDescent="0.25">
      <c r="A919" s="483" t="str">
        <f t="shared" si="944"/>
        <v>Net income</v>
      </c>
      <c r="B919" s="209"/>
      <c r="C919" s="39">
        <f t="shared" ref="C919:G930" si="945">C868</f>
        <v>3609</v>
      </c>
      <c r="D919" s="39">
        <f t="shared" si="945"/>
        <v>4313</v>
      </c>
      <c r="E919" s="39">
        <f t="shared" si="945"/>
        <v>5258</v>
      </c>
      <c r="F919" s="39">
        <f t="shared" si="945"/>
        <v>6173</v>
      </c>
      <c r="G919" s="484">
        <f t="shared" si="945"/>
        <v>1438</v>
      </c>
      <c r="H919" s="484">
        <f t="shared" ref="H919:J930" si="946">H868-G868</f>
        <v>1621</v>
      </c>
      <c r="I919" s="484">
        <f t="shared" si="946"/>
        <v>2034</v>
      </c>
      <c r="J919" s="484">
        <f t="shared" si="946"/>
        <v>1543</v>
      </c>
      <c r="K919" s="39">
        <f t="shared" ref="K919:L930" si="947">K868</f>
        <v>6636</v>
      </c>
      <c r="L919" s="484">
        <f t="shared" si="947"/>
        <v>1904</v>
      </c>
      <c r="M919" s="484">
        <f t="shared" ref="M919:O930" si="948">M868-L868</f>
        <v>2056</v>
      </c>
      <c r="N919" s="484">
        <f t="shared" si="948"/>
        <v>2419</v>
      </c>
      <c r="O919" s="484">
        <f t="shared" si="948"/>
        <v>1625</v>
      </c>
      <c r="P919" s="39">
        <f t="shared" ref="P919:Q930" si="949">P868</f>
        <v>8004</v>
      </c>
      <c r="Q919" s="484">
        <f t="shared" si="949"/>
        <v>2244</v>
      </c>
      <c r="R919" s="484">
        <f t="shared" ref="R919:T930" si="950">R868-Q868</f>
        <v>2228</v>
      </c>
      <c r="S919" s="484">
        <f t="shared" si="950"/>
        <v>2639</v>
      </c>
      <c r="T919" s="484">
        <f t="shared" si="950"/>
        <v>1741</v>
      </c>
      <c r="U919" s="39">
        <f t="shared" ref="U919:V930" si="951">U868</f>
        <v>8852</v>
      </c>
      <c r="V919" s="484">
        <f t="shared" si="951"/>
        <v>2910</v>
      </c>
      <c r="W919" s="484">
        <f t="shared" ref="W919:Y930" si="952">W868-V868</f>
        <v>2276</v>
      </c>
      <c r="X919" s="484">
        <f t="shared" si="952"/>
        <v>2712</v>
      </c>
      <c r="Y919" s="484">
        <f t="shared" si="952"/>
        <v>1892</v>
      </c>
      <c r="Z919" s="39">
        <f t="shared" ref="Z919:AA930" si="953">Z868</f>
        <v>9790</v>
      </c>
      <c r="AA919" s="484">
        <f t="shared" si="953"/>
        <v>2488</v>
      </c>
      <c r="AB919" s="191">
        <f t="shared" ref="AB919:AD930" si="954">AB868-AA868</f>
        <v>2539</v>
      </c>
      <c r="AC919" s="484">
        <f t="shared" si="954"/>
        <v>2474</v>
      </c>
      <c r="AD919" s="484">
        <f t="shared" si="954"/>
        <v>1865</v>
      </c>
      <c r="AE919" s="39">
        <f t="shared" ref="AE919:AF930" si="955">AE868</f>
        <v>9366</v>
      </c>
      <c r="AF919" s="484">
        <f t="shared" si="955"/>
        <v>4473</v>
      </c>
      <c r="AG919" s="191">
        <f t="shared" ref="AG919:AI930" si="956">AG868-AF868</f>
        <v>3115</v>
      </c>
      <c r="AH919" s="484">
        <f t="shared" si="956"/>
        <v>3059</v>
      </c>
      <c r="AI919" s="484">
        <f t="shared" si="956"/>
        <v>2419</v>
      </c>
      <c r="AJ919" s="39">
        <f t="shared" ref="AJ919:AK930" si="957">AJ868</f>
        <v>13066</v>
      </c>
      <c r="AK919" s="484">
        <f t="shared" si="957"/>
        <v>2786</v>
      </c>
      <c r="AL919" s="191">
        <f t="shared" ref="AL919:AN930" si="958">AL868-AK868</f>
        <v>5590</v>
      </c>
      <c r="AM919" s="484">
        <f t="shared" si="958"/>
        <v>1623</v>
      </c>
      <c r="AN919" s="484">
        <f t="shared" si="958"/>
        <v>914</v>
      </c>
      <c r="AO919" s="39">
        <f t="shared" ref="AO919:AP930" si="959">AO868</f>
        <v>10913</v>
      </c>
      <c r="AP919" s="484">
        <f t="shared" si="959"/>
        <v>2173</v>
      </c>
      <c r="AQ919" s="191">
        <f t="shared" ref="AQ919:AR930" si="960">AQ868-AP868</f>
        <v>535</v>
      </c>
      <c r="AR919" s="484">
        <f t="shared" si="960"/>
        <v>-4521</v>
      </c>
      <c r="AS919" s="484">
        <f t="shared" ref="AS919:AS930" si="961">AS868-AR868</f>
        <v>-629</v>
      </c>
      <c r="AT919" s="39">
        <f t="shared" ref="AT919:AT930" si="962">AT868</f>
        <v>-2442</v>
      </c>
      <c r="AU919" s="484">
        <f t="shared" ref="AU919:AU930" si="963">AU868</f>
        <v>30</v>
      </c>
      <c r="AV919" s="191">
        <f t="shared" ref="AV919:AV930" si="964">AV868-AU868</f>
        <v>1122</v>
      </c>
      <c r="AW919" s="289">
        <f t="shared" ref="AW919:AW930" si="965">AW868-AV868</f>
        <v>1128</v>
      </c>
      <c r="AX919" s="113">
        <f>AX782</f>
        <v>1102.1724729160037</v>
      </c>
      <c r="AY919" s="104">
        <f t="shared" ref="AY919:AY927" si="966">SUM(AU919,AV919,AW919,AX919)</f>
        <v>3382.1724729160037</v>
      </c>
      <c r="AZ919" s="113">
        <f ca="1">AZ782</f>
        <v>2449.4744055762631</v>
      </c>
      <c r="BA919" s="113">
        <f ca="1">BA782</f>
        <v>1512.0559236411937</v>
      </c>
      <c r="BB919" s="113">
        <f ca="1">BB782</f>
        <v>2064.7348325749017</v>
      </c>
      <c r="BC919" s="113">
        <f ca="1">BC782</f>
        <v>2317.6835781235518</v>
      </c>
      <c r="BD919" s="104">
        <f t="shared" ref="BD919:BD930" ca="1" si="967">SUM(AZ919,BA919,BB919,BC919)</f>
        <v>8343.9487399159098</v>
      </c>
      <c r="BE919" s="104">
        <f ca="1">BE782</f>
        <v>11422.799973391564</v>
      </c>
      <c r="BF919" s="104">
        <f ca="1">BF782</f>
        <v>12465.114564528363</v>
      </c>
      <c r="BG919" s="104">
        <f ca="1">BG782</f>
        <v>13368.070645430882</v>
      </c>
      <c r="BH919" s="484"/>
    </row>
    <row r="920" spans="1:60" s="49" customFormat="1" x14ac:dyDescent="0.25">
      <c r="A920" s="483" t="str">
        <f t="shared" si="944"/>
        <v>Depreciation and amortization</v>
      </c>
      <c r="B920" s="209"/>
      <c r="C920" s="39">
        <f t="shared" si="945"/>
        <v>1631</v>
      </c>
      <c r="D920" s="39">
        <f t="shared" si="945"/>
        <v>1713</v>
      </c>
      <c r="E920" s="39">
        <f t="shared" si="945"/>
        <v>1841</v>
      </c>
      <c r="F920" s="39">
        <f t="shared" si="945"/>
        <v>1987</v>
      </c>
      <c r="G920" s="484">
        <f t="shared" si="945"/>
        <v>514</v>
      </c>
      <c r="H920" s="484">
        <f t="shared" si="946"/>
        <v>550</v>
      </c>
      <c r="I920" s="484">
        <f t="shared" si="946"/>
        <v>569</v>
      </c>
      <c r="J920" s="484">
        <f t="shared" si="946"/>
        <v>559</v>
      </c>
      <c r="K920" s="39">
        <f t="shared" si="947"/>
        <v>2192</v>
      </c>
      <c r="L920" s="484">
        <f t="shared" si="947"/>
        <v>561</v>
      </c>
      <c r="M920" s="484">
        <f t="shared" si="948"/>
        <v>580</v>
      </c>
      <c r="N920" s="484">
        <f t="shared" si="948"/>
        <v>557</v>
      </c>
      <c r="O920" s="484">
        <f t="shared" si="948"/>
        <v>590</v>
      </c>
      <c r="P920" s="39">
        <f t="shared" si="949"/>
        <v>2288</v>
      </c>
      <c r="Q920" s="484">
        <f t="shared" si="949"/>
        <v>592</v>
      </c>
      <c r="R920" s="484">
        <f t="shared" si="950"/>
        <v>584</v>
      </c>
      <c r="S920" s="484">
        <f t="shared" si="950"/>
        <v>575</v>
      </c>
      <c r="T920" s="484">
        <f t="shared" si="950"/>
        <v>603</v>
      </c>
      <c r="U920" s="39">
        <f t="shared" si="951"/>
        <v>2354</v>
      </c>
      <c r="V920" s="484">
        <f t="shared" si="951"/>
        <v>607</v>
      </c>
      <c r="W920" s="484">
        <f t="shared" si="952"/>
        <v>605</v>
      </c>
      <c r="X920" s="484">
        <f t="shared" si="952"/>
        <v>626</v>
      </c>
      <c r="Y920" s="484">
        <f t="shared" si="952"/>
        <v>689</v>
      </c>
      <c r="Z920" s="39">
        <f t="shared" si="953"/>
        <v>2527</v>
      </c>
      <c r="AA920" s="484">
        <f t="shared" si="953"/>
        <v>687</v>
      </c>
      <c r="AB920" s="191">
        <f t="shared" si="954"/>
        <v>676</v>
      </c>
      <c r="AC920" s="484">
        <f t="shared" si="954"/>
        <v>711</v>
      </c>
      <c r="AD920" s="484">
        <f t="shared" si="954"/>
        <v>708</v>
      </c>
      <c r="AE920" s="39">
        <f t="shared" si="955"/>
        <v>2782</v>
      </c>
      <c r="AF920" s="484">
        <f t="shared" si="955"/>
        <v>742</v>
      </c>
      <c r="AG920" s="191">
        <f t="shared" si="956"/>
        <v>731</v>
      </c>
      <c r="AH920" s="484">
        <f t="shared" si="956"/>
        <v>744</v>
      </c>
      <c r="AI920" s="484">
        <f t="shared" si="956"/>
        <v>794</v>
      </c>
      <c r="AJ920" s="39">
        <f t="shared" si="957"/>
        <v>3011</v>
      </c>
      <c r="AK920" s="484">
        <f t="shared" si="957"/>
        <v>732</v>
      </c>
      <c r="AL920" s="191">
        <f t="shared" si="958"/>
        <v>828</v>
      </c>
      <c r="AM920" s="484">
        <f t="shared" si="958"/>
        <v>1304</v>
      </c>
      <c r="AN920" s="484">
        <f t="shared" si="958"/>
        <v>1296</v>
      </c>
      <c r="AO920" s="39">
        <f t="shared" si="959"/>
        <v>4160</v>
      </c>
      <c r="AP920" s="484">
        <f t="shared" si="959"/>
        <v>1298</v>
      </c>
      <c r="AQ920" s="191">
        <f t="shared" si="960"/>
        <v>1333</v>
      </c>
      <c r="AR920" s="484">
        <f t="shared" si="960"/>
        <v>1379</v>
      </c>
      <c r="AS920" s="484">
        <f t="shared" si="961"/>
        <v>1335</v>
      </c>
      <c r="AT920" s="39">
        <f t="shared" si="962"/>
        <v>5345</v>
      </c>
      <c r="AU920" s="484">
        <f t="shared" si="963"/>
        <v>1298</v>
      </c>
      <c r="AV920" s="191">
        <f t="shared" si="964"/>
        <v>1272</v>
      </c>
      <c r="AW920" s="289">
        <f t="shared" si="965"/>
        <v>1266</v>
      </c>
      <c r="AX920" s="113">
        <f>AX769+AX770</f>
        <v>1330</v>
      </c>
      <c r="AY920" s="104">
        <f t="shared" si="966"/>
        <v>5166</v>
      </c>
      <c r="AZ920" s="113">
        <f>AZ769+AZ770</f>
        <v>1330</v>
      </c>
      <c r="BA920" s="113">
        <f>BA769+BA770</f>
        <v>1330</v>
      </c>
      <c r="BB920" s="113">
        <f>BB769+BB770</f>
        <v>1330</v>
      </c>
      <c r="BC920" s="113">
        <f>BC769+BC770</f>
        <v>1330</v>
      </c>
      <c r="BD920" s="104">
        <f t="shared" si="967"/>
        <v>5320</v>
      </c>
      <c r="BE920" s="104">
        <f>BE769+BE770</f>
        <v>5220</v>
      </c>
      <c r="BF920" s="104">
        <f>BF769+BF770</f>
        <v>5220</v>
      </c>
      <c r="BG920" s="104">
        <f>BG769+BG770</f>
        <v>5220</v>
      </c>
      <c r="BH920" s="484"/>
    </row>
    <row r="921" spans="1:60" s="49" customFormat="1" x14ac:dyDescent="0.25">
      <c r="A921" s="483" t="str">
        <f t="shared" si="944"/>
        <v>Gain on acquisition</v>
      </c>
      <c r="B921" s="209"/>
      <c r="C921" s="39">
        <f t="shared" si="945"/>
        <v>0</v>
      </c>
      <c r="D921" s="39">
        <f t="shared" si="945"/>
        <v>0</v>
      </c>
      <c r="E921" s="39">
        <f t="shared" si="945"/>
        <v>0</v>
      </c>
      <c r="F921" s="39">
        <f t="shared" si="945"/>
        <v>0</v>
      </c>
      <c r="G921" s="484">
        <f t="shared" si="945"/>
        <v>0</v>
      </c>
      <c r="H921" s="484">
        <f t="shared" si="946"/>
        <v>0</v>
      </c>
      <c r="I921" s="484">
        <f t="shared" si="946"/>
        <v>0</v>
      </c>
      <c r="J921" s="484">
        <f t="shared" si="946"/>
        <v>0</v>
      </c>
      <c r="K921" s="39">
        <f t="shared" si="947"/>
        <v>0</v>
      </c>
      <c r="L921" s="484">
        <f t="shared" si="947"/>
        <v>0</v>
      </c>
      <c r="M921" s="484">
        <f t="shared" si="948"/>
        <v>0</v>
      </c>
      <c r="N921" s="484">
        <f t="shared" si="948"/>
        <v>0</v>
      </c>
      <c r="O921" s="484">
        <f t="shared" si="948"/>
        <v>0</v>
      </c>
      <c r="P921" s="39">
        <f t="shared" si="949"/>
        <v>0</v>
      </c>
      <c r="Q921" s="484">
        <f t="shared" si="949"/>
        <v>0</v>
      </c>
      <c r="R921" s="484">
        <f t="shared" si="950"/>
        <v>0</v>
      </c>
      <c r="S921" s="484">
        <f t="shared" si="950"/>
        <v>0</v>
      </c>
      <c r="T921" s="484">
        <f t="shared" si="950"/>
        <v>0</v>
      </c>
      <c r="U921" s="39">
        <f t="shared" si="951"/>
        <v>0</v>
      </c>
      <c r="V921" s="484">
        <f t="shared" si="951"/>
        <v>0</v>
      </c>
      <c r="W921" s="484">
        <f t="shared" si="952"/>
        <v>0</v>
      </c>
      <c r="X921" s="484">
        <f t="shared" si="952"/>
        <v>0</v>
      </c>
      <c r="Y921" s="484">
        <f t="shared" si="952"/>
        <v>0</v>
      </c>
      <c r="Z921" s="39">
        <f t="shared" si="953"/>
        <v>0</v>
      </c>
      <c r="AA921" s="484">
        <f t="shared" si="953"/>
        <v>0</v>
      </c>
      <c r="AB921" s="191">
        <f t="shared" si="954"/>
        <v>0</v>
      </c>
      <c r="AC921" s="484">
        <f t="shared" si="954"/>
        <v>0</v>
      </c>
      <c r="AD921" s="484">
        <f t="shared" si="954"/>
        <v>0</v>
      </c>
      <c r="AE921" s="39">
        <f t="shared" si="955"/>
        <v>0</v>
      </c>
      <c r="AF921" s="484">
        <f t="shared" si="955"/>
        <v>0</v>
      </c>
      <c r="AG921" s="191">
        <f t="shared" si="956"/>
        <v>0</v>
      </c>
      <c r="AH921" s="484">
        <f t="shared" si="956"/>
        <v>0</v>
      </c>
      <c r="AI921" s="484">
        <f t="shared" si="956"/>
        <v>0</v>
      </c>
      <c r="AJ921" s="39">
        <f t="shared" si="957"/>
        <v>0</v>
      </c>
      <c r="AK921" s="484">
        <f t="shared" si="957"/>
        <v>0</v>
      </c>
      <c r="AL921" s="191">
        <f t="shared" si="958"/>
        <v>-4917</v>
      </c>
      <c r="AM921" s="484">
        <f t="shared" si="958"/>
        <v>123</v>
      </c>
      <c r="AN921" s="484">
        <f t="shared" si="958"/>
        <v>0</v>
      </c>
      <c r="AO921" s="39">
        <f t="shared" si="959"/>
        <v>-4794</v>
      </c>
      <c r="AP921" s="484">
        <f t="shared" si="959"/>
        <v>0</v>
      </c>
      <c r="AQ921" s="191">
        <f t="shared" si="960"/>
        <v>0</v>
      </c>
      <c r="AR921" s="484">
        <f t="shared" si="960"/>
        <v>-370</v>
      </c>
      <c r="AS921" s="484">
        <f t="shared" si="961"/>
        <v>-550</v>
      </c>
      <c r="AT921" s="39">
        <f t="shared" si="962"/>
        <v>-920</v>
      </c>
      <c r="AU921" s="484">
        <f t="shared" si="963"/>
        <v>-80</v>
      </c>
      <c r="AV921" s="191">
        <f t="shared" si="964"/>
        <v>-401</v>
      </c>
      <c r="AW921" s="289">
        <f t="shared" si="965"/>
        <v>156</v>
      </c>
      <c r="AX921" s="113"/>
      <c r="AY921" s="104">
        <f t="shared" si="966"/>
        <v>-325</v>
      </c>
      <c r="AZ921" s="113"/>
      <c r="BA921" s="113"/>
      <c r="BB921" s="113"/>
      <c r="BC921" s="113"/>
      <c r="BD921" s="104">
        <f t="shared" si="967"/>
        <v>0</v>
      </c>
      <c r="BE921" s="104"/>
      <c r="BF921" s="104"/>
      <c r="BG921" s="104"/>
      <c r="BH921" s="484"/>
    </row>
    <row r="922" spans="1:60" s="49" customFormat="1" x14ac:dyDescent="0.25">
      <c r="A922" s="483" t="str">
        <f t="shared" si="944"/>
        <v>Gains on sales of investments</v>
      </c>
      <c r="B922" s="209"/>
      <c r="C922" s="39">
        <f t="shared" si="945"/>
        <v>-342</v>
      </c>
      <c r="D922" s="39">
        <f t="shared" si="945"/>
        <v>-118</v>
      </c>
      <c r="E922" s="39">
        <f t="shared" si="945"/>
        <v>-75</v>
      </c>
      <c r="F922" s="39">
        <f t="shared" si="945"/>
        <v>-198</v>
      </c>
      <c r="G922" s="484">
        <f t="shared" si="945"/>
        <v>-219</v>
      </c>
      <c r="H922" s="484">
        <f t="shared" si="946"/>
        <v>-26</v>
      </c>
      <c r="I922" s="484">
        <f t="shared" si="946"/>
        <v>0</v>
      </c>
      <c r="J922" s="484">
        <f t="shared" si="946"/>
        <v>-80</v>
      </c>
      <c r="K922" s="39">
        <f t="shared" si="947"/>
        <v>-325</v>
      </c>
      <c r="L922" s="484">
        <f t="shared" si="947"/>
        <v>-111</v>
      </c>
      <c r="M922" s="484">
        <f t="shared" si="948"/>
        <v>-169</v>
      </c>
      <c r="N922" s="484">
        <f t="shared" si="948"/>
        <v>-5</v>
      </c>
      <c r="O922" s="484">
        <f t="shared" si="948"/>
        <v>-14</v>
      </c>
      <c r="P922" s="39">
        <f t="shared" si="949"/>
        <v>-299</v>
      </c>
      <c r="Q922" s="484">
        <f t="shared" si="949"/>
        <v>0</v>
      </c>
      <c r="R922" s="484">
        <f t="shared" si="950"/>
        <v>-56</v>
      </c>
      <c r="S922" s="484">
        <f t="shared" si="950"/>
        <v>-33</v>
      </c>
      <c r="T922" s="484">
        <f t="shared" si="950"/>
        <v>-2</v>
      </c>
      <c r="U922" s="39">
        <f t="shared" si="951"/>
        <v>-91</v>
      </c>
      <c r="V922" s="484">
        <f t="shared" si="951"/>
        <v>-27</v>
      </c>
      <c r="W922" s="484">
        <f t="shared" si="952"/>
        <v>0</v>
      </c>
      <c r="X922" s="484">
        <f t="shared" si="952"/>
        <v>0</v>
      </c>
      <c r="Y922" s="484">
        <f t="shared" si="952"/>
        <v>1</v>
      </c>
      <c r="Z922" s="39">
        <f t="shared" si="953"/>
        <v>-26</v>
      </c>
      <c r="AA922" s="484">
        <f t="shared" si="953"/>
        <v>0</v>
      </c>
      <c r="AB922" s="191">
        <f t="shared" si="954"/>
        <v>0</v>
      </c>
      <c r="AC922" s="484">
        <f t="shared" si="954"/>
        <v>0</v>
      </c>
      <c r="AD922" s="484">
        <f t="shared" si="954"/>
        <v>-289</v>
      </c>
      <c r="AE922" s="39">
        <f t="shared" si="955"/>
        <v>-289</v>
      </c>
      <c r="AF922" s="484">
        <f t="shared" si="955"/>
        <v>0</v>
      </c>
      <c r="AG922" s="191">
        <f t="shared" si="956"/>
        <v>0</v>
      </c>
      <c r="AH922" s="484">
        <f t="shared" si="956"/>
        <v>0</v>
      </c>
      <c r="AI922" s="484">
        <f t="shared" si="956"/>
        <v>-560</v>
      </c>
      <c r="AJ922" s="39">
        <f t="shared" si="957"/>
        <v>-560</v>
      </c>
      <c r="AK922" s="484">
        <f t="shared" si="957"/>
        <v>0</v>
      </c>
      <c r="AL922" s="191">
        <f t="shared" si="958"/>
        <v>0</v>
      </c>
      <c r="AM922" s="484">
        <f t="shared" si="958"/>
        <v>0</v>
      </c>
      <c r="AN922" s="484">
        <f t="shared" si="958"/>
        <v>0</v>
      </c>
      <c r="AO922" s="39">
        <f t="shared" si="959"/>
        <v>0</v>
      </c>
      <c r="AP922" s="484">
        <f t="shared" si="959"/>
        <v>0</v>
      </c>
      <c r="AQ922" s="191">
        <f t="shared" si="960"/>
        <v>0</v>
      </c>
      <c r="AR922" s="484">
        <f t="shared" si="960"/>
        <v>0</v>
      </c>
      <c r="AS922" s="484">
        <f t="shared" si="961"/>
        <v>0</v>
      </c>
      <c r="AT922" s="39">
        <f t="shared" si="962"/>
        <v>0</v>
      </c>
      <c r="AU922" s="484">
        <f t="shared" si="963"/>
        <v>0</v>
      </c>
      <c r="AV922" s="191">
        <f t="shared" si="964"/>
        <v>0</v>
      </c>
      <c r="AW922" s="289">
        <f t="shared" si="965"/>
        <v>0</v>
      </c>
      <c r="AX922" s="113"/>
      <c r="AY922" s="104">
        <f t="shared" si="966"/>
        <v>0</v>
      </c>
      <c r="AZ922" s="113"/>
      <c r="BA922" s="113"/>
      <c r="BB922" s="113"/>
      <c r="BC922" s="113"/>
      <c r="BD922" s="104">
        <f t="shared" si="967"/>
        <v>0</v>
      </c>
      <c r="BE922" s="104"/>
      <c r="BF922" s="104"/>
      <c r="BG922" s="104"/>
      <c r="BH922" s="484"/>
    </row>
    <row r="923" spans="1:60" s="49" customFormat="1" x14ac:dyDescent="0.25">
      <c r="A923" s="483" t="str">
        <f t="shared" si="944"/>
        <v>Deferred income taxes</v>
      </c>
      <c r="B923" s="209"/>
      <c r="C923" s="39">
        <f t="shared" si="945"/>
        <v>323</v>
      </c>
      <c r="D923" s="39">
        <f t="shared" si="945"/>
        <v>133</v>
      </c>
      <c r="E923" s="39">
        <f t="shared" si="945"/>
        <v>127</v>
      </c>
      <c r="F923" s="39">
        <f t="shared" si="945"/>
        <v>472</v>
      </c>
      <c r="G923" s="484">
        <f t="shared" si="945"/>
        <v>-236</v>
      </c>
      <c r="H923" s="484">
        <f t="shared" si="946"/>
        <v>-11</v>
      </c>
      <c r="I923" s="484">
        <f t="shared" si="946"/>
        <v>410</v>
      </c>
      <c r="J923" s="484">
        <f t="shared" si="946"/>
        <v>-71</v>
      </c>
      <c r="K923" s="39">
        <f t="shared" si="947"/>
        <v>92</v>
      </c>
      <c r="L923" s="484">
        <f t="shared" si="947"/>
        <v>-85</v>
      </c>
      <c r="M923" s="484">
        <f t="shared" si="948"/>
        <v>261</v>
      </c>
      <c r="N923" s="484">
        <f t="shared" si="948"/>
        <v>128</v>
      </c>
      <c r="O923" s="484">
        <f t="shared" si="948"/>
        <v>213</v>
      </c>
      <c r="P923" s="39">
        <f t="shared" si="949"/>
        <v>517</v>
      </c>
      <c r="Q923" s="484">
        <f t="shared" si="949"/>
        <v>290</v>
      </c>
      <c r="R923" s="484">
        <f t="shared" si="950"/>
        <v>-88</v>
      </c>
      <c r="S923" s="484">
        <f t="shared" si="950"/>
        <v>-369</v>
      </c>
      <c r="T923" s="484">
        <f t="shared" si="950"/>
        <v>65</v>
      </c>
      <c r="U923" s="39">
        <f t="shared" si="951"/>
        <v>-102</v>
      </c>
      <c r="V923" s="484">
        <f t="shared" si="951"/>
        <v>551</v>
      </c>
      <c r="W923" s="484">
        <f t="shared" si="952"/>
        <v>246</v>
      </c>
      <c r="X923" s="484">
        <f t="shared" si="952"/>
        <v>88</v>
      </c>
      <c r="Y923" s="484">
        <f t="shared" si="952"/>
        <v>329</v>
      </c>
      <c r="Z923" s="39">
        <f t="shared" si="953"/>
        <v>1214</v>
      </c>
      <c r="AA923" s="484">
        <f t="shared" si="953"/>
        <v>-76</v>
      </c>
      <c r="AB923" s="191">
        <f t="shared" si="954"/>
        <v>202</v>
      </c>
      <c r="AC923" s="484">
        <f t="shared" si="954"/>
        <v>168</v>
      </c>
      <c r="AD923" s="484">
        <f t="shared" si="954"/>
        <v>40</v>
      </c>
      <c r="AE923" s="39">
        <f t="shared" si="955"/>
        <v>334</v>
      </c>
      <c r="AF923" s="484">
        <f t="shared" si="955"/>
        <v>-1726</v>
      </c>
      <c r="AG923" s="191">
        <f t="shared" si="956"/>
        <v>103</v>
      </c>
      <c r="AH923" s="484">
        <f t="shared" si="956"/>
        <v>212</v>
      </c>
      <c r="AI923" s="484">
        <f t="shared" si="956"/>
        <v>-162</v>
      </c>
      <c r="AJ923" s="39">
        <f t="shared" si="957"/>
        <v>-1573</v>
      </c>
      <c r="AK923" s="484">
        <f t="shared" si="957"/>
        <v>46</v>
      </c>
      <c r="AL923" s="191">
        <f t="shared" si="958"/>
        <v>1144</v>
      </c>
      <c r="AM923" s="484">
        <f t="shared" si="958"/>
        <v>526</v>
      </c>
      <c r="AN923" s="484">
        <f t="shared" si="958"/>
        <v>-1599</v>
      </c>
      <c r="AO923" s="39">
        <f t="shared" si="959"/>
        <v>117</v>
      </c>
      <c r="AP923" s="484">
        <f t="shared" si="959"/>
        <v>534</v>
      </c>
      <c r="AQ923" s="191">
        <f t="shared" si="960"/>
        <v>-237</v>
      </c>
      <c r="AR923" s="484">
        <f t="shared" si="960"/>
        <v>-845</v>
      </c>
      <c r="AS923" s="484">
        <f t="shared" si="961"/>
        <v>156</v>
      </c>
      <c r="AT923" s="39">
        <f t="shared" si="962"/>
        <v>-392</v>
      </c>
      <c r="AU923" s="484">
        <f t="shared" si="963"/>
        <v>-105</v>
      </c>
      <c r="AV923" s="191">
        <f t="shared" si="964"/>
        <v>-451</v>
      </c>
      <c r="AW923" s="289">
        <f t="shared" si="965"/>
        <v>-193</v>
      </c>
      <c r="AX923" s="113">
        <f>AX781</f>
        <v>28.627856439376721</v>
      </c>
      <c r="AY923" s="104">
        <f t="shared" si="966"/>
        <v>-720.37214356062327</v>
      </c>
      <c r="AZ923" s="113">
        <f ca="1">AZ781</f>
        <v>63.622711833149687</v>
      </c>
      <c r="BA923" s="113">
        <f ca="1">BA781</f>
        <v>39.274179834836204</v>
      </c>
      <c r="BB923" s="113">
        <f ca="1">BB781</f>
        <v>53.62947617077667</v>
      </c>
      <c r="BC923" s="113">
        <f ca="1">BC781</f>
        <v>60.199573457754596</v>
      </c>
      <c r="BD923" s="104">
        <f t="shared" ca="1" si="967"/>
        <v>216.72594129651714</v>
      </c>
      <c r="BE923" s="104">
        <f ca="1">BE781</f>
        <v>296.69610320497566</v>
      </c>
      <c r="BF923" s="104">
        <f ca="1">BF781</f>
        <v>323.7692094682692</v>
      </c>
      <c r="BG923" s="104">
        <f ca="1">BG781</f>
        <v>347.22261416703589</v>
      </c>
      <c r="BH923" s="484"/>
    </row>
    <row r="924" spans="1:60" s="49" customFormat="1" x14ac:dyDescent="0.25">
      <c r="A924" s="483" t="str">
        <f t="shared" si="944"/>
        <v>Equity in the income of investees</v>
      </c>
      <c r="B924" s="209"/>
      <c r="C924" s="39">
        <f t="shared" si="945"/>
        <v>-577</v>
      </c>
      <c r="D924" s="39">
        <f t="shared" si="945"/>
        <v>-440</v>
      </c>
      <c r="E924" s="39">
        <f t="shared" si="945"/>
        <v>-585</v>
      </c>
      <c r="F924" s="39">
        <f t="shared" si="945"/>
        <v>-627</v>
      </c>
      <c r="G924" s="484">
        <f t="shared" si="945"/>
        <v>-110</v>
      </c>
      <c r="H924" s="484">
        <f t="shared" si="946"/>
        <v>-185</v>
      </c>
      <c r="I924" s="484">
        <f t="shared" si="946"/>
        <v>-232</v>
      </c>
      <c r="J924" s="484">
        <f t="shared" si="946"/>
        <v>-161</v>
      </c>
      <c r="K924" s="39">
        <f t="shared" si="947"/>
        <v>-688</v>
      </c>
      <c r="L924" s="484">
        <f t="shared" si="947"/>
        <v>-239</v>
      </c>
      <c r="M924" s="484">
        <f t="shared" si="948"/>
        <v>-217</v>
      </c>
      <c r="N924" s="484">
        <f t="shared" si="948"/>
        <v>-222</v>
      </c>
      <c r="O924" s="484">
        <f t="shared" si="948"/>
        <v>-176</v>
      </c>
      <c r="P924" s="39">
        <f t="shared" si="949"/>
        <v>-854</v>
      </c>
      <c r="Q924" s="484">
        <f t="shared" si="949"/>
        <v>-212</v>
      </c>
      <c r="R924" s="484">
        <f t="shared" si="950"/>
        <v>-206</v>
      </c>
      <c r="S924" s="484">
        <f t="shared" si="950"/>
        <v>-212</v>
      </c>
      <c r="T924" s="484">
        <f t="shared" si="950"/>
        <v>-184</v>
      </c>
      <c r="U924" s="39">
        <f t="shared" si="951"/>
        <v>-814</v>
      </c>
      <c r="V924" s="484">
        <f t="shared" si="951"/>
        <v>-474</v>
      </c>
      <c r="W924" s="484">
        <f t="shared" si="952"/>
        <v>-150</v>
      </c>
      <c r="X924" s="484">
        <f t="shared" si="952"/>
        <v>-152</v>
      </c>
      <c r="Y924" s="484">
        <f t="shared" si="952"/>
        <v>-150</v>
      </c>
      <c r="Z924" s="39">
        <f t="shared" si="953"/>
        <v>-926</v>
      </c>
      <c r="AA924" s="484">
        <f t="shared" si="953"/>
        <v>-118</v>
      </c>
      <c r="AB924" s="191">
        <f t="shared" si="954"/>
        <v>-85</v>
      </c>
      <c r="AC924" s="484">
        <f t="shared" si="954"/>
        <v>-124</v>
      </c>
      <c r="AD924" s="484">
        <f t="shared" si="954"/>
        <v>7</v>
      </c>
      <c r="AE924" s="39">
        <f t="shared" si="955"/>
        <v>-320</v>
      </c>
      <c r="AF924" s="484">
        <f t="shared" si="955"/>
        <v>-43</v>
      </c>
      <c r="AG924" s="191">
        <f t="shared" si="956"/>
        <v>-6</v>
      </c>
      <c r="AH924" s="484">
        <f t="shared" si="956"/>
        <v>-73</v>
      </c>
      <c r="AI924" s="484">
        <f t="shared" si="956"/>
        <v>224</v>
      </c>
      <c r="AJ924" s="39">
        <f t="shared" si="957"/>
        <v>102</v>
      </c>
      <c r="AK924" s="484">
        <f t="shared" si="957"/>
        <v>-76</v>
      </c>
      <c r="AL924" s="191">
        <f t="shared" si="958"/>
        <v>312</v>
      </c>
      <c r="AM924" s="484">
        <f t="shared" si="958"/>
        <v>-2</v>
      </c>
      <c r="AN924" s="484">
        <f t="shared" si="958"/>
        <v>-131</v>
      </c>
      <c r="AO924" s="39">
        <f t="shared" si="959"/>
        <v>103</v>
      </c>
      <c r="AP924" s="484">
        <f t="shared" si="959"/>
        <v>-224</v>
      </c>
      <c r="AQ924" s="191">
        <f t="shared" si="960"/>
        <v>-135</v>
      </c>
      <c r="AR924" s="484">
        <f t="shared" si="960"/>
        <v>-186</v>
      </c>
      <c r="AS924" s="484">
        <f t="shared" si="961"/>
        <v>-106</v>
      </c>
      <c r="AT924" s="39">
        <f t="shared" si="962"/>
        <v>-651</v>
      </c>
      <c r="AU924" s="484">
        <f t="shared" si="963"/>
        <v>-224</v>
      </c>
      <c r="AV924" s="191">
        <f t="shared" si="964"/>
        <v>-213</v>
      </c>
      <c r="AW924" s="289">
        <f t="shared" si="965"/>
        <v>-211</v>
      </c>
      <c r="AX924" s="484">
        <f>AX774</f>
        <v>-186</v>
      </c>
      <c r="AY924" s="39">
        <f t="shared" si="966"/>
        <v>-834</v>
      </c>
      <c r="AZ924" s="484">
        <f>AZ774</f>
        <v>-186</v>
      </c>
      <c r="BA924" s="484">
        <f>BA774</f>
        <v>-186</v>
      </c>
      <c r="BB924" s="484">
        <f>BB774</f>
        <v>-186</v>
      </c>
      <c r="BC924" s="484">
        <f>BC774</f>
        <v>-186</v>
      </c>
      <c r="BD924" s="39">
        <f t="shared" si="967"/>
        <v>-744</v>
      </c>
      <c r="BE924" s="39">
        <f>BE774</f>
        <v>-744</v>
      </c>
      <c r="BF924" s="39">
        <f>BF774</f>
        <v>-744</v>
      </c>
      <c r="BG924" s="39">
        <f>BG774</f>
        <v>-744</v>
      </c>
      <c r="BH924" s="484"/>
    </row>
    <row r="925" spans="1:60" s="49" customFormat="1" x14ac:dyDescent="0.25">
      <c r="A925" s="483" t="str">
        <f t="shared" si="944"/>
        <v>Cash distributions received from equity investees</v>
      </c>
      <c r="B925" s="209"/>
      <c r="C925" s="39">
        <f t="shared" si="945"/>
        <v>505</v>
      </c>
      <c r="D925" s="39">
        <f t="shared" si="945"/>
        <v>473</v>
      </c>
      <c r="E925" s="39">
        <f t="shared" si="945"/>
        <v>608</v>
      </c>
      <c r="F925" s="39">
        <f t="shared" si="945"/>
        <v>663</v>
      </c>
      <c r="G925" s="484">
        <f t="shared" si="945"/>
        <v>192</v>
      </c>
      <c r="H925" s="484">
        <f t="shared" si="946"/>
        <v>175</v>
      </c>
      <c r="I925" s="484">
        <f t="shared" si="946"/>
        <v>159</v>
      </c>
      <c r="J925" s="484">
        <f t="shared" si="946"/>
        <v>168</v>
      </c>
      <c r="K925" s="39">
        <f t="shared" si="947"/>
        <v>694</v>
      </c>
      <c r="L925" s="484">
        <f t="shared" si="947"/>
        <v>187</v>
      </c>
      <c r="M925" s="484">
        <f t="shared" si="948"/>
        <v>174</v>
      </c>
      <c r="N925" s="484">
        <f t="shared" si="948"/>
        <v>177</v>
      </c>
      <c r="O925" s="484">
        <f t="shared" si="948"/>
        <v>180</v>
      </c>
      <c r="P925" s="39">
        <f t="shared" si="949"/>
        <v>718</v>
      </c>
      <c r="Q925" s="484">
        <f t="shared" si="949"/>
        <v>197</v>
      </c>
      <c r="R925" s="484">
        <f t="shared" si="950"/>
        <v>152</v>
      </c>
      <c r="S925" s="484">
        <f t="shared" si="950"/>
        <v>204</v>
      </c>
      <c r="T925" s="484">
        <f t="shared" si="950"/>
        <v>199</v>
      </c>
      <c r="U925" s="39">
        <f t="shared" si="951"/>
        <v>752</v>
      </c>
      <c r="V925" s="484">
        <f t="shared" si="951"/>
        <v>206</v>
      </c>
      <c r="W925" s="484">
        <f t="shared" si="952"/>
        <v>177</v>
      </c>
      <c r="X925" s="484">
        <f t="shared" si="952"/>
        <v>211</v>
      </c>
      <c r="Y925" s="484">
        <f t="shared" si="952"/>
        <v>205</v>
      </c>
      <c r="Z925" s="39">
        <f t="shared" si="953"/>
        <v>799</v>
      </c>
      <c r="AA925" s="484">
        <f t="shared" si="953"/>
        <v>203</v>
      </c>
      <c r="AB925" s="191">
        <f t="shared" si="954"/>
        <v>194</v>
      </c>
      <c r="AC925" s="484">
        <f t="shared" si="954"/>
        <v>187</v>
      </c>
      <c r="AD925" s="484">
        <f t="shared" si="954"/>
        <v>204</v>
      </c>
      <c r="AE925" s="39">
        <f t="shared" si="955"/>
        <v>788</v>
      </c>
      <c r="AF925" s="484">
        <f t="shared" si="955"/>
        <v>170</v>
      </c>
      <c r="AG925" s="191">
        <f t="shared" si="956"/>
        <v>219</v>
      </c>
      <c r="AH925" s="484">
        <f t="shared" si="956"/>
        <v>198</v>
      </c>
      <c r="AI925" s="484">
        <f t="shared" si="956"/>
        <v>188</v>
      </c>
      <c r="AJ925" s="39">
        <f t="shared" si="957"/>
        <v>775</v>
      </c>
      <c r="AK925" s="484">
        <f t="shared" si="957"/>
        <v>170</v>
      </c>
      <c r="AL925" s="191">
        <f t="shared" si="958"/>
        <v>200</v>
      </c>
      <c r="AM925" s="484">
        <f t="shared" si="958"/>
        <v>178</v>
      </c>
      <c r="AN925" s="484">
        <f t="shared" si="958"/>
        <v>206</v>
      </c>
      <c r="AO925" s="39">
        <f t="shared" si="959"/>
        <v>754</v>
      </c>
      <c r="AP925" s="484">
        <f t="shared" si="959"/>
        <v>219</v>
      </c>
      <c r="AQ925" s="191">
        <f t="shared" si="960"/>
        <v>186</v>
      </c>
      <c r="AR925" s="484">
        <f t="shared" si="960"/>
        <v>162</v>
      </c>
      <c r="AS925" s="484">
        <f t="shared" si="961"/>
        <v>207</v>
      </c>
      <c r="AT925" s="39">
        <f t="shared" si="962"/>
        <v>774</v>
      </c>
      <c r="AU925" s="484">
        <f t="shared" si="963"/>
        <v>193</v>
      </c>
      <c r="AV925" s="191">
        <f t="shared" si="964"/>
        <v>179</v>
      </c>
      <c r="AW925" s="289">
        <f t="shared" si="965"/>
        <v>174</v>
      </c>
      <c r="AX925" s="113"/>
      <c r="AY925" s="104">
        <f t="shared" si="966"/>
        <v>546</v>
      </c>
      <c r="AZ925" s="113"/>
      <c r="BA925" s="113"/>
      <c r="BB925" s="113"/>
      <c r="BC925" s="113"/>
      <c r="BD925" s="104">
        <f t="shared" si="967"/>
        <v>0</v>
      </c>
      <c r="BE925" s="104"/>
      <c r="BF925" s="104"/>
      <c r="BG925" s="104"/>
      <c r="BH925" s="484"/>
    </row>
    <row r="926" spans="1:60" s="49" customFormat="1" x14ac:dyDescent="0.25">
      <c r="A926" s="483" t="str">
        <f t="shared" si="944"/>
        <v>Net change in film and television costs and advances</v>
      </c>
      <c r="B926" s="209"/>
      <c r="C926" s="39">
        <f t="shared" si="945"/>
        <v>-43</v>
      </c>
      <c r="D926" s="39">
        <f t="shared" si="945"/>
        <v>238</v>
      </c>
      <c r="E926" s="39">
        <f t="shared" si="945"/>
        <v>332</v>
      </c>
      <c r="F926" s="39">
        <f t="shared" si="945"/>
        <v>-52</v>
      </c>
      <c r="G926" s="484">
        <f t="shared" si="945"/>
        <v>-187</v>
      </c>
      <c r="H926" s="484">
        <f t="shared" si="946"/>
        <v>-384</v>
      </c>
      <c r="I926" s="484">
        <f t="shared" si="946"/>
        <v>214</v>
      </c>
      <c r="J926" s="484">
        <f t="shared" si="946"/>
        <v>308</v>
      </c>
      <c r="K926" s="39">
        <f t="shared" si="947"/>
        <v>-49</v>
      </c>
      <c r="L926" s="484">
        <f t="shared" si="947"/>
        <v>-299</v>
      </c>
      <c r="M926" s="484">
        <f t="shared" si="948"/>
        <v>-364</v>
      </c>
      <c r="N926" s="484">
        <f t="shared" si="948"/>
        <v>-330</v>
      </c>
      <c r="O926" s="484">
        <f t="shared" si="948"/>
        <v>29</v>
      </c>
      <c r="P926" s="39">
        <f t="shared" si="949"/>
        <v>-964</v>
      </c>
      <c r="Q926" s="484">
        <f t="shared" si="949"/>
        <v>114</v>
      </c>
      <c r="R926" s="484">
        <f t="shared" si="950"/>
        <v>-147</v>
      </c>
      <c r="S926" s="484">
        <f t="shared" si="950"/>
        <v>-590</v>
      </c>
      <c r="T926" s="484">
        <f t="shared" si="950"/>
        <v>-299</v>
      </c>
      <c r="U926" s="39">
        <f t="shared" si="951"/>
        <v>-922</v>
      </c>
      <c r="V926" s="484">
        <f t="shared" si="951"/>
        <v>705</v>
      </c>
      <c r="W926" s="484">
        <f t="shared" si="952"/>
        <v>-670</v>
      </c>
      <c r="X926" s="484">
        <f t="shared" si="952"/>
        <v>-259</v>
      </c>
      <c r="Y926" s="484">
        <f t="shared" si="952"/>
        <v>123</v>
      </c>
      <c r="Z926" s="39">
        <f t="shared" si="953"/>
        <v>-101</v>
      </c>
      <c r="AA926" s="484">
        <f t="shared" si="953"/>
        <v>440</v>
      </c>
      <c r="AB926" s="191">
        <f t="shared" si="954"/>
        <v>-868</v>
      </c>
      <c r="AC926" s="484">
        <f t="shared" si="954"/>
        <v>-317</v>
      </c>
      <c r="AD926" s="484">
        <f t="shared" si="954"/>
        <v>-330</v>
      </c>
      <c r="AE926" s="39">
        <f t="shared" si="955"/>
        <v>-1075</v>
      </c>
      <c r="AF926" s="484">
        <f t="shared" si="955"/>
        <v>34</v>
      </c>
      <c r="AG926" s="191">
        <f t="shared" si="956"/>
        <v>-524</v>
      </c>
      <c r="AH926" s="484">
        <f t="shared" si="956"/>
        <v>-111</v>
      </c>
      <c r="AI926" s="484">
        <f t="shared" si="956"/>
        <v>78</v>
      </c>
      <c r="AJ926" s="39">
        <f t="shared" si="957"/>
        <v>-523</v>
      </c>
      <c r="AK926" s="484">
        <f t="shared" si="957"/>
        <v>468</v>
      </c>
      <c r="AL926" s="191">
        <f t="shared" si="958"/>
        <v>-749</v>
      </c>
      <c r="AM926" s="484">
        <f t="shared" si="958"/>
        <v>340</v>
      </c>
      <c r="AN926" s="484">
        <f t="shared" si="958"/>
        <v>-601</v>
      </c>
      <c r="AO926" s="39">
        <f t="shared" si="959"/>
        <v>-542</v>
      </c>
      <c r="AP926" s="484">
        <f t="shared" si="959"/>
        <v>-77</v>
      </c>
      <c r="AQ926" s="191">
        <f t="shared" si="960"/>
        <v>-848</v>
      </c>
      <c r="AR926" s="484">
        <f t="shared" si="960"/>
        <v>-558</v>
      </c>
      <c r="AS926" s="484">
        <f t="shared" si="961"/>
        <v>1880</v>
      </c>
      <c r="AT926" s="39">
        <f t="shared" si="962"/>
        <v>397</v>
      </c>
      <c r="AU926" s="484">
        <f t="shared" si="963"/>
        <v>771</v>
      </c>
      <c r="AV926" s="191">
        <f t="shared" si="964"/>
        <v>-2456</v>
      </c>
      <c r="AW926" s="289">
        <f t="shared" si="965"/>
        <v>-1507</v>
      </c>
      <c r="AX926" s="113"/>
      <c r="AY926" s="104">
        <f t="shared" si="966"/>
        <v>-3192</v>
      </c>
      <c r="AZ926" s="113"/>
      <c r="BA926" s="113"/>
      <c r="BB926" s="113"/>
      <c r="BC926" s="113"/>
      <c r="BD926" s="104">
        <f t="shared" si="967"/>
        <v>0</v>
      </c>
      <c r="BE926" s="104"/>
      <c r="BF926" s="104"/>
      <c r="BG926" s="104"/>
      <c r="BH926" s="484"/>
    </row>
    <row r="927" spans="1:60" s="49" customFormat="1" x14ac:dyDescent="0.25">
      <c r="A927" s="483" t="str">
        <f t="shared" si="944"/>
        <v>Equity-based compensation</v>
      </c>
      <c r="B927" s="209"/>
      <c r="C927" s="39">
        <f t="shared" si="945"/>
        <v>361</v>
      </c>
      <c r="D927" s="39">
        <f t="shared" si="945"/>
        <v>391</v>
      </c>
      <c r="E927" s="39">
        <f t="shared" si="945"/>
        <v>423</v>
      </c>
      <c r="F927" s="39">
        <f t="shared" si="945"/>
        <v>408</v>
      </c>
      <c r="G927" s="484">
        <f t="shared" si="945"/>
        <v>100</v>
      </c>
      <c r="H927" s="484">
        <f t="shared" si="946"/>
        <v>108</v>
      </c>
      <c r="I927" s="484">
        <f t="shared" si="946"/>
        <v>97</v>
      </c>
      <c r="J927" s="484">
        <f t="shared" si="946"/>
        <v>97</v>
      </c>
      <c r="K927" s="39">
        <f t="shared" si="947"/>
        <v>402</v>
      </c>
      <c r="L927" s="484">
        <f t="shared" si="947"/>
        <v>96</v>
      </c>
      <c r="M927" s="484">
        <f t="shared" si="948"/>
        <v>112</v>
      </c>
      <c r="N927" s="484">
        <f t="shared" si="948"/>
        <v>100</v>
      </c>
      <c r="O927" s="484">
        <f t="shared" si="948"/>
        <v>100</v>
      </c>
      <c r="P927" s="39">
        <f t="shared" si="949"/>
        <v>408</v>
      </c>
      <c r="Q927" s="484">
        <f t="shared" si="949"/>
        <v>104</v>
      </c>
      <c r="R927" s="484">
        <f t="shared" si="950"/>
        <v>109</v>
      </c>
      <c r="S927" s="484">
        <f t="shared" si="950"/>
        <v>96</v>
      </c>
      <c r="T927" s="484">
        <f t="shared" si="950"/>
        <v>101</v>
      </c>
      <c r="U927" s="39">
        <f t="shared" si="951"/>
        <v>410</v>
      </c>
      <c r="V927" s="484">
        <f t="shared" si="951"/>
        <v>106</v>
      </c>
      <c r="W927" s="484">
        <f t="shared" si="952"/>
        <v>99</v>
      </c>
      <c r="X927" s="484">
        <f t="shared" si="952"/>
        <v>100</v>
      </c>
      <c r="Y927" s="484">
        <f t="shared" si="952"/>
        <v>88</v>
      </c>
      <c r="Z927" s="39">
        <f t="shared" si="953"/>
        <v>393</v>
      </c>
      <c r="AA927" s="484">
        <f t="shared" si="953"/>
        <v>97</v>
      </c>
      <c r="AB927" s="191">
        <f t="shared" si="954"/>
        <v>92</v>
      </c>
      <c r="AC927" s="484">
        <f t="shared" si="954"/>
        <v>89</v>
      </c>
      <c r="AD927" s="484">
        <f t="shared" si="954"/>
        <v>86</v>
      </c>
      <c r="AE927" s="39">
        <f t="shared" si="955"/>
        <v>364</v>
      </c>
      <c r="AF927" s="484">
        <f t="shared" si="955"/>
        <v>94</v>
      </c>
      <c r="AG927" s="191">
        <f t="shared" si="956"/>
        <v>100</v>
      </c>
      <c r="AH927" s="484">
        <f t="shared" si="956"/>
        <v>113</v>
      </c>
      <c r="AI927" s="484">
        <f t="shared" si="956"/>
        <v>86</v>
      </c>
      <c r="AJ927" s="39">
        <f t="shared" si="957"/>
        <v>393</v>
      </c>
      <c r="AK927" s="484">
        <f t="shared" si="957"/>
        <v>92</v>
      </c>
      <c r="AL927" s="191">
        <f t="shared" si="958"/>
        <v>383</v>
      </c>
      <c r="AM927" s="484">
        <f t="shared" si="958"/>
        <v>116</v>
      </c>
      <c r="AN927" s="484">
        <f t="shared" si="958"/>
        <v>120</v>
      </c>
      <c r="AO927" s="39">
        <f t="shared" si="959"/>
        <v>711</v>
      </c>
      <c r="AP927" s="484">
        <f t="shared" si="959"/>
        <v>115</v>
      </c>
      <c r="AQ927" s="191">
        <f t="shared" si="960"/>
        <v>131</v>
      </c>
      <c r="AR927" s="484">
        <f t="shared" si="960"/>
        <v>142</v>
      </c>
      <c r="AS927" s="484">
        <f t="shared" si="961"/>
        <v>137</v>
      </c>
      <c r="AT927" s="39">
        <f t="shared" si="962"/>
        <v>525</v>
      </c>
      <c r="AU927" s="484">
        <f t="shared" si="963"/>
        <v>134</v>
      </c>
      <c r="AV927" s="191">
        <f t="shared" si="964"/>
        <v>136</v>
      </c>
      <c r="AW927" s="289">
        <f t="shared" si="965"/>
        <v>158</v>
      </c>
      <c r="AX927" s="113">
        <f>AX771</f>
        <v>150</v>
      </c>
      <c r="AY927" s="104">
        <f t="shared" si="966"/>
        <v>578</v>
      </c>
      <c r="AZ927" s="113">
        <f>AZ771</f>
        <v>150</v>
      </c>
      <c r="BA927" s="113">
        <f>BA771</f>
        <v>150</v>
      </c>
      <c r="BB927" s="113">
        <f>BB771</f>
        <v>150</v>
      </c>
      <c r="BC927" s="113">
        <f>BC771</f>
        <v>150</v>
      </c>
      <c r="BD927" s="104">
        <f t="shared" si="967"/>
        <v>600</v>
      </c>
      <c r="BE927" s="104">
        <f>BE771</f>
        <v>600</v>
      </c>
      <c r="BF927" s="104">
        <f>BF771</f>
        <v>600</v>
      </c>
      <c r="BG927" s="104">
        <f>BG771</f>
        <v>600</v>
      </c>
      <c r="BH927" s="484"/>
    </row>
    <row r="928" spans="1:60" s="470" customFormat="1" x14ac:dyDescent="0.25">
      <c r="A928" s="483" t="str">
        <f t="shared" si="944"/>
        <v>Net change in operating lease right of use assets/liabilities</v>
      </c>
      <c r="B928" s="209"/>
      <c r="C928" s="39">
        <f t="shared" si="945"/>
        <v>0</v>
      </c>
      <c r="D928" s="39">
        <f t="shared" si="945"/>
        <v>0</v>
      </c>
      <c r="E928" s="39">
        <f t="shared" si="945"/>
        <v>0</v>
      </c>
      <c r="F928" s="39">
        <f t="shared" si="945"/>
        <v>0</v>
      </c>
      <c r="G928" s="484">
        <f t="shared" si="945"/>
        <v>0</v>
      </c>
      <c r="H928" s="484">
        <f t="shared" si="946"/>
        <v>0</v>
      </c>
      <c r="I928" s="484">
        <f t="shared" si="946"/>
        <v>0</v>
      </c>
      <c r="J928" s="484">
        <f t="shared" si="946"/>
        <v>0</v>
      </c>
      <c r="K928" s="39">
        <f t="shared" si="947"/>
        <v>0</v>
      </c>
      <c r="L928" s="484">
        <f t="shared" si="947"/>
        <v>0</v>
      </c>
      <c r="M928" s="484">
        <f t="shared" si="948"/>
        <v>0</v>
      </c>
      <c r="N928" s="484">
        <f t="shared" si="948"/>
        <v>0</v>
      </c>
      <c r="O928" s="484">
        <f t="shared" si="948"/>
        <v>0</v>
      </c>
      <c r="P928" s="39">
        <f t="shared" si="949"/>
        <v>0</v>
      </c>
      <c r="Q928" s="484">
        <f t="shared" si="949"/>
        <v>0</v>
      </c>
      <c r="R928" s="484">
        <f t="shared" si="950"/>
        <v>0</v>
      </c>
      <c r="S928" s="484">
        <f t="shared" si="950"/>
        <v>0</v>
      </c>
      <c r="T928" s="484">
        <f t="shared" si="950"/>
        <v>0</v>
      </c>
      <c r="U928" s="39">
        <f t="shared" si="951"/>
        <v>0</v>
      </c>
      <c r="V928" s="484">
        <f t="shared" si="951"/>
        <v>0</v>
      </c>
      <c r="W928" s="484">
        <f t="shared" si="952"/>
        <v>0</v>
      </c>
      <c r="X928" s="484">
        <f t="shared" si="952"/>
        <v>0</v>
      </c>
      <c r="Y928" s="484">
        <f t="shared" si="952"/>
        <v>0</v>
      </c>
      <c r="Z928" s="39">
        <f t="shared" si="953"/>
        <v>0</v>
      </c>
      <c r="AA928" s="484">
        <f t="shared" si="953"/>
        <v>0</v>
      </c>
      <c r="AB928" s="191">
        <f t="shared" si="954"/>
        <v>0</v>
      </c>
      <c r="AC928" s="484">
        <f t="shared" si="954"/>
        <v>0</v>
      </c>
      <c r="AD928" s="484">
        <f t="shared" si="954"/>
        <v>0</v>
      </c>
      <c r="AE928" s="39">
        <f t="shared" si="955"/>
        <v>0</v>
      </c>
      <c r="AF928" s="484">
        <f t="shared" si="955"/>
        <v>0</v>
      </c>
      <c r="AG928" s="191">
        <f t="shared" si="956"/>
        <v>0</v>
      </c>
      <c r="AH928" s="484">
        <f t="shared" si="956"/>
        <v>0</v>
      </c>
      <c r="AI928" s="484">
        <f t="shared" si="956"/>
        <v>0</v>
      </c>
      <c r="AJ928" s="39">
        <f t="shared" si="957"/>
        <v>0</v>
      </c>
      <c r="AK928" s="484">
        <f t="shared" si="957"/>
        <v>0</v>
      </c>
      <c r="AL928" s="191">
        <f t="shared" si="958"/>
        <v>0</v>
      </c>
      <c r="AM928" s="484">
        <f t="shared" si="958"/>
        <v>0</v>
      </c>
      <c r="AN928" s="484">
        <f t="shared" si="958"/>
        <v>0</v>
      </c>
      <c r="AO928" s="39">
        <f t="shared" si="959"/>
        <v>0</v>
      </c>
      <c r="AP928" s="484">
        <f t="shared" si="959"/>
        <v>0</v>
      </c>
      <c r="AQ928" s="191">
        <f t="shared" si="960"/>
        <v>-96</v>
      </c>
      <c r="AR928" s="484">
        <f t="shared" si="960"/>
        <v>112</v>
      </c>
      <c r="AS928" s="484">
        <f t="shared" si="961"/>
        <v>15</v>
      </c>
      <c r="AT928" s="39">
        <f t="shared" si="962"/>
        <v>31</v>
      </c>
      <c r="AU928" s="484">
        <f t="shared" si="963"/>
        <v>36</v>
      </c>
      <c r="AV928" s="191">
        <f t="shared" si="964"/>
        <v>110</v>
      </c>
      <c r="AW928" s="289">
        <f t="shared" si="965"/>
        <v>-19</v>
      </c>
      <c r="AX928" s="113"/>
      <c r="AY928" s="104">
        <f>SUM(AU928,AV928,AW928,AX928)</f>
        <v>127</v>
      </c>
      <c r="AZ928" s="113"/>
      <c r="BA928" s="113"/>
      <c r="BB928" s="113"/>
      <c r="BC928" s="113"/>
      <c r="BD928" s="104">
        <f t="shared" si="967"/>
        <v>0</v>
      </c>
      <c r="BE928" s="104"/>
      <c r="BF928" s="104"/>
      <c r="BG928" s="104"/>
      <c r="BH928" s="484"/>
    </row>
    <row r="929" spans="1:60" s="49" customFormat="1" x14ac:dyDescent="0.25">
      <c r="A929" s="483" t="str">
        <f t="shared" si="944"/>
        <v>Impairment charges</v>
      </c>
      <c r="B929" s="209"/>
      <c r="C929" s="39">
        <f t="shared" si="945"/>
        <v>279</v>
      </c>
      <c r="D929" s="39">
        <f t="shared" si="945"/>
        <v>132</v>
      </c>
      <c r="E929" s="39">
        <f t="shared" si="945"/>
        <v>0</v>
      </c>
      <c r="F929" s="39">
        <f t="shared" si="945"/>
        <v>0</v>
      </c>
      <c r="G929" s="484">
        <f t="shared" si="945"/>
        <v>0</v>
      </c>
      <c r="H929" s="484">
        <f t="shared" si="946"/>
        <v>0</v>
      </c>
      <c r="I929" s="484">
        <f t="shared" si="946"/>
        <v>0</v>
      </c>
      <c r="J929" s="484">
        <f t="shared" si="946"/>
        <v>0</v>
      </c>
      <c r="K929" s="39">
        <f t="shared" si="947"/>
        <v>0</v>
      </c>
      <c r="L929" s="484">
        <f t="shared" si="947"/>
        <v>0</v>
      </c>
      <c r="M929" s="484">
        <f t="shared" si="948"/>
        <v>0</v>
      </c>
      <c r="N929" s="484">
        <f t="shared" si="948"/>
        <v>0</v>
      </c>
      <c r="O929" s="484">
        <f t="shared" si="948"/>
        <v>0</v>
      </c>
      <c r="P929" s="39">
        <f t="shared" si="949"/>
        <v>0</v>
      </c>
      <c r="Q929" s="484">
        <f t="shared" si="949"/>
        <v>0</v>
      </c>
      <c r="R929" s="484">
        <f t="shared" si="950"/>
        <v>0</v>
      </c>
      <c r="S929" s="484">
        <f t="shared" si="950"/>
        <v>0</v>
      </c>
      <c r="T929" s="484">
        <f t="shared" si="950"/>
        <v>0</v>
      </c>
      <c r="U929" s="39">
        <f t="shared" si="951"/>
        <v>0</v>
      </c>
      <c r="V929" s="484">
        <f t="shared" si="951"/>
        <v>0</v>
      </c>
      <c r="W929" s="484">
        <f t="shared" si="952"/>
        <v>0</v>
      </c>
      <c r="X929" s="484">
        <f t="shared" si="952"/>
        <v>0</v>
      </c>
      <c r="Y929" s="484">
        <f t="shared" si="952"/>
        <v>0</v>
      </c>
      <c r="Z929" s="39">
        <f t="shared" si="953"/>
        <v>0</v>
      </c>
      <c r="AA929" s="484">
        <f t="shared" si="953"/>
        <v>0</v>
      </c>
      <c r="AB929" s="191">
        <f t="shared" si="954"/>
        <v>0</v>
      </c>
      <c r="AC929" s="484">
        <f t="shared" si="954"/>
        <v>0</v>
      </c>
      <c r="AD929" s="484">
        <f t="shared" si="954"/>
        <v>0</v>
      </c>
      <c r="AE929" s="39">
        <f t="shared" si="955"/>
        <v>0</v>
      </c>
      <c r="AF929" s="484">
        <f t="shared" si="955"/>
        <v>0</v>
      </c>
      <c r="AG929" s="191">
        <f t="shared" si="956"/>
        <v>0</v>
      </c>
      <c r="AH929" s="484">
        <f t="shared" si="956"/>
        <v>0</v>
      </c>
      <c r="AI929" s="484">
        <f t="shared" si="956"/>
        <v>0</v>
      </c>
      <c r="AJ929" s="39">
        <f t="shared" si="957"/>
        <v>0</v>
      </c>
      <c r="AK929" s="484">
        <f t="shared" si="957"/>
        <v>0</v>
      </c>
      <c r="AL929" s="191">
        <f t="shared" si="958"/>
        <v>0</v>
      </c>
      <c r="AM929" s="484">
        <f t="shared" si="958"/>
        <v>0</v>
      </c>
      <c r="AN929" s="484">
        <f t="shared" si="958"/>
        <v>0</v>
      </c>
      <c r="AO929" s="39">
        <f t="shared" si="959"/>
        <v>0</v>
      </c>
      <c r="AP929" s="484">
        <f t="shared" si="959"/>
        <v>0</v>
      </c>
      <c r="AQ929" s="191">
        <f t="shared" si="960"/>
        <v>0</v>
      </c>
      <c r="AR929" s="484">
        <f t="shared" si="960"/>
        <v>4953</v>
      </c>
      <c r="AS929" s="484">
        <f t="shared" si="961"/>
        <v>0</v>
      </c>
      <c r="AT929" s="39">
        <f t="shared" si="962"/>
        <v>4953</v>
      </c>
      <c r="AU929" s="484">
        <f t="shared" si="963"/>
        <v>0</v>
      </c>
      <c r="AV929" s="191">
        <f t="shared" si="964"/>
        <v>0</v>
      </c>
      <c r="AW929" s="289">
        <f t="shared" si="965"/>
        <v>0</v>
      </c>
      <c r="AX929" s="113"/>
      <c r="AY929" s="104">
        <f>SUM(AU929,AV929,AW929,AX929)</f>
        <v>0</v>
      </c>
      <c r="AZ929" s="113"/>
      <c r="BA929" s="113"/>
      <c r="BB929" s="113"/>
      <c r="BC929" s="113"/>
      <c r="BD929" s="104">
        <f t="shared" si="967"/>
        <v>0</v>
      </c>
      <c r="BE929" s="104"/>
      <c r="BF929" s="104"/>
      <c r="BG929" s="104"/>
      <c r="BH929" s="484"/>
    </row>
    <row r="930" spans="1:60" s="49" customFormat="1" x14ac:dyDescent="0.25">
      <c r="A930" s="483" t="str">
        <f t="shared" si="944"/>
        <v>Other</v>
      </c>
      <c r="B930" s="209"/>
      <c r="C930" s="39">
        <f t="shared" si="945"/>
        <v>29</v>
      </c>
      <c r="D930" s="39">
        <f t="shared" si="945"/>
        <v>9</v>
      </c>
      <c r="E930" s="39">
        <f t="shared" si="945"/>
        <v>204</v>
      </c>
      <c r="F930" s="39">
        <f t="shared" si="945"/>
        <v>231</v>
      </c>
      <c r="G930" s="484">
        <f t="shared" si="945"/>
        <v>86</v>
      </c>
      <c r="H930" s="484">
        <f t="shared" si="946"/>
        <v>33</v>
      </c>
      <c r="I930" s="484">
        <f t="shared" si="946"/>
        <v>130</v>
      </c>
      <c r="J930" s="484">
        <f t="shared" si="946"/>
        <v>146</v>
      </c>
      <c r="K930" s="39">
        <f t="shared" si="947"/>
        <v>395</v>
      </c>
      <c r="L930" s="484">
        <f t="shared" si="947"/>
        <v>27</v>
      </c>
      <c r="M930" s="484">
        <f t="shared" si="948"/>
        <v>-56</v>
      </c>
      <c r="N930" s="484">
        <f t="shared" si="948"/>
        <v>62</v>
      </c>
      <c r="O930" s="484">
        <f t="shared" si="948"/>
        <v>201</v>
      </c>
      <c r="P930" s="39">
        <f t="shared" si="949"/>
        <v>234</v>
      </c>
      <c r="Q930" s="484">
        <f t="shared" si="949"/>
        <v>171</v>
      </c>
      <c r="R930" s="484">
        <f t="shared" si="950"/>
        <v>4</v>
      </c>
      <c r="S930" s="484">
        <f t="shared" si="950"/>
        <v>39</v>
      </c>
      <c r="T930" s="484">
        <f t="shared" si="950"/>
        <v>127</v>
      </c>
      <c r="U930" s="39">
        <f t="shared" si="951"/>
        <v>341</v>
      </c>
      <c r="V930" s="484">
        <f t="shared" si="951"/>
        <v>144</v>
      </c>
      <c r="W930" s="484">
        <f t="shared" si="952"/>
        <v>-20</v>
      </c>
      <c r="X930" s="484">
        <f t="shared" si="952"/>
        <v>279</v>
      </c>
      <c r="Y930" s="484">
        <f t="shared" si="952"/>
        <v>42</v>
      </c>
      <c r="Z930" s="39">
        <f t="shared" si="953"/>
        <v>445</v>
      </c>
      <c r="AA930" s="484">
        <f t="shared" si="953"/>
        <v>187</v>
      </c>
      <c r="AB930" s="191">
        <f t="shared" si="954"/>
        <v>74</v>
      </c>
      <c r="AC930" s="484">
        <f t="shared" si="954"/>
        <v>112</v>
      </c>
      <c r="AD930" s="484">
        <f t="shared" si="954"/>
        <v>130</v>
      </c>
      <c r="AE930" s="39">
        <f t="shared" si="955"/>
        <v>503</v>
      </c>
      <c r="AF930" s="484">
        <f t="shared" si="955"/>
        <v>139</v>
      </c>
      <c r="AG930" s="191">
        <f t="shared" si="956"/>
        <v>16</v>
      </c>
      <c r="AH930" s="484">
        <f t="shared" si="956"/>
        <v>142</v>
      </c>
      <c r="AI930" s="484">
        <f t="shared" si="956"/>
        <v>144</v>
      </c>
      <c r="AJ930" s="39">
        <f t="shared" si="957"/>
        <v>441</v>
      </c>
      <c r="AK930" s="484">
        <f t="shared" si="957"/>
        <v>61</v>
      </c>
      <c r="AL930" s="191">
        <f t="shared" si="958"/>
        <v>60</v>
      </c>
      <c r="AM930" s="484">
        <f t="shared" si="958"/>
        <v>31</v>
      </c>
      <c r="AN930" s="484">
        <f t="shared" si="958"/>
        <v>54</v>
      </c>
      <c r="AO930" s="39">
        <f t="shared" si="959"/>
        <v>206</v>
      </c>
      <c r="AP930" s="484">
        <f t="shared" si="959"/>
        <v>65</v>
      </c>
      <c r="AQ930" s="191">
        <f t="shared" si="960"/>
        <v>91</v>
      </c>
      <c r="AR930" s="484">
        <f t="shared" si="960"/>
        <v>315</v>
      </c>
      <c r="AS930" s="484">
        <f t="shared" si="961"/>
        <v>170</v>
      </c>
      <c r="AT930" s="39">
        <f t="shared" si="962"/>
        <v>641</v>
      </c>
      <c r="AU930" s="484">
        <f t="shared" si="963"/>
        <v>90</v>
      </c>
      <c r="AV930" s="191">
        <f t="shared" si="964"/>
        <v>400</v>
      </c>
      <c r="AW930" s="289">
        <f t="shared" si="965"/>
        <v>238</v>
      </c>
      <c r="AX930" s="113"/>
      <c r="AY930" s="104">
        <f>SUM(AU930,AV930,AW930,AX930)</f>
        <v>728</v>
      </c>
      <c r="AZ930" s="113"/>
      <c r="BA930" s="113"/>
      <c r="BB930" s="113"/>
      <c r="BC930" s="113"/>
      <c r="BD930" s="104">
        <f t="shared" si="967"/>
        <v>0</v>
      </c>
      <c r="BE930" s="104"/>
      <c r="BF930" s="104"/>
      <c r="BG930" s="104"/>
      <c r="BH930" s="484"/>
    </row>
    <row r="931" spans="1:60" s="52" customFormat="1" x14ac:dyDescent="0.25">
      <c r="A931" s="500" t="str">
        <f t="shared" si="944"/>
        <v>CFO before WC</v>
      </c>
      <c r="B931" s="775"/>
      <c r="C931" s="53">
        <f t="shared" ref="C931:AH931" si="968">SUM(C919:C930)</f>
        <v>5775</v>
      </c>
      <c r="D931" s="53">
        <f t="shared" si="968"/>
        <v>6844</v>
      </c>
      <c r="E931" s="53">
        <f t="shared" si="968"/>
        <v>8133</v>
      </c>
      <c r="F931" s="53">
        <f t="shared" si="968"/>
        <v>9057</v>
      </c>
      <c r="G931" s="61">
        <f t="shared" si="968"/>
        <v>1578</v>
      </c>
      <c r="H931" s="61">
        <f t="shared" si="968"/>
        <v>1881</v>
      </c>
      <c r="I931" s="61">
        <f t="shared" si="968"/>
        <v>3381</v>
      </c>
      <c r="J931" s="61">
        <f t="shared" si="968"/>
        <v>2509</v>
      </c>
      <c r="K931" s="53">
        <f t="shared" si="968"/>
        <v>9349</v>
      </c>
      <c r="L931" s="61">
        <f t="shared" si="968"/>
        <v>2041</v>
      </c>
      <c r="M931" s="61">
        <f t="shared" si="968"/>
        <v>2377</v>
      </c>
      <c r="N931" s="61">
        <f t="shared" si="968"/>
        <v>2886</v>
      </c>
      <c r="O931" s="61">
        <f t="shared" si="968"/>
        <v>2748</v>
      </c>
      <c r="P931" s="53">
        <f t="shared" si="968"/>
        <v>10052</v>
      </c>
      <c r="Q931" s="61">
        <f t="shared" si="968"/>
        <v>3500</v>
      </c>
      <c r="R931" s="61">
        <f t="shared" si="968"/>
        <v>2580</v>
      </c>
      <c r="S931" s="61">
        <f t="shared" si="968"/>
        <v>2349</v>
      </c>
      <c r="T931" s="61">
        <f t="shared" si="968"/>
        <v>2351</v>
      </c>
      <c r="U931" s="53">
        <f t="shared" si="968"/>
        <v>10780</v>
      </c>
      <c r="V931" s="61">
        <f t="shared" si="968"/>
        <v>4728</v>
      </c>
      <c r="W931" s="61">
        <f t="shared" si="968"/>
        <v>2563</v>
      </c>
      <c r="X931" s="61">
        <f t="shared" si="968"/>
        <v>3605</v>
      </c>
      <c r="Y931" s="61">
        <f t="shared" si="968"/>
        <v>3219</v>
      </c>
      <c r="Z931" s="53">
        <f t="shared" si="968"/>
        <v>14115</v>
      </c>
      <c r="AA931" s="61">
        <f t="shared" si="968"/>
        <v>3908</v>
      </c>
      <c r="AB931" s="192">
        <f t="shared" si="968"/>
        <v>2824</v>
      </c>
      <c r="AC931" s="61">
        <f t="shared" si="968"/>
        <v>3300</v>
      </c>
      <c r="AD931" s="61">
        <f t="shared" si="968"/>
        <v>2421</v>
      </c>
      <c r="AE931" s="53">
        <f t="shared" si="968"/>
        <v>12453</v>
      </c>
      <c r="AF931" s="61">
        <f t="shared" si="968"/>
        <v>3883</v>
      </c>
      <c r="AG931" s="192">
        <f t="shared" si="968"/>
        <v>3754</v>
      </c>
      <c r="AH931" s="61">
        <f t="shared" si="968"/>
        <v>4284</v>
      </c>
      <c r="AI931" s="61">
        <f t="shared" ref="AI931:AY931" si="969">SUM(AI919:AI930)</f>
        <v>3211</v>
      </c>
      <c r="AJ931" s="53">
        <f t="shared" si="969"/>
        <v>15132</v>
      </c>
      <c r="AK931" s="61">
        <f t="shared" si="969"/>
        <v>4279</v>
      </c>
      <c r="AL931" s="192">
        <f t="shared" si="969"/>
        <v>2851</v>
      </c>
      <c r="AM931" s="61">
        <f t="shared" si="969"/>
        <v>4239</v>
      </c>
      <c r="AN931" s="61">
        <f t="shared" si="969"/>
        <v>259</v>
      </c>
      <c r="AO931" s="53">
        <f t="shared" si="969"/>
        <v>11628</v>
      </c>
      <c r="AP931" s="61">
        <f t="shared" si="969"/>
        <v>4103</v>
      </c>
      <c r="AQ931" s="192">
        <f t="shared" si="969"/>
        <v>960</v>
      </c>
      <c r="AR931" s="61">
        <f t="shared" si="969"/>
        <v>583</v>
      </c>
      <c r="AS931" s="61">
        <f>SUM(AS919:AS930)</f>
        <v>2615</v>
      </c>
      <c r="AT931" s="53">
        <f>SUM(AT919:AT930)</f>
        <v>8261</v>
      </c>
      <c r="AU931" s="61">
        <f>SUM(AU919:AU930)</f>
        <v>2143</v>
      </c>
      <c r="AV931" s="192">
        <f>SUM(AV919:AV930)</f>
        <v>-302</v>
      </c>
      <c r="AW931" s="872">
        <f>SUM(AW919:AW930)</f>
        <v>1190</v>
      </c>
      <c r="AX931" s="105">
        <f t="shared" si="969"/>
        <v>2424.8003293553802</v>
      </c>
      <c r="AY931" s="106">
        <f t="shared" si="969"/>
        <v>5455.8003293553802</v>
      </c>
      <c r="AZ931" s="105">
        <f t="shared" ref="AZ931:BG931" ca="1" si="970">SUM(AZ919:AZ930)</f>
        <v>3807.0971174094129</v>
      </c>
      <c r="BA931" s="105">
        <f t="shared" ca="1" si="970"/>
        <v>2845.3301034760298</v>
      </c>
      <c r="BB931" s="105">
        <f t="shared" ca="1" si="970"/>
        <v>3412.3643087456785</v>
      </c>
      <c r="BC931" s="105">
        <f t="shared" ca="1" si="970"/>
        <v>3671.8831515813063</v>
      </c>
      <c r="BD931" s="106">
        <f t="shared" ca="1" si="970"/>
        <v>13736.674681212427</v>
      </c>
      <c r="BE931" s="106">
        <f t="shared" ca="1" si="970"/>
        <v>16795.496076596541</v>
      </c>
      <c r="BF931" s="106">
        <f t="shared" ca="1" si="970"/>
        <v>17864.883773996629</v>
      </c>
      <c r="BG931" s="106">
        <f t="shared" ca="1" si="970"/>
        <v>18791.293259597918</v>
      </c>
      <c r="BH931" s="499"/>
    </row>
    <row r="932" spans="1:60" s="49" customFormat="1" x14ac:dyDescent="0.25">
      <c r="A932" s="226" t="str">
        <f t="shared" si="944"/>
        <v>Receivables</v>
      </c>
      <c r="B932" s="209"/>
      <c r="C932" s="104">
        <f t="shared" ref="C932:G937" si="971">C881</f>
        <v>468</v>
      </c>
      <c r="D932" s="104">
        <f t="shared" si="971"/>
        <v>-686</v>
      </c>
      <c r="E932" s="104">
        <f t="shared" si="971"/>
        <v>-518</v>
      </c>
      <c r="F932" s="104">
        <f t="shared" si="971"/>
        <v>-108</v>
      </c>
      <c r="G932" s="113">
        <f t="shared" si="971"/>
        <v>-934</v>
      </c>
      <c r="H932" s="113">
        <f t="shared" ref="H932:J937" si="972">H881-G881</f>
        <v>858</v>
      </c>
      <c r="I932" s="113">
        <f t="shared" si="972"/>
        <v>73</v>
      </c>
      <c r="J932" s="113">
        <f t="shared" si="972"/>
        <v>-371</v>
      </c>
      <c r="K932" s="104">
        <f t="shared" ref="K932:L937" si="973">K881</f>
        <v>-374</v>
      </c>
      <c r="L932" s="113">
        <f t="shared" si="973"/>
        <v>-1175</v>
      </c>
      <c r="M932" s="113">
        <f t="shared" ref="M932:O937" si="974">M881-L881</f>
        <v>706</v>
      </c>
      <c r="N932" s="113">
        <f t="shared" si="974"/>
        <v>-74</v>
      </c>
      <c r="O932" s="113">
        <f t="shared" si="974"/>
        <v>63</v>
      </c>
      <c r="P932" s="104">
        <f t="shared" ref="P932:Q937" si="975">P881</f>
        <v>-480</v>
      </c>
      <c r="Q932" s="113">
        <f t="shared" si="975"/>
        <v>-1027</v>
      </c>
      <c r="R932" s="113">
        <f t="shared" ref="R932:T937" si="976">R881-Q881</f>
        <v>819</v>
      </c>
      <c r="S932" s="113">
        <f t="shared" si="976"/>
        <v>-21</v>
      </c>
      <c r="T932" s="113">
        <f t="shared" si="976"/>
        <v>18</v>
      </c>
      <c r="U932" s="104">
        <f t="shared" ref="U932:V937" si="977">U881</f>
        <v>-211</v>
      </c>
      <c r="V932" s="113">
        <f t="shared" si="977"/>
        <v>-2358</v>
      </c>
      <c r="W932" s="113">
        <f t="shared" ref="W932:Y937" si="978">W881-V881</f>
        <v>1816</v>
      </c>
      <c r="X932" s="113">
        <f t="shared" si="978"/>
        <v>-279</v>
      </c>
      <c r="Y932" s="113">
        <f t="shared" si="978"/>
        <v>428</v>
      </c>
      <c r="Z932" s="104">
        <f t="shared" ref="Z932:AA937" si="979">Z881</f>
        <v>-393</v>
      </c>
      <c r="AA932" s="113">
        <f t="shared" si="979"/>
        <v>-1160</v>
      </c>
      <c r="AB932" s="113">
        <f t="shared" ref="AB932:AD937" si="980">AB881-AA881</f>
        <v>876</v>
      </c>
      <c r="AC932" s="113">
        <f t="shared" si="980"/>
        <v>-502</v>
      </c>
      <c r="AD932" s="113">
        <f t="shared" si="980"/>
        <v>893</v>
      </c>
      <c r="AE932" s="104">
        <f t="shared" ref="AE932:AF937" si="981">AE881</f>
        <v>107</v>
      </c>
      <c r="AF932" s="113">
        <f t="shared" si="981"/>
        <v>-1378</v>
      </c>
      <c r="AG932" s="113">
        <f t="shared" ref="AG932:AI937" si="982">AG881-AF881</f>
        <v>374</v>
      </c>
      <c r="AH932" s="113">
        <f t="shared" si="982"/>
        <v>-174</v>
      </c>
      <c r="AI932" s="113">
        <f t="shared" si="982"/>
        <v>458</v>
      </c>
      <c r="AJ932" s="104">
        <f t="shared" ref="AJ932:AK937" si="983">AJ881</f>
        <v>-720</v>
      </c>
      <c r="AK932" s="113">
        <f t="shared" si="983"/>
        <v>-1078</v>
      </c>
      <c r="AL932" s="113">
        <f t="shared" ref="AL932:AN937" si="984">AL881-AK881</f>
        <v>692</v>
      </c>
      <c r="AM932" s="113">
        <f t="shared" si="984"/>
        <v>-1042</v>
      </c>
      <c r="AN932" s="113">
        <f t="shared" si="984"/>
        <v>1483</v>
      </c>
      <c r="AO932" s="104">
        <f t="shared" ref="AO932:AP937" si="985">AO881</f>
        <v>55</v>
      </c>
      <c r="AP932" s="113">
        <f t="shared" si="985"/>
        <v>-1424</v>
      </c>
      <c r="AQ932" s="113">
        <f t="shared" ref="AQ932:AR937" si="986">AQ881-AP881</f>
        <v>2252</v>
      </c>
      <c r="AR932" s="113">
        <f t="shared" si="986"/>
        <v>1272</v>
      </c>
      <c r="AS932" s="113">
        <f t="shared" ref="AS932:AS937" si="987">AS881-AR881</f>
        <v>-157</v>
      </c>
      <c r="AT932" s="104">
        <f t="shared" ref="AT932:AT937" si="988">AT881</f>
        <v>1943</v>
      </c>
      <c r="AU932" s="113">
        <f t="shared" ref="AU932:AU937" si="989">AU881</f>
        <v>-1324</v>
      </c>
      <c r="AV932" s="113">
        <f t="shared" ref="AV932:AV937" si="990">AV881-AU881</f>
        <v>1287</v>
      </c>
      <c r="AW932" s="699">
        <f t="shared" ref="AW932:AW937" si="991">AW881-AV881</f>
        <v>-264</v>
      </c>
      <c r="AX932" s="113">
        <f>AW1004-AX1004</f>
        <v>-9562.3935214348239</v>
      </c>
      <c r="AY932" s="104">
        <f t="shared" ref="AY932:AY937" si="992">SUM(AU932,AV932,AW932,AX932)</f>
        <v>-9863.3935214348239</v>
      </c>
      <c r="AZ932" s="113">
        <f t="shared" ref="AZ932:BC933" si="993">AY1004-AZ1004</f>
        <v>5938.6532714311288</v>
      </c>
      <c r="BA932" s="113">
        <f t="shared" si="993"/>
        <v>174.1361878507887</v>
      </c>
      <c r="BB932" s="113">
        <f t="shared" si="993"/>
        <v>-860.78730158970939</v>
      </c>
      <c r="BC932" s="113">
        <f t="shared" si="993"/>
        <v>424.50513740182578</v>
      </c>
      <c r="BD932" s="104">
        <f t="shared" ref="BD932:BD937" si="994">SUM(AZ932,BA932,BB932,BC932)</f>
        <v>5676.5072950940339</v>
      </c>
      <c r="BE932" s="104">
        <f t="shared" ref="BE932:BG933" si="995">BD1004-BE1004</f>
        <v>-1730.1131227623518</v>
      </c>
      <c r="BF932" s="104">
        <f t="shared" si="995"/>
        <v>-1366.744948781019</v>
      </c>
      <c r="BG932" s="104">
        <f t="shared" si="995"/>
        <v>-1789.9908479018886</v>
      </c>
      <c r="BH932" s="484"/>
    </row>
    <row r="933" spans="1:60" s="49" customFormat="1" x14ac:dyDescent="0.25">
      <c r="A933" s="226" t="str">
        <f t="shared" si="944"/>
        <v>Inventories</v>
      </c>
      <c r="B933" s="209"/>
      <c r="C933" s="104">
        <f t="shared" si="971"/>
        <v>-117</v>
      </c>
      <c r="D933" s="104">
        <f t="shared" si="971"/>
        <v>-127</v>
      </c>
      <c r="E933" s="104">
        <f t="shared" si="971"/>
        <v>-199</v>
      </c>
      <c r="F933" s="104">
        <f t="shared" si="971"/>
        <v>18</v>
      </c>
      <c r="G933" s="113">
        <f t="shared" si="971"/>
        <v>95</v>
      </c>
      <c r="H933" s="113">
        <f t="shared" si="972"/>
        <v>42</v>
      </c>
      <c r="I933" s="113">
        <f t="shared" si="972"/>
        <v>-59</v>
      </c>
      <c r="J933" s="113">
        <f t="shared" si="972"/>
        <v>-27</v>
      </c>
      <c r="K933" s="104">
        <f t="shared" si="973"/>
        <v>51</v>
      </c>
      <c r="L933" s="113">
        <f t="shared" si="973"/>
        <v>97</v>
      </c>
      <c r="M933" s="113">
        <f t="shared" si="974"/>
        <v>37</v>
      </c>
      <c r="N933" s="113">
        <f t="shared" si="974"/>
        <v>-73</v>
      </c>
      <c r="O933" s="113">
        <f t="shared" si="974"/>
        <v>-142</v>
      </c>
      <c r="P933" s="104">
        <f t="shared" si="975"/>
        <v>-81</v>
      </c>
      <c r="Q933" s="113">
        <f t="shared" si="975"/>
        <v>92</v>
      </c>
      <c r="R933" s="113">
        <f t="shared" si="976"/>
        <v>37</v>
      </c>
      <c r="S933" s="113">
        <f t="shared" si="976"/>
        <v>-81</v>
      </c>
      <c r="T933" s="113">
        <f t="shared" si="976"/>
        <v>-47</v>
      </c>
      <c r="U933" s="104">
        <f t="shared" si="977"/>
        <v>1</v>
      </c>
      <c r="V933" s="113">
        <f t="shared" si="977"/>
        <v>134</v>
      </c>
      <c r="W933" s="113">
        <f t="shared" si="978"/>
        <v>84</v>
      </c>
      <c r="X933" s="113">
        <f t="shared" si="978"/>
        <v>-4</v>
      </c>
      <c r="Y933" s="113">
        <f t="shared" si="978"/>
        <v>-28</v>
      </c>
      <c r="Z933" s="104">
        <f t="shared" si="979"/>
        <v>186</v>
      </c>
      <c r="AA933" s="113">
        <f t="shared" si="979"/>
        <v>102</v>
      </c>
      <c r="AB933" s="113">
        <f t="shared" si="980"/>
        <v>-12</v>
      </c>
      <c r="AC933" s="113">
        <f t="shared" si="980"/>
        <v>3</v>
      </c>
      <c r="AD933" s="113">
        <f t="shared" si="980"/>
        <v>-98</v>
      </c>
      <c r="AE933" s="104">
        <f t="shared" si="981"/>
        <v>-5</v>
      </c>
      <c r="AF933" s="113">
        <f t="shared" si="981"/>
        <v>65</v>
      </c>
      <c r="AG933" s="113">
        <f t="shared" si="982"/>
        <v>-1</v>
      </c>
      <c r="AH933" s="113">
        <f t="shared" si="982"/>
        <v>-11</v>
      </c>
      <c r="AI933" s="113">
        <f t="shared" si="982"/>
        <v>-70</v>
      </c>
      <c r="AJ933" s="104">
        <f t="shared" si="983"/>
        <v>-17</v>
      </c>
      <c r="AK933" s="113">
        <f t="shared" si="983"/>
        <v>32</v>
      </c>
      <c r="AL933" s="113">
        <f t="shared" si="984"/>
        <v>-51</v>
      </c>
      <c r="AM933" s="113">
        <f t="shared" si="984"/>
        <v>-77</v>
      </c>
      <c r="AN933" s="113">
        <f t="shared" si="984"/>
        <v>-127</v>
      </c>
      <c r="AO933" s="104">
        <f t="shared" si="985"/>
        <v>-223</v>
      </c>
      <c r="AP933" s="113">
        <f t="shared" si="985"/>
        <v>81</v>
      </c>
      <c r="AQ933" s="113">
        <f t="shared" si="986"/>
        <v>-11</v>
      </c>
      <c r="AR933" s="113">
        <f t="shared" si="986"/>
        <v>16</v>
      </c>
      <c r="AS933" s="113">
        <f t="shared" si="987"/>
        <v>-72</v>
      </c>
      <c r="AT933" s="104">
        <f t="shared" si="988"/>
        <v>14</v>
      </c>
      <c r="AU933" s="113">
        <f t="shared" si="989"/>
        <v>94</v>
      </c>
      <c r="AV933" s="113">
        <f t="shared" si="990"/>
        <v>81</v>
      </c>
      <c r="AW933" s="699">
        <f t="shared" si="991"/>
        <v>61</v>
      </c>
      <c r="AX933" s="113">
        <f>AW1005-AX1005</f>
        <v>-1510.7555826590597</v>
      </c>
      <c r="AY933" s="104">
        <f t="shared" si="992"/>
        <v>-1274.7555826590597</v>
      </c>
      <c r="AZ933" s="113">
        <f t="shared" si="993"/>
        <v>1066.3749997820071</v>
      </c>
      <c r="BA933" s="113">
        <f t="shared" si="993"/>
        <v>-96.824341034779309</v>
      </c>
      <c r="BB933" s="113">
        <f t="shared" si="993"/>
        <v>107.42237109490384</v>
      </c>
      <c r="BC933" s="113">
        <f t="shared" si="993"/>
        <v>-369.86640030688955</v>
      </c>
      <c r="BD933" s="104">
        <f t="shared" si="994"/>
        <v>707.10662953524206</v>
      </c>
      <c r="BE933" s="104">
        <f t="shared" si="995"/>
        <v>-215.51535043537933</v>
      </c>
      <c r="BF933" s="104">
        <f t="shared" si="995"/>
        <v>-170.25159379291426</v>
      </c>
      <c r="BG933" s="104">
        <f t="shared" si="995"/>
        <v>-222.97415110392603</v>
      </c>
      <c r="BH933" s="484"/>
    </row>
    <row r="934" spans="1:60" s="49" customFormat="1" x14ac:dyDescent="0.25">
      <c r="A934" s="226" t="str">
        <f t="shared" si="944"/>
        <v>Other assets</v>
      </c>
      <c r="B934" s="209"/>
      <c r="C934" s="104">
        <f t="shared" si="971"/>
        <v>-565</v>
      </c>
      <c r="D934" s="104">
        <f t="shared" si="971"/>
        <v>42</v>
      </c>
      <c r="E934" s="104">
        <f t="shared" si="971"/>
        <v>-189</v>
      </c>
      <c r="F934" s="104">
        <f t="shared" si="971"/>
        <v>-151</v>
      </c>
      <c r="G934" s="113">
        <f t="shared" si="971"/>
        <v>42</v>
      </c>
      <c r="H934" s="113">
        <f t="shared" si="972"/>
        <v>-43</v>
      </c>
      <c r="I934" s="113">
        <f t="shared" si="972"/>
        <v>-2</v>
      </c>
      <c r="J934" s="113">
        <f t="shared" si="972"/>
        <v>-27</v>
      </c>
      <c r="K934" s="104">
        <f t="shared" si="973"/>
        <v>-30</v>
      </c>
      <c r="L934" s="113">
        <f t="shared" si="973"/>
        <v>-20</v>
      </c>
      <c r="M934" s="113">
        <f t="shared" si="974"/>
        <v>-11</v>
      </c>
      <c r="N934" s="113">
        <f t="shared" si="974"/>
        <v>-42</v>
      </c>
      <c r="O934" s="113">
        <f t="shared" si="974"/>
        <v>-78</v>
      </c>
      <c r="P934" s="104">
        <f t="shared" si="975"/>
        <v>-151</v>
      </c>
      <c r="Q934" s="113">
        <f t="shared" si="975"/>
        <v>-44</v>
      </c>
      <c r="R934" s="113">
        <f t="shared" si="976"/>
        <v>-66</v>
      </c>
      <c r="S934" s="113">
        <f t="shared" si="976"/>
        <v>-164</v>
      </c>
      <c r="T934" s="113">
        <f t="shared" si="976"/>
        <v>308</v>
      </c>
      <c r="U934" s="104">
        <f t="shared" si="977"/>
        <v>34</v>
      </c>
      <c r="V934" s="113">
        <f t="shared" si="977"/>
        <v>91</v>
      </c>
      <c r="W934" s="113">
        <f t="shared" si="978"/>
        <v>-28</v>
      </c>
      <c r="X934" s="113">
        <f t="shared" si="978"/>
        <v>-150</v>
      </c>
      <c r="Y934" s="113">
        <f t="shared" si="978"/>
        <v>-50</v>
      </c>
      <c r="Z934" s="104">
        <f t="shared" si="979"/>
        <v>-137</v>
      </c>
      <c r="AA934" s="113">
        <f t="shared" si="979"/>
        <v>126</v>
      </c>
      <c r="AB934" s="113">
        <f t="shared" si="980"/>
        <v>-23</v>
      </c>
      <c r="AC934" s="113">
        <f t="shared" si="980"/>
        <v>27</v>
      </c>
      <c r="AD934" s="113">
        <f t="shared" si="980"/>
        <v>-182</v>
      </c>
      <c r="AE934" s="104">
        <f t="shared" si="981"/>
        <v>-52</v>
      </c>
      <c r="AF934" s="113">
        <f t="shared" si="981"/>
        <v>-29</v>
      </c>
      <c r="AG934" s="113">
        <f t="shared" si="982"/>
        <v>-219</v>
      </c>
      <c r="AH934" s="113">
        <f t="shared" si="982"/>
        <v>-224</v>
      </c>
      <c r="AI934" s="113">
        <f t="shared" si="982"/>
        <v>-455</v>
      </c>
      <c r="AJ934" s="104">
        <f t="shared" si="983"/>
        <v>-927</v>
      </c>
      <c r="AK934" s="113">
        <f t="shared" si="983"/>
        <v>25</v>
      </c>
      <c r="AL934" s="113">
        <f t="shared" si="984"/>
        <v>21</v>
      </c>
      <c r="AM934" s="113">
        <f t="shared" si="984"/>
        <v>404</v>
      </c>
      <c r="AN934" s="113">
        <f t="shared" si="984"/>
        <v>482</v>
      </c>
      <c r="AO934" s="104">
        <f t="shared" si="985"/>
        <v>932</v>
      </c>
      <c r="AP934" s="113">
        <f t="shared" si="985"/>
        <v>-33</v>
      </c>
      <c r="AQ934" s="113">
        <f t="shared" si="986"/>
        <v>-141</v>
      </c>
      <c r="AR934" s="113">
        <f t="shared" si="986"/>
        <v>182</v>
      </c>
      <c r="AS934" s="113">
        <f t="shared" si="987"/>
        <v>-165</v>
      </c>
      <c r="AT934" s="104">
        <f t="shared" si="988"/>
        <v>-157</v>
      </c>
      <c r="AU934" s="113">
        <f t="shared" si="989"/>
        <v>-136</v>
      </c>
      <c r="AV934" s="113">
        <f t="shared" si="990"/>
        <v>5</v>
      </c>
      <c r="AW934" s="699">
        <f t="shared" si="991"/>
        <v>18</v>
      </c>
      <c r="AX934" s="113"/>
      <c r="AY934" s="104">
        <f t="shared" si="992"/>
        <v>-113</v>
      </c>
      <c r="AZ934" s="113"/>
      <c r="BA934" s="113"/>
      <c r="BB934" s="113"/>
      <c r="BC934" s="113"/>
      <c r="BD934" s="104">
        <f t="shared" si="994"/>
        <v>0</v>
      </c>
      <c r="BE934" s="104"/>
      <c r="BF934" s="104"/>
      <c r="BG934" s="104"/>
      <c r="BH934" s="484"/>
    </row>
    <row r="935" spans="1:60" s="49" customFormat="1" x14ac:dyDescent="0.25">
      <c r="A935" s="226" t="str">
        <f t="shared" si="944"/>
        <v>Accounts payable and other accrued liabilities</v>
      </c>
      <c r="B935" s="209"/>
      <c r="C935" s="104">
        <f t="shared" si="971"/>
        <v>-250</v>
      </c>
      <c r="D935" s="104">
        <f t="shared" si="971"/>
        <v>649</v>
      </c>
      <c r="E935" s="104">
        <f t="shared" si="971"/>
        <v>-367</v>
      </c>
      <c r="F935" s="104">
        <f t="shared" si="971"/>
        <v>-608</v>
      </c>
      <c r="G935" s="113">
        <f t="shared" si="971"/>
        <v>-314</v>
      </c>
      <c r="H935" s="113">
        <f t="shared" si="972"/>
        <v>331</v>
      </c>
      <c r="I935" s="113">
        <f t="shared" si="972"/>
        <v>-345</v>
      </c>
      <c r="J935" s="113">
        <f t="shared" si="972"/>
        <v>695</v>
      </c>
      <c r="K935" s="104">
        <f t="shared" si="973"/>
        <v>367</v>
      </c>
      <c r="L935" s="113">
        <f t="shared" si="973"/>
        <v>-707</v>
      </c>
      <c r="M935" s="113">
        <f t="shared" si="974"/>
        <v>425</v>
      </c>
      <c r="N935" s="113">
        <f t="shared" si="974"/>
        <v>-6</v>
      </c>
      <c r="O935" s="113">
        <f t="shared" si="974"/>
        <v>824</v>
      </c>
      <c r="P935" s="104">
        <f t="shared" si="975"/>
        <v>536</v>
      </c>
      <c r="Q935" s="113">
        <f t="shared" si="975"/>
        <v>-1283</v>
      </c>
      <c r="R935" s="113">
        <f t="shared" si="976"/>
        <v>436</v>
      </c>
      <c r="S935" s="113">
        <f t="shared" si="976"/>
        <v>340</v>
      </c>
      <c r="T935" s="113">
        <f t="shared" si="976"/>
        <v>458</v>
      </c>
      <c r="U935" s="104">
        <f t="shared" si="977"/>
        <v>-49</v>
      </c>
      <c r="V935" s="113">
        <f t="shared" si="977"/>
        <v>-891</v>
      </c>
      <c r="W935" s="113">
        <f t="shared" si="978"/>
        <v>145</v>
      </c>
      <c r="X935" s="113">
        <f t="shared" si="978"/>
        <v>118</v>
      </c>
      <c r="Y935" s="113">
        <f t="shared" si="978"/>
        <v>668</v>
      </c>
      <c r="Z935" s="104">
        <f t="shared" si="979"/>
        <v>40</v>
      </c>
      <c r="AA935" s="113">
        <f t="shared" si="979"/>
        <v>-2763</v>
      </c>
      <c r="AB935" s="113">
        <f t="shared" si="980"/>
        <v>829</v>
      </c>
      <c r="AC935" s="113">
        <f t="shared" si="980"/>
        <v>1153</v>
      </c>
      <c r="AD935" s="113">
        <f t="shared" si="980"/>
        <v>413</v>
      </c>
      <c r="AE935" s="104">
        <f t="shared" si="981"/>
        <v>-368</v>
      </c>
      <c r="AF935" s="113">
        <f t="shared" si="981"/>
        <v>-1160</v>
      </c>
      <c r="AG935" s="113">
        <f t="shared" si="982"/>
        <v>1068</v>
      </c>
      <c r="AH935" s="113">
        <f t="shared" si="982"/>
        <v>-224</v>
      </c>
      <c r="AI935" s="113">
        <f t="shared" si="982"/>
        <v>551</v>
      </c>
      <c r="AJ935" s="104">
        <f t="shared" si="983"/>
        <v>235</v>
      </c>
      <c r="AK935" s="113">
        <f t="shared" si="983"/>
        <v>-1289</v>
      </c>
      <c r="AL935" s="113">
        <f t="shared" si="984"/>
        <v>1006</v>
      </c>
      <c r="AM935" s="113">
        <f t="shared" si="984"/>
        <v>502</v>
      </c>
      <c r="AN935" s="113">
        <f t="shared" si="984"/>
        <v>-28</v>
      </c>
      <c r="AO935" s="104">
        <f t="shared" si="985"/>
        <v>191</v>
      </c>
      <c r="AP935" s="113">
        <f t="shared" si="985"/>
        <v>-841</v>
      </c>
      <c r="AQ935" s="113">
        <f t="shared" si="986"/>
        <v>-47</v>
      </c>
      <c r="AR935" s="113">
        <f t="shared" si="986"/>
        <v>-1098</v>
      </c>
      <c r="AS935" s="113">
        <f t="shared" si="987"/>
        <v>-307</v>
      </c>
      <c r="AT935" s="104">
        <f t="shared" si="988"/>
        <v>-2293</v>
      </c>
      <c r="AU935" s="113">
        <f t="shared" si="989"/>
        <v>-642</v>
      </c>
      <c r="AV935" s="113">
        <f t="shared" si="990"/>
        <v>-138</v>
      </c>
      <c r="AW935" s="699">
        <f t="shared" si="991"/>
        <v>1121</v>
      </c>
      <c r="AX935" s="113">
        <f>AX1032-AW1032</f>
        <v>11981.640899718797</v>
      </c>
      <c r="AY935" s="104">
        <f t="shared" si="992"/>
        <v>12322.640899718797</v>
      </c>
      <c r="AZ935" s="113">
        <f>AZ1032-AY1032</f>
        <v>-9942.5197516466178</v>
      </c>
      <c r="BA935" s="113">
        <f>BA1032-AZ1032</f>
        <v>2521.0953610200522</v>
      </c>
      <c r="BB935" s="113">
        <f>BB1032-BA1032</f>
        <v>1351.6845474164511</v>
      </c>
      <c r="BC935" s="113">
        <f>BC1032-BB1032</f>
        <v>-1435.0602091092769</v>
      </c>
      <c r="BD935" s="104">
        <f t="shared" si="994"/>
        <v>-7504.8000523193914</v>
      </c>
      <c r="BE935" s="104">
        <f>BE1032-BD1032</f>
        <v>2287.3489593586928</v>
      </c>
      <c r="BF935" s="104">
        <f>BF1032-BE1032</f>
        <v>1806.9469534521486</v>
      </c>
      <c r="BG935" s="104">
        <f>BG1032-BF1032</f>
        <v>2366.51213689012</v>
      </c>
      <c r="BH935" s="484"/>
    </row>
    <row r="936" spans="1:60" s="49" customFormat="1" x14ac:dyDescent="0.25">
      <c r="A936" s="483" t="str">
        <f t="shared" si="944"/>
        <v>Income taxes</v>
      </c>
      <c r="B936" s="209"/>
      <c r="C936" s="39">
        <f t="shared" si="971"/>
        <v>8</v>
      </c>
      <c r="D936" s="39">
        <f t="shared" si="971"/>
        <v>-144</v>
      </c>
      <c r="E936" s="39">
        <f t="shared" si="971"/>
        <v>134</v>
      </c>
      <c r="F936" s="39">
        <f t="shared" si="971"/>
        <v>-242</v>
      </c>
      <c r="G936" s="484">
        <f t="shared" si="971"/>
        <v>677</v>
      </c>
      <c r="H936" s="484">
        <f t="shared" si="972"/>
        <v>-909</v>
      </c>
      <c r="I936" s="484">
        <f t="shared" si="972"/>
        <v>365</v>
      </c>
      <c r="J936" s="484">
        <f t="shared" si="972"/>
        <v>-44</v>
      </c>
      <c r="K936" s="39">
        <f t="shared" si="973"/>
        <v>89</v>
      </c>
      <c r="L936" s="484">
        <f t="shared" si="973"/>
        <v>976</v>
      </c>
      <c r="M936" s="484">
        <f t="shared" si="974"/>
        <v>-1007</v>
      </c>
      <c r="N936" s="484">
        <f t="shared" si="974"/>
        <v>245</v>
      </c>
      <c r="O936" s="484">
        <f t="shared" si="974"/>
        <v>-310</v>
      </c>
      <c r="P936" s="39">
        <f t="shared" si="975"/>
        <v>-96</v>
      </c>
      <c r="Q936" s="484">
        <f t="shared" si="975"/>
        <v>617</v>
      </c>
      <c r="R936" s="484">
        <f t="shared" si="976"/>
        <v>-888</v>
      </c>
      <c r="S936" s="484">
        <f t="shared" si="976"/>
        <v>385</v>
      </c>
      <c r="T936" s="484">
        <f t="shared" si="976"/>
        <v>240</v>
      </c>
      <c r="U936" s="39">
        <f t="shared" si="977"/>
        <v>354</v>
      </c>
      <c r="V936" s="484">
        <f t="shared" si="977"/>
        <v>658</v>
      </c>
      <c r="W936" s="484">
        <f t="shared" si="978"/>
        <v>-1180</v>
      </c>
      <c r="X936" s="484">
        <f t="shared" si="978"/>
        <v>334</v>
      </c>
      <c r="Y936" s="484">
        <f t="shared" si="978"/>
        <v>-410</v>
      </c>
      <c r="Z936" s="39">
        <f t="shared" si="979"/>
        <v>-598</v>
      </c>
      <c r="AA936" s="484">
        <f t="shared" si="979"/>
        <v>1047</v>
      </c>
      <c r="AB936" s="191">
        <f t="shared" si="980"/>
        <v>-1056</v>
      </c>
      <c r="AC936" s="484">
        <f t="shared" si="980"/>
        <v>152</v>
      </c>
      <c r="AD936" s="484">
        <f t="shared" si="980"/>
        <v>65</v>
      </c>
      <c r="AE936" s="39">
        <f t="shared" si="981"/>
        <v>208</v>
      </c>
      <c r="AF936" s="484">
        <f t="shared" si="981"/>
        <v>856</v>
      </c>
      <c r="AG936" s="191">
        <f t="shared" si="982"/>
        <v>-450</v>
      </c>
      <c r="AH936" s="484">
        <f t="shared" si="982"/>
        <v>28</v>
      </c>
      <c r="AI936" s="484">
        <f t="shared" si="982"/>
        <v>158</v>
      </c>
      <c r="AJ936" s="39">
        <f t="shared" si="983"/>
        <v>592</v>
      </c>
      <c r="AK936" s="484">
        <f t="shared" si="983"/>
        <v>130</v>
      </c>
      <c r="AL936" s="191">
        <f t="shared" si="984"/>
        <v>-604</v>
      </c>
      <c r="AM936" s="484">
        <f t="shared" si="984"/>
        <v>-5774</v>
      </c>
      <c r="AN936" s="484">
        <f t="shared" si="984"/>
        <v>-351</v>
      </c>
      <c r="AO936" s="39">
        <f t="shared" si="985"/>
        <v>-6599</v>
      </c>
      <c r="AP936" s="484">
        <f t="shared" si="985"/>
        <v>-256</v>
      </c>
      <c r="AQ936" s="191">
        <f t="shared" si="986"/>
        <v>144</v>
      </c>
      <c r="AR936" s="484">
        <f t="shared" si="986"/>
        <v>207</v>
      </c>
      <c r="AS936" s="484">
        <f t="shared" si="987"/>
        <v>-247</v>
      </c>
      <c r="AT936" s="39">
        <f t="shared" si="988"/>
        <v>-152</v>
      </c>
      <c r="AU936" s="484">
        <f t="shared" si="989"/>
        <v>-60</v>
      </c>
      <c r="AV936" s="191">
        <f t="shared" si="990"/>
        <v>460</v>
      </c>
      <c r="AW936" s="289">
        <f t="shared" si="991"/>
        <v>-660</v>
      </c>
      <c r="AX936" s="113"/>
      <c r="AY936" s="104">
        <f t="shared" si="992"/>
        <v>-260</v>
      </c>
      <c r="AZ936" s="113"/>
      <c r="BA936" s="113"/>
      <c r="BB936" s="113"/>
      <c r="BC936" s="113"/>
      <c r="BD936" s="104">
        <f t="shared" si="994"/>
        <v>0</v>
      </c>
      <c r="BE936" s="104"/>
      <c r="BF936" s="104"/>
      <c r="BG936" s="104"/>
      <c r="BH936" s="484"/>
    </row>
    <row r="937" spans="1:60" s="470" customFormat="1" x14ac:dyDescent="0.25">
      <c r="A937" s="483" t="str">
        <f t="shared" si="944"/>
        <v>Cash provided by discontinued operations</v>
      </c>
      <c r="B937" s="209"/>
      <c r="C937" s="39">
        <f t="shared" si="971"/>
        <v>0</v>
      </c>
      <c r="D937" s="39">
        <f t="shared" si="971"/>
        <v>0</v>
      </c>
      <c r="E937" s="39">
        <f t="shared" si="971"/>
        <v>0</v>
      </c>
      <c r="F937" s="39">
        <f t="shared" si="971"/>
        <v>0</v>
      </c>
      <c r="G937" s="484">
        <f t="shared" si="971"/>
        <v>0</v>
      </c>
      <c r="H937" s="484">
        <f t="shared" si="972"/>
        <v>0</v>
      </c>
      <c r="I937" s="484">
        <f t="shared" si="972"/>
        <v>0</v>
      </c>
      <c r="J937" s="484">
        <f t="shared" si="972"/>
        <v>0</v>
      </c>
      <c r="K937" s="39">
        <f t="shared" si="973"/>
        <v>0</v>
      </c>
      <c r="L937" s="484">
        <f t="shared" si="973"/>
        <v>0</v>
      </c>
      <c r="M937" s="484">
        <f t="shared" si="974"/>
        <v>0</v>
      </c>
      <c r="N937" s="484">
        <f t="shared" si="974"/>
        <v>0</v>
      </c>
      <c r="O937" s="484">
        <f t="shared" si="974"/>
        <v>0</v>
      </c>
      <c r="P937" s="39">
        <f t="shared" si="975"/>
        <v>0</v>
      </c>
      <c r="Q937" s="484">
        <f t="shared" si="975"/>
        <v>0</v>
      </c>
      <c r="R937" s="484">
        <f t="shared" si="976"/>
        <v>0</v>
      </c>
      <c r="S937" s="484">
        <f t="shared" si="976"/>
        <v>0</v>
      </c>
      <c r="T937" s="484">
        <f t="shared" si="976"/>
        <v>0</v>
      </c>
      <c r="U937" s="39">
        <f t="shared" si="977"/>
        <v>0</v>
      </c>
      <c r="V937" s="484">
        <f t="shared" si="977"/>
        <v>0</v>
      </c>
      <c r="W937" s="484">
        <f t="shared" si="978"/>
        <v>0</v>
      </c>
      <c r="X937" s="484">
        <f t="shared" si="978"/>
        <v>0</v>
      </c>
      <c r="Y937" s="484">
        <f t="shared" si="978"/>
        <v>0</v>
      </c>
      <c r="Z937" s="39">
        <f t="shared" si="979"/>
        <v>0</v>
      </c>
      <c r="AA937" s="484">
        <f t="shared" si="979"/>
        <v>0</v>
      </c>
      <c r="AB937" s="191">
        <f t="shared" si="980"/>
        <v>0</v>
      </c>
      <c r="AC937" s="484">
        <f t="shared" si="980"/>
        <v>0</v>
      </c>
      <c r="AD937" s="484">
        <f t="shared" si="980"/>
        <v>0</v>
      </c>
      <c r="AE937" s="39">
        <f t="shared" si="981"/>
        <v>0</v>
      </c>
      <c r="AF937" s="484">
        <f t="shared" si="981"/>
        <v>0</v>
      </c>
      <c r="AG937" s="191">
        <f t="shared" si="982"/>
        <v>0</v>
      </c>
      <c r="AH937" s="484">
        <f t="shared" si="982"/>
        <v>0</v>
      </c>
      <c r="AI937" s="484">
        <f t="shared" si="982"/>
        <v>0</v>
      </c>
      <c r="AJ937" s="39">
        <f t="shared" si="983"/>
        <v>0</v>
      </c>
      <c r="AK937" s="484">
        <f t="shared" si="983"/>
        <v>0</v>
      </c>
      <c r="AL937" s="191">
        <f t="shared" si="984"/>
        <v>0</v>
      </c>
      <c r="AM937" s="484">
        <f t="shared" si="984"/>
        <v>0</v>
      </c>
      <c r="AN937" s="484">
        <f t="shared" si="984"/>
        <v>622</v>
      </c>
      <c r="AO937" s="39">
        <f t="shared" si="985"/>
        <v>622</v>
      </c>
      <c r="AP937" s="484">
        <f t="shared" si="985"/>
        <v>-19</v>
      </c>
      <c r="AQ937" s="191">
        <f t="shared" si="986"/>
        <v>19</v>
      </c>
      <c r="AR937" s="484">
        <f t="shared" si="986"/>
        <v>2</v>
      </c>
      <c r="AS937" s="484">
        <f t="shared" si="987"/>
        <v>0</v>
      </c>
      <c r="AT937" s="39">
        <f t="shared" si="988"/>
        <v>2</v>
      </c>
      <c r="AU937" s="484">
        <f t="shared" si="989"/>
        <v>0</v>
      </c>
      <c r="AV937" s="191">
        <f t="shared" si="990"/>
        <v>0</v>
      </c>
      <c r="AW937" s="289">
        <f t="shared" si="991"/>
        <v>0</v>
      </c>
      <c r="AX937" s="113"/>
      <c r="AY937" s="104">
        <f t="shared" si="992"/>
        <v>0</v>
      </c>
      <c r="AZ937" s="113"/>
      <c r="BA937" s="113"/>
      <c r="BB937" s="113"/>
      <c r="BC937" s="113"/>
      <c r="BD937" s="104">
        <f t="shared" si="994"/>
        <v>0</v>
      </c>
      <c r="BE937" s="104"/>
      <c r="BF937" s="104"/>
      <c r="BG937" s="104"/>
      <c r="BH937" s="484"/>
    </row>
    <row r="938" spans="1:60" s="52" customFormat="1" x14ac:dyDescent="0.25">
      <c r="A938" s="500" t="str">
        <f t="shared" si="944"/>
        <v>Net CFO</v>
      </c>
      <c r="B938" s="775"/>
      <c r="C938" s="53">
        <f t="shared" ref="C938:AH938" si="996">SUM(C931:C937)</f>
        <v>5319</v>
      </c>
      <c r="D938" s="53">
        <f t="shared" si="996"/>
        <v>6578</v>
      </c>
      <c r="E938" s="53">
        <f t="shared" si="996"/>
        <v>6994</v>
      </c>
      <c r="F938" s="53">
        <f t="shared" si="996"/>
        <v>7966</v>
      </c>
      <c r="G938" s="61">
        <f t="shared" si="996"/>
        <v>1144</v>
      </c>
      <c r="H938" s="61">
        <f t="shared" si="996"/>
        <v>2160</v>
      </c>
      <c r="I938" s="61">
        <f t="shared" si="996"/>
        <v>3413</v>
      </c>
      <c r="J938" s="61">
        <f t="shared" si="996"/>
        <v>2735</v>
      </c>
      <c r="K938" s="53">
        <f t="shared" si="996"/>
        <v>9452</v>
      </c>
      <c r="L938" s="61">
        <f t="shared" si="996"/>
        <v>1212</v>
      </c>
      <c r="M938" s="61">
        <f t="shared" si="996"/>
        <v>2527</v>
      </c>
      <c r="N938" s="61">
        <f t="shared" si="996"/>
        <v>2936</v>
      </c>
      <c r="O938" s="61">
        <f t="shared" si="996"/>
        <v>3105</v>
      </c>
      <c r="P938" s="53">
        <f t="shared" si="996"/>
        <v>9780</v>
      </c>
      <c r="Q938" s="61">
        <f t="shared" si="996"/>
        <v>1855</v>
      </c>
      <c r="R938" s="61">
        <f t="shared" si="996"/>
        <v>2918</v>
      </c>
      <c r="S938" s="61">
        <f t="shared" si="996"/>
        <v>2808</v>
      </c>
      <c r="T938" s="61">
        <f t="shared" si="996"/>
        <v>3328</v>
      </c>
      <c r="U938" s="53">
        <f t="shared" si="996"/>
        <v>10909</v>
      </c>
      <c r="V938" s="61">
        <f t="shared" si="996"/>
        <v>2362</v>
      </c>
      <c r="W938" s="61">
        <f t="shared" si="996"/>
        <v>3400</v>
      </c>
      <c r="X938" s="61">
        <f t="shared" si="996"/>
        <v>3624</v>
      </c>
      <c r="Y938" s="61">
        <f t="shared" si="996"/>
        <v>3827</v>
      </c>
      <c r="Z938" s="53">
        <f t="shared" si="996"/>
        <v>13213</v>
      </c>
      <c r="AA938" s="61">
        <f t="shared" si="996"/>
        <v>1260</v>
      </c>
      <c r="AB938" s="192">
        <f t="shared" si="996"/>
        <v>3438</v>
      </c>
      <c r="AC938" s="61">
        <f t="shared" si="996"/>
        <v>4133</v>
      </c>
      <c r="AD938" s="61">
        <f t="shared" si="996"/>
        <v>3512</v>
      </c>
      <c r="AE938" s="53">
        <f t="shared" si="996"/>
        <v>12343</v>
      </c>
      <c r="AF938" s="61">
        <f t="shared" si="996"/>
        <v>2237</v>
      </c>
      <c r="AG938" s="192">
        <f t="shared" si="996"/>
        <v>4526</v>
      </c>
      <c r="AH938" s="61">
        <f t="shared" si="996"/>
        <v>3679</v>
      </c>
      <c r="AI938" s="61">
        <f t="shared" ref="AI938:AY938" si="997">SUM(AI931:AI937)</f>
        <v>3853</v>
      </c>
      <c r="AJ938" s="53">
        <f t="shared" si="997"/>
        <v>14295</v>
      </c>
      <c r="AK938" s="61">
        <f t="shared" si="997"/>
        <v>2099</v>
      </c>
      <c r="AL938" s="192">
        <f t="shared" si="997"/>
        <v>3915</v>
      </c>
      <c r="AM938" s="61">
        <f t="shared" si="997"/>
        <v>-1748</v>
      </c>
      <c r="AN938" s="61">
        <f t="shared" si="997"/>
        <v>2340</v>
      </c>
      <c r="AO938" s="53">
        <f t="shared" si="997"/>
        <v>6606</v>
      </c>
      <c r="AP938" s="61">
        <f t="shared" si="997"/>
        <v>1611</v>
      </c>
      <c r="AQ938" s="192">
        <f t="shared" si="997"/>
        <v>3176</v>
      </c>
      <c r="AR938" s="61">
        <f t="shared" si="997"/>
        <v>1164</v>
      </c>
      <c r="AS938" s="61">
        <f>SUM(AS931:AS937)</f>
        <v>1667</v>
      </c>
      <c r="AT938" s="53">
        <f>SUM(AT931:AT937)</f>
        <v>7618</v>
      </c>
      <c r="AU938" s="61">
        <f>SUM(AU931:AU937)</f>
        <v>75</v>
      </c>
      <c r="AV938" s="192">
        <f>SUM(AV931:AV937)</f>
        <v>1393</v>
      </c>
      <c r="AW938" s="872">
        <f>SUM(AW931:AW937)</f>
        <v>1466</v>
      </c>
      <c r="AX938" s="105">
        <f t="shared" si="997"/>
        <v>3333.292124980293</v>
      </c>
      <c r="AY938" s="106">
        <f t="shared" si="997"/>
        <v>6267.2921249802939</v>
      </c>
      <c r="AZ938" s="105">
        <f t="shared" ref="AZ938:BG938" ca="1" si="998">SUM(AZ931:AZ937)</f>
        <v>869.60563697592988</v>
      </c>
      <c r="BA938" s="105">
        <f t="shared" ca="1" si="998"/>
        <v>5443.7373113120912</v>
      </c>
      <c r="BB938" s="105">
        <f t="shared" ca="1" si="998"/>
        <v>4010.6839256673238</v>
      </c>
      <c r="BC938" s="105">
        <f t="shared" ca="1" si="998"/>
        <v>2291.4616795669654</v>
      </c>
      <c r="BD938" s="106">
        <f t="shared" ca="1" si="998"/>
        <v>12615.488553522315</v>
      </c>
      <c r="BE938" s="106">
        <f t="shared" ca="1" si="998"/>
        <v>17137.216562757501</v>
      </c>
      <c r="BF938" s="106">
        <f t="shared" ca="1" si="998"/>
        <v>18134.834184874846</v>
      </c>
      <c r="BG938" s="106">
        <f t="shared" ca="1" si="998"/>
        <v>19144.840397482225</v>
      </c>
      <c r="BH938" s="499"/>
    </row>
    <row r="939" spans="1:60" s="52" customFormat="1" x14ac:dyDescent="0.25">
      <c r="A939" s="635"/>
      <c r="B939" s="602"/>
      <c r="C939" s="111"/>
      <c r="D939" s="111"/>
      <c r="E939" s="111"/>
      <c r="F939" s="111"/>
      <c r="G939" s="114"/>
      <c r="H939" s="114"/>
      <c r="I939" s="114"/>
      <c r="J939" s="114"/>
      <c r="K939" s="111"/>
      <c r="L939" s="114"/>
      <c r="M939" s="114"/>
      <c r="N939" s="114"/>
      <c r="O939" s="114"/>
      <c r="P939" s="111"/>
      <c r="Q939" s="114"/>
      <c r="R939" s="114"/>
      <c r="S939" s="114"/>
      <c r="T939" s="114"/>
      <c r="U939" s="111"/>
      <c r="V939" s="114"/>
      <c r="W939" s="114"/>
      <c r="X939" s="114"/>
      <c r="Y939" s="114"/>
      <c r="Z939" s="111"/>
      <c r="AA939" s="114"/>
      <c r="AB939" s="114"/>
      <c r="AC939" s="114"/>
      <c r="AD939" s="114"/>
      <c r="AE939" s="111"/>
      <c r="AF939" s="114"/>
      <c r="AG939" s="114"/>
      <c r="AH939" s="114"/>
      <c r="AI939" s="114"/>
      <c r="AJ939" s="111"/>
      <c r="AK939" s="114"/>
      <c r="AL939" s="114"/>
      <c r="AM939" s="114"/>
      <c r="AN939" s="114"/>
      <c r="AO939" s="111"/>
      <c r="AP939" s="114"/>
      <c r="AQ939" s="114"/>
      <c r="AR939" s="114"/>
      <c r="AS939" s="114"/>
      <c r="AT939" s="111"/>
      <c r="AU939" s="114"/>
      <c r="AV939" s="114"/>
      <c r="AW939" s="765"/>
      <c r="AX939" s="114"/>
      <c r="AY939" s="111"/>
      <c r="AZ939" s="114"/>
      <c r="BA939" s="114"/>
      <c r="BB939" s="114"/>
      <c r="BC939" s="114"/>
      <c r="BD939" s="111"/>
      <c r="BE939" s="111"/>
      <c r="BF939" s="111"/>
      <c r="BG939" s="111"/>
      <c r="BH939" s="499"/>
    </row>
    <row r="940" spans="1:60" s="52" customFormat="1" x14ac:dyDescent="0.25">
      <c r="A940" s="501" t="str">
        <f t="shared" ref="A940:A946" si="999">A889</f>
        <v>CFI</v>
      </c>
      <c r="B940" s="602"/>
      <c r="C940" s="111"/>
      <c r="D940" s="111"/>
      <c r="E940" s="111"/>
      <c r="F940" s="111"/>
      <c r="G940" s="114"/>
      <c r="H940" s="114"/>
      <c r="I940" s="114"/>
      <c r="J940" s="114"/>
      <c r="K940" s="111"/>
      <c r="L940" s="114"/>
      <c r="M940" s="114"/>
      <c r="N940" s="114"/>
      <c r="O940" s="114"/>
      <c r="P940" s="111"/>
      <c r="Q940" s="114"/>
      <c r="R940" s="114"/>
      <c r="S940" s="114"/>
      <c r="T940" s="114"/>
      <c r="U940" s="111"/>
      <c r="V940" s="114"/>
      <c r="W940" s="114"/>
      <c r="X940" s="114"/>
      <c r="Y940" s="114"/>
      <c r="Z940" s="111"/>
      <c r="AA940" s="114"/>
      <c r="AB940" s="114"/>
      <c r="AC940" s="114"/>
      <c r="AD940" s="114"/>
      <c r="AE940" s="111"/>
      <c r="AF940" s="114"/>
      <c r="AG940" s="114"/>
      <c r="AH940" s="114"/>
      <c r="AI940" s="114"/>
      <c r="AJ940" s="111"/>
      <c r="AK940" s="114"/>
      <c r="AL940" s="114"/>
      <c r="AM940" s="114"/>
      <c r="AN940" s="114"/>
      <c r="AO940" s="111"/>
      <c r="AP940" s="114"/>
      <c r="AQ940" s="114"/>
      <c r="AR940" s="114"/>
      <c r="AS940" s="114"/>
      <c r="AT940" s="111"/>
      <c r="AU940" s="114"/>
      <c r="AV940" s="114"/>
      <c r="AW940" s="765"/>
      <c r="AX940" s="114"/>
      <c r="AY940" s="111"/>
      <c r="AZ940" s="114"/>
      <c r="BA940" s="114"/>
      <c r="BB940" s="114"/>
      <c r="BC940" s="114"/>
      <c r="BD940" s="111"/>
      <c r="BE940" s="111"/>
      <c r="BF940" s="111"/>
      <c r="BG940" s="111"/>
      <c r="BH940" s="499"/>
    </row>
    <row r="941" spans="1:60" s="49" customFormat="1" x14ac:dyDescent="0.25">
      <c r="A941" s="483" t="str">
        <f t="shared" si="999"/>
        <v>Investments in parks, resorts and other property</v>
      </c>
      <c r="B941" s="113"/>
      <c r="C941" s="39">
        <f t="shared" ref="C941:G945" si="1000">C890</f>
        <v>-1753</v>
      </c>
      <c r="D941" s="39">
        <f t="shared" si="1000"/>
        <v>-2110</v>
      </c>
      <c r="E941" s="39">
        <f t="shared" si="1000"/>
        <v>-3559</v>
      </c>
      <c r="F941" s="39">
        <f t="shared" si="1000"/>
        <v>-3784</v>
      </c>
      <c r="G941" s="484">
        <f t="shared" si="1000"/>
        <v>-545</v>
      </c>
      <c r="H941" s="484">
        <f t="shared" ref="H941:J945" si="1001">H890-G890</f>
        <v>-574</v>
      </c>
      <c r="I941" s="484">
        <f t="shared" si="1001"/>
        <v>-690</v>
      </c>
      <c r="J941" s="484">
        <f t="shared" si="1001"/>
        <v>-987</v>
      </c>
      <c r="K941" s="39">
        <f t="shared" ref="K941:L945" si="1002">K890</f>
        <v>-2796</v>
      </c>
      <c r="L941" s="484">
        <f t="shared" si="1002"/>
        <v>-658</v>
      </c>
      <c r="M941" s="484">
        <f t="shared" ref="M941:O945" si="1003">M890-L890</f>
        <v>-701</v>
      </c>
      <c r="N941" s="484">
        <f t="shared" si="1003"/>
        <v>-889</v>
      </c>
      <c r="O941" s="484">
        <f t="shared" si="1003"/>
        <v>-1063</v>
      </c>
      <c r="P941" s="39">
        <f t="shared" ref="P941:Q945" si="1004">P890</f>
        <v>-3311</v>
      </c>
      <c r="Q941" s="484">
        <f t="shared" si="1004"/>
        <v>-998</v>
      </c>
      <c r="R941" s="484">
        <f t="shared" ref="R941:T945" si="1005">R890-Q890</f>
        <v>-907</v>
      </c>
      <c r="S941" s="484">
        <f t="shared" si="1005"/>
        <v>-1156</v>
      </c>
      <c r="T941" s="484">
        <f t="shared" si="1005"/>
        <v>-1204</v>
      </c>
      <c r="U941" s="39">
        <f t="shared" ref="U941:V945" si="1006">U890</f>
        <v>-4265</v>
      </c>
      <c r="V941" s="484">
        <f t="shared" si="1006"/>
        <v>-1406</v>
      </c>
      <c r="W941" s="484">
        <f t="shared" ref="W941:Y945" si="1007">W890-V890</f>
        <v>-1150</v>
      </c>
      <c r="X941" s="484">
        <f t="shared" si="1007"/>
        <v>-1135</v>
      </c>
      <c r="Y941" s="484">
        <f t="shared" si="1007"/>
        <v>-1082</v>
      </c>
      <c r="Z941" s="39">
        <f t="shared" ref="Z941:AA945" si="1008">Z890</f>
        <v>-4773</v>
      </c>
      <c r="AA941" s="484">
        <f t="shared" si="1008"/>
        <v>-1040</v>
      </c>
      <c r="AB941" s="191">
        <f t="shared" ref="AB941:AD945" si="1009">AB890-AA890</f>
        <v>-883</v>
      </c>
      <c r="AC941" s="484">
        <f t="shared" si="1009"/>
        <v>-805</v>
      </c>
      <c r="AD941" s="484">
        <f t="shared" si="1009"/>
        <v>-895</v>
      </c>
      <c r="AE941" s="39">
        <f t="shared" ref="AE941:AF945" si="1010">AE890</f>
        <v>-3623</v>
      </c>
      <c r="AF941" s="484">
        <f t="shared" si="1010"/>
        <v>-981</v>
      </c>
      <c r="AG941" s="191">
        <f t="shared" ref="AG941:AI945" si="1011">AG890-AF890</f>
        <v>-1063</v>
      </c>
      <c r="AH941" s="484">
        <f t="shared" si="1011"/>
        <v>-1220</v>
      </c>
      <c r="AI941" s="484">
        <f t="shared" si="1011"/>
        <v>-1201</v>
      </c>
      <c r="AJ941" s="39">
        <f t="shared" ref="AJ941:AK945" si="1012">AJ890</f>
        <v>-4465</v>
      </c>
      <c r="AK941" s="484">
        <f t="shared" si="1012"/>
        <v>-1195</v>
      </c>
      <c r="AL941" s="191">
        <f t="shared" ref="AL941:AN945" si="1013">AL890-AK890</f>
        <v>-1195</v>
      </c>
      <c r="AM941" s="484">
        <f t="shared" si="1013"/>
        <v>-1177</v>
      </c>
      <c r="AN941" s="484">
        <f t="shared" si="1013"/>
        <v>-1309</v>
      </c>
      <c r="AO941" s="39">
        <f t="shared" ref="AO941:AP945" si="1014">AO890</f>
        <v>-4876</v>
      </c>
      <c r="AP941" s="484">
        <f t="shared" si="1014"/>
        <v>-1338</v>
      </c>
      <c r="AQ941" s="191">
        <f t="shared" ref="AQ941:AR945" si="1015">AQ890-AP890</f>
        <v>-1247</v>
      </c>
      <c r="AR941" s="484">
        <f t="shared" si="1015"/>
        <v>-708</v>
      </c>
      <c r="AS941" s="484">
        <f>AS890-AR890</f>
        <v>-729</v>
      </c>
      <c r="AT941" s="39">
        <f t="shared" ref="AT941:AU945" si="1016">AT890</f>
        <v>-4022</v>
      </c>
      <c r="AU941" s="484">
        <f t="shared" si="1016"/>
        <v>-760</v>
      </c>
      <c r="AV941" s="191">
        <f t="shared" ref="AV941:AW945" si="1017">AV890-AU890</f>
        <v>-770</v>
      </c>
      <c r="AW941" s="289">
        <f t="shared" si="1017"/>
        <v>-938</v>
      </c>
      <c r="AX941" s="113">
        <f>AX809</f>
        <v>-765</v>
      </c>
      <c r="AY941" s="104">
        <f>SUM(AU941,AV941,AW941,AX941)</f>
        <v>-3233</v>
      </c>
      <c r="AZ941" s="113">
        <f>AZ809</f>
        <v>-1165</v>
      </c>
      <c r="BA941" s="113">
        <f>BA809</f>
        <v>-1165</v>
      </c>
      <c r="BB941" s="113">
        <f>BB809</f>
        <v>-1165</v>
      </c>
      <c r="BC941" s="113">
        <f>BC809</f>
        <v>-1165</v>
      </c>
      <c r="BD941" s="104">
        <f>SUM(AZ941,BA941,BB941,BC941)</f>
        <v>-4660</v>
      </c>
      <c r="BE941" s="104">
        <f>BE809</f>
        <v>-4660</v>
      </c>
      <c r="BF941" s="104">
        <f>BF809</f>
        <v>-4660</v>
      </c>
      <c r="BG941" s="104">
        <f>BG809</f>
        <v>-4660</v>
      </c>
      <c r="BH941" s="484"/>
    </row>
    <row r="942" spans="1:60" s="49" customFormat="1" x14ac:dyDescent="0.25">
      <c r="A942" s="483" t="str">
        <f t="shared" si="999"/>
        <v>Sales of investments/ proceeds from dispositions</v>
      </c>
      <c r="B942" s="113"/>
      <c r="C942" s="39">
        <f t="shared" si="1000"/>
        <v>185</v>
      </c>
      <c r="D942" s="39">
        <f t="shared" si="1000"/>
        <v>170</v>
      </c>
      <c r="E942" s="39">
        <f t="shared" si="1000"/>
        <v>564</v>
      </c>
      <c r="F942" s="39">
        <f t="shared" si="1000"/>
        <v>110</v>
      </c>
      <c r="G942" s="484">
        <f t="shared" si="1000"/>
        <v>340</v>
      </c>
      <c r="H942" s="484">
        <f t="shared" si="1001"/>
        <v>10</v>
      </c>
      <c r="I942" s="484">
        <f t="shared" si="1001"/>
        <v>17</v>
      </c>
      <c r="J942" s="484">
        <f t="shared" si="1001"/>
        <v>112</v>
      </c>
      <c r="K942" s="39">
        <f t="shared" si="1002"/>
        <v>479</v>
      </c>
      <c r="L942" s="484">
        <f t="shared" si="1002"/>
        <v>136</v>
      </c>
      <c r="M942" s="484">
        <f t="shared" si="1003"/>
        <v>230</v>
      </c>
      <c r="N942" s="484">
        <f t="shared" si="1003"/>
        <v>16</v>
      </c>
      <c r="O942" s="484">
        <f t="shared" si="1003"/>
        <v>13</v>
      </c>
      <c r="P942" s="39">
        <f t="shared" si="1004"/>
        <v>395</v>
      </c>
      <c r="Q942" s="484">
        <f t="shared" si="1004"/>
        <v>0</v>
      </c>
      <c r="R942" s="484">
        <f t="shared" si="1005"/>
        <v>81</v>
      </c>
      <c r="S942" s="484">
        <f t="shared" si="1005"/>
        <v>62</v>
      </c>
      <c r="T942" s="484">
        <f t="shared" si="1005"/>
        <v>23</v>
      </c>
      <c r="U942" s="39">
        <f t="shared" si="1006"/>
        <v>166</v>
      </c>
      <c r="V942" s="484">
        <f t="shared" si="1006"/>
        <v>40</v>
      </c>
      <c r="W942" s="484">
        <f t="shared" si="1007"/>
        <v>2</v>
      </c>
      <c r="X942" s="484">
        <f t="shared" si="1007"/>
        <v>2</v>
      </c>
      <c r="Y942" s="484">
        <f t="shared" si="1007"/>
        <v>1</v>
      </c>
      <c r="Z942" s="39">
        <f t="shared" si="1008"/>
        <v>45</v>
      </c>
      <c r="AA942" s="484">
        <f t="shared" si="1008"/>
        <v>0</v>
      </c>
      <c r="AB942" s="191">
        <f t="shared" si="1009"/>
        <v>0</v>
      </c>
      <c r="AC942" s="484">
        <f t="shared" si="1009"/>
        <v>0</v>
      </c>
      <c r="AD942" s="484">
        <f t="shared" si="1009"/>
        <v>0</v>
      </c>
      <c r="AE942" s="39">
        <f t="shared" si="1010"/>
        <v>0</v>
      </c>
      <c r="AF942" s="484">
        <f t="shared" si="1010"/>
        <v>0</v>
      </c>
      <c r="AG942" s="191">
        <f t="shared" si="1011"/>
        <v>0</v>
      </c>
      <c r="AH942" s="484">
        <f t="shared" si="1011"/>
        <v>0</v>
      </c>
      <c r="AI942" s="484">
        <f t="shared" si="1011"/>
        <v>0</v>
      </c>
      <c r="AJ942" s="39">
        <f t="shared" si="1012"/>
        <v>0</v>
      </c>
      <c r="AK942" s="484">
        <f t="shared" si="1012"/>
        <v>0</v>
      </c>
      <c r="AL942" s="191">
        <f t="shared" si="1013"/>
        <v>0</v>
      </c>
      <c r="AM942" s="484">
        <f t="shared" si="1013"/>
        <v>0</v>
      </c>
      <c r="AN942" s="484">
        <f t="shared" si="1013"/>
        <v>0</v>
      </c>
      <c r="AO942" s="39">
        <f t="shared" si="1014"/>
        <v>0</v>
      </c>
      <c r="AP942" s="484">
        <f t="shared" si="1014"/>
        <v>0</v>
      </c>
      <c r="AQ942" s="191">
        <f t="shared" si="1015"/>
        <v>0</v>
      </c>
      <c r="AR942" s="484">
        <f t="shared" si="1015"/>
        <v>0</v>
      </c>
      <c r="AS942" s="484">
        <f>AS891-AR891</f>
        <v>0</v>
      </c>
      <c r="AT942" s="39">
        <f t="shared" si="1016"/>
        <v>0</v>
      </c>
      <c r="AU942" s="484">
        <f t="shared" si="1016"/>
        <v>0</v>
      </c>
      <c r="AV942" s="191">
        <f t="shared" si="1017"/>
        <v>0</v>
      </c>
      <c r="AW942" s="289">
        <f t="shared" si="1017"/>
        <v>0</v>
      </c>
      <c r="AX942" s="113">
        <f>AX812</f>
        <v>0</v>
      </c>
      <c r="AY942" s="104">
        <f>SUM(AU942,AV942,AW942,AX942)</f>
        <v>0</v>
      </c>
      <c r="AZ942" s="113">
        <f>AZ812</f>
        <v>0</v>
      </c>
      <c r="BA942" s="113">
        <f>BA812</f>
        <v>0</v>
      </c>
      <c r="BB942" s="113">
        <f>BB812</f>
        <v>0</v>
      </c>
      <c r="BC942" s="113">
        <f>BC812</f>
        <v>0</v>
      </c>
      <c r="BD942" s="104">
        <f>SUM(AZ942,BA942,BB942,BC942)</f>
        <v>0</v>
      </c>
      <c r="BE942" s="104">
        <f>BE812</f>
        <v>0</v>
      </c>
      <c r="BF942" s="104">
        <f>BF812</f>
        <v>0</v>
      </c>
      <c r="BG942" s="104">
        <f>BG812</f>
        <v>0</v>
      </c>
      <c r="BH942" s="484"/>
    </row>
    <row r="943" spans="1:60" s="49" customFormat="1" x14ac:dyDescent="0.25">
      <c r="A943" s="483" t="str">
        <f t="shared" si="999"/>
        <v>Acquisitions</v>
      </c>
      <c r="B943" s="113"/>
      <c r="C943" s="39">
        <f t="shared" si="1000"/>
        <v>-176</v>
      </c>
      <c r="D943" s="39">
        <f t="shared" si="1000"/>
        <v>-2493</v>
      </c>
      <c r="E943" s="39">
        <f t="shared" si="1000"/>
        <v>-184</v>
      </c>
      <c r="F943" s="39">
        <f t="shared" si="1000"/>
        <v>-1088</v>
      </c>
      <c r="G943" s="484">
        <f t="shared" si="1000"/>
        <v>-2265</v>
      </c>
      <c r="H943" s="484">
        <f t="shared" si="1001"/>
        <v>-45</v>
      </c>
      <c r="I943" s="484">
        <f t="shared" si="1001"/>
        <v>0</v>
      </c>
      <c r="J943" s="484">
        <f t="shared" si="1001"/>
        <v>-133</v>
      </c>
      <c r="K943" s="39">
        <f t="shared" si="1002"/>
        <v>-2443</v>
      </c>
      <c r="L943" s="484">
        <f t="shared" si="1002"/>
        <v>0</v>
      </c>
      <c r="M943" s="484">
        <f t="shared" si="1003"/>
        <v>0</v>
      </c>
      <c r="N943" s="484">
        <f t="shared" si="1003"/>
        <v>-402</v>
      </c>
      <c r="O943" s="484">
        <f t="shared" si="1003"/>
        <v>0</v>
      </c>
      <c r="P943" s="39">
        <f t="shared" si="1004"/>
        <v>-402</v>
      </c>
      <c r="Q943" s="484">
        <f t="shared" si="1004"/>
        <v>0</v>
      </c>
      <c r="R943" s="484">
        <f t="shared" si="1005"/>
        <v>0</v>
      </c>
      <c r="S943" s="484">
        <f t="shared" si="1005"/>
        <v>0</v>
      </c>
      <c r="T943" s="484">
        <f t="shared" si="1005"/>
        <v>0</v>
      </c>
      <c r="U943" s="39">
        <f t="shared" si="1006"/>
        <v>0</v>
      </c>
      <c r="V943" s="484">
        <f t="shared" si="1006"/>
        <v>-400</v>
      </c>
      <c r="W943" s="484">
        <f t="shared" si="1007"/>
        <v>0</v>
      </c>
      <c r="X943" s="484">
        <f t="shared" si="1007"/>
        <v>0</v>
      </c>
      <c r="Y943" s="484">
        <f t="shared" si="1007"/>
        <v>-450</v>
      </c>
      <c r="Z943" s="39">
        <f t="shared" si="1008"/>
        <v>-850</v>
      </c>
      <c r="AA943" s="484">
        <f t="shared" si="1008"/>
        <v>0</v>
      </c>
      <c r="AB943" s="191">
        <f t="shared" si="1009"/>
        <v>-557</v>
      </c>
      <c r="AC943" s="484">
        <f t="shared" si="1009"/>
        <v>0</v>
      </c>
      <c r="AD943" s="484">
        <f t="shared" si="1009"/>
        <v>140</v>
      </c>
      <c r="AE943" s="39">
        <f t="shared" si="1010"/>
        <v>-417</v>
      </c>
      <c r="AF943" s="484">
        <f t="shared" si="1010"/>
        <v>0</v>
      </c>
      <c r="AG943" s="191">
        <f t="shared" si="1011"/>
        <v>-1581</v>
      </c>
      <c r="AH943" s="484">
        <f t="shared" si="1011"/>
        <v>0</v>
      </c>
      <c r="AI943" s="484">
        <f t="shared" si="1011"/>
        <v>0</v>
      </c>
      <c r="AJ943" s="39">
        <f t="shared" si="1012"/>
        <v>-1581</v>
      </c>
      <c r="AK943" s="484">
        <f t="shared" si="1012"/>
        <v>0</v>
      </c>
      <c r="AL943" s="191">
        <f t="shared" si="1013"/>
        <v>-9901</v>
      </c>
      <c r="AM943" s="484">
        <f t="shared" si="1013"/>
        <v>0</v>
      </c>
      <c r="AN943" s="484">
        <f t="shared" si="1013"/>
        <v>0</v>
      </c>
      <c r="AO943" s="39">
        <f t="shared" si="1014"/>
        <v>-9901</v>
      </c>
      <c r="AP943" s="484">
        <f t="shared" si="1014"/>
        <v>0</v>
      </c>
      <c r="AQ943" s="191">
        <f t="shared" si="1015"/>
        <v>0</v>
      </c>
      <c r="AR943" s="484">
        <f t="shared" si="1015"/>
        <v>0</v>
      </c>
      <c r="AS943" s="484">
        <f>AS892-AR892</f>
        <v>0</v>
      </c>
      <c r="AT943" s="39">
        <f t="shared" si="1016"/>
        <v>0</v>
      </c>
      <c r="AU943" s="484">
        <f t="shared" si="1016"/>
        <v>0</v>
      </c>
      <c r="AV943" s="191">
        <f t="shared" si="1017"/>
        <v>0</v>
      </c>
      <c r="AW943" s="289">
        <f t="shared" si="1017"/>
        <v>0</v>
      </c>
      <c r="AX943" s="113">
        <f>AX811</f>
        <v>0</v>
      </c>
      <c r="AY943" s="104">
        <f>SUM(AU943,AV943,AW943,AX943)</f>
        <v>0</v>
      </c>
      <c r="AZ943" s="113">
        <f>AZ811</f>
        <v>0</v>
      </c>
      <c r="BA943" s="113">
        <f>BA811</f>
        <v>0</v>
      </c>
      <c r="BB943" s="113">
        <f>BB811</f>
        <v>0</v>
      </c>
      <c r="BC943" s="113">
        <f>BC811</f>
        <v>0</v>
      </c>
      <c r="BD943" s="104">
        <f>SUM(AZ943,BA943,BB943,BC943)</f>
        <v>0</v>
      </c>
      <c r="BE943" s="104">
        <f>BE811</f>
        <v>0</v>
      </c>
      <c r="BF943" s="104">
        <f>BF811</f>
        <v>0</v>
      </c>
      <c r="BG943" s="104">
        <f>BG811</f>
        <v>0</v>
      </c>
      <c r="BH943" s="484"/>
    </row>
    <row r="944" spans="1:60" s="49" customFormat="1" x14ac:dyDescent="0.25">
      <c r="A944" s="483" t="str">
        <f t="shared" si="999"/>
        <v>Other</v>
      </c>
      <c r="B944" s="113"/>
      <c r="C944" s="39">
        <f t="shared" si="1000"/>
        <v>-11</v>
      </c>
      <c r="D944" s="39">
        <f t="shared" si="1000"/>
        <v>-90</v>
      </c>
      <c r="E944" s="39">
        <f t="shared" si="1000"/>
        <v>-107</v>
      </c>
      <c r="F944" s="39">
        <f t="shared" si="1000"/>
        <v>3</v>
      </c>
      <c r="G944" s="484">
        <f t="shared" si="1000"/>
        <v>5</v>
      </c>
      <c r="H944" s="484">
        <f t="shared" si="1001"/>
        <v>84</v>
      </c>
      <c r="I944" s="484">
        <f t="shared" si="1001"/>
        <v>1</v>
      </c>
      <c r="J944" s="484">
        <f t="shared" si="1001"/>
        <v>-6</v>
      </c>
      <c r="K944" s="39">
        <f t="shared" si="1002"/>
        <v>84</v>
      </c>
      <c r="L944" s="484">
        <f t="shared" si="1002"/>
        <v>-5</v>
      </c>
      <c r="M944" s="484">
        <f t="shared" si="1003"/>
        <v>-13</v>
      </c>
      <c r="N944" s="484">
        <f t="shared" si="1003"/>
        <v>-6</v>
      </c>
      <c r="O944" s="484">
        <f t="shared" si="1003"/>
        <v>-3</v>
      </c>
      <c r="P944" s="39">
        <f t="shared" si="1004"/>
        <v>-27</v>
      </c>
      <c r="Q944" s="484">
        <f t="shared" si="1004"/>
        <v>7</v>
      </c>
      <c r="R944" s="484">
        <f t="shared" si="1005"/>
        <v>-10</v>
      </c>
      <c r="S944" s="484">
        <f t="shared" si="1005"/>
        <v>-134</v>
      </c>
      <c r="T944" s="484">
        <f t="shared" si="1005"/>
        <v>-9</v>
      </c>
      <c r="U944" s="39">
        <f t="shared" si="1006"/>
        <v>-146</v>
      </c>
      <c r="V944" s="484">
        <f t="shared" si="1006"/>
        <v>-32</v>
      </c>
      <c r="W944" s="484">
        <f t="shared" si="1007"/>
        <v>-92</v>
      </c>
      <c r="X944" s="484">
        <f t="shared" si="1007"/>
        <v>-55</v>
      </c>
      <c r="Y944" s="484">
        <f t="shared" si="1007"/>
        <v>-1</v>
      </c>
      <c r="Z944" s="39">
        <f t="shared" si="1008"/>
        <v>-180</v>
      </c>
      <c r="AA944" s="484">
        <f t="shared" si="1008"/>
        <v>5</v>
      </c>
      <c r="AB944" s="191">
        <f t="shared" si="1009"/>
        <v>85</v>
      </c>
      <c r="AC944" s="484">
        <f t="shared" si="1009"/>
        <v>-95</v>
      </c>
      <c r="AD944" s="484">
        <f t="shared" si="1009"/>
        <v>-66</v>
      </c>
      <c r="AE944" s="39">
        <f t="shared" si="1010"/>
        <v>-71</v>
      </c>
      <c r="AF944" s="484">
        <f t="shared" si="1010"/>
        <v>-62</v>
      </c>
      <c r="AG944" s="191">
        <f t="shared" si="1011"/>
        <v>-118</v>
      </c>
      <c r="AH944" s="484">
        <f t="shared" si="1011"/>
        <v>-118</v>
      </c>
      <c r="AI944" s="484">
        <f t="shared" si="1011"/>
        <v>1008</v>
      </c>
      <c r="AJ944" s="39">
        <f t="shared" si="1012"/>
        <v>710</v>
      </c>
      <c r="AK944" s="484">
        <f t="shared" si="1012"/>
        <v>-141</v>
      </c>
      <c r="AL944" s="191">
        <f t="shared" si="1013"/>
        <v>-251</v>
      </c>
      <c r="AM944" s="484">
        <f t="shared" si="1013"/>
        <v>75</v>
      </c>
      <c r="AN944" s="484">
        <f t="shared" si="1013"/>
        <v>-2</v>
      </c>
      <c r="AO944" s="39">
        <f t="shared" si="1014"/>
        <v>-319</v>
      </c>
      <c r="AP944" s="484">
        <f t="shared" si="1014"/>
        <v>-12</v>
      </c>
      <c r="AQ944" s="191">
        <f t="shared" si="1015"/>
        <v>-9</v>
      </c>
      <c r="AR944" s="484">
        <f t="shared" si="1015"/>
        <v>-6</v>
      </c>
      <c r="AS944" s="484">
        <f>AS893-AR893</f>
        <v>199</v>
      </c>
      <c r="AT944" s="39">
        <f t="shared" si="1016"/>
        <v>172</v>
      </c>
      <c r="AU944" s="484">
        <f t="shared" si="1016"/>
        <v>28</v>
      </c>
      <c r="AV944" s="191">
        <f t="shared" si="1017"/>
        <v>175</v>
      </c>
      <c r="AW944" s="289">
        <f t="shared" si="1017"/>
        <v>180</v>
      </c>
      <c r="AX944" s="113"/>
      <c r="AY944" s="104">
        <f>SUM(AU944,AV944,AW944,AX944)</f>
        <v>383</v>
      </c>
      <c r="AZ944" s="113"/>
      <c r="BA944" s="113"/>
      <c r="BB944" s="113"/>
      <c r="BC944" s="113"/>
      <c r="BD944" s="104">
        <f>SUM(AZ944,BA944,BB944,BC944)</f>
        <v>0</v>
      </c>
      <c r="BE944" s="104"/>
      <c r="BF944" s="104"/>
      <c r="BG944" s="104"/>
      <c r="BH944" s="484"/>
    </row>
    <row r="945" spans="1:60" s="283" customFormat="1" x14ac:dyDescent="0.25">
      <c r="A945" s="483" t="str">
        <f t="shared" si="999"/>
        <v>Cash from discontinued investing activities</v>
      </c>
      <c r="B945" s="113"/>
      <c r="C945" s="39">
        <f t="shared" si="1000"/>
        <v>0</v>
      </c>
      <c r="D945" s="39">
        <f t="shared" si="1000"/>
        <v>0</v>
      </c>
      <c r="E945" s="39">
        <f t="shared" si="1000"/>
        <v>0</v>
      </c>
      <c r="F945" s="39">
        <f t="shared" si="1000"/>
        <v>0</v>
      </c>
      <c r="G945" s="484">
        <f t="shared" si="1000"/>
        <v>0</v>
      </c>
      <c r="H945" s="484">
        <f t="shared" si="1001"/>
        <v>0</v>
      </c>
      <c r="I945" s="484">
        <f t="shared" si="1001"/>
        <v>0</v>
      </c>
      <c r="J945" s="484">
        <f t="shared" si="1001"/>
        <v>0</v>
      </c>
      <c r="K945" s="39">
        <f t="shared" si="1002"/>
        <v>0</v>
      </c>
      <c r="L945" s="484">
        <f t="shared" si="1002"/>
        <v>0</v>
      </c>
      <c r="M945" s="484">
        <f t="shared" si="1003"/>
        <v>0</v>
      </c>
      <c r="N945" s="484">
        <f t="shared" si="1003"/>
        <v>0</v>
      </c>
      <c r="O945" s="484">
        <f t="shared" si="1003"/>
        <v>0</v>
      </c>
      <c r="P945" s="39">
        <f t="shared" si="1004"/>
        <v>0</v>
      </c>
      <c r="Q945" s="484">
        <f t="shared" si="1004"/>
        <v>0</v>
      </c>
      <c r="R945" s="484">
        <f t="shared" si="1005"/>
        <v>0</v>
      </c>
      <c r="S945" s="484">
        <f t="shared" si="1005"/>
        <v>0</v>
      </c>
      <c r="T945" s="484">
        <f t="shared" si="1005"/>
        <v>0</v>
      </c>
      <c r="U945" s="39">
        <f t="shared" si="1006"/>
        <v>0</v>
      </c>
      <c r="V945" s="484">
        <f t="shared" si="1006"/>
        <v>0</v>
      </c>
      <c r="W945" s="484">
        <f t="shared" si="1007"/>
        <v>0</v>
      </c>
      <c r="X945" s="484">
        <f t="shared" si="1007"/>
        <v>0</v>
      </c>
      <c r="Y945" s="484">
        <f t="shared" si="1007"/>
        <v>0</v>
      </c>
      <c r="Z945" s="39">
        <f t="shared" si="1008"/>
        <v>0</v>
      </c>
      <c r="AA945" s="484">
        <f t="shared" si="1008"/>
        <v>0</v>
      </c>
      <c r="AB945" s="191">
        <f t="shared" si="1009"/>
        <v>0</v>
      </c>
      <c r="AC945" s="484">
        <f t="shared" si="1009"/>
        <v>0</v>
      </c>
      <c r="AD945" s="484">
        <f t="shared" si="1009"/>
        <v>0</v>
      </c>
      <c r="AE945" s="39">
        <f t="shared" si="1010"/>
        <v>0</v>
      </c>
      <c r="AF945" s="484">
        <f t="shared" si="1010"/>
        <v>0</v>
      </c>
      <c r="AG945" s="191">
        <f t="shared" si="1011"/>
        <v>0</v>
      </c>
      <c r="AH945" s="484">
        <f t="shared" si="1011"/>
        <v>0</v>
      </c>
      <c r="AI945" s="484">
        <f t="shared" si="1011"/>
        <v>0</v>
      </c>
      <c r="AJ945" s="39">
        <f t="shared" si="1012"/>
        <v>0</v>
      </c>
      <c r="AK945" s="484">
        <f t="shared" si="1012"/>
        <v>0</v>
      </c>
      <c r="AL945" s="191">
        <f t="shared" si="1013"/>
        <v>0</v>
      </c>
      <c r="AM945" s="484">
        <f t="shared" si="1013"/>
        <v>0</v>
      </c>
      <c r="AN945" s="484">
        <f t="shared" si="1013"/>
        <v>10978</v>
      </c>
      <c r="AO945" s="39">
        <f t="shared" si="1014"/>
        <v>10978</v>
      </c>
      <c r="AP945" s="484">
        <f t="shared" si="1014"/>
        <v>0</v>
      </c>
      <c r="AQ945" s="191">
        <f t="shared" si="1015"/>
        <v>198</v>
      </c>
      <c r="AR945" s="484">
        <f t="shared" si="1015"/>
        <v>0</v>
      </c>
      <c r="AS945" s="484">
        <f>AS894-AR894</f>
        <v>15</v>
      </c>
      <c r="AT945" s="39">
        <f t="shared" si="1016"/>
        <v>213</v>
      </c>
      <c r="AU945" s="484">
        <f t="shared" si="1016"/>
        <v>0</v>
      </c>
      <c r="AV945" s="191">
        <f t="shared" si="1017"/>
        <v>0</v>
      </c>
      <c r="AW945" s="289">
        <f t="shared" si="1017"/>
        <v>0</v>
      </c>
      <c r="AX945" s="113"/>
      <c r="AY945" s="104">
        <f>SUM(AU945,AV945,AW945,AX945)</f>
        <v>0</v>
      </c>
      <c r="AZ945" s="113"/>
      <c r="BA945" s="113"/>
      <c r="BB945" s="113"/>
      <c r="BC945" s="113"/>
      <c r="BD945" s="104"/>
      <c r="BE945" s="104"/>
      <c r="BF945" s="104"/>
      <c r="BG945" s="104"/>
      <c r="BH945" s="484"/>
    </row>
    <row r="946" spans="1:60" s="52" customFormat="1" x14ac:dyDescent="0.25">
      <c r="A946" s="500" t="str">
        <f t="shared" si="999"/>
        <v>Net CFI</v>
      </c>
      <c r="B946" s="775"/>
      <c r="C946" s="53">
        <f t="shared" ref="C946:AH946" si="1018">SUM(C941:C945)</f>
        <v>-1755</v>
      </c>
      <c r="D946" s="53">
        <f t="shared" si="1018"/>
        <v>-4523</v>
      </c>
      <c r="E946" s="53">
        <f t="shared" si="1018"/>
        <v>-3286</v>
      </c>
      <c r="F946" s="53">
        <f t="shared" si="1018"/>
        <v>-4759</v>
      </c>
      <c r="G946" s="61">
        <f t="shared" si="1018"/>
        <v>-2465</v>
      </c>
      <c r="H946" s="61">
        <f t="shared" si="1018"/>
        <v>-525</v>
      </c>
      <c r="I946" s="61">
        <f t="shared" si="1018"/>
        <v>-672</v>
      </c>
      <c r="J946" s="61">
        <f t="shared" si="1018"/>
        <v>-1014</v>
      </c>
      <c r="K946" s="53">
        <f t="shared" si="1018"/>
        <v>-4676</v>
      </c>
      <c r="L946" s="61">
        <f t="shared" si="1018"/>
        <v>-527</v>
      </c>
      <c r="M946" s="61">
        <f t="shared" si="1018"/>
        <v>-484</v>
      </c>
      <c r="N946" s="61">
        <f t="shared" si="1018"/>
        <v>-1281</v>
      </c>
      <c r="O946" s="61">
        <f t="shared" si="1018"/>
        <v>-1053</v>
      </c>
      <c r="P946" s="53">
        <f t="shared" si="1018"/>
        <v>-3345</v>
      </c>
      <c r="Q946" s="61">
        <f t="shared" si="1018"/>
        <v>-991</v>
      </c>
      <c r="R946" s="61">
        <f t="shared" si="1018"/>
        <v>-836</v>
      </c>
      <c r="S946" s="61">
        <f t="shared" si="1018"/>
        <v>-1228</v>
      </c>
      <c r="T946" s="61">
        <f t="shared" si="1018"/>
        <v>-1190</v>
      </c>
      <c r="U946" s="53">
        <f t="shared" si="1018"/>
        <v>-4245</v>
      </c>
      <c r="V946" s="61">
        <f t="shared" si="1018"/>
        <v>-1798</v>
      </c>
      <c r="W946" s="61">
        <f t="shared" si="1018"/>
        <v>-1240</v>
      </c>
      <c r="X946" s="61">
        <f t="shared" si="1018"/>
        <v>-1188</v>
      </c>
      <c r="Y946" s="61">
        <f t="shared" si="1018"/>
        <v>-1532</v>
      </c>
      <c r="Z946" s="53">
        <f t="shared" si="1018"/>
        <v>-5758</v>
      </c>
      <c r="AA946" s="61">
        <f t="shared" si="1018"/>
        <v>-1035</v>
      </c>
      <c r="AB946" s="192">
        <f t="shared" si="1018"/>
        <v>-1355</v>
      </c>
      <c r="AC946" s="61">
        <f t="shared" si="1018"/>
        <v>-900</v>
      </c>
      <c r="AD946" s="61">
        <f t="shared" si="1018"/>
        <v>-821</v>
      </c>
      <c r="AE946" s="53">
        <f t="shared" si="1018"/>
        <v>-4111</v>
      </c>
      <c r="AF946" s="61">
        <f t="shared" si="1018"/>
        <v>-1043</v>
      </c>
      <c r="AG946" s="192">
        <f t="shared" si="1018"/>
        <v>-2762</v>
      </c>
      <c r="AH946" s="61">
        <f t="shared" si="1018"/>
        <v>-1338</v>
      </c>
      <c r="AI946" s="61">
        <f t="shared" ref="AI946:AY946" si="1019">SUM(AI941:AI945)</f>
        <v>-193</v>
      </c>
      <c r="AJ946" s="53">
        <f t="shared" si="1019"/>
        <v>-5336</v>
      </c>
      <c r="AK946" s="61">
        <f t="shared" si="1019"/>
        <v>-1336</v>
      </c>
      <c r="AL946" s="192">
        <f t="shared" si="1019"/>
        <v>-11347</v>
      </c>
      <c r="AM946" s="61">
        <f t="shared" si="1019"/>
        <v>-1102</v>
      </c>
      <c r="AN946" s="61">
        <f t="shared" si="1019"/>
        <v>9667</v>
      </c>
      <c r="AO946" s="53">
        <f t="shared" si="1019"/>
        <v>-4118</v>
      </c>
      <c r="AP946" s="61">
        <f t="shared" si="1019"/>
        <v>-1350</v>
      </c>
      <c r="AQ946" s="192">
        <f t="shared" si="1019"/>
        <v>-1058</v>
      </c>
      <c r="AR946" s="61">
        <f t="shared" si="1019"/>
        <v>-714</v>
      </c>
      <c r="AS946" s="61">
        <f>SUM(AS941:AS945)</f>
        <v>-515</v>
      </c>
      <c r="AT946" s="53">
        <f>SUM(AT941:AT945)</f>
        <v>-3637</v>
      </c>
      <c r="AU946" s="61">
        <f>SUM(AU941:AU945)</f>
        <v>-732</v>
      </c>
      <c r="AV946" s="192">
        <f>SUM(AV941:AV945)</f>
        <v>-595</v>
      </c>
      <c r="AW946" s="872">
        <f>SUM(AW941:AW945)</f>
        <v>-758</v>
      </c>
      <c r="AX946" s="105">
        <f t="shared" si="1019"/>
        <v>-765</v>
      </c>
      <c r="AY946" s="106">
        <f t="shared" si="1019"/>
        <v>-2850</v>
      </c>
      <c r="AZ946" s="105">
        <f t="shared" ref="AZ946:BG946" si="1020">SUM(AZ941:AZ945)</f>
        <v>-1165</v>
      </c>
      <c r="BA946" s="105">
        <f t="shared" si="1020"/>
        <v>-1165</v>
      </c>
      <c r="BB946" s="105">
        <f t="shared" si="1020"/>
        <v>-1165</v>
      </c>
      <c r="BC946" s="105">
        <f t="shared" si="1020"/>
        <v>-1165</v>
      </c>
      <c r="BD946" s="106">
        <f t="shared" si="1020"/>
        <v>-4660</v>
      </c>
      <c r="BE946" s="106">
        <f t="shared" si="1020"/>
        <v>-4660</v>
      </c>
      <c r="BF946" s="106">
        <f t="shared" si="1020"/>
        <v>-4660</v>
      </c>
      <c r="BG946" s="106">
        <f t="shared" si="1020"/>
        <v>-4660</v>
      </c>
      <c r="BH946" s="499"/>
    </row>
    <row r="947" spans="1:60" s="52" customFormat="1" x14ac:dyDescent="0.25">
      <c r="A947" s="635"/>
      <c r="B947" s="602"/>
      <c r="C947" s="111"/>
      <c r="D947" s="111"/>
      <c r="E947" s="111"/>
      <c r="F947" s="111"/>
      <c r="G947" s="114"/>
      <c r="H947" s="114"/>
      <c r="I947" s="114"/>
      <c r="J947" s="114"/>
      <c r="K947" s="111"/>
      <c r="L947" s="114"/>
      <c r="M947" s="114"/>
      <c r="N947" s="114"/>
      <c r="O947" s="114"/>
      <c r="P947" s="111"/>
      <c r="Q947" s="114"/>
      <c r="R947" s="114"/>
      <c r="S947" s="114"/>
      <c r="T947" s="114"/>
      <c r="U947" s="111"/>
      <c r="V947" s="114"/>
      <c r="W947" s="114"/>
      <c r="X947" s="114"/>
      <c r="Y947" s="114"/>
      <c r="Z947" s="111"/>
      <c r="AA947" s="114"/>
      <c r="AB947" s="114"/>
      <c r="AC947" s="114"/>
      <c r="AD947" s="114"/>
      <c r="AE947" s="111"/>
      <c r="AF947" s="114"/>
      <c r="AG947" s="114"/>
      <c r="AH947" s="114"/>
      <c r="AI947" s="114"/>
      <c r="AJ947" s="111"/>
      <c r="AK947" s="114"/>
      <c r="AL947" s="114"/>
      <c r="AM947" s="114"/>
      <c r="AN947" s="114"/>
      <c r="AO947" s="111"/>
      <c r="AP947" s="114"/>
      <c r="AQ947" s="114"/>
      <c r="AR947" s="114"/>
      <c r="AS947" s="114"/>
      <c r="AT947" s="111"/>
      <c r="AU947" s="114"/>
      <c r="AV947" s="114"/>
      <c r="AW947" s="765"/>
      <c r="AX947" s="114"/>
      <c r="AY947" s="111"/>
      <c r="AZ947" s="114"/>
      <c r="BA947" s="114"/>
      <c r="BB947" s="114"/>
      <c r="BC947" s="114"/>
      <c r="BD947" s="111"/>
      <c r="BE947" s="111"/>
      <c r="BF947" s="111"/>
      <c r="BG947" s="111"/>
      <c r="BH947" s="499"/>
    </row>
    <row r="948" spans="1:60" s="52" customFormat="1" x14ac:dyDescent="0.25">
      <c r="A948" s="501" t="str">
        <f t="shared" ref="A948:A959" si="1021">A897</f>
        <v>CFF</v>
      </c>
      <c r="B948" s="602"/>
      <c r="C948" s="111"/>
      <c r="D948" s="111"/>
      <c r="E948" s="111"/>
      <c r="F948" s="111"/>
      <c r="G948" s="114"/>
      <c r="H948" s="114"/>
      <c r="I948" s="114"/>
      <c r="J948" s="114"/>
      <c r="K948" s="111"/>
      <c r="L948" s="114"/>
      <c r="M948" s="114"/>
      <c r="N948" s="114"/>
      <c r="O948" s="114"/>
      <c r="P948" s="111"/>
      <c r="Q948" s="114"/>
      <c r="R948" s="114"/>
      <c r="S948" s="114"/>
      <c r="T948" s="114"/>
      <c r="U948" s="111"/>
      <c r="V948" s="114"/>
      <c r="W948" s="114"/>
      <c r="X948" s="114"/>
      <c r="Y948" s="114"/>
      <c r="Z948" s="111"/>
      <c r="AA948" s="114"/>
      <c r="AB948" s="114"/>
      <c r="AC948" s="114"/>
      <c r="AD948" s="114"/>
      <c r="AE948" s="111"/>
      <c r="AF948" s="114"/>
      <c r="AG948" s="114"/>
      <c r="AH948" s="114"/>
      <c r="AI948" s="114"/>
      <c r="AJ948" s="111"/>
      <c r="AK948" s="114"/>
      <c r="AL948" s="114"/>
      <c r="AM948" s="114"/>
      <c r="AN948" s="114"/>
      <c r="AO948" s="111"/>
      <c r="AP948" s="114"/>
      <c r="AQ948" s="114"/>
      <c r="AR948" s="114"/>
      <c r="AS948" s="114"/>
      <c r="AT948" s="111"/>
      <c r="AU948" s="114"/>
      <c r="AV948" s="114"/>
      <c r="AW948" s="765"/>
      <c r="AX948" s="114"/>
      <c r="AY948" s="111"/>
      <c r="AZ948" s="114"/>
      <c r="BA948" s="114"/>
      <c r="BB948" s="114"/>
      <c r="BC948" s="114"/>
      <c r="BD948" s="111"/>
      <c r="BE948" s="111"/>
      <c r="BF948" s="111"/>
      <c r="BG948" s="111"/>
      <c r="BH948" s="499"/>
    </row>
    <row r="949" spans="1:60" s="49" customFormat="1" x14ac:dyDescent="0.25">
      <c r="A949" s="483" t="str">
        <f t="shared" si="1021"/>
        <v>Commercial paper borrowings, net</v>
      </c>
      <c r="B949" s="113"/>
      <c r="C949" s="39">
        <f t="shared" ref="C949:G958" si="1022">C898</f>
        <v>-1985</v>
      </c>
      <c r="D949" s="39">
        <f t="shared" si="1022"/>
        <v>1190</v>
      </c>
      <c r="E949" s="39">
        <f t="shared" si="1022"/>
        <v>393</v>
      </c>
      <c r="F949" s="39">
        <f t="shared" si="1022"/>
        <v>467</v>
      </c>
      <c r="G949" s="484">
        <f t="shared" si="1022"/>
        <v>994</v>
      </c>
      <c r="H949" s="484">
        <f t="shared" ref="H949:J958" si="1023">H898-G898</f>
        <v>-1239</v>
      </c>
      <c r="I949" s="484">
        <f t="shared" si="1023"/>
        <v>-1755</v>
      </c>
      <c r="J949" s="484">
        <f t="shared" si="1023"/>
        <v>-50</v>
      </c>
      <c r="K949" s="39">
        <f t="shared" ref="K949:L958" si="1024">K898</f>
        <v>-2050</v>
      </c>
      <c r="L949" s="484">
        <f t="shared" si="1024"/>
        <v>2149</v>
      </c>
      <c r="M949" s="484">
        <f t="shared" ref="M949:O958" si="1025">M898-L898</f>
        <v>167</v>
      </c>
      <c r="N949" s="484">
        <f t="shared" si="1025"/>
        <v>-1063</v>
      </c>
      <c r="O949" s="484">
        <f t="shared" si="1025"/>
        <v>-1203</v>
      </c>
      <c r="P949" s="39">
        <f t="shared" ref="P949:Q958" si="1026">P898</f>
        <v>50</v>
      </c>
      <c r="Q949" s="484">
        <f t="shared" si="1026"/>
        <v>2747</v>
      </c>
      <c r="R949" s="484">
        <f t="shared" ref="R949:T958" si="1027">R898-Q898</f>
        <v>-793</v>
      </c>
      <c r="S949" s="484">
        <f t="shared" si="1027"/>
        <v>398</v>
      </c>
      <c r="T949" s="484">
        <f t="shared" si="1027"/>
        <v>24</v>
      </c>
      <c r="U949" s="39">
        <f t="shared" ref="U949:V958" si="1028">U898</f>
        <v>2376</v>
      </c>
      <c r="V949" s="484">
        <f t="shared" si="1028"/>
        <v>1907</v>
      </c>
      <c r="W949" s="484">
        <f t="shared" ref="W949:Y958" si="1029">W898-V898</f>
        <v>-1198</v>
      </c>
      <c r="X949" s="484">
        <f t="shared" si="1029"/>
        <v>-925</v>
      </c>
      <c r="Y949" s="484">
        <f t="shared" si="1029"/>
        <v>-704</v>
      </c>
      <c r="Z949" s="39">
        <f t="shared" ref="Z949:AA958" si="1030">Z898</f>
        <v>-920</v>
      </c>
      <c r="AA949" s="484">
        <f t="shared" si="1030"/>
        <v>732</v>
      </c>
      <c r="AB949" s="191">
        <f t="shared" ref="AB949:AD958" si="1031">AB898-AA898</f>
        <v>182</v>
      </c>
      <c r="AC949" s="484">
        <f t="shared" si="1031"/>
        <v>-1026</v>
      </c>
      <c r="AD949" s="484">
        <f t="shared" si="1031"/>
        <v>1359</v>
      </c>
      <c r="AE949" s="39">
        <f t="shared" ref="AE949:AF958" si="1032">AE898</f>
        <v>1247</v>
      </c>
      <c r="AF949" s="484">
        <f t="shared" si="1032"/>
        <v>1140</v>
      </c>
      <c r="AG949" s="191">
        <f t="shared" ref="AG949:AI958" si="1033">AG898-AF898</f>
        <v>232</v>
      </c>
      <c r="AH949" s="484">
        <f t="shared" si="1033"/>
        <v>-919</v>
      </c>
      <c r="AI949" s="484">
        <f t="shared" si="1033"/>
        <v>-2221</v>
      </c>
      <c r="AJ949" s="39">
        <f t="shared" ref="AJ949:AK958" si="1034">AJ898</f>
        <v>-1768</v>
      </c>
      <c r="AK949" s="484">
        <f t="shared" si="1034"/>
        <v>-302</v>
      </c>
      <c r="AL949" s="191">
        <f t="shared" ref="AL949:AN958" si="1035">AL898-AK898</f>
        <v>678</v>
      </c>
      <c r="AM949" s="484">
        <f t="shared" si="1035"/>
        <v>2597</v>
      </c>
      <c r="AN949" s="484">
        <f t="shared" si="1035"/>
        <v>1345</v>
      </c>
      <c r="AO949" s="39">
        <f t="shared" ref="AO949:AP958" si="1036">AO898</f>
        <v>4318</v>
      </c>
      <c r="AP949" s="484">
        <f t="shared" si="1036"/>
        <v>1172</v>
      </c>
      <c r="AQ949" s="191">
        <f t="shared" ref="AQ949:AR958" si="1037">AQ898-AP898</f>
        <v>1966</v>
      </c>
      <c r="AR949" s="484">
        <f t="shared" si="1037"/>
        <v>-1765</v>
      </c>
      <c r="AS949" s="484">
        <f t="shared" ref="AS949:AS958" si="1038">AS898-AR898</f>
        <v>-4727</v>
      </c>
      <c r="AT949" s="39">
        <f t="shared" ref="AT949:AT958" si="1039">AT898</f>
        <v>-3354</v>
      </c>
      <c r="AU949" s="484">
        <f t="shared" ref="AU949:AU958" si="1040">AU898</f>
        <v>-179</v>
      </c>
      <c r="AV949" s="191">
        <f t="shared" ref="AV949:AV958" si="1041">AV898-AU898</f>
        <v>92</v>
      </c>
      <c r="AW949" s="289">
        <f t="shared" ref="AW949:AW958" si="1042">AW898-AV898</f>
        <v>-12</v>
      </c>
      <c r="AX949" s="113"/>
      <c r="AY949" s="104">
        <f t="shared" ref="AY949:AY958" si="1043">SUM(AU949,AV949,AW949,AX949)</f>
        <v>-99</v>
      </c>
      <c r="AZ949" s="113"/>
      <c r="BA949" s="113"/>
      <c r="BB949" s="113"/>
      <c r="BC949" s="113"/>
      <c r="BD949" s="104">
        <f t="shared" ref="BD949:BD958" si="1044">SUM(AZ949,BA949,BB949,BC949)</f>
        <v>0</v>
      </c>
      <c r="BE949" s="104"/>
      <c r="BF949" s="104"/>
      <c r="BG949" s="104"/>
      <c r="BH949" s="484"/>
    </row>
    <row r="950" spans="1:60" s="49" customFormat="1" x14ac:dyDescent="0.25">
      <c r="A950" s="226" t="str">
        <f t="shared" si="1021"/>
        <v>Borrowings</v>
      </c>
      <c r="B950" s="113"/>
      <c r="C950" s="104">
        <f t="shared" si="1022"/>
        <v>1750</v>
      </c>
      <c r="D950" s="104">
        <f t="shared" si="1022"/>
        <v>0</v>
      </c>
      <c r="E950" s="104">
        <f t="shared" si="1022"/>
        <v>2350</v>
      </c>
      <c r="F950" s="104">
        <f t="shared" si="1022"/>
        <v>3779</v>
      </c>
      <c r="G950" s="113">
        <f t="shared" si="1022"/>
        <v>3037</v>
      </c>
      <c r="H950" s="113">
        <f t="shared" si="1023"/>
        <v>841</v>
      </c>
      <c r="I950" s="113">
        <f t="shared" si="1023"/>
        <v>22</v>
      </c>
      <c r="J950" s="113">
        <f t="shared" si="1023"/>
        <v>31</v>
      </c>
      <c r="K950" s="104">
        <f t="shared" si="1024"/>
        <v>3931</v>
      </c>
      <c r="L950" s="113">
        <f t="shared" si="1024"/>
        <v>66</v>
      </c>
      <c r="M950" s="113">
        <f t="shared" si="1025"/>
        <v>72</v>
      </c>
      <c r="N950" s="113">
        <f t="shared" si="1025"/>
        <v>2042</v>
      </c>
      <c r="O950" s="113">
        <f t="shared" si="1025"/>
        <v>51</v>
      </c>
      <c r="P950" s="104">
        <f t="shared" si="1026"/>
        <v>2231</v>
      </c>
      <c r="Q950" s="113">
        <f t="shared" si="1026"/>
        <v>69</v>
      </c>
      <c r="R950" s="113">
        <f t="shared" si="1027"/>
        <v>48</v>
      </c>
      <c r="S950" s="113">
        <f t="shared" si="1027"/>
        <v>64</v>
      </c>
      <c r="T950" s="113">
        <f t="shared" si="1027"/>
        <v>2369</v>
      </c>
      <c r="U950" s="104">
        <f t="shared" si="1028"/>
        <v>2550</v>
      </c>
      <c r="V950" s="113">
        <f t="shared" si="1028"/>
        <v>382</v>
      </c>
      <c r="W950" s="113">
        <f t="shared" si="1029"/>
        <v>3384</v>
      </c>
      <c r="X950" s="113">
        <f t="shared" si="1029"/>
        <v>280</v>
      </c>
      <c r="Y950" s="113">
        <f t="shared" si="1029"/>
        <v>2019</v>
      </c>
      <c r="Z950" s="104">
        <f t="shared" si="1030"/>
        <v>6065</v>
      </c>
      <c r="AA950" s="113">
        <f t="shared" si="1030"/>
        <v>42</v>
      </c>
      <c r="AB950" s="113">
        <f t="shared" si="1031"/>
        <v>2011</v>
      </c>
      <c r="AC950" s="113">
        <f t="shared" si="1031"/>
        <v>2000</v>
      </c>
      <c r="AD950" s="113">
        <f t="shared" si="1031"/>
        <v>767</v>
      </c>
      <c r="AE950" s="104">
        <f t="shared" si="1032"/>
        <v>4820</v>
      </c>
      <c r="AF950" s="113">
        <f t="shared" si="1032"/>
        <v>1025</v>
      </c>
      <c r="AG950" s="113">
        <f t="shared" si="1033"/>
        <v>23</v>
      </c>
      <c r="AH950" s="113">
        <f t="shared" si="1033"/>
        <v>8</v>
      </c>
      <c r="AI950" s="113">
        <f t="shared" si="1033"/>
        <v>0</v>
      </c>
      <c r="AJ950" s="104">
        <f t="shared" si="1034"/>
        <v>1056</v>
      </c>
      <c r="AK950" s="113">
        <f t="shared" si="1034"/>
        <v>0</v>
      </c>
      <c r="AL950" s="113">
        <f t="shared" si="1035"/>
        <v>31145</v>
      </c>
      <c r="AM950" s="113">
        <f t="shared" si="1035"/>
        <v>203</v>
      </c>
      <c r="AN950" s="113">
        <f t="shared" si="1035"/>
        <v>6892</v>
      </c>
      <c r="AO950" s="104">
        <f t="shared" si="1036"/>
        <v>38240</v>
      </c>
      <c r="AP950" s="113">
        <f t="shared" si="1036"/>
        <v>51</v>
      </c>
      <c r="AQ950" s="113">
        <f t="shared" si="1037"/>
        <v>6020</v>
      </c>
      <c r="AR950" s="113">
        <f t="shared" si="1037"/>
        <v>11959</v>
      </c>
      <c r="AS950" s="113">
        <f t="shared" si="1038"/>
        <v>90</v>
      </c>
      <c r="AT950" s="104">
        <f t="shared" si="1039"/>
        <v>18120</v>
      </c>
      <c r="AU950" s="113">
        <f t="shared" si="1040"/>
        <v>1</v>
      </c>
      <c r="AV950" s="113">
        <f t="shared" si="1041"/>
        <v>36</v>
      </c>
      <c r="AW950" s="699">
        <f t="shared" si="1042"/>
        <v>6</v>
      </c>
      <c r="AX950" s="113">
        <f>AX816</f>
        <v>0</v>
      </c>
      <c r="AY950" s="104">
        <f t="shared" si="1043"/>
        <v>43</v>
      </c>
      <c r="AZ950" s="113">
        <f>AZ816</f>
        <v>0</v>
      </c>
      <c r="BA950" s="113">
        <f>BA816</f>
        <v>0</v>
      </c>
      <c r="BB950" s="113">
        <f>BB816</f>
        <v>0</v>
      </c>
      <c r="BC950" s="113">
        <f>BC816</f>
        <v>0</v>
      </c>
      <c r="BD950" s="104">
        <f t="shared" si="1044"/>
        <v>0</v>
      </c>
      <c r="BE950" s="104">
        <f>BE816</f>
        <v>0</v>
      </c>
      <c r="BF950" s="104">
        <f>BF816</f>
        <v>0</v>
      </c>
      <c r="BG950" s="104">
        <f>BG816</f>
        <v>0</v>
      </c>
      <c r="BH950" s="484"/>
    </row>
    <row r="951" spans="1:60" s="49" customFormat="1" x14ac:dyDescent="0.25">
      <c r="A951" s="483" t="str">
        <f t="shared" si="1021"/>
        <v>Reduction of borrowings</v>
      </c>
      <c r="B951" s="113"/>
      <c r="C951" s="39">
        <f t="shared" si="1022"/>
        <v>-1617</v>
      </c>
      <c r="D951" s="39">
        <f t="shared" si="1022"/>
        <v>-1371</v>
      </c>
      <c r="E951" s="39">
        <f t="shared" si="1022"/>
        <v>-1096</v>
      </c>
      <c r="F951" s="39">
        <f t="shared" si="1022"/>
        <v>-3822</v>
      </c>
      <c r="G951" s="484">
        <f t="shared" si="1022"/>
        <v>-776</v>
      </c>
      <c r="H951" s="484">
        <f t="shared" si="1023"/>
        <v>-12</v>
      </c>
      <c r="I951" s="484">
        <f t="shared" si="1023"/>
        <v>-29</v>
      </c>
      <c r="J951" s="484">
        <f t="shared" si="1023"/>
        <v>-685</v>
      </c>
      <c r="K951" s="39">
        <f t="shared" si="1024"/>
        <v>-1502</v>
      </c>
      <c r="L951" s="484">
        <f t="shared" si="1024"/>
        <v>-1046</v>
      </c>
      <c r="M951" s="484">
        <f t="shared" si="1025"/>
        <v>-38</v>
      </c>
      <c r="N951" s="484">
        <f t="shared" si="1025"/>
        <v>-465</v>
      </c>
      <c r="O951" s="484">
        <f t="shared" si="1025"/>
        <v>-99</v>
      </c>
      <c r="P951" s="39">
        <f t="shared" si="1026"/>
        <v>-1648</v>
      </c>
      <c r="Q951" s="484">
        <f t="shared" si="1026"/>
        <v>-1098</v>
      </c>
      <c r="R951" s="484">
        <f t="shared" si="1027"/>
        <v>-855</v>
      </c>
      <c r="S951" s="484">
        <f t="shared" si="1027"/>
        <v>-53</v>
      </c>
      <c r="T951" s="484">
        <f t="shared" si="1027"/>
        <v>-215</v>
      </c>
      <c r="U951" s="39">
        <f t="shared" si="1028"/>
        <v>-2221</v>
      </c>
      <c r="V951" s="484">
        <f t="shared" si="1028"/>
        <v>-564</v>
      </c>
      <c r="W951" s="484">
        <f t="shared" si="1029"/>
        <v>-62</v>
      </c>
      <c r="X951" s="484">
        <f t="shared" si="1029"/>
        <v>-46</v>
      </c>
      <c r="Y951" s="484">
        <f t="shared" si="1029"/>
        <v>-1533</v>
      </c>
      <c r="Z951" s="39">
        <f t="shared" si="1030"/>
        <v>-2205</v>
      </c>
      <c r="AA951" s="484">
        <f t="shared" si="1030"/>
        <v>-194</v>
      </c>
      <c r="AB951" s="191">
        <f t="shared" si="1031"/>
        <v>-1039</v>
      </c>
      <c r="AC951" s="484">
        <f t="shared" si="1031"/>
        <v>-503</v>
      </c>
      <c r="AD951" s="484">
        <f t="shared" si="1031"/>
        <v>-628</v>
      </c>
      <c r="AE951" s="39">
        <f t="shared" si="1032"/>
        <v>-2364</v>
      </c>
      <c r="AF951" s="484">
        <f t="shared" si="1032"/>
        <v>-1330</v>
      </c>
      <c r="AG951" s="191">
        <f t="shared" si="1033"/>
        <v>-20</v>
      </c>
      <c r="AH951" s="484">
        <f t="shared" si="1033"/>
        <v>-6</v>
      </c>
      <c r="AI951" s="484">
        <f t="shared" si="1033"/>
        <v>-515</v>
      </c>
      <c r="AJ951" s="39">
        <f t="shared" si="1034"/>
        <v>-1871</v>
      </c>
      <c r="AK951" s="484">
        <f t="shared" si="1034"/>
        <v>0</v>
      </c>
      <c r="AL951" s="191">
        <f t="shared" si="1035"/>
        <v>-17398</v>
      </c>
      <c r="AM951" s="484">
        <f t="shared" si="1035"/>
        <v>-1641</v>
      </c>
      <c r="AN951" s="484">
        <f t="shared" si="1035"/>
        <v>-19842</v>
      </c>
      <c r="AO951" s="39">
        <f t="shared" si="1036"/>
        <v>-38881</v>
      </c>
      <c r="AP951" s="484">
        <f t="shared" si="1036"/>
        <v>-46</v>
      </c>
      <c r="AQ951" s="191">
        <f t="shared" si="1037"/>
        <v>-1002</v>
      </c>
      <c r="AR951" s="484">
        <f t="shared" si="1037"/>
        <v>-1249</v>
      </c>
      <c r="AS951" s="484">
        <f t="shared" si="1038"/>
        <v>-1236</v>
      </c>
      <c r="AT951" s="39">
        <f t="shared" si="1039"/>
        <v>-3533</v>
      </c>
      <c r="AU951" s="484">
        <f t="shared" si="1040"/>
        <v>-139</v>
      </c>
      <c r="AV951" s="191">
        <f t="shared" si="1041"/>
        <v>-1677</v>
      </c>
      <c r="AW951" s="289">
        <f t="shared" si="1042"/>
        <v>-503</v>
      </c>
      <c r="AX951" s="113"/>
      <c r="AY951" s="104">
        <f t="shared" si="1043"/>
        <v>-2319</v>
      </c>
      <c r="AZ951" s="113"/>
      <c r="BA951" s="113"/>
      <c r="BB951" s="113"/>
      <c r="BC951" s="113"/>
      <c r="BD951" s="104">
        <f t="shared" si="1044"/>
        <v>0</v>
      </c>
      <c r="BE951" s="104"/>
      <c r="BF951" s="104"/>
      <c r="BG951" s="104"/>
      <c r="BH951" s="484"/>
    </row>
    <row r="952" spans="1:60" s="49" customFormat="1" x14ac:dyDescent="0.25">
      <c r="A952" s="483" t="str">
        <f t="shared" si="1021"/>
        <v>Dividends</v>
      </c>
      <c r="B952" s="113"/>
      <c r="C952" s="39">
        <f t="shared" si="1022"/>
        <v>-648</v>
      </c>
      <c r="D952" s="39">
        <f t="shared" si="1022"/>
        <v>-653</v>
      </c>
      <c r="E952" s="39">
        <f t="shared" si="1022"/>
        <v>-756</v>
      </c>
      <c r="F952" s="39">
        <f t="shared" si="1022"/>
        <v>-1076</v>
      </c>
      <c r="G952" s="484">
        <f t="shared" si="1022"/>
        <v>-1300</v>
      </c>
      <c r="H952" s="484">
        <f t="shared" si="1023"/>
        <v>-24</v>
      </c>
      <c r="I952" s="484">
        <f t="shared" si="1023"/>
        <v>0</v>
      </c>
      <c r="J952" s="484">
        <f t="shared" si="1023"/>
        <v>0</v>
      </c>
      <c r="K952" s="39">
        <f t="shared" si="1024"/>
        <v>-1324</v>
      </c>
      <c r="L952" s="484">
        <f t="shared" si="1024"/>
        <v>0</v>
      </c>
      <c r="M952" s="484">
        <f t="shared" si="1025"/>
        <v>-1508</v>
      </c>
      <c r="N952" s="484">
        <f t="shared" si="1025"/>
        <v>0</v>
      </c>
      <c r="O952" s="484">
        <f t="shared" si="1025"/>
        <v>0</v>
      </c>
      <c r="P952" s="39">
        <f t="shared" si="1026"/>
        <v>-1508</v>
      </c>
      <c r="Q952" s="484">
        <f t="shared" si="1026"/>
        <v>0</v>
      </c>
      <c r="R952" s="484">
        <f t="shared" si="1027"/>
        <v>-1948</v>
      </c>
      <c r="S952" s="484">
        <f t="shared" si="1027"/>
        <v>0</v>
      </c>
      <c r="T952" s="484">
        <f t="shared" si="1027"/>
        <v>-1115</v>
      </c>
      <c r="U952" s="39">
        <f t="shared" si="1028"/>
        <v>-3063</v>
      </c>
      <c r="V952" s="484">
        <f t="shared" si="1028"/>
        <v>0</v>
      </c>
      <c r="W952" s="484">
        <f t="shared" si="1029"/>
        <v>-1168</v>
      </c>
      <c r="X952" s="484">
        <f t="shared" si="1029"/>
        <v>0</v>
      </c>
      <c r="Y952" s="484">
        <f t="shared" si="1029"/>
        <v>-1145</v>
      </c>
      <c r="Z952" s="39">
        <f t="shared" si="1030"/>
        <v>-2313</v>
      </c>
      <c r="AA952" s="484">
        <f t="shared" si="1030"/>
        <v>0</v>
      </c>
      <c r="AB952" s="191">
        <f t="shared" si="1031"/>
        <v>-1237</v>
      </c>
      <c r="AC952" s="484">
        <f t="shared" si="1031"/>
        <v>0</v>
      </c>
      <c r="AD952" s="484">
        <f t="shared" si="1031"/>
        <v>-1208</v>
      </c>
      <c r="AE952" s="39">
        <f t="shared" si="1032"/>
        <v>-2445</v>
      </c>
      <c r="AF952" s="484">
        <f t="shared" si="1032"/>
        <v>0</v>
      </c>
      <c r="AG952" s="191">
        <f t="shared" si="1033"/>
        <v>-1266</v>
      </c>
      <c r="AH952" s="484">
        <f t="shared" si="1033"/>
        <v>0</v>
      </c>
      <c r="AI952" s="484">
        <f t="shared" si="1033"/>
        <v>-1249</v>
      </c>
      <c r="AJ952" s="39">
        <f t="shared" si="1034"/>
        <v>-2515</v>
      </c>
      <c r="AK952" s="484">
        <f t="shared" si="1034"/>
        <v>0</v>
      </c>
      <c r="AL952" s="191">
        <f t="shared" si="1035"/>
        <v>-1310</v>
      </c>
      <c r="AM952" s="484">
        <f t="shared" si="1035"/>
        <v>0</v>
      </c>
      <c r="AN952" s="484">
        <f t="shared" si="1035"/>
        <v>-1585</v>
      </c>
      <c r="AO952" s="39">
        <f t="shared" si="1036"/>
        <v>-2895</v>
      </c>
      <c r="AP952" s="484">
        <f t="shared" si="1036"/>
        <v>0</v>
      </c>
      <c r="AQ952" s="191">
        <f t="shared" si="1037"/>
        <v>-1587</v>
      </c>
      <c r="AR952" s="484">
        <f t="shared" si="1037"/>
        <v>0</v>
      </c>
      <c r="AS952" s="484">
        <f>AS901-AR901</f>
        <v>0</v>
      </c>
      <c r="AT952" s="39">
        <f t="shared" si="1039"/>
        <v>-1587</v>
      </c>
      <c r="AU952" s="484">
        <f t="shared" si="1040"/>
        <v>0</v>
      </c>
      <c r="AV952" s="191">
        <f t="shared" si="1041"/>
        <v>0</v>
      </c>
      <c r="AW952" s="289">
        <f t="shared" si="1042"/>
        <v>0</v>
      </c>
      <c r="AX952" s="113">
        <f ca="1">AX813</f>
        <v>-1599.84</v>
      </c>
      <c r="AY952" s="104">
        <f t="shared" ca="1" si="1043"/>
        <v>-1599.84</v>
      </c>
      <c r="AZ952" s="113">
        <f ca="1">AZ813</f>
        <v>0</v>
      </c>
      <c r="BA952" s="113">
        <f ca="1">BA813</f>
        <v>-1599.84</v>
      </c>
      <c r="BB952" s="113">
        <f ca="1">BB813</f>
        <v>0</v>
      </c>
      <c r="BC952" s="113">
        <f ca="1">BC813</f>
        <v>-1599.84</v>
      </c>
      <c r="BD952" s="104">
        <f t="shared" ca="1" si="1044"/>
        <v>-3199.68</v>
      </c>
      <c r="BE952" s="104">
        <f ca="1">BE813</f>
        <v>-3199.68</v>
      </c>
      <c r="BF952" s="104">
        <f ca="1">BF813</f>
        <v>-3199.68</v>
      </c>
      <c r="BG952" s="104">
        <f ca="1">BG813</f>
        <v>-3199.68</v>
      </c>
      <c r="BH952" s="484"/>
    </row>
    <row r="953" spans="1:60" s="49" customFormat="1" x14ac:dyDescent="0.25">
      <c r="A953" s="226" t="str">
        <f t="shared" si="1021"/>
        <v>Repurchases of common stock</v>
      </c>
      <c r="B953" s="113"/>
      <c r="C953" s="104">
        <f t="shared" si="1022"/>
        <v>-138</v>
      </c>
      <c r="D953" s="104">
        <f t="shared" si="1022"/>
        <v>-2669</v>
      </c>
      <c r="E953" s="104">
        <f t="shared" si="1022"/>
        <v>-4993</v>
      </c>
      <c r="F953" s="104">
        <f t="shared" si="1022"/>
        <v>-3015</v>
      </c>
      <c r="G953" s="113">
        <f t="shared" si="1022"/>
        <v>-1044</v>
      </c>
      <c r="H953" s="113">
        <f t="shared" si="1023"/>
        <v>-850</v>
      </c>
      <c r="I953" s="113">
        <f t="shared" si="1023"/>
        <v>-800</v>
      </c>
      <c r="J953" s="113">
        <f t="shared" si="1023"/>
        <v>-1393</v>
      </c>
      <c r="K953" s="104">
        <f t="shared" si="1024"/>
        <v>-4087</v>
      </c>
      <c r="L953" s="113">
        <f t="shared" si="1024"/>
        <v>-1718</v>
      </c>
      <c r="M953" s="113">
        <f t="shared" si="1025"/>
        <v>-1536</v>
      </c>
      <c r="N953" s="113">
        <f t="shared" si="1025"/>
        <v>-1833</v>
      </c>
      <c r="O953" s="113">
        <f t="shared" si="1025"/>
        <v>-1440</v>
      </c>
      <c r="P953" s="104">
        <f t="shared" si="1026"/>
        <v>-6527</v>
      </c>
      <c r="Q953" s="113">
        <f t="shared" si="1026"/>
        <v>-1303</v>
      </c>
      <c r="R953" s="113">
        <f t="shared" si="1027"/>
        <v>-485</v>
      </c>
      <c r="S953" s="113">
        <f t="shared" si="1027"/>
        <v>-1035</v>
      </c>
      <c r="T953" s="113">
        <f t="shared" si="1027"/>
        <v>-3272</v>
      </c>
      <c r="U953" s="104">
        <f t="shared" si="1028"/>
        <v>-6095</v>
      </c>
      <c r="V953" s="113">
        <f t="shared" si="1028"/>
        <v>-2352</v>
      </c>
      <c r="W953" s="113">
        <f t="shared" si="1029"/>
        <v>-2039</v>
      </c>
      <c r="X953" s="113">
        <f t="shared" si="1029"/>
        <v>-1517</v>
      </c>
      <c r="Y953" s="113">
        <f t="shared" si="1029"/>
        <v>-1591</v>
      </c>
      <c r="Z953" s="104">
        <f t="shared" si="1030"/>
        <v>-7499</v>
      </c>
      <c r="AA953" s="113">
        <f t="shared" si="1030"/>
        <v>-1465</v>
      </c>
      <c r="AB953" s="113">
        <f t="shared" si="1031"/>
        <v>-2035</v>
      </c>
      <c r="AC953" s="113">
        <f t="shared" si="1031"/>
        <v>-2444</v>
      </c>
      <c r="AD953" s="113">
        <f t="shared" si="1031"/>
        <v>-3424</v>
      </c>
      <c r="AE953" s="104">
        <f t="shared" si="1032"/>
        <v>-9368</v>
      </c>
      <c r="AF953" s="113">
        <f t="shared" si="1032"/>
        <v>-1313</v>
      </c>
      <c r="AG953" s="113">
        <f t="shared" si="1033"/>
        <v>-1295</v>
      </c>
      <c r="AH953" s="113">
        <f t="shared" si="1033"/>
        <v>-969</v>
      </c>
      <c r="AI953" s="113">
        <f t="shared" si="1033"/>
        <v>0</v>
      </c>
      <c r="AJ953" s="104">
        <f t="shared" si="1034"/>
        <v>-3577</v>
      </c>
      <c r="AK953" s="113">
        <f t="shared" si="1034"/>
        <v>0</v>
      </c>
      <c r="AL953" s="113">
        <f t="shared" si="1035"/>
        <v>0</v>
      </c>
      <c r="AM953" s="113">
        <f t="shared" si="1035"/>
        <v>0</v>
      </c>
      <c r="AN953" s="113">
        <f t="shared" si="1035"/>
        <v>0</v>
      </c>
      <c r="AO953" s="104">
        <f t="shared" si="1036"/>
        <v>0</v>
      </c>
      <c r="AP953" s="113">
        <f t="shared" si="1036"/>
        <v>0</v>
      </c>
      <c r="AQ953" s="113">
        <f t="shared" si="1037"/>
        <v>0</v>
      </c>
      <c r="AR953" s="113">
        <f t="shared" si="1037"/>
        <v>0</v>
      </c>
      <c r="AS953" s="113">
        <f t="shared" si="1038"/>
        <v>0</v>
      </c>
      <c r="AT953" s="104">
        <f t="shared" si="1039"/>
        <v>0</v>
      </c>
      <c r="AU953" s="113">
        <f t="shared" si="1040"/>
        <v>0</v>
      </c>
      <c r="AV953" s="113">
        <f t="shared" si="1041"/>
        <v>0</v>
      </c>
      <c r="AW953" s="699">
        <f t="shared" si="1042"/>
        <v>0</v>
      </c>
      <c r="AX953" s="113">
        <f>AX817</f>
        <v>0</v>
      </c>
      <c r="AY953" s="104">
        <f t="shared" si="1043"/>
        <v>0</v>
      </c>
      <c r="AZ953" s="113">
        <f>AZ817</f>
        <v>0</v>
      </c>
      <c r="BA953" s="113">
        <f>BA817</f>
        <v>0</v>
      </c>
      <c r="BB953" s="113">
        <f>BB817</f>
        <v>0</v>
      </c>
      <c r="BC953" s="113">
        <f>BC817</f>
        <v>0</v>
      </c>
      <c r="BD953" s="104">
        <f t="shared" si="1044"/>
        <v>0</v>
      </c>
      <c r="BE953" s="104">
        <f>BE817</f>
        <v>0</v>
      </c>
      <c r="BF953" s="104">
        <f>BF817</f>
        <v>0</v>
      </c>
      <c r="BG953" s="104">
        <f>BG817</f>
        <v>0</v>
      </c>
      <c r="BH953" s="484"/>
    </row>
    <row r="954" spans="1:60" s="49" customFormat="1" x14ac:dyDescent="0.25">
      <c r="A954" s="483" t="str">
        <f t="shared" si="1021"/>
        <v>Proceeds from exercise of stock options</v>
      </c>
      <c r="B954" s="113"/>
      <c r="C954" s="39">
        <f t="shared" si="1022"/>
        <v>119</v>
      </c>
      <c r="D954" s="39">
        <f t="shared" si="1022"/>
        <v>1133</v>
      </c>
      <c r="E954" s="39">
        <f t="shared" si="1022"/>
        <v>1128</v>
      </c>
      <c r="F954" s="39">
        <f t="shared" si="1022"/>
        <v>1008</v>
      </c>
      <c r="G954" s="484">
        <f t="shared" si="1022"/>
        <v>124</v>
      </c>
      <c r="H954" s="484">
        <f t="shared" si="1023"/>
        <v>230</v>
      </c>
      <c r="I954" s="484">
        <f t="shared" si="1023"/>
        <v>164</v>
      </c>
      <c r="J954" s="484">
        <f t="shared" si="1023"/>
        <v>69</v>
      </c>
      <c r="K954" s="39">
        <f t="shared" si="1024"/>
        <v>587</v>
      </c>
      <c r="L954" s="484">
        <f t="shared" si="1024"/>
        <v>94</v>
      </c>
      <c r="M954" s="484">
        <f t="shared" si="1025"/>
        <v>201</v>
      </c>
      <c r="N954" s="484">
        <f t="shared" si="1025"/>
        <v>53</v>
      </c>
      <c r="O954" s="484">
        <f t="shared" si="1025"/>
        <v>56</v>
      </c>
      <c r="P954" s="39">
        <f t="shared" si="1026"/>
        <v>404</v>
      </c>
      <c r="Q954" s="484">
        <f t="shared" si="1026"/>
        <v>65</v>
      </c>
      <c r="R954" s="484">
        <f t="shared" si="1027"/>
        <v>170</v>
      </c>
      <c r="S954" s="484">
        <f t="shared" si="1027"/>
        <v>57</v>
      </c>
      <c r="T954" s="484">
        <f t="shared" si="1027"/>
        <v>37</v>
      </c>
      <c r="U954" s="39">
        <f t="shared" si="1028"/>
        <v>329</v>
      </c>
      <c r="V954" s="484">
        <f t="shared" si="1028"/>
        <v>52</v>
      </c>
      <c r="W954" s="484">
        <f t="shared" si="1029"/>
        <v>108</v>
      </c>
      <c r="X954" s="484">
        <f t="shared" si="1029"/>
        <v>56</v>
      </c>
      <c r="Y954" s="484">
        <f t="shared" si="1029"/>
        <v>43</v>
      </c>
      <c r="Z954" s="39">
        <f t="shared" si="1030"/>
        <v>259</v>
      </c>
      <c r="AA954" s="484">
        <f t="shared" si="1030"/>
        <v>65</v>
      </c>
      <c r="AB954" s="191">
        <f t="shared" si="1031"/>
        <v>121</v>
      </c>
      <c r="AC954" s="484">
        <f t="shared" si="1031"/>
        <v>70</v>
      </c>
      <c r="AD954" s="484">
        <f t="shared" si="1031"/>
        <v>20</v>
      </c>
      <c r="AE954" s="39">
        <f t="shared" si="1032"/>
        <v>276</v>
      </c>
      <c r="AF954" s="484">
        <f t="shared" si="1032"/>
        <v>50</v>
      </c>
      <c r="AG954" s="191">
        <f t="shared" si="1033"/>
        <v>41</v>
      </c>
      <c r="AH954" s="484">
        <f t="shared" si="1033"/>
        <v>38</v>
      </c>
      <c r="AI954" s="484">
        <f t="shared" si="1033"/>
        <v>81</v>
      </c>
      <c r="AJ954" s="39">
        <f t="shared" si="1034"/>
        <v>210</v>
      </c>
      <c r="AK954" s="484">
        <f t="shared" si="1034"/>
        <v>37</v>
      </c>
      <c r="AL954" s="191">
        <f t="shared" si="1035"/>
        <v>46</v>
      </c>
      <c r="AM954" s="484">
        <f t="shared" si="1035"/>
        <v>195</v>
      </c>
      <c r="AN954" s="484">
        <f t="shared" si="1035"/>
        <v>40</v>
      </c>
      <c r="AO954" s="39">
        <f t="shared" si="1036"/>
        <v>318</v>
      </c>
      <c r="AP954" s="484">
        <f t="shared" si="1036"/>
        <v>126</v>
      </c>
      <c r="AQ954" s="191">
        <f t="shared" si="1037"/>
        <v>81</v>
      </c>
      <c r="AR954" s="484">
        <f t="shared" si="1037"/>
        <v>31</v>
      </c>
      <c r="AS954" s="484">
        <f t="shared" si="1038"/>
        <v>67</v>
      </c>
      <c r="AT954" s="39">
        <f t="shared" si="1039"/>
        <v>305</v>
      </c>
      <c r="AU954" s="484">
        <f t="shared" si="1040"/>
        <v>209</v>
      </c>
      <c r="AV954" s="191">
        <f t="shared" si="1041"/>
        <v>185</v>
      </c>
      <c r="AW954" s="289">
        <f t="shared" si="1042"/>
        <v>11</v>
      </c>
      <c r="AX954" s="113"/>
      <c r="AY954" s="104">
        <f t="shared" si="1043"/>
        <v>405</v>
      </c>
      <c r="AZ954" s="113"/>
      <c r="BA954" s="113"/>
      <c r="BB954" s="113"/>
      <c r="BC954" s="113"/>
      <c r="BD954" s="104">
        <f t="shared" si="1044"/>
        <v>0</v>
      </c>
      <c r="BE954" s="104"/>
      <c r="BF954" s="104"/>
      <c r="BG954" s="104"/>
      <c r="BH954" s="484"/>
    </row>
    <row r="955" spans="1:60" s="49" customFormat="1" x14ac:dyDescent="0.25">
      <c r="A955" s="483" t="str">
        <f t="shared" si="1021"/>
        <v>Contributions from Noncontrolling Interest Holders</v>
      </c>
      <c r="B955" s="113"/>
      <c r="C955" s="39">
        <f t="shared" si="1022"/>
        <v>0</v>
      </c>
      <c r="D955" s="39">
        <f t="shared" si="1022"/>
        <v>0</v>
      </c>
      <c r="E955" s="39">
        <f t="shared" si="1022"/>
        <v>0</v>
      </c>
      <c r="F955" s="39">
        <f t="shared" si="1022"/>
        <v>0</v>
      </c>
      <c r="G955" s="484">
        <f t="shared" si="1022"/>
        <v>0</v>
      </c>
      <c r="H955" s="484">
        <f t="shared" si="1023"/>
        <v>0</v>
      </c>
      <c r="I955" s="484">
        <f t="shared" si="1023"/>
        <v>0</v>
      </c>
      <c r="J955" s="484">
        <f t="shared" si="1023"/>
        <v>505</v>
      </c>
      <c r="K955" s="39">
        <f t="shared" si="1024"/>
        <v>505</v>
      </c>
      <c r="L955" s="484">
        <f t="shared" si="1024"/>
        <v>0</v>
      </c>
      <c r="M955" s="484">
        <f t="shared" si="1025"/>
        <v>441</v>
      </c>
      <c r="N955" s="484">
        <f t="shared" si="1025"/>
        <v>167</v>
      </c>
      <c r="O955" s="484">
        <f t="shared" si="1025"/>
        <v>0</v>
      </c>
      <c r="P955" s="39">
        <f t="shared" si="1026"/>
        <v>608</v>
      </c>
      <c r="Q955" s="484">
        <f t="shared" si="1026"/>
        <v>351</v>
      </c>
      <c r="R955" s="484">
        <f t="shared" si="1027"/>
        <v>478</v>
      </c>
      <c r="S955" s="484">
        <f t="shared" si="1027"/>
        <v>183</v>
      </c>
      <c r="T955" s="484">
        <f t="shared" si="1027"/>
        <v>0</v>
      </c>
      <c r="U955" s="39">
        <f t="shared" si="1028"/>
        <v>1012</v>
      </c>
      <c r="V955" s="484">
        <f t="shared" si="1028"/>
        <v>0</v>
      </c>
      <c r="W955" s="484">
        <f t="shared" si="1029"/>
        <v>0</v>
      </c>
      <c r="X955" s="484">
        <f t="shared" si="1029"/>
        <v>0</v>
      </c>
      <c r="Y955" s="484">
        <f t="shared" si="1029"/>
        <v>0</v>
      </c>
      <c r="Z955" s="39">
        <f t="shared" si="1030"/>
        <v>0</v>
      </c>
      <c r="AA955" s="484">
        <f t="shared" si="1030"/>
        <v>0</v>
      </c>
      <c r="AB955" s="191">
        <f t="shared" si="1031"/>
        <v>0</v>
      </c>
      <c r="AC955" s="484">
        <f t="shared" si="1031"/>
        <v>0</v>
      </c>
      <c r="AD955" s="484">
        <f t="shared" si="1031"/>
        <v>17</v>
      </c>
      <c r="AE955" s="39">
        <f t="shared" si="1032"/>
        <v>17</v>
      </c>
      <c r="AF955" s="484">
        <f t="shared" si="1032"/>
        <v>0</v>
      </c>
      <c r="AG955" s="191">
        <f t="shared" si="1033"/>
        <v>0</v>
      </c>
      <c r="AH955" s="484">
        <f t="shared" si="1033"/>
        <v>0</v>
      </c>
      <c r="AI955" s="484">
        <f t="shared" si="1033"/>
        <v>399</v>
      </c>
      <c r="AJ955" s="39">
        <f t="shared" si="1034"/>
        <v>399</v>
      </c>
      <c r="AK955" s="484">
        <f t="shared" si="1034"/>
        <v>0</v>
      </c>
      <c r="AL955" s="191">
        <f t="shared" si="1035"/>
        <v>0</v>
      </c>
      <c r="AM955" s="484">
        <f t="shared" si="1035"/>
        <v>544</v>
      </c>
      <c r="AN955" s="484">
        <f t="shared" si="1035"/>
        <v>193</v>
      </c>
      <c r="AO955" s="39">
        <f t="shared" si="1036"/>
        <v>737</v>
      </c>
      <c r="AP955" s="484">
        <f t="shared" si="1036"/>
        <v>0</v>
      </c>
      <c r="AQ955" s="191">
        <f t="shared" si="1037"/>
        <v>0</v>
      </c>
      <c r="AR955" s="484">
        <f t="shared" si="1037"/>
        <v>0</v>
      </c>
      <c r="AS955" s="484">
        <f t="shared" si="1038"/>
        <v>94</v>
      </c>
      <c r="AT955" s="39">
        <f t="shared" si="1039"/>
        <v>94</v>
      </c>
      <c r="AU955" s="484">
        <f t="shared" si="1040"/>
        <v>0</v>
      </c>
      <c r="AV955" s="191">
        <f t="shared" si="1041"/>
        <v>0</v>
      </c>
      <c r="AW955" s="289">
        <f t="shared" si="1042"/>
        <v>0</v>
      </c>
      <c r="AX955" s="113"/>
      <c r="AY955" s="104">
        <f t="shared" si="1043"/>
        <v>0</v>
      </c>
      <c r="AZ955" s="113"/>
      <c r="BA955" s="113"/>
      <c r="BB955" s="113"/>
      <c r="BC955" s="113"/>
      <c r="BD955" s="104">
        <f t="shared" si="1044"/>
        <v>0</v>
      </c>
      <c r="BE955" s="104"/>
      <c r="BF955" s="104"/>
      <c r="BG955" s="104"/>
      <c r="BH955" s="484"/>
    </row>
    <row r="956" spans="1:60" s="283" customFormat="1" x14ac:dyDescent="0.25">
      <c r="A956" s="483" t="str">
        <f t="shared" si="1021"/>
        <v>Acquisition of noncontrolling and redeemable noncontrolling interests</v>
      </c>
      <c r="B956" s="113"/>
      <c r="C956" s="39">
        <f t="shared" si="1022"/>
        <v>0</v>
      </c>
      <c r="D956" s="39">
        <f t="shared" si="1022"/>
        <v>0</v>
      </c>
      <c r="E956" s="39">
        <f t="shared" si="1022"/>
        <v>0</v>
      </c>
      <c r="F956" s="39">
        <f t="shared" si="1022"/>
        <v>0</v>
      </c>
      <c r="G956" s="484">
        <f t="shared" si="1022"/>
        <v>0</v>
      </c>
      <c r="H956" s="484">
        <f t="shared" si="1023"/>
        <v>0</v>
      </c>
      <c r="I956" s="484">
        <f t="shared" si="1023"/>
        <v>0</v>
      </c>
      <c r="J956" s="484">
        <f t="shared" si="1023"/>
        <v>0</v>
      </c>
      <c r="K956" s="39">
        <f t="shared" si="1024"/>
        <v>0</v>
      </c>
      <c r="L956" s="484">
        <f t="shared" si="1024"/>
        <v>0</v>
      </c>
      <c r="M956" s="484">
        <f t="shared" si="1025"/>
        <v>0</v>
      </c>
      <c r="N956" s="484">
        <f t="shared" si="1025"/>
        <v>0</v>
      </c>
      <c r="O956" s="484">
        <f t="shared" si="1025"/>
        <v>0</v>
      </c>
      <c r="P956" s="39">
        <f t="shared" si="1026"/>
        <v>0</v>
      </c>
      <c r="Q956" s="484">
        <f t="shared" si="1026"/>
        <v>0</v>
      </c>
      <c r="R956" s="484">
        <f t="shared" si="1027"/>
        <v>0</v>
      </c>
      <c r="S956" s="484">
        <f t="shared" si="1027"/>
        <v>0</v>
      </c>
      <c r="T956" s="484">
        <f t="shared" si="1027"/>
        <v>0</v>
      </c>
      <c r="U956" s="39">
        <f t="shared" si="1028"/>
        <v>0</v>
      </c>
      <c r="V956" s="484">
        <f t="shared" si="1028"/>
        <v>0</v>
      </c>
      <c r="W956" s="484">
        <f t="shared" si="1029"/>
        <v>0</v>
      </c>
      <c r="X956" s="484">
        <f t="shared" si="1029"/>
        <v>0</v>
      </c>
      <c r="Y956" s="484">
        <f t="shared" si="1029"/>
        <v>0</v>
      </c>
      <c r="Z956" s="39">
        <f t="shared" si="1030"/>
        <v>0</v>
      </c>
      <c r="AA956" s="484">
        <f t="shared" si="1030"/>
        <v>0</v>
      </c>
      <c r="AB956" s="191">
        <f t="shared" si="1031"/>
        <v>0</v>
      </c>
      <c r="AC956" s="484">
        <f t="shared" si="1031"/>
        <v>0</v>
      </c>
      <c r="AD956" s="484">
        <f t="shared" si="1031"/>
        <v>0</v>
      </c>
      <c r="AE956" s="39">
        <f t="shared" si="1032"/>
        <v>0</v>
      </c>
      <c r="AF956" s="484">
        <f t="shared" si="1032"/>
        <v>0</v>
      </c>
      <c r="AG956" s="191">
        <f t="shared" si="1033"/>
        <v>0</v>
      </c>
      <c r="AH956" s="484">
        <f t="shared" si="1033"/>
        <v>0</v>
      </c>
      <c r="AI956" s="484">
        <f t="shared" si="1033"/>
        <v>0</v>
      </c>
      <c r="AJ956" s="39">
        <f t="shared" si="1034"/>
        <v>0</v>
      </c>
      <c r="AK956" s="484">
        <f t="shared" si="1034"/>
        <v>0</v>
      </c>
      <c r="AL956" s="191">
        <f t="shared" si="1035"/>
        <v>0</v>
      </c>
      <c r="AM956" s="484">
        <f t="shared" si="1035"/>
        <v>-1430</v>
      </c>
      <c r="AN956" s="484">
        <f t="shared" si="1035"/>
        <v>0</v>
      </c>
      <c r="AO956" s="39">
        <f t="shared" si="1036"/>
        <v>-1430</v>
      </c>
      <c r="AP956" s="484">
        <f t="shared" si="1036"/>
        <v>0</v>
      </c>
      <c r="AQ956" s="191">
        <f t="shared" si="1037"/>
        <v>0</v>
      </c>
      <c r="AR956" s="484">
        <f t="shared" si="1037"/>
        <v>0</v>
      </c>
      <c r="AS956" s="484">
        <f t="shared" si="1038"/>
        <v>0</v>
      </c>
      <c r="AT956" s="39">
        <f t="shared" si="1039"/>
        <v>0</v>
      </c>
      <c r="AU956" s="484">
        <f t="shared" si="1040"/>
        <v>0</v>
      </c>
      <c r="AV956" s="191">
        <f t="shared" si="1041"/>
        <v>0</v>
      </c>
      <c r="AW956" s="289">
        <f t="shared" si="1042"/>
        <v>0</v>
      </c>
      <c r="AX956" s="113"/>
      <c r="AY956" s="104">
        <f t="shared" si="1043"/>
        <v>0</v>
      </c>
      <c r="AZ956" s="113"/>
      <c r="BA956" s="113"/>
      <c r="BB956" s="113"/>
      <c r="BC956" s="113"/>
      <c r="BD956" s="104">
        <f t="shared" si="1044"/>
        <v>0</v>
      </c>
      <c r="BE956" s="104"/>
      <c r="BF956" s="104"/>
      <c r="BG956" s="104"/>
      <c r="BH956" s="484"/>
    </row>
    <row r="957" spans="1:60" s="49" customFormat="1" x14ac:dyDescent="0.25">
      <c r="A957" s="483" t="str">
        <f t="shared" si="1021"/>
        <v>Other</v>
      </c>
      <c r="B957" s="113"/>
      <c r="C957" s="39">
        <f t="shared" si="1022"/>
        <v>-592</v>
      </c>
      <c r="D957" s="39">
        <f t="shared" si="1022"/>
        <v>-293</v>
      </c>
      <c r="E957" s="39">
        <f t="shared" si="1022"/>
        <v>-259</v>
      </c>
      <c r="F957" s="39">
        <f t="shared" si="1022"/>
        <v>-326</v>
      </c>
      <c r="G957" s="484">
        <f t="shared" si="1022"/>
        <v>101</v>
      </c>
      <c r="H957" s="484">
        <f t="shared" si="1023"/>
        <v>228</v>
      </c>
      <c r="I957" s="484">
        <f t="shared" si="1023"/>
        <v>-348</v>
      </c>
      <c r="J957" s="484">
        <f t="shared" si="1023"/>
        <v>-255</v>
      </c>
      <c r="K957" s="39">
        <f t="shared" si="1024"/>
        <v>-274</v>
      </c>
      <c r="L957" s="484">
        <f t="shared" si="1024"/>
        <v>218</v>
      </c>
      <c r="M957" s="484">
        <f t="shared" si="1025"/>
        <v>0</v>
      </c>
      <c r="N957" s="484">
        <f t="shared" si="1025"/>
        <v>-553</v>
      </c>
      <c r="O957" s="484">
        <f t="shared" si="1025"/>
        <v>15</v>
      </c>
      <c r="P957" s="39">
        <f t="shared" si="1026"/>
        <v>-320</v>
      </c>
      <c r="Q957" s="484">
        <f t="shared" si="1026"/>
        <v>66</v>
      </c>
      <c r="R957" s="484">
        <f t="shared" si="1027"/>
        <v>143</v>
      </c>
      <c r="S957" s="484">
        <f t="shared" si="1027"/>
        <v>-510</v>
      </c>
      <c r="T957" s="484">
        <f t="shared" si="1027"/>
        <v>-101</v>
      </c>
      <c r="U957" s="39">
        <f t="shared" si="1028"/>
        <v>-402</v>
      </c>
      <c r="V957" s="484">
        <f t="shared" si="1028"/>
        <v>107</v>
      </c>
      <c r="W957" s="484">
        <f t="shared" si="1029"/>
        <v>-538</v>
      </c>
      <c r="X957" s="484">
        <f t="shared" si="1029"/>
        <v>42</v>
      </c>
      <c r="Y957" s="484">
        <f t="shared" si="1029"/>
        <v>11</v>
      </c>
      <c r="Z957" s="39">
        <f t="shared" si="1030"/>
        <v>-378</v>
      </c>
      <c r="AA957" s="484">
        <f t="shared" si="1030"/>
        <v>-167</v>
      </c>
      <c r="AB957" s="191">
        <f t="shared" si="1031"/>
        <v>-65</v>
      </c>
      <c r="AC957" s="484">
        <f t="shared" si="1031"/>
        <v>-840</v>
      </c>
      <c r="AD957" s="484">
        <f t="shared" si="1031"/>
        <v>-70</v>
      </c>
      <c r="AE957" s="39">
        <f t="shared" si="1032"/>
        <v>-1142</v>
      </c>
      <c r="AF957" s="484">
        <f t="shared" si="1032"/>
        <v>-156</v>
      </c>
      <c r="AG957" s="191">
        <f t="shared" si="1033"/>
        <v>-13</v>
      </c>
      <c r="AH957" s="484">
        <f t="shared" si="1033"/>
        <v>-251</v>
      </c>
      <c r="AI957" s="484">
        <f t="shared" si="1033"/>
        <v>-357</v>
      </c>
      <c r="AJ957" s="39">
        <f t="shared" si="1034"/>
        <v>-777</v>
      </c>
      <c r="AK957" s="484">
        <f t="shared" si="1034"/>
        <v>-146</v>
      </c>
      <c r="AL957" s="191">
        <f t="shared" si="1035"/>
        <v>-54</v>
      </c>
      <c r="AM957" s="484">
        <f t="shared" si="1035"/>
        <v>-631</v>
      </c>
      <c r="AN957" s="484">
        <f t="shared" si="1035"/>
        <v>-40</v>
      </c>
      <c r="AO957" s="39">
        <f t="shared" si="1036"/>
        <v>-871</v>
      </c>
      <c r="AP957" s="484">
        <f t="shared" si="1036"/>
        <v>-186</v>
      </c>
      <c r="AQ957" s="191">
        <f t="shared" si="1037"/>
        <v>21</v>
      </c>
      <c r="AR957" s="484">
        <f t="shared" si="1037"/>
        <v>-673</v>
      </c>
      <c r="AS957" s="484">
        <f t="shared" si="1038"/>
        <v>-727</v>
      </c>
      <c r="AT957" s="39">
        <f t="shared" si="1039"/>
        <v>-1565</v>
      </c>
      <c r="AU957" s="484">
        <f t="shared" si="1040"/>
        <v>-225</v>
      </c>
      <c r="AV957" s="191">
        <f t="shared" si="1041"/>
        <v>-544</v>
      </c>
      <c r="AW957" s="289">
        <f t="shared" si="1042"/>
        <v>-32</v>
      </c>
      <c r="AX957" s="113"/>
      <c r="AY957" s="104">
        <f t="shared" si="1043"/>
        <v>-801</v>
      </c>
      <c r="AZ957" s="113"/>
      <c r="BA957" s="113"/>
      <c r="BB957" s="113"/>
      <c r="BC957" s="113"/>
      <c r="BD957" s="104">
        <f t="shared" si="1044"/>
        <v>0</v>
      </c>
      <c r="BE957" s="104"/>
      <c r="BF957" s="104"/>
      <c r="BG957" s="104"/>
      <c r="BH957" s="484"/>
    </row>
    <row r="958" spans="1:60" s="470" customFormat="1" x14ac:dyDescent="0.25">
      <c r="A958" s="483" t="str">
        <f t="shared" si="1021"/>
        <v>Cash used in financing activities - discontinued operations</v>
      </c>
      <c r="B958" s="113"/>
      <c r="C958" s="39">
        <f t="shared" si="1022"/>
        <v>0</v>
      </c>
      <c r="D958" s="39">
        <f t="shared" si="1022"/>
        <v>0</v>
      </c>
      <c r="E958" s="39">
        <f t="shared" si="1022"/>
        <v>0</v>
      </c>
      <c r="F958" s="39">
        <f t="shared" si="1022"/>
        <v>0</v>
      </c>
      <c r="G958" s="484">
        <f t="shared" si="1022"/>
        <v>0</v>
      </c>
      <c r="H958" s="484">
        <f t="shared" si="1023"/>
        <v>0</v>
      </c>
      <c r="I958" s="484">
        <f t="shared" si="1023"/>
        <v>0</v>
      </c>
      <c r="J958" s="484">
        <f t="shared" si="1023"/>
        <v>0</v>
      </c>
      <c r="K958" s="39">
        <f t="shared" si="1024"/>
        <v>0</v>
      </c>
      <c r="L958" s="484">
        <f t="shared" si="1024"/>
        <v>0</v>
      </c>
      <c r="M958" s="484">
        <f t="shared" si="1025"/>
        <v>0</v>
      </c>
      <c r="N958" s="484">
        <f t="shared" si="1025"/>
        <v>0</v>
      </c>
      <c r="O958" s="484">
        <f t="shared" si="1025"/>
        <v>0</v>
      </c>
      <c r="P958" s="39">
        <f t="shared" si="1026"/>
        <v>0</v>
      </c>
      <c r="Q958" s="484">
        <f t="shared" si="1026"/>
        <v>0</v>
      </c>
      <c r="R958" s="484">
        <f t="shared" si="1027"/>
        <v>0</v>
      </c>
      <c r="S958" s="484">
        <f t="shared" si="1027"/>
        <v>0</v>
      </c>
      <c r="T958" s="484">
        <f t="shared" si="1027"/>
        <v>0</v>
      </c>
      <c r="U958" s="39">
        <f t="shared" si="1028"/>
        <v>0</v>
      </c>
      <c r="V958" s="484">
        <f t="shared" si="1028"/>
        <v>0</v>
      </c>
      <c r="W958" s="484">
        <f t="shared" si="1029"/>
        <v>0</v>
      </c>
      <c r="X958" s="484">
        <f t="shared" si="1029"/>
        <v>0</v>
      </c>
      <c r="Y958" s="484">
        <f t="shared" si="1029"/>
        <v>0</v>
      </c>
      <c r="Z958" s="39">
        <f t="shared" si="1030"/>
        <v>0</v>
      </c>
      <c r="AA958" s="484">
        <f t="shared" si="1030"/>
        <v>0</v>
      </c>
      <c r="AB958" s="191">
        <f t="shared" si="1031"/>
        <v>0</v>
      </c>
      <c r="AC958" s="484">
        <f t="shared" si="1031"/>
        <v>0</v>
      </c>
      <c r="AD958" s="484">
        <f t="shared" si="1031"/>
        <v>0</v>
      </c>
      <c r="AE958" s="39">
        <f t="shared" si="1032"/>
        <v>0</v>
      </c>
      <c r="AF958" s="484">
        <f t="shared" si="1032"/>
        <v>0</v>
      </c>
      <c r="AG958" s="191">
        <f t="shared" si="1033"/>
        <v>0</v>
      </c>
      <c r="AH958" s="484">
        <f t="shared" si="1033"/>
        <v>0</v>
      </c>
      <c r="AI958" s="484">
        <f t="shared" si="1033"/>
        <v>0</v>
      </c>
      <c r="AJ958" s="39">
        <f t="shared" si="1034"/>
        <v>0</v>
      </c>
      <c r="AK958" s="484">
        <f t="shared" si="1034"/>
        <v>0</v>
      </c>
      <c r="AL958" s="191">
        <f t="shared" si="1035"/>
        <v>0</v>
      </c>
      <c r="AM958" s="484">
        <f t="shared" si="1035"/>
        <v>-179</v>
      </c>
      <c r="AN958" s="484">
        <f t="shared" si="1035"/>
        <v>-447</v>
      </c>
      <c r="AO958" s="39">
        <f t="shared" si="1036"/>
        <v>-626</v>
      </c>
      <c r="AP958" s="484">
        <f t="shared" si="1036"/>
        <v>0</v>
      </c>
      <c r="AQ958" s="191">
        <f t="shared" si="1037"/>
        <v>0</v>
      </c>
      <c r="AR958" s="484">
        <f t="shared" si="1037"/>
        <v>0</v>
      </c>
      <c r="AS958" s="484">
        <f t="shared" si="1038"/>
        <v>0</v>
      </c>
      <c r="AT958" s="39">
        <f t="shared" si="1039"/>
        <v>0</v>
      </c>
      <c r="AU958" s="484">
        <f t="shared" si="1040"/>
        <v>0</v>
      </c>
      <c r="AV958" s="191">
        <f t="shared" si="1041"/>
        <v>0</v>
      </c>
      <c r="AW958" s="289">
        <f t="shared" si="1042"/>
        <v>0</v>
      </c>
      <c r="AX958" s="113"/>
      <c r="AY958" s="104">
        <f t="shared" si="1043"/>
        <v>0</v>
      </c>
      <c r="AZ958" s="113"/>
      <c r="BA958" s="113"/>
      <c r="BB958" s="113"/>
      <c r="BC958" s="113"/>
      <c r="BD958" s="104">
        <f t="shared" si="1044"/>
        <v>0</v>
      </c>
      <c r="BE958" s="104"/>
      <c r="BF958" s="104"/>
      <c r="BG958" s="104"/>
      <c r="BH958" s="484"/>
    </row>
    <row r="959" spans="1:60" s="52" customFormat="1" x14ac:dyDescent="0.25">
      <c r="A959" s="500" t="str">
        <f t="shared" si="1021"/>
        <v>Net CFF</v>
      </c>
      <c r="B959" s="775"/>
      <c r="C959" s="53">
        <f t="shared" ref="C959:AH959" si="1045">SUM(C949:C958)</f>
        <v>-3111</v>
      </c>
      <c r="D959" s="53">
        <f t="shared" si="1045"/>
        <v>-2663</v>
      </c>
      <c r="E959" s="53">
        <f t="shared" si="1045"/>
        <v>-3233</v>
      </c>
      <c r="F959" s="53">
        <f t="shared" si="1045"/>
        <v>-2985</v>
      </c>
      <c r="G959" s="61">
        <f t="shared" si="1045"/>
        <v>1136</v>
      </c>
      <c r="H959" s="61">
        <f t="shared" si="1045"/>
        <v>-826</v>
      </c>
      <c r="I959" s="61">
        <f t="shared" si="1045"/>
        <v>-2746</v>
      </c>
      <c r="J959" s="61">
        <f t="shared" si="1045"/>
        <v>-1778</v>
      </c>
      <c r="K959" s="53">
        <f t="shared" si="1045"/>
        <v>-4214</v>
      </c>
      <c r="L959" s="61">
        <f t="shared" si="1045"/>
        <v>-237</v>
      </c>
      <c r="M959" s="61">
        <f t="shared" si="1045"/>
        <v>-2201</v>
      </c>
      <c r="N959" s="61">
        <f t="shared" si="1045"/>
        <v>-1652</v>
      </c>
      <c r="O959" s="61">
        <f t="shared" si="1045"/>
        <v>-2620</v>
      </c>
      <c r="P959" s="53">
        <f t="shared" si="1045"/>
        <v>-6710</v>
      </c>
      <c r="Q959" s="61">
        <f t="shared" si="1045"/>
        <v>897</v>
      </c>
      <c r="R959" s="61">
        <f t="shared" si="1045"/>
        <v>-3242</v>
      </c>
      <c r="S959" s="61">
        <f t="shared" si="1045"/>
        <v>-896</v>
      </c>
      <c r="T959" s="61">
        <f t="shared" si="1045"/>
        <v>-2273</v>
      </c>
      <c r="U959" s="53">
        <f t="shared" si="1045"/>
        <v>-5514</v>
      </c>
      <c r="V959" s="61">
        <f t="shared" si="1045"/>
        <v>-468</v>
      </c>
      <c r="W959" s="61">
        <f t="shared" si="1045"/>
        <v>-1513</v>
      </c>
      <c r="X959" s="61">
        <f t="shared" si="1045"/>
        <v>-2110</v>
      </c>
      <c r="Y959" s="61">
        <f t="shared" si="1045"/>
        <v>-2900</v>
      </c>
      <c r="Z959" s="53">
        <f t="shared" si="1045"/>
        <v>-6991</v>
      </c>
      <c r="AA959" s="61">
        <f t="shared" si="1045"/>
        <v>-987</v>
      </c>
      <c r="AB959" s="192">
        <f t="shared" si="1045"/>
        <v>-2062</v>
      </c>
      <c r="AC959" s="61">
        <f t="shared" si="1045"/>
        <v>-2743</v>
      </c>
      <c r="AD959" s="61">
        <f t="shared" si="1045"/>
        <v>-3167</v>
      </c>
      <c r="AE959" s="53">
        <f t="shared" si="1045"/>
        <v>-8959</v>
      </c>
      <c r="AF959" s="61">
        <f t="shared" si="1045"/>
        <v>-584</v>
      </c>
      <c r="AG959" s="192">
        <f t="shared" si="1045"/>
        <v>-2298</v>
      </c>
      <c r="AH959" s="61">
        <f t="shared" si="1045"/>
        <v>-2099</v>
      </c>
      <c r="AI959" s="61">
        <f t="shared" ref="AI959:AY959" si="1046">SUM(AI949:AI958)</f>
        <v>-3862</v>
      </c>
      <c r="AJ959" s="53">
        <f t="shared" si="1046"/>
        <v>-8843</v>
      </c>
      <c r="AK959" s="61">
        <f t="shared" si="1046"/>
        <v>-411</v>
      </c>
      <c r="AL959" s="192">
        <f t="shared" si="1046"/>
        <v>13107</v>
      </c>
      <c r="AM959" s="61">
        <f t="shared" si="1046"/>
        <v>-342</v>
      </c>
      <c r="AN959" s="61">
        <f t="shared" si="1046"/>
        <v>-13444</v>
      </c>
      <c r="AO959" s="53">
        <f t="shared" si="1046"/>
        <v>-1090</v>
      </c>
      <c r="AP959" s="61">
        <f t="shared" si="1046"/>
        <v>1117</v>
      </c>
      <c r="AQ959" s="192">
        <f t="shared" si="1046"/>
        <v>5499</v>
      </c>
      <c r="AR959" s="61">
        <f t="shared" si="1046"/>
        <v>8303</v>
      </c>
      <c r="AS959" s="61">
        <f>SUM(AS949:AS958)</f>
        <v>-6439</v>
      </c>
      <c r="AT959" s="53">
        <f>SUM(AT949:AT958)</f>
        <v>8480</v>
      </c>
      <c r="AU959" s="61">
        <f>SUM(AU949:AU958)</f>
        <v>-333</v>
      </c>
      <c r="AV959" s="192">
        <f>SUM(AV949:AV958)</f>
        <v>-1908</v>
      </c>
      <c r="AW959" s="872">
        <f>SUM(AW949:AW958)</f>
        <v>-530</v>
      </c>
      <c r="AX959" s="105">
        <f t="shared" ca="1" si="1046"/>
        <v>-1599.84</v>
      </c>
      <c r="AY959" s="106">
        <f t="shared" ca="1" si="1046"/>
        <v>-4370.84</v>
      </c>
      <c r="AZ959" s="105">
        <f t="shared" ref="AZ959:BG959" ca="1" si="1047">SUM(AZ949:AZ958)</f>
        <v>0</v>
      </c>
      <c r="BA959" s="105">
        <f t="shared" ca="1" si="1047"/>
        <v>-1599.84</v>
      </c>
      <c r="BB959" s="105">
        <f t="shared" ca="1" si="1047"/>
        <v>0</v>
      </c>
      <c r="BC959" s="105">
        <f t="shared" ca="1" si="1047"/>
        <v>-1599.84</v>
      </c>
      <c r="BD959" s="106">
        <f t="shared" ca="1" si="1047"/>
        <v>-3199.68</v>
      </c>
      <c r="BE959" s="106">
        <f t="shared" ca="1" si="1047"/>
        <v>-3199.68</v>
      </c>
      <c r="BF959" s="106">
        <f t="shared" ca="1" si="1047"/>
        <v>-3199.68</v>
      </c>
      <c r="BG959" s="106">
        <f t="shared" ca="1" si="1047"/>
        <v>-3199.68</v>
      </c>
      <c r="BH959" s="499"/>
    </row>
    <row r="960" spans="1:60" s="52" customFormat="1" x14ac:dyDescent="0.25">
      <c r="A960" s="635"/>
      <c r="B960" s="602"/>
      <c r="C960" s="111"/>
      <c r="D960" s="111"/>
      <c r="E960" s="111"/>
      <c r="F960" s="111"/>
      <c r="G960" s="114"/>
      <c r="H960" s="114"/>
      <c r="I960" s="114"/>
      <c r="J960" s="114"/>
      <c r="K960" s="111"/>
      <c r="L960" s="114"/>
      <c r="M960" s="114"/>
      <c r="N960" s="114"/>
      <c r="O960" s="114"/>
      <c r="P960" s="111"/>
      <c r="Q960" s="114"/>
      <c r="R960" s="114"/>
      <c r="S960" s="114"/>
      <c r="T960" s="114"/>
      <c r="U960" s="111"/>
      <c r="V960" s="114"/>
      <c r="W960" s="114"/>
      <c r="X960" s="114"/>
      <c r="Y960" s="114"/>
      <c r="Z960" s="111"/>
      <c r="AA960" s="114"/>
      <c r="AB960" s="114"/>
      <c r="AC960" s="114"/>
      <c r="AD960" s="114"/>
      <c r="AE960" s="111"/>
      <c r="AF960" s="114"/>
      <c r="AG960" s="114"/>
      <c r="AH960" s="114"/>
      <c r="AI960" s="114"/>
      <c r="AJ960" s="111"/>
      <c r="AK960" s="114"/>
      <c r="AL960" s="114"/>
      <c r="AM960" s="114"/>
      <c r="AN960" s="114"/>
      <c r="AO960" s="111"/>
      <c r="AP960" s="114"/>
      <c r="AQ960" s="114"/>
      <c r="AR960" s="114"/>
      <c r="AS960" s="114"/>
      <c r="AT960" s="111"/>
      <c r="AU960" s="114"/>
      <c r="AV960" s="114"/>
      <c r="AW960" s="765"/>
      <c r="AX960" s="114"/>
      <c r="AY960" s="111"/>
      <c r="AZ960" s="114"/>
      <c r="BA960" s="114"/>
      <c r="BB960" s="114"/>
      <c r="BC960" s="114"/>
      <c r="BD960" s="111"/>
      <c r="BE960" s="111"/>
      <c r="BF960" s="111"/>
      <c r="BG960" s="111"/>
      <c r="BH960" s="499"/>
    </row>
    <row r="961" spans="1:60" s="52" customFormat="1" x14ac:dyDescent="0.25">
      <c r="A961" s="501" t="str">
        <f>A910</f>
        <v>Cash used in operations - discontinued operations</v>
      </c>
      <c r="B961" s="602"/>
      <c r="C961" s="51">
        <f t="shared" ref="C961:G962" si="1048">C910</f>
        <v>0</v>
      </c>
      <c r="D961" s="51">
        <f t="shared" si="1048"/>
        <v>0</v>
      </c>
      <c r="E961" s="51">
        <f t="shared" si="1048"/>
        <v>0</v>
      </c>
      <c r="F961" s="51">
        <f t="shared" si="1048"/>
        <v>0</v>
      </c>
      <c r="G961" s="499">
        <f t="shared" si="1048"/>
        <v>0</v>
      </c>
      <c r="H961" s="499">
        <f t="shared" ref="H961:J962" si="1049">H910-G910</f>
        <v>0</v>
      </c>
      <c r="I961" s="499">
        <f t="shared" si="1049"/>
        <v>0</v>
      </c>
      <c r="J961" s="499">
        <f t="shared" si="1049"/>
        <v>0</v>
      </c>
      <c r="K961" s="51">
        <f>K910</f>
        <v>0</v>
      </c>
      <c r="L961" s="499">
        <f>L910</f>
        <v>0</v>
      </c>
      <c r="M961" s="499">
        <f t="shared" ref="M961:O962" si="1050">M910-L910</f>
        <v>0</v>
      </c>
      <c r="N961" s="499">
        <f t="shared" si="1050"/>
        <v>0</v>
      </c>
      <c r="O961" s="499">
        <f t="shared" si="1050"/>
        <v>0</v>
      </c>
      <c r="P961" s="51">
        <f>P910</f>
        <v>0</v>
      </c>
      <c r="Q961" s="499">
        <f>Q910</f>
        <v>0</v>
      </c>
      <c r="R961" s="499">
        <f t="shared" ref="R961:T962" si="1051">R910-Q910</f>
        <v>0</v>
      </c>
      <c r="S961" s="499">
        <f t="shared" si="1051"/>
        <v>0</v>
      </c>
      <c r="T961" s="499">
        <f t="shared" si="1051"/>
        <v>0</v>
      </c>
      <c r="U961" s="51">
        <f>U910</f>
        <v>0</v>
      </c>
      <c r="V961" s="499">
        <f>V910</f>
        <v>0</v>
      </c>
      <c r="W961" s="499">
        <f t="shared" ref="W961:Y962" si="1052">W910-V910</f>
        <v>0</v>
      </c>
      <c r="X961" s="499">
        <f t="shared" si="1052"/>
        <v>0</v>
      </c>
      <c r="Y961" s="499">
        <f t="shared" si="1052"/>
        <v>0</v>
      </c>
      <c r="Z961" s="51">
        <f>Z910</f>
        <v>0</v>
      </c>
      <c r="AA961" s="499">
        <f>AA910</f>
        <v>0</v>
      </c>
      <c r="AB961" s="194">
        <f t="shared" ref="AB961:AD962" si="1053">AB910-AA910</f>
        <v>0</v>
      </c>
      <c r="AC961" s="499">
        <f t="shared" si="1053"/>
        <v>0</v>
      </c>
      <c r="AD961" s="499">
        <f t="shared" si="1053"/>
        <v>0</v>
      </c>
      <c r="AE961" s="51">
        <f>AE910</f>
        <v>0</v>
      </c>
      <c r="AF961" s="499">
        <f>AF910</f>
        <v>0</v>
      </c>
      <c r="AG961" s="194">
        <f t="shared" ref="AG961:AI962" si="1054">AG910-AF910</f>
        <v>0</v>
      </c>
      <c r="AH961" s="499">
        <f t="shared" si="1054"/>
        <v>0</v>
      </c>
      <c r="AI961" s="499">
        <f t="shared" si="1054"/>
        <v>0</v>
      </c>
      <c r="AJ961" s="51">
        <f>AJ910</f>
        <v>0</v>
      </c>
      <c r="AK961" s="499">
        <f>AK910</f>
        <v>0</v>
      </c>
      <c r="AL961" s="194">
        <f t="shared" ref="AL961:AN962" si="1055">AL910-AK910</f>
        <v>-35</v>
      </c>
      <c r="AM961" s="499">
        <f t="shared" si="1055"/>
        <v>355</v>
      </c>
      <c r="AN961" s="499">
        <f t="shared" si="1055"/>
        <v>-320</v>
      </c>
      <c r="AO961" s="51">
        <f>AO910</f>
        <v>0</v>
      </c>
      <c r="AP961" s="499">
        <f>AP910</f>
        <v>0</v>
      </c>
      <c r="AQ961" s="194">
        <f t="shared" ref="AQ961:AS962" si="1056">AQ910-AP910</f>
        <v>4</v>
      </c>
      <c r="AR961" s="499">
        <f t="shared" si="1056"/>
        <v>-4</v>
      </c>
      <c r="AS961" s="499">
        <f t="shared" si="1056"/>
        <v>0</v>
      </c>
      <c r="AT961" s="51">
        <f>AT910</f>
        <v>0</v>
      </c>
      <c r="AU961" s="499">
        <f>AU910</f>
        <v>9</v>
      </c>
      <c r="AV961" s="194">
        <f>AV910-AU910</f>
        <v>-1</v>
      </c>
      <c r="AW961" s="873">
        <f>AW910-AV910</f>
        <v>-2</v>
      </c>
      <c r="AX961" s="73">
        <v>0</v>
      </c>
      <c r="AY961" s="51">
        <f>SUM(AU961,AV961,AW961,AX961)</f>
        <v>6</v>
      </c>
      <c r="AZ961" s="73">
        <v>0</v>
      </c>
      <c r="BA961" s="73">
        <v>0</v>
      </c>
      <c r="BB961" s="73">
        <v>0</v>
      </c>
      <c r="BC961" s="73">
        <v>0</v>
      </c>
      <c r="BD961" s="51">
        <f>SUM(AZ961,BA961,BB961,BC961)</f>
        <v>0</v>
      </c>
      <c r="BE961" s="55">
        <v>0</v>
      </c>
      <c r="BF961" s="55">
        <v>0</v>
      </c>
      <c r="BG961" s="55">
        <v>0</v>
      </c>
      <c r="BH961" s="499"/>
    </row>
    <row r="962" spans="1:60" s="49" customFormat="1" x14ac:dyDescent="0.25">
      <c r="A962" s="205" t="str">
        <f>A911</f>
        <v>FX</v>
      </c>
      <c r="B962" s="209"/>
      <c r="C962" s="39">
        <f t="shared" si="1048"/>
        <v>-37</v>
      </c>
      <c r="D962" s="39">
        <f t="shared" si="1048"/>
        <v>-87</v>
      </c>
      <c r="E962" s="39">
        <f t="shared" si="1048"/>
        <v>-12</v>
      </c>
      <c r="F962" s="39">
        <f t="shared" si="1048"/>
        <v>-20</v>
      </c>
      <c r="G962" s="484">
        <f t="shared" si="1048"/>
        <v>5</v>
      </c>
      <c r="H962" s="484">
        <f t="shared" si="1049"/>
        <v>-64</v>
      </c>
      <c r="I962" s="484">
        <f t="shared" si="1049"/>
        <v>-15</v>
      </c>
      <c r="J962" s="484">
        <f t="shared" si="1049"/>
        <v>56</v>
      </c>
      <c r="K962" s="39">
        <f>K911</f>
        <v>-18</v>
      </c>
      <c r="L962" s="484">
        <f>L911</f>
        <v>18</v>
      </c>
      <c r="M962" s="484">
        <f t="shared" si="1050"/>
        <v>-161</v>
      </c>
      <c r="N962" s="484">
        <f t="shared" si="1050"/>
        <v>9</v>
      </c>
      <c r="O962" s="484">
        <f t="shared" si="1050"/>
        <v>-101</v>
      </c>
      <c r="P962" s="39">
        <f>P911</f>
        <v>-235</v>
      </c>
      <c r="Q962" s="484">
        <f>Q911</f>
        <v>-105</v>
      </c>
      <c r="R962" s="484">
        <f t="shared" si="1051"/>
        <v>-172</v>
      </c>
      <c r="S962" s="484">
        <f t="shared" si="1051"/>
        <v>46</v>
      </c>
      <c r="T962" s="484">
        <f t="shared" si="1051"/>
        <v>-71</v>
      </c>
      <c r="U962" s="39">
        <f>U911</f>
        <v>-302</v>
      </c>
      <c r="V962" s="484">
        <f>V911</f>
        <v>-64</v>
      </c>
      <c r="W962" s="484">
        <f t="shared" si="1052"/>
        <v>67</v>
      </c>
      <c r="X962" s="484">
        <f t="shared" si="1052"/>
        <v>-114</v>
      </c>
      <c r="Y962" s="484">
        <f t="shared" si="1052"/>
        <v>-12</v>
      </c>
      <c r="Z962" s="39">
        <f>Z911</f>
        <v>-123</v>
      </c>
      <c r="AA962" s="484">
        <f>AA911</f>
        <v>-112</v>
      </c>
      <c r="AB962" s="191">
        <f t="shared" si="1053"/>
        <v>43</v>
      </c>
      <c r="AC962" s="484">
        <f t="shared" si="1053"/>
        <v>46</v>
      </c>
      <c r="AD962" s="484">
        <f t="shared" si="1053"/>
        <v>54</v>
      </c>
      <c r="AE962" s="39">
        <f>AE911</f>
        <v>31</v>
      </c>
      <c r="AF962" s="484">
        <f>AF911</f>
        <v>21</v>
      </c>
      <c r="AG962" s="191">
        <f t="shared" si="1054"/>
        <v>34</v>
      </c>
      <c r="AH962" s="484">
        <f t="shared" si="1054"/>
        <v>-106</v>
      </c>
      <c r="AI962" s="484">
        <f t="shared" si="1054"/>
        <v>26</v>
      </c>
      <c r="AJ962" s="39">
        <f>AJ911</f>
        <v>-25</v>
      </c>
      <c r="AK962" s="484">
        <f>AK911</f>
        <v>-44</v>
      </c>
      <c r="AL962" s="191">
        <f t="shared" si="1055"/>
        <v>119</v>
      </c>
      <c r="AM962" s="484">
        <f t="shared" si="1055"/>
        <v>-28</v>
      </c>
      <c r="AN962" s="484">
        <f t="shared" si="1055"/>
        <v>-145</v>
      </c>
      <c r="AO962" s="39">
        <f>AO911</f>
        <v>-98</v>
      </c>
      <c r="AP962" s="484">
        <f>AP911</f>
        <v>41</v>
      </c>
      <c r="AQ962" s="191">
        <f t="shared" si="1056"/>
        <v>-117</v>
      </c>
      <c r="AR962" s="484">
        <f t="shared" si="1056"/>
        <v>27</v>
      </c>
      <c r="AS962" s="484">
        <f t="shared" si="1056"/>
        <v>87</v>
      </c>
      <c r="AT962" s="39">
        <f>AT911</f>
        <v>38</v>
      </c>
      <c r="AU962" s="484">
        <f>AU911</f>
        <v>139</v>
      </c>
      <c r="AV962" s="191">
        <f>AV911-AU911</f>
        <v>-69</v>
      </c>
      <c r="AW962" s="289">
        <f>AW911-AV911</f>
        <v>7</v>
      </c>
      <c r="AX962" s="69">
        <v>0</v>
      </c>
      <c r="AY962" s="104">
        <f>SUM(AU962,AV962,AW962,AX962)</f>
        <v>77</v>
      </c>
      <c r="AZ962" s="69">
        <v>0</v>
      </c>
      <c r="BA962" s="69">
        <v>0</v>
      </c>
      <c r="BB962" s="69">
        <v>0</v>
      </c>
      <c r="BC962" s="69">
        <v>0</v>
      </c>
      <c r="BD962" s="104">
        <f>SUM(AZ962,BA962,BB962,BC962)</f>
        <v>0</v>
      </c>
      <c r="BE962" s="57">
        <v>0</v>
      </c>
      <c r="BF962" s="57">
        <v>0</v>
      </c>
      <c r="BG962" s="57">
        <v>0</v>
      </c>
      <c r="BH962" s="484"/>
    </row>
    <row r="963" spans="1:60" s="52" customFormat="1" x14ac:dyDescent="0.25">
      <c r="A963" s="501" t="str">
        <f>A912</f>
        <v>Net Change in Cash Balance</v>
      </c>
      <c r="B963" s="602"/>
      <c r="C963" s="51">
        <f t="shared" ref="C963:AH963" si="1057">C959+C946+C938+C962+C961</f>
        <v>416</v>
      </c>
      <c r="D963" s="51">
        <f t="shared" si="1057"/>
        <v>-695</v>
      </c>
      <c r="E963" s="51">
        <f t="shared" si="1057"/>
        <v>463</v>
      </c>
      <c r="F963" s="51">
        <f t="shared" si="1057"/>
        <v>202</v>
      </c>
      <c r="G963" s="499">
        <f t="shared" si="1057"/>
        <v>-180</v>
      </c>
      <c r="H963" s="499">
        <f t="shared" si="1057"/>
        <v>745</v>
      </c>
      <c r="I963" s="499">
        <f t="shared" si="1057"/>
        <v>-20</v>
      </c>
      <c r="J963" s="499">
        <f t="shared" si="1057"/>
        <v>-1</v>
      </c>
      <c r="K963" s="51">
        <f t="shared" si="1057"/>
        <v>544</v>
      </c>
      <c r="L963" s="499">
        <f t="shared" si="1057"/>
        <v>466</v>
      </c>
      <c r="M963" s="499">
        <f t="shared" si="1057"/>
        <v>-319</v>
      </c>
      <c r="N963" s="499">
        <f t="shared" si="1057"/>
        <v>12</v>
      </c>
      <c r="O963" s="499">
        <f t="shared" si="1057"/>
        <v>-669</v>
      </c>
      <c r="P963" s="51">
        <f t="shared" si="1057"/>
        <v>-510</v>
      </c>
      <c r="Q963" s="499">
        <f t="shared" si="1057"/>
        <v>1656</v>
      </c>
      <c r="R963" s="499">
        <f t="shared" si="1057"/>
        <v>-1332</v>
      </c>
      <c r="S963" s="499">
        <f t="shared" si="1057"/>
        <v>730</v>
      </c>
      <c r="T963" s="499">
        <f t="shared" si="1057"/>
        <v>-206</v>
      </c>
      <c r="U963" s="51">
        <f t="shared" si="1057"/>
        <v>848</v>
      </c>
      <c r="V963" s="499">
        <f t="shared" si="1057"/>
        <v>32</v>
      </c>
      <c r="W963" s="499">
        <f t="shared" si="1057"/>
        <v>714</v>
      </c>
      <c r="X963" s="499">
        <f t="shared" si="1057"/>
        <v>212</v>
      </c>
      <c r="Y963" s="499">
        <f t="shared" si="1057"/>
        <v>-617</v>
      </c>
      <c r="Z963" s="51">
        <f t="shared" si="1057"/>
        <v>341</v>
      </c>
      <c r="AA963" s="499">
        <f t="shared" si="1057"/>
        <v>-874</v>
      </c>
      <c r="AB963" s="194">
        <f t="shared" si="1057"/>
        <v>64</v>
      </c>
      <c r="AC963" s="499">
        <f t="shared" si="1057"/>
        <v>536</v>
      </c>
      <c r="AD963" s="499">
        <f t="shared" si="1057"/>
        <v>-422</v>
      </c>
      <c r="AE963" s="51">
        <f t="shared" si="1057"/>
        <v>-696</v>
      </c>
      <c r="AF963" s="499">
        <f t="shared" si="1057"/>
        <v>631</v>
      </c>
      <c r="AG963" s="194">
        <f t="shared" si="1057"/>
        <v>-500</v>
      </c>
      <c r="AH963" s="499">
        <f t="shared" si="1057"/>
        <v>136</v>
      </c>
      <c r="AI963" s="499">
        <f t="shared" ref="AI963:AY963" si="1058">AI959+AI946+AI938+AI962+AI961</f>
        <v>-176</v>
      </c>
      <c r="AJ963" s="51">
        <f t="shared" si="1058"/>
        <v>91</v>
      </c>
      <c r="AK963" s="499">
        <f t="shared" si="1058"/>
        <v>308</v>
      </c>
      <c r="AL963" s="194">
        <f t="shared" si="1058"/>
        <v>5759</v>
      </c>
      <c r="AM963" s="499">
        <f t="shared" si="1058"/>
        <v>-2865</v>
      </c>
      <c r="AN963" s="499">
        <f t="shared" si="1058"/>
        <v>-1902</v>
      </c>
      <c r="AO963" s="51">
        <f t="shared" si="1058"/>
        <v>1300</v>
      </c>
      <c r="AP963" s="499">
        <f t="shared" si="1058"/>
        <v>1419</v>
      </c>
      <c r="AQ963" s="194">
        <f t="shared" si="1058"/>
        <v>7504</v>
      </c>
      <c r="AR963" s="499">
        <f t="shared" si="1058"/>
        <v>8776</v>
      </c>
      <c r="AS963" s="499">
        <f>AS959+AS946+AS938+AS962+AS961</f>
        <v>-5200</v>
      </c>
      <c r="AT963" s="51">
        <f>AT959+AT946+AT938+AT962+AT961</f>
        <v>12499</v>
      </c>
      <c r="AU963" s="499">
        <f>AU959+AU946+AU938+AU962+AU961</f>
        <v>-842</v>
      </c>
      <c r="AV963" s="194">
        <f>AV959+AV946+AV938+AV962+AV961</f>
        <v>-1180</v>
      </c>
      <c r="AW963" s="873">
        <f>AW959+AW946+AW938+AW962+AW961</f>
        <v>183</v>
      </c>
      <c r="AX963" s="114">
        <f t="shared" ca="1" si="1058"/>
        <v>968.45212498029287</v>
      </c>
      <c r="AY963" s="111">
        <f t="shared" ca="1" si="1058"/>
        <v>-870.54787501970623</v>
      </c>
      <c r="AZ963" s="114">
        <f t="shared" ref="AZ963:BG963" ca="1" si="1059">AZ959+AZ946+AZ938+AZ962+AZ961</f>
        <v>-295.39436302407012</v>
      </c>
      <c r="BA963" s="114">
        <f t="shared" ca="1" si="1059"/>
        <v>2678.897311312091</v>
      </c>
      <c r="BB963" s="114">
        <f t="shared" ca="1" si="1059"/>
        <v>2845.6839256673238</v>
      </c>
      <c r="BC963" s="114">
        <f t="shared" ca="1" si="1059"/>
        <v>-473.37832043303479</v>
      </c>
      <c r="BD963" s="111">
        <f t="shared" ca="1" si="1059"/>
        <v>4755.8085535223145</v>
      </c>
      <c r="BE963" s="111">
        <f t="shared" ca="1" si="1059"/>
        <v>9277.5365627575011</v>
      </c>
      <c r="BF963" s="111">
        <f t="shared" ca="1" si="1059"/>
        <v>10275.154184874846</v>
      </c>
      <c r="BG963" s="111">
        <f t="shared" ca="1" si="1059"/>
        <v>11285.160397482225</v>
      </c>
      <c r="BH963" s="499"/>
    </row>
    <row r="964" spans="1:60" s="52" customFormat="1" x14ac:dyDescent="0.25">
      <c r="A964" s="635"/>
      <c r="B964" s="602"/>
      <c r="C964" s="111"/>
      <c r="D964" s="111"/>
      <c r="E964" s="111"/>
      <c r="F964" s="111"/>
      <c r="G964" s="114"/>
      <c r="H964" s="114"/>
      <c r="I964" s="114"/>
      <c r="J964" s="114"/>
      <c r="K964" s="111"/>
      <c r="L964" s="114"/>
      <c r="M964" s="114"/>
      <c r="N964" s="114"/>
      <c r="O964" s="114"/>
      <c r="P964" s="111"/>
      <c r="Q964" s="114"/>
      <c r="R964" s="114"/>
      <c r="S964" s="114"/>
      <c r="T964" s="114"/>
      <c r="U964" s="111"/>
      <c r="V964" s="114"/>
      <c r="W964" s="114"/>
      <c r="X964" s="114"/>
      <c r="Y964" s="114"/>
      <c r="Z964" s="111"/>
      <c r="AA964" s="114"/>
      <c r="AB964" s="114"/>
      <c r="AC964" s="114"/>
      <c r="AD964" s="114"/>
      <c r="AE964" s="111"/>
      <c r="AF964" s="114"/>
      <c r="AG964" s="114"/>
      <c r="AH964" s="114"/>
      <c r="AI964" s="114"/>
      <c r="AJ964" s="111"/>
      <c r="AK964" s="114"/>
      <c r="AL964" s="114"/>
      <c r="AM964" s="114"/>
      <c r="AN964" s="114"/>
      <c r="AO964" s="111"/>
      <c r="AP964" s="114"/>
      <c r="AQ964" s="114"/>
      <c r="AR964" s="114"/>
      <c r="AS964" s="114"/>
      <c r="AT964" s="111"/>
      <c r="AU964" s="114"/>
      <c r="AV964" s="114"/>
      <c r="AW964" s="765"/>
      <c r="AX964" s="114"/>
      <c r="AY964" s="111"/>
      <c r="AZ964" s="114"/>
      <c r="BA964" s="114"/>
      <c r="BB964" s="114"/>
      <c r="BC964" s="114"/>
      <c r="BD964" s="111"/>
      <c r="BE964" s="111"/>
      <c r="BF964" s="111"/>
      <c r="BG964" s="111"/>
      <c r="BH964" s="499"/>
    </row>
    <row r="965" spans="1:60" s="52" customFormat="1" x14ac:dyDescent="0.25">
      <c r="A965" s="501" t="str">
        <f>A914</f>
        <v>Beginning Cash Balance</v>
      </c>
      <c r="B965" s="602"/>
      <c r="C965" s="51">
        <f>C914</f>
        <v>3001</v>
      </c>
      <c r="D965" s="51">
        <f t="shared" ref="D965:J965" si="1060">C966</f>
        <v>3417</v>
      </c>
      <c r="E965" s="51">
        <f t="shared" si="1060"/>
        <v>2722</v>
      </c>
      <c r="F965" s="51">
        <f t="shared" si="1060"/>
        <v>3185</v>
      </c>
      <c r="G965" s="499">
        <f t="shared" si="1060"/>
        <v>3387</v>
      </c>
      <c r="H965" s="499">
        <f t="shared" si="1060"/>
        <v>3207</v>
      </c>
      <c r="I965" s="499">
        <f t="shared" si="1060"/>
        <v>3952</v>
      </c>
      <c r="J965" s="499">
        <f t="shared" si="1060"/>
        <v>3932</v>
      </c>
      <c r="K965" s="51">
        <f>F966</f>
        <v>3387</v>
      </c>
      <c r="L965" s="499">
        <f>K966</f>
        <v>3931</v>
      </c>
      <c r="M965" s="499">
        <f>L966</f>
        <v>4397</v>
      </c>
      <c r="N965" s="499">
        <f>M966</f>
        <v>4078</v>
      </c>
      <c r="O965" s="499">
        <f>N966</f>
        <v>4090</v>
      </c>
      <c r="P965" s="51">
        <f>K966</f>
        <v>3931</v>
      </c>
      <c r="Q965" s="499">
        <f>P966</f>
        <v>3421</v>
      </c>
      <c r="R965" s="499">
        <f>Q966</f>
        <v>5077</v>
      </c>
      <c r="S965" s="499">
        <f>R966</f>
        <v>3745</v>
      </c>
      <c r="T965" s="499">
        <f>S966</f>
        <v>4475</v>
      </c>
      <c r="U965" s="51">
        <f>P966</f>
        <v>3421</v>
      </c>
      <c r="V965" s="499">
        <f>U966</f>
        <v>4269</v>
      </c>
      <c r="W965" s="499">
        <f>V966</f>
        <v>4301</v>
      </c>
      <c r="X965" s="499">
        <f>W966</f>
        <v>5015</v>
      </c>
      <c r="Y965" s="499">
        <f>X966</f>
        <v>5227</v>
      </c>
      <c r="Z965" s="51">
        <f>U966</f>
        <v>4269</v>
      </c>
      <c r="AA965" s="499">
        <f>Z966</f>
        <v>4610</v>
      </c>
      <c r="AB965" s="194">
        <f>AA966</f>
        <v>3736</v>
      </c>
      <c r="AC965" s="499">
        <f>AB966</f>
        <v>3800</v>
      </c>
      <c r="AD965" s="499">
        <f>AC966+AE914-Z915</f>
        <v>4486</v>
      </c>
      <c r="AE965" s="51">
        <v>4760</v>
      </c>
      <c r="AF965" s="499">
        <f>AE966</f>
        <v>4064</v>
      </c>
      <c r="AG965" s="194">
        <f>AF966</f>
        <v>4695</v>
      </c>
      <c r="AH965" s="499">
        <f>AG966</f>
        <v>4195</v>
      </c>
      <c r="AI965" s="499">
        <f>AH966+AJ914-AE915</f>
        <v>4331</v>
      </c>
      <c r="AJ965" s="51">
        <f>AF965</f>
        <v>4064</v>
      </c>
      <c r="AK965" s="499">
        <f>AJ966</f>
        <v>4155</v>
      </c>
      <c r="AL965" s="194">
        <f>AK966</f>
        <v>4463</v>
      </c>
      <c r="AM965" s="499">
        <f>AL966</f>
        <v>10222</v>
      </c>
      <c r="AN965" s="499">
        <f>AM966+AO914-AJ915</f>
        <v>7357</v>
      </c>
      <c r="AO965" s="51">
        <f>AK965</f>
        <v>4155</v>
      </c>
      <c r="AP965" s="499">
        <f>AO966</f>
        <v>5455</v>
      </c>
      <c r="AQ965" s="194">
        <f>AP966</f>
        <v>6874</v>
      </c>
      <c r="AR965" s="499">
        <f>AQ966</f>
        <v>14378</v>
      </c>
      <c r="AS965" s="499">
        <f>AR966+AT914-AO915</f>
        <v>23154</v>
      </c>
      <c r="AT965" s="51">
        <f>AP965</f>
        <v>5455</v>
      </c>
      <c r="AU965" s="499">
        <f>AT966</f>
        <v>17954</v>
      </c>
      <c r="AV965" s="194">
        <f>AU966</f>
        <v>17112</v>
      </c>
      <c r="AW965" s="873">
        <f>AV966</f>
        <v>15932</v>
      </c>
      <c r="AX965" s="114">
        <f>AW966</f>
        <v>16115</v>
      </c>
      <c r="AY965" s="111">
        <f>AT966</f>
        <v>17954</v>
      </c>
      <c r="AZ965" s="114">
        <f ca="1">AY966</f>
        <v>17083.452124980293</v>
      </c>
      <c r="BA965" s="114">
        <f ca="1">AZ966</f>
        <v>16788.057761956225</v>
      </c>
      <c r="BB965" s="114">
        <f ca="1">BA966</f>
        <v>19466.955073268316</v>
      </c>
      <c r="BC965" s="114">
        <f ca="1">BB966</f>
        <v>22312.638998935639</v>
      </c>
      <c r="BD965" s="111">
        <f ca="1">AY966</f>
        <v>17083.452124980293</v>
      </c>
      <c r="BE965" s="111">
        <f ca="1">BD966</f>
        <v>21839.260678502607</v>
      </c>
      <c r="BF965" s="111">
        <f ca="1">BE966</f>
        <v>31116.797241260108</v>
      </c>
      <c r="BG965" s="111">
        <f ca="1">BF966</f>
        <v>41391.951426134954</v>
      </c>
      <c r="BH965" s="499"/>
    </row>
    <row r="966" spans="1:60" s="52" customFormat="1" x14ac:dyDescent="0.25">
      <c r="A966" s="501" t="str">
        <f>A915</f>
        <v>Ending Cash Balance</v>
      </c>
      <c r="B966" s="602"/>
      <c r="C966" s="51">
        <f t="shared" ref="C966:AH966" si="1061">C965+C963</f>
        <v>3417</v>
      </c>
      <c r="D966" s="51">
        <f t="shared" si="1061"/>
        <v>2722</v>
      </c>
      <c r="E966" s="51">
        <f t="shared" si="1061"/>
        <v>3185</v>
      </c>
      <c r="F966" s="51">
        <f t="shared" si="1061"/>
        <v>3387</v>
      </c>
      <c r="G966" s="499">
        <f t="shared" si="1061"/>
        <v>3207</v>
      </c>
      <c r="H966" s="499">
        <f t="shared" si="1061"/>
        <v>3952</v>
      </c>
      <c r="I966" s="499">
        <f t="shared" si="1061"/>
        <v>3932</v>
      </c>
      <c r="J966" s="499">
        <f t="shared" si="1061"/>
        <v>3931</v>
      </c>
      <c r="K966" s="51">
        <f t="shared" si="1061"/>
        <v>3931</v>
      </c>
      <c r="L966" s="499">
        <f t="shared" si="1061"/>
        <v>4397</v>
      </c>
      <c r="M966" s="499">
        <f t="shared" si="1061"/>
        <v>4078</v>
      </c>
      <c r="N966" s="499">
        <f t="shared" si="1061"/>
        <v>4090</v>
      </c>
      <c r="O966" s="499">
        <f t="shared" si="1061"/>
        <v>3421</v>
      </c>
      <c r="P966" s="51">
        <f t="shared" si="1061"/>
        <v>3421</v>
      </c>
      <c r="Q966" s="499">
        <f t="shared" si="1061"/>
        <v>5077</v>
      </c>
      <c r="R966" s="499">
        <f t="shared" si="1061"/>
        <v>3745</v>
      </c>
      <c r="S966" s="499">
        <f t="shared" si="1061"/>
        <v>4475</v>
      </c>
      <c r="T966" s="499">
        <f t="shared" si="1061"/>
        <v>4269</v>
      </c>
      <c r="U966" s="51">
        <f t="shared" si="1061"/>
        <v>4269</v>
      </c>
      <c r="V966" s="499">
        <f t="shared" si="1061"/>
        <v>4301</v>
      </c>
      <c r="W966" s="499">
        <f t="shared" si="1061"/>
        <v>5015</v>
      </c>
      <c r="X966" s="499">
        <f t="shared" si="1061"/>
        <v>5227</v>
      </c>
      <c r="Y966" s="499">
        <f t="shared" si="1061"/>
        <v>4610</v>
      </c>
      <c r="Z966" s="51">
        <f t="shared" si="1061"/>
        <v>4610</v>
      </c>
      <c r="AA966" s="499">
        <f t="shared" si="1061"/>
        <v>3736</v>
      </c>
      <c r="AB966" s="194">
        <f t="shared" si="1061"/>
        <v>3800</v>
      </c>
      <c r="AC966" s="499">
        <f t="shared" si="1061"/>
        <v>4336</v>
      </c>
      <c r="AD966" s="499">
        <f t="shared" si="1061"/>
        <v>4064</v>
      </c>
      <c r="AE966" s="51">
        <f t="shared" si="1061"/>
        <v>4064</v>
      </c>
      <c r="AF966" s="499">
        <f t="shared" si="1061"/>
        <v>4695</v>
      </c>
      <c r="AG966" s="194">
        <f t="shared" si="1061"/>
        <v>4195</v>
      </c>
      <c r="AH966" s="499">
        <f t="shared" si="1061"/>
        <v>4331</v>
      </c>
      <c r="AI966" s="499">
        <f t="shared" ref="AI966:AY966" si="1062">AI965+AI963</f>
        <v>4155</v>
      </c>
      <c r="AJ966" s="51">
        <f t="shared" si="1062"/>
        <v>4155</v>
      </c>
      <c r="AK966" s="499">
        <f t="shared" si="1062"/>
        <v>4463</v>
      </c>
      <c r="AL966" s="194">
        <f t="shared" si="1062"/>
        <v>10222</v>
      </c>
      <c r="AM966" s="499">
        <f t="shared" si="1062"/>
        <v>7357</v>
      </c>
      <c r="AN966" s="499">
        <f t="shared" si="1062"/>
        <v>5455</v>
      </c>
      <c r="AO966" s="51">
        <f t="shared" si="1062"/>
        <v>5455</v>
      </c>
      <c r="AP966" s="499">
        <f t="shared" si="1062"/>
        <v>6874</v>
      </c>
      <c r="AQ966" s="194">
        <f t="shared" si="1062"/>
        <v>14378</v>
      </c>
      <c r="AR966" s="499">
        <f t="shared" si="1062"/>
        <v>23154</v>
      </c>
      <c r="AS966" s="499">
        <f>AS965+AS963</f>
        <v>17954</v>
      </c>
      <c r="AT966" s="51">
        <f>AT965+AT963</f>
        <v>17954</v>
      </c>
      <c r="AU966" s="499">
        <f>AU965+AU963</f>
        <v>17112</v>
      </c>
      <c r="AV966" s="194">
        <f>AV965+AV963</f>
        <v>15932</v>
      </c>
      <c r="AW966" s="873">
        <f>AW965+AW963</f>
        <v>16115</v>
      </c>
      <c r="AX966" s="114">
        <f t="shared" ca="1" si="1062"/>
        <v>17083.452124980293</v>
      </c>
      <c r="AY966" s="111">
        <f t="shared" ca="1" si="1062"/>
        <v>17083.452124980293</v>
      </c>
      <c r="AZ966" s="114">
        <f t="shared" ref="AZ966:BG966" ca="1" si="1063">AZ965+AZ963</f>
        <v>16788.057761956225</v>
      </c>
      <c r="BA966" s="114">
        <f t="shared" ca="1" si="1063"/>
        <v>19466.955073268316</v>
      </c>
      <c r="BB966" s="114">
        <f t="shared" ca="1" si="1063"/>
        <v>22312.638998935639</v>
      </c>
      <c r="BC966" s="114">
        <f t="shared" ca="1" si="1063"/>
        <v>21839.260678502604</v>
      </c>
      <c r="BD966" s="111">
        <f t="shared" ca="1" si="1063"/>
        <v>21839.260678502607</v>
      </c>
      <c r="BE966" s="111">
        <f t="shared" ca="1" si="1063"/>
        <v>31116.797241260108</v>
      </c>
      <c r="BF966" s="111">
        <f t="shared" ca="1" si="1063"/>
        <v>41391.951426134954</v>
      </c>
      <c r="BG966" s="111">
        <f t="shared" ca="1" si="1063"/>
        <v>52677.111823617175</v>
      </c>
      <c r="BH966" s="499"/>
    </row>
    <row r="967" spans="1:60" s="52" customFormat="1" x14ac:dyDescent="0.25">
      <c r="A967" s="635"/>
      <c r="B967" s="602"/>
      <c r="C967" s="111"/>
      <c r="D967" s="111"/>
      <c r="E967" s="111"/>
      <c r="F967" s="111"/>
      <c r="G967" s="114"/>
      <c r="H967" s="114"/>
      <c r="I967" s="114"/>
      <c r="J967" s="114"/>
      <c r="K967" s="111"/>
      <c r="L967" s="114"/>
      <c r="M967" s="114"/>
      <c r="N967" s="114"/>
      <c r="O967" s="114"/>
      <c r="P967" s="111"/>
      <c r="Q967" s="114"/>
      <c r="R967" s="114"/>
      <c r="S967" s="114"/>
      <c r="T967" s="114"/>
      <c r="U967" s="111"/>
      <c r="V967" s="114"/>
      <c r="W967" s="114"/>
      <c r="X967" s="114"/>
      <c r="Y967" s="114"/>
      <c r="Z967" s="111"/>
      <c r="AA967" s="114"/>
      <c r="AB967" s="114"/>
      <c r="AC967" s="114"/>
      <c r="AD967" s="114"/>
      <c r="AE967" s="111"/>
      <c r="AF967" s="114"/>
      <c r="AG967" s="114"/>
      <c r="AH967" s="114"/>
      <c r="AI967" s="114"/>
      <c r="AJ967" s="111"/>
      <c r="AK967" s="114"/>
      <c r="AL967" s="114"/>
      <c r="AM967" s="114"/>
      <c r="AN967" s="114"/>
      <c r="AO967" s="111"/>
      <c r="AP967" s="114"/>
      <c r="AQ967" s="114"/>
      <c r="AR967" s="114"/>
      <c r="AS967" s="114"/>
      <c r="AT967" s="111"/>
      <c r="AU967" s="114"/>
      <c r="AV967" s="114"/>
      <c r="AW967" s="765"/>
      <c r="AX967" s="114"/>
      <c r="AY967" s="111"/>
      <c r="AZ967" s="114"/>
      <c r="BA967" s="114"/>
      <c r="BB967" s="114"/>
      <c r="BC967" s="114"/>
      <c r="BD967" s="111"/>
      <c r="BE967" s="111"/>
      <c r="BF967" s="111"/>
      <c r="BG967" s="111"/>
      <c r="BH967" s="499"/>
    </row>
    <row r="968" spans="1:60" s="49" customFormat="1" x14ac:dyDescent="0.25">
      <c r="A968" s="74" t="s">
        <v>318</v>
      </c>
      <c r="B968" s="74"/>
      <c r="C968" s="75">
        <f t="shared" ref="C968:AC968" si="1064">ROUND(C966-C1003,6)</f>
        <v>0</v>
      </c>
      <c r="D968" s="75">
        <f t="shared" si="1064"/>
        <v>0</v>
      </c>
      <c r="E968" s="75">
        <f t="shared" si="1064"/>
        <v>0</v>
      </c>
      <c r="F968" s="75">
        <f t="shared" si="1064"/>
        <v>0</v>
      </c>
      <c r="G968" s="75">
        <f t="shared" si="1064"/>
        <v>0</v>
      </c>
      <c r="H968" s="75">
        <f t="shared" si="1064"/>
        <v>0</v>
      </c>
      <c r="I968" s="75">
        <f t="shared" si="1064"/>
        <v>0</v>
      </c>
      <c r="J968" s="75">
        <f t="shared" si="1064"/>
        <v>0</v>
      </c>
      <c r="K968" s="75">
        <f t="shared" si="1064"/>
        <v>0</v>
      </c>
      <c r="L968" s="75">
        <f t="shared" si="1064"/>
        <v>0</v>
      </c>
      <c r="M968" s="75">
        <f t="shared" si="1064"/>
        <v>0</v>
      </c>
      <c r="N968" s="75">
        <f t="shared" si="1064"/>
        <v>0</v>
      </c>
      <c r="O968" s="75">
        <f t="shared" si="1064"/>
        <v>0</v>
      </c>
      <c r="P968" s="75">
        <f t="shared" si="1064"/>
        <v>0</v>
      </c>
      <c r="Q968" s="75">
        <f t="shared" si="1064"/>
        <v>0</v>
      </c>
      <c r="R968" s="75">
        <f t="shared" si="1064"/>
        <v>0</v>
      </c>
      <c r="S968" s="75">
        <f t="shared" si="1064"/>
        <v>0</v>
      </c>
      <c r="T968" s="75">
        <f t="shared" si="1064"/>
        <v>0</v>
      </c>
      <c r="U968" s="75">
        <f t="shared" si="1064"/>
        <v>0</v>
      </c>
      <c r="V968" s="75">
        <f t="shared" si="1064"/>
        <v>0</v>
      </c>
      <c r="W968" s="75">
        <f t="shared" si="1064"/>
        <v>0</v>
      </c>
      <c r="X968" s="75">
        <f t="shared" si="1064"/>
        <v>0</v>
      </c>
      <c r="Y968" s="75">
        <f t="shared" si="1064"/>
        <v>0</v>
      </c>
      <c r="Z968" s="75">
        <f t="shared" si="1064"/>
        <v>0</v>
      </c>
      <c r="AA968" s="75">
        <f t="shared" si="1064"/>
        <v>0</v>
      </c>
      <c r="AB968" s="75">
        <f t="shared" si="1064"/>
        <v>0</v>
      </c>
      <c r="AC968" s="75">
        <f t="shared" si="1064"/>
        <v>0</v>
      </c>
      <c r="AD968" s="75">
        <f t="shared" ref="AD968:AK968" si="1065">ROUND(AD966-AD1003-AD1008-AD1025,6)</f>
        <v>0</v>
      </c>
      <c r="AE968" s="75">
        <f t="shared" si="1065"/>
        <v>0</v>
      </c>
      <c r="AF968" s="75">
        <f t="shared" si="1065"/>
        <v>0</v>
      </c>
      <c r="AG968" s="75">
        <f t="shared" si="1065"/>
        <v>0</v>
      </c>
      <c r="AH968" s="75">
        <f t="shared" si="1065"/>
        <v>0</v>
      </c>
      <c r="AI968" s="75">
        <f t="shared" si="1065"/>
        <v>0</v>
      </c>
      <c r="AJ968" s="75">
        <f t="shared" si="1065"/>
        <v>0</v>
      </c>
      <c r="AK968" s="75">
        <f t="shared" si="1065"/>
        <v>0</v>
      </c>
      <c r="AL968" s="75">
        <f>ROUND(AL966-AL1003-AL1008-AL1025-114,6)</f>
        <v>0</v>
      </c>
      <c r="AM968" s="75">
        <f>ROUND(AM966-AM1003-AM1008-AM1025-AM1009,6)</f>
        <v>0</v>
      </c>
      <c r="AN968" s="75">
        <f>ROUND(AN966-AN1003-AN1008-AN1025,6)</f>
        <v>0</v>
      </c>
      <c r="AO968" s="75">
        <f>ROUND(AO966-AO1003-AO1008-AO1025,6)</f>
        <v>0</v>
      </c>
      <c r="AP968" s="75">
        <f>ROUND(AP966-AP1003-AP1008-AP1025,6)</f>
        <v>0</v>
      </c>
      <c r="AQ968" s="75">
        <f t="shared" ref="AQ968:AY968" si="1066">ROUND(AQ966-AQ1003-AQ1008-AQ1025-AQ1009,6)</f>
        <v>0</v>
      </c>
      <c r="AR968" s="75">
        <f t="shared" si="1066"/>
        <v>0</v>
      </c>
      <c r="AS968" s="75">
        <f>ROUND(AS966-AS1003-AS1008-AS1025,6)</f>
        <v>0</v>
      </c>
      <c r="AT968" s="75">
        <f>ROUND(AT966-AT1003-AT1008-AT1025,6)</f>
        <v>0</v>
      </c>
      <c r="AU968" s="75">
        <f>ROUND(AU966-AU1003-AU1008-AU1025,6)</f>
        <v>0</v>
      </c>
      <c r="AV968" s="75">
        <f>ROUND(AV966-AV1003-AV1008-AV1025-AV1009,6)</f>
        <v>0</v>
      </c>
      <c r="AW968" s="528">
        <f>ROUND(AW966-AW1003-AW1008-AW1025-AW1009,6)</f>
        <v>0</v>
      </c>
      <c r="AX968" s="75">
        <f t="shared" ca="1" si="1066"/>
        <v>0</v>
      </c>
      <c r="AY968" s="75">
        <f t="shared" ca="1" si="1066"/>
        <v>0</v>
      </c>
      <c r="AZ968" s="75">
        <f t="shared" ref="AZ968:BG968" ca="1" si="1067">ROUND(AZ966-AZ1003-AZ1008-AZ1025-AZ1009,6)</f>
        <v>0</v>
      </c>
      <c r="BA968" s="75">
        <f t="shared" ca="1" si="1067"/>
        <v>0</v>
      </c>
      <c r="BB968" s="75">
        <f t="shared" ca="1" si="1067"/>
        <v>0</v>
      </c>
      <c r="BC968" s="75">
        <f t="shared" ca="1" si="1067"/>
        <v>0</v>
      </c>
      <c r="BD968" s="75">
        <f t="shared" ca="1" si="1067"/>
        <v>0</v>
      </c>
      <c r="BE968" s="75">
        <f t="shared" ca="1" si="1067"/>
        <v>0</v>
      </c>
      <c r="BF968" s="75">
        <f t="shared" ca="1" si="1067"/>
        <v>0</v>
      </c>
      <c r="BG968" s="75">
        <f t="shared" ca="1" si="1067"/>
        <v>0</v>
      </c>
      <c r="BH968" s="484"/>
    </row>
    <row r="969" spans="1:60" s="52" customFormat="1" x14ac:dyDescent="0.25">
      <c r="A969" s="635"/>
      <c r="B969" s="602"/>
      <c r="C969" s="111"/>
      <c r="D969" s="111"/>
      <c r="E969" s="111"/>
      <c r="F969" s="111"/>
      <c r="G969" s="114"/>
      <c r="H969" s="114"/>
      <c r="I969" s="114"/>
      <c r="J969" s="114"/>
      <c r="K969" s="111"/>
      <c r="L969" s="114"/>
      <c r="M969" s="114"/>
      <c r="N969" s="114"/>
      <c r="O969" s="114"/>
      <c r="P969" s="111"/>
      <c r="Q969" s="114"/>
      <c r="R969" s="114"/>
      <c r="S969" s="114"/>
      <c r="T969" s="114"/>
      <c r="U969" s="111"/>
      <c r="V969" s="114"/>
      <c r="W969" s="114"/>
      <c r="X969" s="114"/>
      <c r="Y969" s="114"/>
      <c r="Z969" s="111"/>
      <c r="AA969" s="114"/>
      <c r="AB969" s="114"/>
      <c r="AC969" s="114"/>
      <c r="AD969" s="114"/>
      <c r="AE969" s="111"/>
      <c r="AF969" s="114"/>
      <c r="AG969" s="114"/>
      <c r="AH969" s="114"/>
      <c r="AI969" s="114"/>
      <c r="AJ969" s="111"/>
      <c r="AK969" s="114"/>
      <c r="AL969" s="114"/>
      <c r="AM969" s="114"/>
      <c r="AN969" s="114"/>
      <c r="AO969" s="111"/>
      <c r="AP969" s="114"/>
      <c r="AQ969" s="114"/>
      <c r="AR969" s="114"/>
      <c r="AS969" s="114"/>
      <c r="AT969" s="111"/>
      <c r="AU969" s="114"/>
      <c r="AV969" s="114"/>
      <c r="AW969" s="765"/>
      <c r="AX969" s="114"/>
      <c r="AY969" s="111"/>
      <c r="AZ969" s="114"/>
      <c r="BA969" s="114"/>
      <c r="BB969" s="114"/>
      <c r="BC969" s="114"/>
      <c r="BD969" s="111"/>
      <c r="BE969" s="111"/>
      <c r="BF969" s="111"/>
      <c r="BG969" s="111"/>
      <c r="BH969" s="499"/>
    </row>
    <row r="970" spans="1:60" s="52" customFormat="1" x14ac:dyDescent="0.25">
      <c r="A970" s="300" t="s">
        <v>319</v>
      </c>
      <c r="B970" s="301"/>
      <c r="C970" s="621"/>
      <c r="D970" s="621"/>
      <c r="E970" s="621"/>
      <c r="F970" s="621"/>
      <c r="G970" s="621"/>
      <c r="H970" s="621"/>
      <c r="I970" s="621"/>
      <c r="J970" s="621"/>
      <c r="K970" s="621"/>
      <c r="L970" s="621"/>
      <c r="M970" s="621"/>
      <c r="N970" s="621"/>
      <c r="O970" s="621"/>
      <c r="P970" s="621"/>
      <c r="Q970" s="621"/>
      <c r="R970" s="621"/>
      <c r="S970" s="621"/>
      <c r="T970" s="621"/>
      <c r="U970" s="621"/>
      <c r="V970" s="621"/>
      <c r="W970" s="621"/>
      <c r="X970" s="621"/>
      <c r="Y970" s="621"/>
      <c r="Z970" s="621"/>
      <c r="AA970" s="621"/>
      <c r="AB970" s="621"/>
      <c r="AC970" s="621"/>
      <c r="AD970" s="621"/>
      <c r="AE970" s="621"/>
      <c r="AF970" s="621"/>
      <c r="AG970" s="621"/>
      <c r="AH970" s="621"/>
      <c r="AI970" s="621"/>
      <c r="AJ970" s="621"/>
      <c r="AK970" s="621"/>
      <c r="AL970" s="621"/>
      <c r="AM970" s="621"/>
      <c r="AN970" s="621"/>
      <c r="AO970" s="621"/>
      <c r="AP970" s="621"/>
      <c r="AQ970" s="621"/>
      <c r="AR970" s="621"/>
      <c r="AS970" s="621"/>
      <c r="AT970" s="621"/>
      <c r="AU970" s="621"/>
      <c r="AV970" s="621"/>
      <c r="AW970" s="529"/>
      <c r="AX970" s="621"/>
      <c r="AY970" s="621"/>
      <c r="AZ970" s="621"/>
      <c r="BA970" s="621"/>
      <c r="BB970" s="621"/>
      <c r="BC970" s="621"/>
      <c r="BD970" s="621"/>
      <c r="BE970" s="621"/>
      <c r="BF970" s="621"/>
      <c r="BG970" s="621"/>
      <c r="BH970" s="499"/>
    </row>
    <row r="971" spans="1:60" s="52" customFormat="1" x14ac:dyDescent="0.25">
      <c r="A971" s="479" t="s">
        <v>320</v>
      </c>
      <c r="B971" s="798"/>
      <c r="C971" s="16">
        <f t="shared" ref="C971:F972" si="1068">C1004/C$758</f>
        <v>0.13427757337685689</v>
      </c>
      <c r="D971" s="16">
        <f t="shared" si="1068"/>
        <v>0.15195859496098574</v>
      </c>
      <c r="E971" s="16">
        <f t="shared" si="1068"/>
        <v>0.1511750177291957</v>
      </c>
      <c r="F971" s="16">
        <f t="shared" si="1068"/>
        <v>0.15469038270495292</v>
      </c>
      <c r="G971" s="292"/>
      <c r="H971" s="292"/>
      <c r="I971" s="292"/>
      <c r="J971" s="292"/>
      <c r="K971" s="16">
        <f>K1004/K$758</f>
        <v>0.1546812903798761</v>
      </c>
      <c r="L971" s="473">
        <f>L1004/(L$758+J$758+I$758+H$758)</f>
        <v>0.17416157708274468</v>
      </c>
      <c r="M971" s="473">
        <f>M1004/(M$758+L$758+J$758+I$758)</f>
        <v>0.16109035326086957</v>
      </c>
      <c r="N971" s="473">
        <f>N1004/(N$758+M$758+L$758+J$758)</f>
        <v>0.15717202867144525</v>
      </c>
      <c r="O971" s="473">
        <f>O1004/(O$758+N$758+M$758+L$758)</f>
        <v>0.16024419724253786</v>
      </c>
      <c r="P971" s="16">
        <f>P1004/P$758</f>
        <v>0.16024419724253786</v>
      </c>
      <c r="Q971" s="473">
        <f>Q1004/(Q$758+O$758+N$758+M$758)</f>
        <v>0.17218158132077363</v>
      </c>
      <c r="R971" s="473">
        <f>R1004/(R$758+Q$758+O$758+N$758)</f>
        <v>0.16094424832863313</v>
      </c>
      <c r="S971" s="473">
        <f>S1004/(S$758+R$758+Q$758+O$758)</f>
        <v>0.15605157570799735</v>
      </c>
      <c r="T971" s="473">
        <f>T1004/(T$758+S$758+R$758+Q$758)</f>
        <v>0.15284475364528732</v>
      </c>
      <c r="U971" s="16">
        <f>U1004/U$758</f>
        <v>0.15284475364528732</v>
      </c>
      <c r="V971" s="473">
        <f>V1004/(V$758+T$758+S$758+R$758)</f>
        <v>0.1895872454803196</v>
      </c>
      <c r="W971" s="473">
        <f>W1004/(W$758+V$758+T$758+S$758)</f>
        <v>0.16185751285886257</v>
      </c>
      <c r="X971" s="473">
        <f>X1004/(X$758+W$758+V$758+T$758)</f>
        <v>0.15995857290811041</v>
      </c>
      <c r="Y971" s="473">
        <f>Y1004/(Y$758+X$758+W$758+V$758)</f>
        <v>0.16294578659764164</v>
      </c>
      <c r="Z971" s="16">
        <f>Z1004/Z$758</f>
        <v>0.16294578659764164</v>
      </c>
      <c r="AA971" s="473">
        <f>AA1004/(AA$758+Y$758+X$758+W$758)</f>
        <v>0.17904009280069599</v>
      </c>
      <c r="AB971" s="195">
        <f>AB1004/(AB$758+AA$758+Y$758+X$758)</f>
        <v>0.16732386251102829</v>
      </c>
      <c r="AC971" s="473">
        <f>AC1004/(AC$758+AB$758+AA$758+Y$758)</f>
        <v>0.17362162162162162</v>
      </c>
      <c r="AD971" s="473">
        <f>AD1004/(AD$758+AC$758+AB$758+AA$758)</f>
        <v>0.15657362569599362</v>
      </c>
      <c r="AE971" s="16">
        <f>AE1004/AE$758</f>
        <v>0.15657362569599362</v>
      </c>
      <c r="AF971" s="473">
        <f>AF1004/(AF$758+AD$758+AC$758+AB$758)</f>
        <v>0.17747379003303174</v>
      </c>
      <c r="AG971" s="195">
        <f>AG1004/(AG$758+AF$758+AD$758+AC$758)</f>
        <v>0.17004005903436645</v>
      </c>
      <c r="AH971" s="473">
        <f>AH1004/(AH$758+AG$758+AF$758+AD$758)</f>
        <v>0.17391980105688529</v>
      </c>
      <c r="AI971" s="473">
        <f>AI1004/(AI$758+AH$758+AG$758+AF$758)</f>
        <v>0.15704815425514015</v>
      </c>
      <c r="AJ971" s="16">
        <f>AJ1004/AJ$758</f>
        <v>0.15704815425514015</v>
      </c>
      <c r="AK971" s="473">
        <f>AK1004/(AK$758+AI$758+AH$758+AG$758)</f>
        <v>0.17046105142626208</v>
      </c>
      <c r="AL971" s="195">
        <f>AL1004/(AL$758+AK$758+AI$758+AH$758)</f>
        <v>0.24419344042838018</v>
      </c>
      <c r="AM971" s="473">
        <f>AM1004/(AM$758+AL$758+AK$758+AI$758)</f>
        <v>0.24195316238788458</v>
      </c>
      <c r="AN971" s="473">
        <f>AN1004/(AN$758+AM$758+AL$758+AK$758)</f>
        <v>0.2225240764697427</v>
      </c>
      <c r="AO971" s="16">
        <f>AO1004/AO$758</f>
        <v>0.2225240764697427</v>
      </c>
      <c r="AP971" s="473">
        <f>AP1004/(AP$758+AN$758+AM$758+AL$758)</f>
        <v>0.22762063227953411</v>
      </c>
      <c r="AQ971" s="195">
        <f>AQ1004/(AQ$758+AP$758+AN$758+AM$758)</f>
        <v>0.18580269012427761</v>
      </c>
      <c r="AR971" s="473">
        <f>AR1004/(AR$758+AQ$758+AP$758+AN$758)</f>
        <v>0.18097095173916783</v>
      </c>
      <c r="AS971" s="473">
        <f>AS1004/(AS$758+AR$758+AQ$758+AP$758)</f>
        <v>0.1944516701605129</v>
      </c>
      <c r="AT971" s="16">
        <f>AT1004/AT$758</f>
        <v>0.19434758671315838</v>
      </c>
      <c r="AU971" s="473">
        <f>AU1004/(AU$758+AS$758+AR$758+AQ$758)</f>
        <v>0.2313150269985513</v>
      </c>
      <c r="AV971" s="195">
        <f>AV1004/(AV$758+AU$758+AS$758+AR$758)</f>
        <v>0.21479742236237745</v>
      </c>
      <c r="AW971" s="876">
        <f>AW1004/(AW$758+AV$758+AU$758+AS$758)</f>
        <v>0.21001399569121418</v>
      </c>
      <c r="AX971" s="473">
        <f t="shared" ref="AX971:AX973" si="1069">AS971+AX975</f>
        <v>0.1944516701605129</v>
      </c>
      <c r="AY971" s="16">
        <f>AY1004/AY$758</f>
        <v>0.33350155463133874</v>
      </c>
      <c r="AZ971" s="473">
        <f t="shared" ref="AZ971:BC973" si="1070">AU971+AZ975</f>
        <v>0.2313150269985513</v>
      </c>
      <c r="BA971" s="473">
        <f t="shared" si="1070"/>
        <v>0.21479742236237745</v>
      </c>
      <c r="BB971" s="473">
        <f t="shared" si="1070"/>
        <v>0.21001399569121418</v>
      </c>
      <c r="BC971" s="473">
        <f t="shared" si="1070"/>
        <v>0.1944516701605129</v>
      </c>
      <c r="BD971" s="16">
        <f>BD1004/BD$758</f>
        <v>0.1944516701605129</v>
      </c>
      <c r="BE971" s="16">
        <f t="shared" ref="BE971:BG973" si="1071">BD971+BE975</f>
        <v>0.1944516701605129</v>
      </c>
      <c r="BF971" s="16">
        <f t="shared" si="1071"/>
        <v>0.1944516701605129</v>
      </c>
      <c r="BG971" s="16">
        <f t="shared" si="1071"/>
        <v>0.1944516701605129</v>
      </c>
      <c r="BH971" s="499"/>
    </row>
    <row r="972" spans="1:60" s="52" customFormat="1" x14ac:dyDescent="0.25">
      <c r="A972" s="479" t="s">
        <v>321</v>
      </c>
      <c r="B972" s="798"/>
      <c r="C972" s="16">
        <f t="shared" si="1068"/>
        <v>3.5160032089407732E-2</v>
      </c>
      <c r="D972" s="16">
        <f t="shared" si="1068"/>
        <v>3.7884559808738144E-2</v>
      </c>
      <c r="E972" s="16">
        <f t="shared" si="1068"/>
        <v>3.9004230552906367E-2</v>
      </c>
      <c r="F972" s="16">
        <f t="shared" si="1068"/>
        <v>3.6354605232035576E-2</v>
      </c>
      <c r="G972" s="292"/>
      <c r="H972" s="292"/>
      <c r="I972" s="292"/>
      <c r="J972" s="292"/>
      <c r="K972" s="16">
        <f>K1005/K$758</f>
        <v>3.3014364689949158E-2</v>
      </c>
      <c r="L972" s="473">
        <f>L1005/(L$758+J$758+I$758+H$758)</f>
        <v>2.9994131582951163E-2</v>
      </c>
      <c r="M972" s="473">
        <f>M1005/(M$758+L$758+J$758+I$758)</f>
        <v>2.8511379076086956E-2</v>
      </c>
      <c r="N972" s="473">
        <f>N1005/(N$758+M$758+L$758+J$758)</f>
        <v>2.969244874145691E-2</v>
      </c>
      <c r="O972" s="473">
        <f>O1005/(O$758+N$758+M$758+L$758)</f>
        <v>3.2245508368672279E-2</v>
      </c>
      <c r="P972" s="16">
        <f>P1005/P$758</f>
        <v>3.2245508368672279E-2</v>
      </c>
      <c r="Q972" s="473">
        <f>Q1005/(Q$758+O$758+N$758+M$758)</f>
        <v>2.9582122457160034E-2</v>
      </c>
      <c r="R972" s="473">
        <f>R1005/(R$758+Q$758+O$758+N$758)</f>
        <v>2.8240676829629045E-2</v>
      </c>
      <c r="S972" s="473">
        <f>S1005/(S$758+R$758+Q$758+O$758)</f>
        <v>2.9469050679755367E-2</v>
      </c>
      <c r="T972" s="473">
        <f>T1005/(T$758+S$758+R$758+Q$758)</f>
        <v>2.9943772038501858E-2</v>
      </c>
      <c r="U972" s="16">
        <f>U1005/U$758</f>
        <v>2.9943772038501858E-2</v>
      </c>
      <c r="V972" s="473">
        <f>V1005/(V$758+T$758+S$758+R$758)</f>
        <v>2.6400088368496631E-2</v>
      </c>
      <c r="W972" s="473">
        <f>W1005/(W$758+V$758+T$758+S$758)</f>
        <v>2.4659832925984022E-2</v>
      </c>
      <c r="X972" s="473">
        <f>X1005/(X$758+W$758+V$758+T$758)</f>
        <v>2.4177707939002178E-2</v>
      </c>
      <c r="Y972" s="473">
        <f>Y1005/(Y$758+X$758+W$758+V$758)</f>
        <v>2.4985619787172852E-2</v>
      </c>
      <c r="Z972" s="16">
        <f>Z1005/Z$758</f>
        <v>2.4985619787172852E-2</v>
      </c>
      <c r="AA972" s="473">
        <f>AA1005/(AA$758+Y$758+X$758+W$758)</f>
        <v>2.3544551584136882E-2</v>
      </c>
      <c r="AB972" s="195">
        <f>AB1005/(AB$758+AA$758+Y$758+X$758)</f>
        <v>2.3478996741028827E-2</v>
      </c>
      <c r="AC972" s="473">
        <f>AC1005/(AC$758+AB$758+AA$758+Y$758)</f>
        <v>2.3423423423423424E-2</v>
      </c>
      <c r="AD972" s="473">
        <f>AD1005/(AD$758+AC$758+AB$758+AA$758)</f>
        <v>2.4901608720097213E-2</v>
      </c>
      <c r="AE972" s="16">
        <f>AE1005/AE$758</f>
        <v>2.4901608720097213E-2</v>
      </c>
      <c r="AF972" s="473">
        <f>AF1005/(AF$758+AD$758+AC$758+AB$758)</f>
        <v>2.3463306046244435E-2</v>
      </c>
      <c r="AG972" s="195">
        <f>AG1005/(AG$758+AF$758+AD$758+AC$758)</f>
        <v>2.2858247241548949E-2</v>
      </c>
      <c r="AH972" s="473">
        <f>AH1005/(AH$758+AG$758+AF$758+AD$758)</f>
        <v>2.2830103961592928E-2</v>
      </c>
      <c r="AI972" s="473">
        <f>AI1005/(AI$758+AH$758+AG$758+AF$758)</f>
        <v>2.3420937510515865E-2</v>
      </c>
      <c r="AJ972" s="16">
        <f>AJ1005/AJ$758</f>
        <v>2.3420937510515865E-2</v>
      </c>
      <c r="AK972" s="473">
        <f>AK1005/(AK$758+AI$758+AH$758+AG$758)</f>
        <v>2.2850503485670023E-2</v>
      </c>
      <c r="AL972" s="195">
        <f>AL1005/(AL$758+AK$758+AI$758+AH$758)</f>
        <v>2.4180053547523426E-2</v>
      </c>
      <c r="AM972" s="473">
        <f>AM1005/(AM$758+AL$758+AK$758+AI$758)</f>
        <v>2.3403368479552929E-2</v>
      </c>
      <c r="AN972" s="473">
        <f>AN1005/(AN$758+AM$758+AL$758+AK$758)</f>
        <v>2.3702745436251258E-2</v>
      </c>
      <c r="AO972" s="16">
        <f>AO1005/AO$758</f>
        <v>2.3702745436251258E-2</v>
      </c>
      <c r="AP972" s="473">
        <f>AP1005/(AP$758+AN$758+AM$758+AL$758)</f>
        <v>2.0911813643926788E-2</v>
      </c>
      <c r="AQ972" s="195">
        <f>AQ1005/(AQ$758+AP$758+AN$758+AM$758)</f>
        <v>1.9575001278576178E-2</v>
      </c>
      <c r="AR972" s="473">
        <f>AR1005/(AR$758+AQ$758+AP$758+AN$758)</f>
        <v>2.235253634617039E-2</v>
      </c>
      <c r="AS972" s="473">
        <f>AS1005/(AS$758+AR$758+AQ$758+AP$758)</f>
        <v>2.4222300429972612E-2</v>
      </c>
      <c r="AT972" s="16">
        <f>AT1005/AT$758</f>
        <v>2.4209335046185845E-2</v>
      </c>
      <c r="AU972" s="473">
        <f>AU1005/(AU$758+AS$758+AR$758+AQ$758)</f>
        <v>2.4364546292637956E-2</v>
      </c>
      <c r="AV972" s="195">
        <f>AV1005/(AV$758+AU$758+AS$758+AR$758)</f>
        <v>2.409679851922945E-2</v>
      </c>
      <c r="AW972" s="876">
        <f>AW1005/(AW$758+AV$758+AU$758+AS$758)</f>
        <v>2.1135066282964569E-2</v>
      </c>
      <c r="AX972" s="473">
        <f t="shared" si="1069"/>
        <v>2.4222300429972612E-2</v>
      </c>
      <c r="AY972" s="16">
        <f>AY1005/AY$758</f>
        <v>4.154335544392581E-2</v>
      </c>
      <c r="AZ972" s="473">
        <f t="shared" si="1070"/>
        <v>2.4364546292637956E-2</v>
      </c>
      <c r="BA972" s="473">
        <f t="shared" si="1070"/>
        <v>2.409679851922945E-2</v>
      </c>
      <c r="BB972" s="473">
        <f t="shared" si="1070"/>
        <v>2.1135066282964569E-2</v>
      </c>
      <c r="BC972" s="473">
        <f t="shared" si="1070"/>
        <v>2.4222300429972612E-2</v>
      </c>
      <c r="BD972" s="16">
        <f>BD1005/BD$758</f>
        <v>2.4222300429972612E-2</v>
      </c>
      <c r="BE972" s="16">
        <f t="shared" si="1071"/>
        <v>2.4222300429972612E-2</v>
      </c>
      <c r="BF972" s="16">
        <f t="shared" si="1071"/>
        <v>2.4222300429972612E-2</v>
      </c>
      <c r="BG972" s="16">
        <f t="shared" si="1071"/>
        <v>2.4222300429972612E-2</v>
      </c>
      <c r="BH972" s="499"/>
    </row>
    <row r="973" spans="1:60" s="52" customFormat="1" x14ac:dyDescent="0.25">
      <c r="A973" s="479" t="s">
        <v>322</v>
      </c>
      <c r="B973" s="798"/>
      <c r="C973" s="16">
        <f>C1032/C$758</f>
        <v>0.15535699466098649</v>
      </c>
      <c r="D973" s="16">
        <f>D1032/D$758</f>
        <v>0.16049707064603422</v>
      </c>
      <c r="E973" s="16">
        <f>E1032/E$758</f>
        <v>0.15557674907685912</v>
      </c>
      <c r="F973" s="16">
        <f>F1032/F$758</f>
        <v>0.15121339703864894</v>
      </c>
      <c r="G973" s="292"/>
      <c r="H973" s="292"/>
      <c r="I973" s="292"/>
      <c r="J973" s="292"/>
      <c r="K973" s="16">
        <f>K1032/K$758</f>
        <v>0.15104016340667392</v>
      </c>
      <c r="L973" s="473">
        <f>L1032/(L$758+J$758+I$758+H$758)</f>
        <v>0.18670260166489167</v>
      </c>
      <c r="M973" s="473">
        <f>M1032/(M$758+L$758+J$758+I$758)</f>
        <v>0.13971212635869565</v>
      </c>
      <c r="N973" s="473">
        <f>N1032/(N$758+M$758+L$758+J$758)</f>
        <v>0.13291798633105517</v>
      </c>
      <c r="O973" s="473">
        <f>O1032/(O$758+N$758+M$758+L$758)</f>
        <v>0.15559379673447646</v>
      </c>
      <c r="P973" s="16">
        <f>P1032/P$758</f>
        <v>0.15559379673447646</v>
      </c>
      <c r="Q973" s="473">
        <f>Q1032/(Q$758+O$758+N$758+M$758)</f>
        <v>0.1817616995690951</v>
      </c>
      <c r="R973" s="473">
        <f>R1032/(R$758+Q$758+O$758+N$758)</f>
        <v>0.13455735894452442</v>
      </c>
      <c r="S973" s="473">
        <f>S1032/(S$758+R$758+Q$758+O$758)</f>
        <v>0.15180553932452961</v>
      </c>
      <c r="T973" s="473">
        <f>T1032/(T$758+S$758+R$758+Q$758)</f>
        <v>0.14950919660726197</v>
      </c>
      <c r="U973" s="16">
        <f>U1032/U$758</f>
        <v>0.14950919660726197</v>
      </c>
      <c r="V973" s="473">
        <f>V1032/(V$758+T$758+S$758+R$758)</f>
        <v>0.17158216429176332</v>
      </c>
      <c r="W973" s="473">
        <f>W1032/(W$758+V$758+T$758+S$758)</f>
        <v>0.13227300915623974</v>
      </c>
      <c r="X973" s="473">
        <f>X1032/(X$758+W$758+V$758+T$758)</f>
        <v>0.15569086818327918</v>
      </c>
      <c r="Y973" s="473">
        <f>Y1032/(Y$758+X$758+W$758+V$758)</f>
        <v>0.16411417888984756</v>
      </c>
      <c r="Z973" s="16">
        <f>Z1032/Z$758</f>
        <v>0.16411417888984756</v>
      </c>
      <c r="AA973" s="473">
        <f>AA1032/(AA$758+Y$758+X$758+W$758)</f>
        <v>0.18087073153048647</v>
      </c>
      <c r="AB973" s="195">
        <f>AB1032/(AB$758+AA$758+Y$758+X$758)</f>
        <v>0.14542933794270693</v>
      </c>
      <c r="AC973" s="473">
        <f>AC1032/(AC$758+AB$758+AA$758+Y$758)</f>
        <v>0.1689009009009009</v>
      </c>
      <c r="AD973" s="473">
        <f>AD1032/(AD$758+AC$758+AB$758+AA$758)</f>
        <v>0.16059996009938879</v>
      </c>
      <c r="AE973" s="16">
        <f>AE1032/AE$758</f>
        <v>0.16059996009938879</v>
      </c>
      <c r="AF973" s="473">
        <f>AF1032/(AF$758+AD$758+AC$758+AB$758)</f>
        <v>0.17187275599597873</v>
      </c>
      <c r="AG973" s="195">
        <f>AG1032/(AG$758+AF$758+AD$758+AC$758)</f>
        <v>0.15851430177805889</v>
      </c>
      <c r="AH973" s="473">
        <f>AH1032/(AH$758+AG$758+AF$758+AD$758)</f>
        <v>0.16860083583739163</v>
      </c>
      <c r="AI973" s="473">
        <f>AI1032/(AI$758+AH$758+AG$758+AF$758)</f>
        <v>0.15948783524581889</v>
      </c>
      <c r="AJ973" s="16">
        <f>AJ1032/AJ$758</f>
        <v>0.15948783524581889</v>
      </c>
      <c r="AK973" s="473">
        <f>AK1032/(AK$758+AI$758+AH$758+AG$758)</f>
        <v>0.18010979018623918</v>
      </c>
      <c r="AL973" s="195">
        <f>AL1032/(AL$758+AK$758+AI$758+AH$758)</f>
        <v>0.34308902275769748</v>
      </c>
      <c r="AM973" s="473">
        <f>AM1032/(AM$758+AL$758+AK$758+AI$758)</f>
        <v>0.27242694166139214</v>
      </c>
      <c r="AN973" s="473">
        <f>AN1032/(AN$758+AM$758+AL$758+AK$758)</f>
        <v>0.25531119735518182</v>
      </c>
      <c r="AO973" s="16">
        <f>AO1032/AO$758</f>
        <v>0.25531119735518182</v>
      </c>
      <c r="AP973" s="473">
        <f>AP1032/(AP$758+AN$758+AM$758+AL$758)</f>
        <v>0.26296173044925125</v>
      </c>
      <c r="AQ973" s="195">
        <f>AQ1032/(AQ$758+AP$758+AN$758+AM$758)</f>
        <v>0.22894185035544418</v>
      </c>
      <c r="AR973" s="473">
        <f>AR1032/(AR$758+AQ$758+AP$758+AN$758)</f>
        <v>0.2435408482206865</v>
      </c>
      <c r="AS973" s="473">
        <f>AS1032/(AS$758+AR$758+AQ$758+AP$758)</f>
        <v>0.25708077670497148</v>
      </c>
      <c r="AT973" s="16">
        <f>AT1032/AT$758</f>
        <v>0.25694317000061173</v>
      </c>
      <c r="AU973" s="473">
        <f>AU1032/(AU$758+AS$758+AR$758+AQ$758)</f>
        <v>0.27732780192282364</v>
      </c>
      <c r="AV973" s="195">
        <f>AV1032/(AV$758+AU$758+AS$758+AR$758)</f>
        <v>0.29241790635497361</v>
      </c>
      <c r="AW973" s="876">
        <f>AW1032/(AW$758+AV$758+AU$758+AS$758)</f>
        <v>0.28804390558412352</v>
      </c>
      <c r="AX973" s="473">
        <f t="shared" si="1069"/>
        <v>0.25708077670497148</v>
      </c>
      <c r="AY973" s="16">
        <f>AY1032/AY$758</f>
        <v>0.44091592849867184</v>
      </c>
      <c r="AZ973" s="473">
        <f t="shared" si="1070"/>
        <v>0.27732780192282364</v>
      </c>
      <c r="BA973" s="473">
        <f t="shared" si="1070"/>
        <v>0.29241790635497361</v>
      </c>
      <c r="BB973" s="473">
        <f t="shared" si="1070"/>
        <v>0.28804390558412352</v>
      </c>
      <c r="BC973" s="473">
        <f t="shared" si="1070"/>
        <v>0.25708077670497148</v>
      </c>
      <c r="BD973" s="16">
        <f>BD1032/BD$758</f>
        <v>0.25708077670497148</v>
      </c>
      <c r="BE973" s="16">
        <f t="shared" si="1071"/>
        <v>0.25708077670497148</v>
      </c>
      <c r="BF973" s="16">
        <f t="shared" si="1071"/>
        <v>0.25708077670497148</v>
      </c>
      <c r="BG973" s="16">
        <f t="shared" si="1071"/>
        <v>0.25708077670497148</v>
      </c>
      <c r="BH973" s="499"/>
    </row>
    <row r="974" spans="1:60" s="52" customFormat="1" x14ac:dyDescent="0.25">
      <c r="A974" s="748"/>
      <c r="B974" s="798"/>
      <c r="C974" s="115"/>
      <c r="D974" s="115"/>
      <c r="E974" s="115"/>
      <c r="F974" s="115"/>
      <c r="G974" s="292"/>
      <c r="H974" s="292"/>
      <c r="I974" s="292"/>
      <c r="J974" s="292"/>
      <c r="K974" s="115"/>
      <c r="L974" s="292"/>
      <c r="M974" s="292"/>
      <c r="N974" s="292"/>
      <c r="O974" s="292"/>
      <c r="P974" s="115"/>
      <c r="Q974" s="292"/>
      <c r="R974" s="292"/>
      <c r="S974" s="292"/>
      <c r="T974" s="292"/>
      <c r="U974" s="115"/>
      <c r="V974" s="292"/>
      <c r="W974" s="292"/>
      <c r="X974" s="292"/>
      <c r="Y974" s="292"/>
      <c r="Z974" s="115"/>
      <c r="AA974" s="292"/>
      <c r="AB974" s="292"/>
      <c r="AC974" s="292"/>
      <c r="AD974" s="292"/>
      <c r="AE974" s="115"/>
      <c r="AF974" s="292"/>
      <c r="AG974" s="292"/>
      <c r="AH974" s="292"/>
      <c r="AI974" s="292"/>
      <c r="AJ974" s="115"/>
      <c r="AK974" s="292"/>
      <c r="AL974" s="292"/>
      <c r="AM974" s="292"/>
      <c r="AN974" s="292"/>
      <c r="AO974" s="115"/>
      <c r="AP974" s="292"/>
      <c r="AQ974" s="292"/>
      <c r="AR974" s="292"/>
      <c r="AS974" s="292"/>
      <c r="AT974" s="115"/>
      <c r="AU974" s="292"/>
      <c r="AV974" s="292"/>
      <c r="AW974" s="819"/>
      <c r="AX974" s="292"/>
      <c r="AY974" s="115"/>
      <c r="AZ974" s="292"/>
      <c r="BA974" s="292"/>
      <c r="BB974" s="292"/>
      <c r="BC974" s="292"/>
      <c r="BD974" s="115"/>
      <c r="BE974" s="115"/>
      <c r="BF974" s="115"/>
      <c r="BG974" s="115"/>
      <c r="BH974" s="499"/>
    </row>
    <row r="975" spans="1:60" s="469" customFormat="1" x14ac:dyDescent="0.25">
      <c r="A975" s="349" t="s">
        <v>581</v>
      </c>
      <c r="B975" s="820"/>
      <c r="C975" s="838"/>
      <c r="D975" s="302">
        <f t="shared" ref="D975:F977" si="1072">D971-C971</f>
        <v>1.7681021584128848E-2</v>
      </c>
      <c r="E975" s="302">
        <f t="shared" si="1072"/>
        <v>-7.8357723179003913E-4</v>
      </c>
      <c r="F975" s="302">
        <f t="shared" si="1072"/>
        <v>3.5153649757572181E-3</v>
      </c>
      <c r="G975" s="821"/>
      <c r="H975" s="821"/>
      <c r="I975" s="821"/>
      <c r="J975" s="821"/>
      <c r="K975" s="302">
        <f>K971-F971</f>
        <v>-9.0923250768149E-6</v>
      </c>
      <c r="L975" s="821"/>
      <c r="M975" s="821"/>
      <c r="N975" s="821"/>
      <c r="O975" s="821"/>
      <c r="P975" s="302">
        <f t="shared" ref="P975:Y977" si="1073">P971-K971</f>
        <v>5.5629068626617539E-3</v>
      </c>
      <c r="Q975" s="303">
        <f t="shared" si="1073"/>
        <v>-1.979995761971054E-3</v>
      </c>
      <c r="R975" s="303">
        <f t="shared" si="1073"/>
        <v>-1.4610493223643495E-4</v>
      </c>
      <c r="S975" s="303">
        <f t="shared" si="1073"/>
        <v>-1.1204529634478988E-3</v>
      </c>
      <c r="T975" s="303">
        <f t="shared" si="1073"/>
        <v>-7.3994435972505324E-3</v>
      </c>
      <c r="U975" s="302">
        <f t="shared" si="1073"/>
        <v>-7.3994435972505324E-3</v>
      </c>
      <c r="V975" s="303">
        <f t="shared" si="1073"/>
        <v>1.7405664159545975E-2</v>
      </c>
      <c r="W975" s="303">
        <f t="shared" si="1073"/>
        <v>9.1326453022944065E-4</v>
      </c>
      <c r="X975" s="303">
        <f t="shared" si="1073"/>
        <v>3.9069972001130604E-3</v>
      </c>
      <c r="Y975" s="303">
        <f t="shared" si="1073"/>
        <v>1.0101032952354316E-2</v>
      </c>
      <c r="Z975" s="302">
        <f t="shared" ref="Z975:AI977" si="1074">Z971-U971</f>
        <v>1.0101032952354316E-2</v>
      </c>
      <c r="AA975" s="303">
        <f t="shared" si="1074"/>
        <v>-1.0547152679623611E-2</v>
      </c>
      <c r="AB975" s="304">
        <f t="shared" si="1074"/>
        <v>5.4663496521657196E-3</v>
      </c>
      <c r="AC975" s="303">
        <f t="shared" si="1074"/>
        <v>1.3663048713511206E-2</v>
      </c>
      <c r="AD975" s="303">
        <f t="shared" si="1074"/>
        <v>-6.3721609016480218E-3</v>
      </c>
      <c r="AE975" s="302">
        <f t="shared" si="1074"/>
        <v>-6.3721609016480218E-3</v>
      </c>
      <c r="AF975" s="303">
        <f t="shared" si="1074"/>
        <v>-1.5663027676642571E-3</v>
      </c>
      <c r="AG975" s="304">
        <f t="shared" si="1074"/>
        <v>2.7161965233381546E-3</v>
      </c>
      <c r="AH975" s="303">
        <f t="shared" si="1074"/>
        <v>2.9817943526366797E-4</v>
      </c>
      <c r="AI975" s="303">
        <f t="shared" si="1074"/>
        <v>4.7452855914653647E-4</v>
      </c>
      <c r="AJ975" s="302">
        <f t="shared" ref="AJ975:AR977" si="1075">AJ971-AE971</f>
        <v>4.7452855914653647E-4</v>
      </c>
      <c r="AK975" s="303">
        <f t="shared" si="1075"/>
        <v>-7.0127386067696529E-3</v>
      </c>
      <c r="AL975" s="304">
        <f t="shared" si="1075"/>
        <v>7.4153381394013729E-2</v>
      </c>
      <c r="AM975" s="303">
        <f t="shared" si="1075"/>
        <v>6.8033361330999298E-2</v>
      </c>
      <c r="AN975" s="303">
        <f t="shared" si="1075"/>
        <v>6.547592221460255E-2</v>
      </c>
      <c r="AO975" s="302">
        <f t="shared" si="1075"/>
        <v>6.547592221460255E-2</v>
      </c>
      <c r="AP975" s="303">
        <f t="shared" si="1075"/>
        <v>5.7159580853272024E-2</v>
      </c>
      <c r="AQ975" s="304">
        <f t="shared" si="1075"/>
        <v>-5.8390750304102568E-2</v>
      </c>
      <c r="AR975" s="303">
        <f t="shared" si="1075"/>
        <v>-6.0982210648716756E-2</v>
      </c>
      <c r="AS975" s="303">
        <f t="shared" ref="AS975:AT977" si="1076">AS971-AN971</f>
        <v>-2.8072406309229803E-2</v>
      </c>
      <c r="AT975" s="302">
        <f t="shared" si="1076"/>
        <v>-2.8176489756584322E-2</v>
      </c>
      <c r="AU975" s="303">
        <f t="shared" ref="AU975:AV977" si="1077">AU971-AP971</f>
        <v>3.6943947190171966E-3</v>
      </c>
      <c r="AV975" s="304">
        <f t="shared" si="1077"/>
        <v>2.8994732238099841E-2</v>
      </c>
      <c r="AW975" s="883">
        <f>AW971-AR971</f>
        <v>2.9043043952046349E-2</v>
      </c>
      <c r="AX975" s="305">
        <v>0</v>
      </c>
      <c r="AY975" s="302">
        <f>AY971-AT971</f>
        <v>0.13915396791818035</v>
      </c>
      <c r="AZ975" s="305">
        <v>0</v>
      </c>
      <c r="BA975" s="305">
        <v>0</v>
      </c>
      <c r="BB975" s="305">
        <v>0</v>
      </c>
      <c r="BC975" s="305">
        <v>0</v>
      </c>
      <c r="BD975" s="302">
        <f>BD971-AY971</f>
        <v>-0.13904988447082584</v>
      </c>
      <c r="BE975" s="306">
        <v>0</v>
      </c>
      <c r="BF975" s="306">
        <v>0</v>
      </c>
      <c r="BG975" s="306">
        <v>0</v>
      </c>
      <c r="BH975" s="473"/>
    </row>
    <row r="976" spans="1:60" s="469" customFormat="1" x14ac:dyDescent="0.25">
      <c r="A976" s="349" t="s">
        <v>582</v>
      </c>
      <c r="B976" s="820"/>
      <c r="C976" s="838"/>
      <c r="D976" s="302">
        <f t="shared" si="1072"/>
        <v>2.7245277193304121E-3</v>
      </c>
      <c r="E976" s="302">
        <f t="shared" si="1072"/>
        <v>1.1196707441682233E-3</v>
      </c>
      <c r="F976" s="302">
        <f t="shared" si="1072"/>
        <v>-2.6496253208707909E-3</v>
      </c>
      <c r="G976" s="821"/>
      <c r="H976" s="821"/>
      <c r="I976" s="821"/>
      <c r="J976" s="821"/>
      <c r="K976" s="302">
        <f>K972-F972</f>
        <v>-3.3402405420864187E-3</v>
      </c>
      <c r="L976" s="821"/>
      <c r="M976" s="821"/>
      <c r="N976" s="821"/>
      <c r="O976" s="821"/>
      <c r="P976" s="302">
        <f t="shared" si="1073"/>
        <v>-7.6885632127687842E-4</v>
      </c>
      <c r="Q976" s="303">
        <f t="shared" si="1073"/>
        <v>-4.1200912579112889E-4</v>
      </c>
      <c r="R976" s="303">
        <f t="shared" si="1073"/>
        <v>-2.7070224645791077E-4</v>
      </c>
      <c r="S976" s="303">
        <f t="shared" si="1073"/>
        <v>-2.2339806170154283E-4</v>
      </c>
      <c r="T976" s="303">
        <f t="shared" si="1073"/>
        <v>-2.3017363301704209E-3</v>
      </c>
      <c r="U976" s="302">
        <f t="shared" si="1073"/>
        <v>-2.3017363301704209E-3</v>
      </c>
      <c r="V976" s="303">
        <f t="shared" si="1073"/>
        <v>-3.1820340886634033E-3</v>
      </c>
      <c r="W976" s="303">
        <f t="shared" si="1073"/>
        <v>-3.5808439036450236E-3</v>
      </c>
      <c r="X976" s="303">
        <f t="shared" si="1073"/>
        <v>-5.2913427407531889E-3</v>
      </c>
      <c r="Y976" s="303">
        <f t="shared" si="1073"/>
        <v>-4.9581522513290066E-3</v>
      </c>
      <c r="Z976" s="302">
        <f t="shared" si="1074"/>
        <v>-4.9581522513290066E-3</v>
      </c>
      <c r="AA976" s="303">
        <f t="shared" si="1074"/>
        <v>-2.8555367843597496E-3</v>
      </c>
      <c r="AB976" s="304">
        <f t="shared" si="1074"/>
        <v>-1.1808361849551946E-3</v>
      </c>
      <c r="AC976" s="303">
        <f t="shared" si="1074"/>
        <v>-7.542845155787542E-4</v>
      </c>
      <c r="AD976" s="303">
        <f t="shared" si="1074"/>
        <v>-8.4011067075638601E-5</v>
      </c>
      <c r="AE976" s="302">
        <f t="shared" si="1074"/>
        <v>-8.4011067075638601E-5</v>
      </c>
      <c r="AF976" s="303">
        <f t="shared" si="1074"/>
        <v>-8.1245537892446484E-5</v>
      </c>
      <c r="AG976" s="304">
        <f t="shared" si="1074"/>
        <v>-6.207494994798779E-4</v>
      </c>
      <c r="AH976" s="303">
        <f t="shared" si="1074"/>
        <v>-5.9331946183049586E-4</v>
      </c>
      <c r="AI976" s="303">
        <f t="shared" si="1074"/>
        <v>-1.4806712095813482E-3</v>
      </c>
      <c r="AJ976" s="302">
        <f t="shared" si="1075"/>
        <v>-1.4806712095813482E-3</v>
      </c>
      <c r="AK976" s="303">
        <f t="shared" si="1075"/>
        <v>-6.1280256057441237E-4</v>
      </c>
      <c r="AL976" s="304">
        <f t="shared" si="1075"/>
        <v>1.3218063059744767E-3</v>
      </c>
      <c r="AM976" s="303">
        <f t="shared" si="1075"/>
        <v>5.7326451796000169E-4</v>
      </c>
      <c r="AN976" s="303">
        <f t="shared" si="1075"/>
        <v>2.8180792573539309E-4</v>
      </c>
      <c r="AO976" s="302">
        <f t="shared" si="1075"/>
        <v>2.8180792573539309E-4</v>
      </c>
      <c r="AP976" s="303">
        <f t="shared" si="1075"/>
        <v>-1.9386898417432345E-3</v>
      </c>
      <c r="AQ976" s="304">
        <f t="shared" si="1075"/>
        <v>-4.6050522689472483E-3</v>
      </c>
      <c r="AR976" s="303">
        <f t="shared" si="1075"/>
        <v>-1.0508321333825392E-3</v>
      </c>
      <c r="AS976" s="303">
        <f t="shared" si="1076"/>
        <v>5.1955499372135366E-4</v>
      </c>
      <c r="AT976" s="302">
        <f t="shared" si="1076"/>
        <v>5.0658960993458721E-4</v>
      </c>
      <c r="AU976" s="303">
        <f t="shared" si="1077"/>
        <v>3.4527326487111681E-3</v>
      </c>
      <c r="AV976" s="304">
        <f t="shared" si="1077"/>
        <v>4.5217972406532726E-3</v>
      </c>
      <c r="AW976" s="883">
        <f>AW972-AR972</f>
        <v>-1.2174700632058208E-3</v>
      </c>
      <c r="AX976" s="305">
        <v>0</v>
      </c>
      <c r="AY976" s="302">
        <f>AY972-AT972</f>
        <v>1.7334020397739965E-2</v>
      </c>
      <c r="AZ976" s="305">
        <v>0</v>
      </c>
      <c r="BA976" s="305">
        <v>0</v>
      </c>
      <c r="BB976" s="305">
        <v>0</v>
      </c>
      <c r="BC976" s="305">
        <v>0</v>
      </c>
      <c r="BD976" s="302">
        <f>BD972-AY972</f>
        <v>-1.7321055013953198E-2</v>
      </c>
      <c r="BE976" s="306">
        <v>0</v>
      </c>
      <c r="BF976" s="306">
        <v>0</v>
      </c>
      <c r="BG976" s="306">
        <v>0</v>
      </c>
      <c r="BH976" s="473"/>
    </row>
    <row r="977" spans="1:60" s="469" customFormat="1" x14ac:dyDescent="0.25">
      <c r="A977" s="349" t="s">
        <v>583</v>
      </c>
      <c r="B977" s="820"/>
      <c r="C977" s="838"/>
      <c r="D977" s="302">
        <f t="shared" si="1072"/>
        <v>5.1400759850477318E-3</v>
      </c>
      <c r="E977" s="302">
        <f t="shared" si="1072"/>
        <v>-4.9203215691751012E-3</v>
      </c>
      <c r="F977" s="302">
        <f t="shared" si="1072"/>
        <v>-4.363352038210172E-3</v>
      </c>
      <c r="G977" s="821"/>
      <c r="H977" s="821"/>
      <c r="I977" s="821"/>
      <c r="J977" s="821"/>
      <c r="K977" s="302">
        <f>K973-F973</f>
        <v>-1.7323363197502273E-4</v>
      </c>
      <c r="L977" s="821"/>
      <c r="M977" s="821"/>
      <c r="N977" s="821"/>
      <c r="O977" s="821"/>
      <c r="P977" s="302">
        <f t="shared" si="1073"/>
        <v>4.5536333278025365E-3</v>
      </c>
      <c r="Q977" s="303">
        <f t="shared" si="1073"/>
        <v>-4.9409020957965621E-3</v>
      </c>
      <c r="R977" s="303">
        <f t="shared" si="1073"/>
        <v>-5.1547674141712296E-3</v>
      </c>
      <c r="S977" s="303">
        <f t="shared" si="1073"/>
        <v>1.8887552993474443E-2</v>
      </c>
      <c r="T977" s="303">
        <f t="shared" si="1073"/>
        <v>-6.0846001272144845E-3</v>
      </c>
      <c r="U977" s="302">
        <f t="shared" si="1073"/>
        <v>-6.0846001272144845E-3</v>
      </c>
      <c r="V977" s="303">
        <f t="shared" si="1073"/>
        <v>-1.0179535277331786E-2</v>
      </c>
      <c r="W977" s="303">
        <f t="shared" si="1073"/>
        <v>-2.2843497882846786E-3</v>
      </c>
      <c r="X977" s="303">
        <f t="shared" si="1073"/>
        <v>3.8853288587495649E-3</v>
      </c>
      <c r="Y977" s="303">
        <f t="shared" si="1073"/>
        <v>1.4604982282585582E-2</v>
      </c>
      <c r="Z977" s="302">
        <f t="shared" si="1074"/>
        <v>1.4604982282585582E-2</v>
      </c>
      <c r="AA977" s="303">
        <f t="shared" si="1074"/>
        <v>9.2885672387231499E-3</v>
      </c>
      <c r="AB977" s="304">
        <f t="shared" si="1074"/>
        <v>1.3156328786467192E-2</v>
      </c>
      <c r="AC977" s="303">
        <f t="shared" si="1074"/>
        <v>1.3210032717621722E-2</v>
      </c>
      <c r="AD977" s="303">
        <f t="shared" si="1074"/>
        <v>-3.5142187904587674E-3</v>
      </c>
      <c r="AE977" s="302">
        <f t="shared" si="1074"/>
        <v>-3.5142187904587674E-3</v>
      </c>
      <c r="AF977" s="303">
        <f t="shared" si="1074"/>
        <v>-8.997975534507735E-3</v>
      </c>
      <c r="AG977" s="304">
        <f t="shared" si="1074"/>
        <v>1.3084963835351959E-2</v>
      </c>
      <c r="AH977" s="303">
        <f t="shared" si="1074"/>
        <v>-3.0006506350926943E-4</v>
      </c>
      <c r="AI977" s="303">
        <f t="shared" si="1074"/>
        <v>-1.1121248535699013E-3</v>
      </c>
      <c r="AJ977" s="302">
        <f t="shared" si="1075"/>
        <v>-1.1121248535699013E-3</v>
      </c>
      <c r="AK977" s="303">
        <f t="shared" si="1075"/>
        <v>8.2370341902604505E-3</v>
      </c>
      <c r="AL977" s="304">
        <f t="shared" si="1075"/>
        <v>0.18457472097963859</v>
      </c>
      <c r="AM977" s="303">
        <f t="shared" si="1075"/>
        <v>0.10382610582400051</v>
      </c>
      <c r="AN977" s="303">
        <f t="shared" si="1075"/>
        <v>9.5823362109362931E-2</v>
      </c>
      <c r="AO977" s="302">
        <f t="shared" si="1075"/>
        <v>9.5823362109362931E-2</v>
      </c>
      <c r="AP977" s="303">
        <f t="shared" si="1075"/>
        <v>8.2851940263012069E-2</v>
      </c>
      <c r="AQ977" s="304">
        <f t="shared" si="1075"/>
        <v>-0.11414717240225331</v>
      </c>
      <c r="AR977" s="303">
        <f t="shared" si="1075"/>
        <v>-2.888609344070564E-2</v>
      </c>
      <c r="AS977" s="303">
        <f t="shared" si="1076"/>
        <v>1.7695793497896628E-3</v>
      </c>
      <c r="AT977" s="302">
        <f t="shared" si="1076"/>
        <v>1.6319726454299133E-3</v>
      </c>
      <c r="AU977" s="303">
        <f t="shared" si="1077"/>
        <v>1.4366071473572384E-2</v>
      </c>
      <c r="AV977" s="304">
        <f t="shared" si="1077"/>
        <v>6.3476055999529435E-2</v>
      </c>
      <c r="AW977" s="883">
        <f>AW973-AR973</f>
        <v>4.4503057363437015E-2</v>
      </c>
      <c r="AX977" s="305">
        <v>0</v>
      </c>
      <c r="AY977" s="302">
        <f>AY973-AT973</f>
        <v>0.18397275849806011</v>
      </c>
      <c r="AZ977" s="305">
        <v>0</v>
      </c>
      <c r="BA977" s="305">
        <v>0</v>
      </c>
      <c r="BB977" s="305">
        <v>0</v>
      </c>
      <c r="BC977" s="305">
        <v>0</v>
      </c>
      <c r="BD977" s="302">
        <f>BD973-AY973</f>
        <v>-0.18383515179370036</v>
      </c>
      <c r="BE977" s="306">
        <v>0</v>
      </c>
      <c r="BF977" s="306">
        <v>0</v>
      </c>
      <c r="BG977" s="306">
        <v>0</v>
      </c>
      <c r="BH977" s="473"/>
    </row>
    <row r="978" spans="1:60" s="52" customFormat="1" x14ac:dyDescent="0.25">
      <c r="A978" s="226"/>
      <c r="B978" s="209"/>
      <c r="C978" s="492"/>
      <c r="D978" s="492"/>
      <c r="E978" s="492"/>
      <c r="F978" s="492"/>
      <c r="G978" s="491"/>
      <c r="H978" s="491"/>
      <c r="I978" s="491"/>
      <c r="J978" s="491"/>
      <c r="K978" s="492"/>
      <c r="L978" s="491"/>
      <c r="M978" s="491"/>
      <c r="N978" s="491"/>
      <c r="O978" s="491"/>
      <c r="P978" s="492"/>
      <c r="Q978" s="491"/>
      <c r="R978" s="491"/>
      <c r="S978" s="491"/>
      <c r="T978" s="491"/>
      <c r="U978" s="492"/>
      <c r="V978" s="491"/>
      <c r="W978" s="491"/>
      <c r="X978" s="491"/>
      <c r="Y978" s="491"/>
      <c r="Z978" s="492"/>
      <c r="AA978" s="491"/>
      <c r="AB978" s="491"/>
      <c r="AC978" s="491"/>
      <c r="AD978" s="491"/>
      <c r="AE978" s="492"/>
      <c r="AF978" s="491"/>
      <c r="AG978" s="491"/>
      <c r="AH978" s="491"/>
      <c r="AI978" s="491"/>
      <c r="AJ978" s="492"/>
      <c r="AK978" s="491"/>
      <c r="AL978" s="491"/>
      <c r="AM978" s="491"/>
      <c r="AN978" s="491"/>
      <c r="AO978" s="492"/>
      <c r="AP978" s="491"/>
      <c r="AQ978" s="491"/>
      <c r="AR978" s="491"/>
      <c r="AS978" s="491"/>
      <c r="AT978" s="492"/>
      <c r="AU978" s="491"/>
      <c r="AV978" s="491"/>
      <c r="AW978" s="692"/>
      <c r="AX978" s="491"/>
      <c r="AY978" s="492"/>
      <c r="AZ978" s="491"/>
      <c r="BA978" s="491"/>
      <c r="BB978" s="491"/>
      <c r="BC978" s="491"/>
      <c r="BD978" s="492"/>
      <c r="BE978" s="492"/>
      <c r="BF978" s="492"/>
      <c r="BG978" s="492"/>
      <c r="BH978" s="499"/>
    </row>
    <row r="979" spans="1:60" s="498" customFormat="1" x14ac:dyDescent="0.25">
      <c r="A979" s="300" t="s">
        <v>674</v>
      </c>
      <c r="B979" s="301"/>
      <c r="C979" s="575"/>
      <c r="D979" s="575"/>
      <c r="E979" s="575"/>
      <c r="F979" s="575"/>
      <c r="G979" s="575"/>
      <c r="H979" s="575"/>
      <c r="I979" s="575"/>
      <c r="J979" s="575"/>
      <c r="K979" s="575"/>
      <c r="L979" s="575"/>
      <c r="M979" s="575"/>
      <c r="N979" s="575"/>
      <c r="O979" s="575"/>
      <c r="P979" s="575"/>
      <c r="Q979" s="575"/>
      <c r="R979" s="575"/>
      <c r="S979" s="575"/>
      <c r="T979" s="575"/>
      <c r="U979" s="575"/>
      <c r="V979" s="575"/>
      <c r="W979" s="575"/>
      <c r="X979" s="575"/>
      <c r="Y979" s="575"/>
      <c r="Z979" s="575"/>
      <c r="AA979" s="575"/>
      <c r="AB979" s="575"/>
      <c r="AC979" s="575"/>
      <c r="AD979" s="575"/>
      <c r="AE979" s="575"/>
      <c r="AF979" s="575"/>
      <c r="AG979" s="575"/>
      <c r="AH979" s="575"/>
      <c r="AI979" s="575"/>
      <c r="AJ979" s="575"/>
      <c r="AK979" s="575"/>
      <c r="AL979" s="575"/>
      <c r="AM979" s="575"/>
      <c r="AN979" s="575"/>
      <c r="AO979" s="575"/>
      <c r="AP979" s="575"/>
      <c r="AQ979" s="575"/>
      <c r="AR979" s="575"/>
      <c r="AS979" s="575"/>
      <c r="AT979" s="575"/>
      <c r="AU979" s="575"/>
      <c r="AV979" s="575"/>
      <c r="AW979" s="576"/>
      <c r="AX979" s="575"/>
      <c r="AY979" s="575"/>
      <c r="AZ979" s="575"/>
      <c r="BA979" s="575"/>
      <c r="BB979" s="575"/>
      <c r="BC979" s="575"/>
      <c r="BD979" s="575"/>
      <c r="BE979" s="575"/>
      <c r="BF979" s="575"/>
      <c r="BG979" s="575"/>
      <c r="BH979" s="499"/>
    </row>
    <row r="980" spans="1:60" s="498" customFormat="1" x14ac:dyDescent="0.25">
      <c r="A980" s="501" t="s">
        <v>676</v>
      </c>
      <c r="B980" s="602"/>
      <c r="C980" s="506"/>
      <c r="D980" s="502">
        <f t="shared" ref="D980:J980" si="1078">C984</f>
        <v>17597</v>
      </c>
      <c r="E980" s="502">
        <f t="shared" si="1078"/>
        <v>17806</v>
      </c>
      <c r="F980" s="502">
        <f t="shared" si="1078"/>
        <v>19695</v>
      </c>
      <c r="G980" s="503">
        <f t="shared" si="1078"/>
        <v>21512</v>
      </c>
      <c r="H980" s="503">
        <f t="shared" si="1078"/>
        <v>21671</v>
      </c>
      <c r="I980" s="503">
        <f t="shared" si="1078"/>
        <v>21650</v>
      </c>
      <c r="J980" s="503">
        <f t="shared" si="1078"/>
        <v>21875</v>
      </c>
      <c r="K980" s="502">
        <f>F984</f>
        <v>21512</v>
      </c>
      <c r="L980" s="503">
        <f>K984</f>
        <v>22380</v>
      </c>
      <c r="M980" s="503">
        <f>L984</f>
        <v>22567</v>
      </c>
      <c r="N980" s="503">
        <f>M984</f>
        <v>22681</v>
      </c>
      <c r="O980" s="503">
        <f>N984</f>
        <v>23013</v>
      </c>
      <c r="P980" s="502">
        <f>K984</f>
        <v>22380</v>
      </c>
      <c r="Q980" s="503">
        <f>P984</f>
        <v>23332</v>
      </c>
      <c r="R980" s="503">
        <f>Q984</f>
        <v>23660</v>
      </c>
      <c r="S980" s="503">
        <f>R984</f>
        <v>23762</v>
      </c>
      <c r="T980" s="503">
        <f>S984</f>
        <v>24436</v>
      </c>
      <c r="U980" s="502">
        <f>P984</f>
        <v>23332</v>
      </c>
      <c r="V980" s="503">
        <f>U984</f>
        <v>25179</v>
      </c>
      <c r="W980" s="503">
        <f>V984</f>
        <v>25487</v>
      </c>
      <c r="X980" s="503">
        <f>W984</f>
        <v>26421</v>
      </c>
      <c r="Y980" s="503">
        <f>X984</f>
        <v>26865</v>
      </c>
      <c r="Z980" s="502">
        <f>U984</f>
        <v>25179</v>
      </c>
      <c r="AA980" s="503">
        <f>Z984</f>
        <v>27349</v>
      </c>
      <c r="AB980" s="504">
        <f>AA984</f>
        <v>27054</v>
      </c>
      <c r="AC980" s="503">
        <f>AB984</f>
        <v>27399</v>
      </c>
      <c r="AD980" s="503">
        <f>AC984</f>
        <v>27733</v>
      </c>
      <c r="AE980" s="502">
        <f>Z984</f>
        <v>27349</v>
      </c>
      <c r="AF980" s="503">
        <f>AE984</f>
        <v>28406</v>
      </c>
      <c r="AG980" s="504">
        <f>AF984</f>
        <v>28584</v>
      </c>
      <c r="AH980" s="503">
        <f>AG984</f>
        <v>29200</v>
      </c>
      <c r="AI980" s="503">
        <f>AH984</f>
        <v>29373</v>
      </c>
      <c r="AJ980" s="502">
        <f>AE984</f>
        <v>28406</v>
      </c>
      <c r="AK980" s="503">
        <f>AJ984</f>
        <v>29540</v>
      </c>
      <c r="AL980" s="504">
        <f>AK984</f>
        <v>29797</v>
      </c>
      <c r="AM980" s="503">
        <f>AL984</f>
        <v>31017</v>
      </c>
      <c r="AN980" s="503">
        <f>AM984</f>
        <v>31392</v>
      </c>
      <c r="AO980" s="502">
        <f>AJ984</f>
        <v>29540</v>
      </c>
      <c r="AP980" s="503">
        <f>AO984</f>
        <v>31603</v>
      </c>
      <c r="AQ980" s="504">
        <f>AP984</f>
        <v>31895</v>
      </c>
      <c r="AR980" s="503">
        <f>AQ984</f>
        <v>32151</v>
      </c>
      <c r="AS980" s="503">
        <f>AR984</f>
        <v>31891</v>
      </c>
      <c r="AT980" s="502">
        <f>AO984</f>
        <v>31603</v>
      </c>
      <c r="AU980" s="503">
        <f>AT984</f>
        <v>32078</v>
      </c>
      <c r="AV980" s="504">
        <f>AU984</f>
        <v>32263</v>
      </c>
      <c r="AW980" s="689">
        <f>AV984</f>
        <v>32137</v>
      </c>
      <c r="AX980" s="505">
        <f>AW984</f>
        <v>32377</v>
      </c>
      <c r="AY980" s="506">
        <f>AT984</f>
        <v>32078</v>
      </c>
      <c r="AZ980" s="505">
        <f>AY984</f>
        <v>32207</v>
      </c>
      <c r="BA980" s="505">
        <f>AZ984</f>
        <v>32357</v>
      </c>
      <c r="BB980" s="505">
        <f>BA984</f>
        <v>32507</v>
      </c>
      <c r="BC980" s="505">
        <f>BB984</f>
        <v>32657</v>
      </c>
      <c r="BD980" s="506">
        <f>AY984</f>
        <v>32207</v>
      </c>
      <c r="BE980" s="506">
        <f>BD984</f>
        <v>32807</v>
      </c>
      <c r="BF980" s="506">
        <f>BE984</f>
        <v>33505</v>
      </c>
      <c r="BG980" s="506">
        <f>BF984</f>
        <v>34203</v>
      </c>
      <c r="BH980" s="499"/>
    </row>
    <row r="981" spans="1:60" s="498" customFormat="1" x14ac:dyDescent="0.25">
      <c r="A981" s="483" t="s">
        <v>677</v>
      </c>
      <c r="B981" s="209"/>
      <c r="C981" s="492"/>
      <c r="D981" s="489">
        <f t="shared" ref="D981:AR981" si="1079">-D769</f>
        <v>0</v>
      </c>
      <c r="E981" s="489">
        <f t="shared" si="1079"/>
        <v>0</v>
      </c>
      <c r="F981" s="489">
        <f t="shared" si="1079"/>
        <v>0</v>
      </c>
      <c r="G981" s="490">
        <f t="shared" si="1079"/>
        <v>0</v>
      </c>
      <c r="H981" s="490">
        <f t="shared" si="1079"/>
        <v>0</v>
      </c>
      <c r="I981" s="490">
        <f t="shared" si="1079"/>
        <v>0</v>
      </c>
      <c r="J981" s="490">
        <f t="shared" si="1079"/>
        <v>0</v>
      </c>
      <c r="K981" s="489">
        <f t="shared" si="1079"/>
        <v>-2192</v>
      </c>
      <c r="L981" s="490">
        <f t="shared" si="1079"/>
        <v>-561</v>
      </c>
      <c r="M981" s="490">
        <f t="shared" si="1079"/>
        <v>-580</v>
      </c>
      <c r="N981" s="490">
        <f t="shared" si="1079"/>
        <v>-557</v>
      </c>
      <c r="O981" s="490">
        <f t="shared" si="1079"/>
        <v>-590</v>
      </c>
      <c r="P981" s="489">
        <f t="shared" si="1079"/>
        <v>-2288</v>
      </c>
      <c r="Q981" s="490">
        <f t="shared" si="1079"/>
        <v>-592</v>
      </c>
      <c r="R981" s="490">
        <f t="shared" si="1079"/>
        <v>-584</v>
      </c>
      <c r="S981" s="490">
        <f t="shared" si="1079"/>
        <v>-575</v>
      </c>
      <c r="T981" s="490">
        <f t="shared" si="1079"/>
        <v>-603</v>
      </c>
      <c r="U981" s="489">
        <f t="shared" si="1079"/>
        <v>-2354</v>
      </c>
      <c r="V981" s="490">
        <f t="shared" si="1079"/>
        <v>-607</v>
      </c>
      <c r="W981" s="490">
        <f t="shared" si="1079"/>
        <v>-605</v>
      </c>
      <c r="X981" s="490">
        <f t="shared" si="1079"/>
        <v>-626</v>
      </c>
      <c r="Y981" s="490">
        <f t="shared" si="1079"/>
        <v>-689</v>
      </c>
      <c r="Z981" s="489">
        <f t="shared" si="1079"/>
        <v>-2527</v>
      </c>
      <c r="AA981" s="490">
        <f t="shared" si="1079"/>
        <v>-687</v>
      </c>
      <c r="AB981" s="497">
        <f t="shared" si="1079"/>
        <v>-676</v>
      </c>
      <c r="AC981" s="490">
        <f t="shared" si="1079"/>
        <v>-711</v>
      </c>
      <c r="AD981" s="490">
        <f t="shared" si="1079"/>
        <v>-708</v>
      </c>
      <c r="AE981" s="489">
        <f t="shared" si="1079"/>
        <v>-2782</v>
      </c>
      <c r="AF981" s="490">
        <f t="shared" si="1079"/>
        <v>-742</v>
      </c>
      <c r="AG981" s="497">
        <f t="shared" si="1079"/>
        <v>-687</v>
      </c>
      <c r="AH981" s="490">
        <f t="shared" si="1079"/>
        <v>-678</v>
      </c>
      <c r="AI981" s="490">
        <f t="shared" si="1079"/>
        <v>-716</v>
      </c>
      <c r="AJ981" s="489">
        <f t="shared" si="1079"/>
        <v>-2758</v>
      </c>
      <c r="AK981" s="490">
        <f t="shared" si="1079"/>
        <v>-667</v>
      </c>
      <c r="AL981" s="497">
        <f t="shared" si="1079"/>
        <v>-691</v>
      </c>
      <c r="AM981" s="490">
        <f t="shared" si="1079"/>
        <v>-749</v>
      </c>
      <c r="AN981" s="490">
        <f t="shared" si="1079"/>
        <v>-730</v>
      </c>
      <c r="AO981" s="489">
        <f t="shared" si="1079"/>
        <v>-2837</v>
      </c>
      <c r="AP981" s="490">
        <f t="shared" si="1079"/>
        <v>-739</v>
      </c>
      <c r="AQ981" s="497">
        <f t="shared" si="1079"/>
        <v>-765</v>
      </c>
      <c r="AR981" s="490">
        <f t="shared" si="1079"/>
        <v>-822</v>
      </c>
      <c r="AS981" s="490">
        <f t="shared" ref="AS981:AX981" si="1080">-AS769</f>
        <v>-812</v>
      </c>
      <c r="AT981" s="489">
        <f t="shared" si="1080"/>
        <v>-3140</v>
      </c>
      <c r="AU981" s="490">
        <f t="shared" si="1080"/>
        <v>-777</v>
      </c>
      <c r="AV981" s="497">
        <f>-AV769</f>
        <v>-754</v>
      </c>
      <c r="AW981" s="687">
        <f>-AW769</f>
        <v>-761</v>
      </c>
      <c r="AX981" s="491">
        <f t="shared" si="1080"/>
        <v>-782</v>
      </c>
      <c r="AY981" s="492">
        <f>IF(OR(ISBLANK(AU981),ISBLANK(AV981),ISBLANK(AW981),ISBLANK(AX981)),"n/a",SUM(AU981,AV981,AW981,AX981))</f>
        <v>-3074</v>
      </c>
      <c r="AZ981" s="491">
        <f>-AZ769</f>
        <v>-782</v>
      </c>
      <c r="BA981" s="491">
        <f>-BA769</f>
        <v>-782</v>
      </c>
      <c r="BB981" s="491">
        <f>-BB769</f>
        <v>-782</v>
      </c>
      <c r="BC981" s="491">
        <f>-BC769</f>
        <v>-782</v>
      </c>
      <c r="BD981" s="492">
        <f>IF(OR(ISBLANK(AZ981),ISBLANK(BA981),ISBLANK(BB981),ISBLANK(BC981)),"n/a",SUM(AZ981,BA981,BB981,BC981))</f>
        <v>-3128</v>
      </c>
      <c r="BE981" s="492">
        <f>-BE769</f>
        <v>-3030</v>
      </c>
      <c r="BF981" s="492">
        <f>-BF769</f>
        <v>-3030</v>
      </c>
      <c r="BG981" s="492">
        <f>-BG769</f>
        <v>-3030</v>
      </c>
      <c r="BH981" s="499"/>
    </row>
    <row r="982" spans="1:60" s="498" customFormat="1" x14ac:dyDescent="0.25">
      <c r="A982" s="483" t="s">
        <v>679</v>
      </c>
      <c r="B982" s="209"/>
      <c r="C982" s="492"/>
      <c r="D982" s="492"/>
      <c r="E982" s="492"/>
      <c r="F982" s="492"/>
      <c r="G982" s="491"/>
      <c r="H982" s="491"/>
      <c r="I982" s="491"/>
      <c r="J982" s="491"/>
      <c r="K982" s="492"/>
      <c r="L982" s="491"/>
      <c r="M982" s="491"/>
      <c r="N982" s="491"/>
      <c r="O982" s="491"/>
      <c r="P982" s="492"/>
      <c r="Q982" s="491"/>
      <c r="R982" s="491"/>
      <c r="S982" s="491"/>
      <c r="T982" s="491"/>
      <c r="U982" s="492"/>
      <c r="V982" s="491"/>
      <c r="W982" s="491"/>
      <c r="X982" s="491"/>
      <c r="Y982" s="491"/>
      <c r="Z982" s="492"/>
      <c r="AA982" s="491"/>
      <c r="AB982" s="491"/>
      <c r="AC982" s="491"/>
      <c r="AD982" s="491"/>
      <c r="AE982" s="492"/>
      <c r="AF982" s="491"/>
      <c r="AG982" s="491"/>
      <c r="AH982" s="491"/>
      <c r="AI982" s="491"/>
      <c r="AJ982" s="492"/>
      <c r="AK982" s="491"/>
      <c r="AL982" s="491"/>
      <c r="AM982" s="491"/>
      <c r="AN982" s="491"/>
      <c r="AO982" s="492"/>
      <c r="AP982" s="491"/>
      <c r="AQ982" s="491"/>
      <c r="AR982" s="491"/>
      <c r="AS982" s="491"/>
      <c r="AT982" s="492"/>
      <c r="AU982" s="491"/>
      <c r="AV982" s="491"/>
      <c r="AW982" s="692"/>
      <c r="AX982" s="491">
        <f>AX998*(1-AX999)</f>
        <v>612</v>
      </c>
      <c r="AY982" s="492" t="str">
        <f>IF(OR(ISBLANK(AU982),ISBLANK(AV982),ISBLANK(AW982),ISBLANK(AX982)),"n/a",SUM(AU982,AV982,AW982,AX982))</f>
        <v>n/a</v>
      </c>
      <c r="AZ982" s="491">
        <f>AZ998*(1-AZ999)</f>
        <v>932</v>
      </c>
      <c r="BA982" s="491">
        <f>BA998*(1-BA999)</f>
        <v>932</v>
      </c>
      <c r="BB982" s="491">
        <f>BB998*(1-BB999)</f>
        <v>932</v>
      </c>
      <c r="BC982" s="491">
        <f>BC998*(1-BC999)</f>
        <v>932</v>
      </c>
      <c r="BD982" s="492">
        <f>IF(OR(ISBLANK(AZ982),ISBLANK(BA982),ISBLANK(BB982),ISBLANK(BC982)),"n/a",SUM(AZ982,BA982,BB982,BC982))</f>
        <v>3728</v>
      </c>
      <c r="BE982" s="492">
        <f>BE998*(1-BE999)</f>
        <v>3728</v>
      </c>
      <c r="BF982" s="492">
        <f>BF998*(1-BF999)</f>
        <v>3728</v>
      </c>
      <c r="BG982" s="492">
        <f>BG998*(1-BG999)</f>
        <v>3728</v>
      </c>
      <c r="BH982" s="499"/>
    </row>
    <row r="983" spans="1:60" s="498" customFormat="1" x14ac:dyDescent="0.25">
      <c r="A983" s="483" t="s">
        <v>680</v>
      </c>
      <c r="B983" s="209"/>
      <c r="C983" s="492"/>
      <c r="D983" s="489">
        <f t="shared" ref="D983:AR983" si="1081">ROUND(D984-D980-D981-D982,6)</f>
        <v>209</v>
      </c>
      <c r="E983" s="489">
        <f t="shared" si="1081"/>
        <v>1889</v>
      </c>
      <c r="F983" s="489">
        <f t="shared" si="1081"/>
        <v>1817</v>
      </c>
      <c r="G983" s="490">
        <f t="shared" si="1081"/>
        <v>159</v>
      </c>
      <c r="H983" s="490">
        <f t="shared" si="1081"/>
        <v>-21</v>
      </c>
      <c r="I983" s="490">
        <f t="shared" si="1081"/>
        <v>225</v>
      </c>
      <c r="J983" s="490">
        <f t="shared" si="1081"/>
        <v>505</v>
      </c>
      <c r="K983" s="489">
        <f t="shared" si="1081"/>
        <v>3060</v>
      </c>
      <c r="L983" s="490">
        <f t="shared" si="1081"/>
        <v>748</v>
      </c>
      <c r="M983" s="490">
        <f t="shared" si="1081"/>
        <v>694</v>
      </c>
      <c r="N983" s="490">
        <f t="shared" si="1081"/>
        <v>889</v>
      </c>
      <c r="O983" s="490">
        <f t="shared" si="1081"/>
        <v>909</v>
      </c>
      <c r="P983" s="489">
        <f t="shared" si="1081"/>
        <v>3240</v>
      </c>
      <c r="Q983" s="490">
        <f t="shared" si="1081"/>
        <v>920</v>
      </c>
      <c r="R983" s="490">
        <f t="shared" si="1081"/>
        <v>686</v>
      </c>
      <c r="S983" s="490">
        <f t="shared" si="1081"/>
        <v>1249</v>
      </c>
      <c r="T983" s="490">
        <f t="shared" si="1081"/>
        <v>1346</v>
      </c>
      <c r="U983" s="489">
        <f t="shared" si="1081"/>
        <v>4201</v>
      </c>
      <c r="V983" s="490">
        <f t="shared" si="1081"/>
        <v>915</v>
      </c>
      <c r="W983" s="490">
        <f t="shared" si="1081"/>
        <v>1539</v>
      </c>
      <c r="X983" s="490">
        <f t="shared" si="1081"/>
        <v>1070</v>
      </c>
      <c r="Y983" s="490">
        <f t="shared" si="1081"/>
        <v>1173</v>
      </c>
      <c r="Z983" s="489">
        <f t="shared" si="1081"/>
        <v>4697</v>
      </c>
      <c r="AA983" s="490">
        <f t="shared" si="1081"/>
        <v>392</v>
      </c>
      <c r="AB983" s="497">
        <f t="shared" si="1081"/>
        <v>1021</v>
      </c>
      <c r="AC983" s="490">
        <f t="shared" si="1081"/>
        <v>1045</v>
      </c>
      <c r="AD983" s="490">
        <f t="shared" si="1081"/>
        <v>1381</v>
      </c>
      <c r="AE983" s="489">
        <f t="shared" si="1081"/>
        <v>3839</v>
      </c>
      <c r="AF983" s="490">
        <f t="shared" si="1081"/>
        <v>920</v>
      </c>
      <c r="AG983" s="497">
        <f t="shared" si="1081"/>
        <v>1303</v>
      </c>
      <c r="AH983" s="490">
        <f t="shared" si="1081"/>
        <v>851</v>
      </c>
      <c r="AI983" s="490">
        <f t="shared" si="1081"/>
        <v>883</v>
      </c>
      <c r="AJ983" s="489">
        <f t="shared" si="1081"/>
        <v>3892</v>
      </c>
      <c r="AK983" s="490">
        <f t="shared" si="1081"/>
        <v>924</v>
      </c>
      <c r="AL983" s="497">
        <f t="shared" si="1081"/>
        <v>1911</v>
      </c>
      <c r="AM983" s="490">
        <f t="shared" si="1081"/>
        <v>1124</v>
      </c>
      <c r="AN983" s="490">
        <f t="shared" si="1081"/>
        <v>941</v>
      </c>
      <c r="AO983" s="489">
        <f t="shared" si="1081"/>
        <v>4900</v>
      </c>
      <c r="AP983" s="490">
        <f t="shared" si="1081"/>
        <v>1031</v>
      </c>
      <c r="AQ983" s="497">
        <f t="shared" si="1081"/>
        <v>1021</v>
      </c>
      <c r="AR983" s="490">
        <f t="shared" si="1081"/>
        <v>562</v>
      </c>
      <c r="AS983" s="490">
        <f>ROUND(AS984-AS980-AS981-AS982,6)</f>
        <v>999</v>
      </c>
      <c r="AT983" s="489">
        <f>ROUND(AT984-AT980-AT981-AT982,6)</f>
        <v>3615</v>
      </c>
      <c r="AU983" s="490">
        <f>ROUND(AU984-AU980-AU981-AU982,6)</f>
        <v>962</v>
      </c>
      <c r="AV983" s="497">
        <f>ROUND(AV984-AV980-AV981-AV982,6)</f>
        <v>628</v>
      </c>
      <c r="AW983" s="687">
        <f>ROUND(AW984-AW980-AW981-AW982,6)</f>
        <v>1001</v>
      </c>
      <c r="AX983" s="491">
        <f>ROUND(AX984-AX980-IF(ISNUMBER(AX981),AX981,0)-IF(ISNUMBER(AX982),AX982,0),6)</f>
        <v>0</v>
      </c>
      <c r="AY983" s="492">
        <f t="shared" ref="AY983:BG983" si="1082">ROUND(AY984-AY980-IF(ISNUMBER(AY981),AY981,0)-IF(ISNUMBER(AY982),AY982,0),6)</f>
        <v>3203</v>
      </c>
      <c r="AZ983" s="491">
        <f t="shared" si="1082"/>
        <v>0</v>
      </c>
      <c r="BA983" s="491">
        <f t="shared" si="1082"/>
        <v>0</v>
      </c>
      <c r="BB983" s="491">
        <f t="shared" si="1082"/>
        <v>0</v>
      </c>
      <c r="BC983" s="491">
        <f t="shared" si="1082"/>
        <v>0</v>
      </c>
      <c r="BD983" s="492">
        <f t="shared" si="1082"/>
        <v>0</v>
      </c>
      <c r="BE983" s="492">
        <f t="shared" si="1082"/>
        <v>0</v>
      </c>
      <c r="BF983" s="492">
        <f t="shared" si="1082"/>
        <v>0</v>
      </c>
      <c r="BG983" s="492">
        <f t="shared" si="1082"/>
        <v>0</v>
      </c>
      <c r="BH983" s="499"/>
    </row>
    <row r="984" spans="1:60" s="498" customFormat="1" x14ac:dyDescent="0.25">
      <c r="A984" s="626" t="s">
        <v>675</v>
      </c>
      <c r="B984" s="822"/>
      <c r="C984" s="627">
        <f t="shared" ref="C984:AQ984" si="1083">C1022</f>
        <v>17597</v>
      </c>
      <c r="D984" s="627">
        <f t="shared" si="1083"/>
        <v>17806</v>
      </c>
      <c r="E984" s="627">
        <f t="shared" si="1083"/>
        <v>19695</v>
      </c>
      <c r="F984" s="627">
        <f t="shared" si="1083"/>
        <v>21512</v>
      </c>
      <c r="G984" s="628">
        <f t="shared" si="1083"/>
        <v>21671</v>
      </c>
      <c r="H984" s="628">
        <f t="shared" si="1083"/>
        <v>21650</v>
      </c>
      <c r="I984" s="628">
        <f t="shared" si="1083"/>
        <v>21875</v>
      </c>
      <c r="J984" s="628">
        <f t="shared" si="1083"/>
        <v>22380</v>
      </c>
      <c r="K984" s="627">
        <f t="shared" si="1083"/>
        <v>22380</v>
      </c>
      <c r="L984" s="628">
        <f t="shared" si="1083"/>
        <v>22567</v>
      </c>
      <c r="M984" s="628">
        <f t="shared" si="1083"/>
        <v>22681</v>
      </c>
      <c r="N984" s="628">
        <f t="shared" si="1083"/>
        <v>23013</v>
      </c>
      <c r="O984" s="628">
        <f t="shared" si="1083"/>
        <v>23332</v>
      </c>
      <c r="P984" s="627">
        <f t="shared" si="1083"/>
        <v>23332</v>
      </c>
      <c r="Q984" s="628">
        <f t="shared" si="1083"/>
        <v>23660</v>
      </c>
      <c r="R984" s="628">
        <f t="shared" si="1083"/>
        <v>23762</v>
      </c>
      <c r="S984" s="628">
        <f t="shared" si="1083"/>
        <v>24436</v>
      </c>
      <c r="T984" s="628">
        <f t="shared" si="1083"/>
        <v>25179</v>
      </c>
      <c r="U984" s="627">
        <f t="shared" si="1083"/>
        <v>25179</v>
      </c>
      <c r="V984" s="628">
        <f t="shared" si="1083"/>
        <v>25487</v>
      </c>
      <c r="W984" s="628">
        <f t="shared" si="1083"/>
        <v>26421</v>
      </c>
      <c r="X984" s="628">
        <f t="shared" si="1083"/>
        <v>26865</v>
      </c>
      <c r="Y984" s="628">
        <f t="shared" si="1083"/>
        <v>27349</v>
      </c>
      <c r="Z984" s="627">
        <f t="shared" si="1083"/>
        <v>27349</v>
      </c>
      <c r="AA984" s="628">
        <f t="shared" si="1083"/>
        <v>27054</v>
      </c>
      <c r="AB984" s="629">
        <f t="shared" si="1083"/>
        <v>27399</v>
      </c>
      <c r="AC984" s="628">
        <f t="shared" si="1083"/>
        <v>27733</v>
      </c>
      <c r="AD984" s="628">
        <f t="shared" si="1083"/>
        <v>28406</v>
      </c>
      <c r="AE984" s="627">
        <f t="shared" si="1083"/>
        <v>28406</v>
      </c>
      <c r="AF984" s="628">
        <f t="shared" si="1083"/>
        <v>28584</v>
      </c>
      <c r="AG984" s="629">
        <f t="shared" si="1083"/>
        <v>29200</v>
      </c>
      <c r="AH984" s="628">
        <f t="shared" si="1083"/>
        <v>29373</v>
      </c>
      <c r="AI984" s="628">
        <f t="shared" si="1083"/>
        <v>29540</v>
      </c>
      <c r="AJ984" s="627">
        <f t="shared" si="1083"/>
        <v>29540</v>
      </c>
      <c r="AK984" s="628">
        <f t="shared" si="1083"/>
        <v>29797</v>
      </c>
      <c r="AL984" s="629">
        <f t="shared" si="1083"/>
        <v>31017</v>
      </c>
      <c r="AM984" s="628">
        <f t="shared" si="1083"/>
        <v>31392</v>
      </c>
      <c r="AN984" s="628">
        <f t="shared" si="1083"/>
        <v>31603</v>
      </c>
      <c r="AO984" s="627">
        <f t="shared" si="1083"/>
        <v>31603</v>
      </c>
      <c r="AP984" s="628">
        <f t="shared" si="1083"/>
        <v>31895</v>
      </c>
      <c r="AQ984" s="629">
        <f t="shared" si="1083"/>
        <v>32151</v>
      </c>
      <c r="AR984" s="628">
        <f t="shared" ref="AR984:AY984" si="1084">AR1022</f>
        <v>31891</v>
      </c>
      <c r="AS984" s="628">
        <f t="shared" si="1084"/>
        <v>32078</v>
      </c>
      <c r="AT984" s="627">
        <f t="shared" si="1084"/>
        <v>32078</v>
      </c>
      <c r="AU984" s="628">
        <f t="shared" si="1084"/>
        <v>32263</v>
      </c>
      <c r="AV984" s="629">
        <f t="shared" si="1084"/>
        <v>32137</v>
      </c>
      <c r="AW984" s="884">
        <f>AW1022</f>
        <v>32377</v>
      </c>
      <c r="AX984" s="631">
        <f t="shared" si="1084"/>
        <v>32207</v>
      </c>
      <c r="AY984" s="632">
        <f t="shared" si="1084"/>
        <v>32207</v>
      </c>
      <c r="AZ984" s="631">
        <f t="shared" ref="AZ984:BG984" si="1085">AZ1022</f>
        <v>32357</v>
      </c>
      <c r="BA984" s="631">
        <f t="shared" si="1085"/>
        <v>32507</v>
      </c>
      <c r="BB984" s="631">
        <f t="shared" si="1085"/>
        <v>32657</v>
      </c>
      <c r="BC984" s="631">
        <f t="shared" si="1085"/>
        <v>32807</v>
      </c>
      <c r="BD984" s="632">
        <f t="shared" si="1085"/>
        <v>32807</v>
      </c>
      <c r="BE984" s="632">
        <f t="shared" si="1085"/>
        <v>33505</v>
      </c>
      <c r="BF984" s="632">
        <f t="shared" si="1085"/>
        <v>34203</v>
      </c>
      <c r="BG984" s="632">
        <f t="shared" si="1085"/>
        <v>34901</v>
      </c>
      <c r="BH984" s="499"/>
    </row>
    <row r="985" spans="1:60" s="498" customFormat="1" x14ac:dyDescent="0.25">
      <c r="A985" s="226"/>
      <c r="B985" s="209"/>
      <c r="C985" s="492"/>
      <c r="D985" s="492"/>
      <c r="E985" s="492"/>
      <c r="F985" s="492"/>
      <c r="G985" s="491"/>
      <c r="H985" s="491"/>
      <c r="I985" s="491"/>
      <c r="J985" s="491"/>
      <c r="K985" s="492"/>
      <c r="L985" s="491"/>
      <c r="M985" s="491"/>
      <c r="N985" s="491"/>
      <c r="O985" s="491"/>
      <c r="P985" s="492"/>
      <c r="Q985" s="491"/>
      <c r="R985" s="491"/>
      <c r="S985" s="491"/>
      <c r="T985" s="491"/>
      <c r="U985" s="492"/>
      <c r="V985" s="491"/>
      <c r="W985" s="491"/>
      <c r="X985" s="491"/>
      <c r="Y985" s="491"/>
      <c r="Z985" s="492"/>
      <c r="AA985" s="491"/>
      <c r="AB985" s="491"/>
      <c r="AC985" s="491"/>
      <c r="AD985" s="491"/>
      <c r="AE985" s="492"/>
      <c r="AF985" s="491"/>
      <c r="AG985" s="491"/>
      <c r="AH985" s="491"/>
      <c r="AI985" s="491"/>
      <c r="AJ985" s="492"/>
      <c r="AK985" s="491"/>
      <c r="AL985" s="491"/>
      <c r="AM985" s="491"/>
      <c r="AN985" s="491"/>
      <c r="AO985" s="492"/>
      <c r="AP985" s="491"/>
      <c r="AQ985" s="491"/>
      <c r="AR985" s="491"/>
      <c r="AS985" s="491"/>
      <c r="AT985" s="492"/>
      <c r="AU985" s="491"/>
      <c r="AV985" s="491"/>
      <c r="AW985" s="692"/>
      <c r="AX985" s="491"/>
      <c r="AY985" s="492"/>
      <c r="AZ985" s="491"/>
      <c r="BA985" s="491"/>
      <c r="BB985" s="491"/>
      <c r="BC985" s="491"/>
      <c r="BD985" s="492"/>
      <c r="BE985" s="492"/>
      <c r="BF985" s="492"/>
      <c r="BG985" s="492"/>
      <c r="BH985" s="499"/>
    </row>
    <row r="986" spans="1:60" s="498" customFormat="1" x14ac:dyDescent="0.25">
      <c r="A986" s="501" t="s">
        <v>682</v>
      </c>
      <c r="B986" s="602"/>
      <c r="C986" s="506"/>
      <c r="D986" s="502">
        <f t="shared" ref="D986:J986" si="1086">C990</f>
        <v>5125</v>
      </c>
      <c r="E986" s="502">
        <f t="shared" si="1086"/>
        <v>4773</v>
      </c>
      <c r="F986" s="502">
        <f t="shared" si="1086"/>
        <v>4357</v>
      </c>
      <c r="G986" s="503">
        <f t="shared" si="1086"/>
        <v>4541</v>
      </c>
      <c r="H986" s="503">
        <f t="shared" si="1086"/>
        <v>4811</v>
      </c>
      <c r="I986" s="503">
        <f t="shared" si="1086"/>
        <v>4895</v>
      </c>
      <c r="J986" s="503">
        <f t="shared" si="1086"/>
        <v>4786</v>
      </c>
      <c r="K986" s="502">
        <f>F990</f>
        <v>4541</v>
      </c>
      <c r="L986" s="503">
        <f>K990</f>
        <v>4783</v>
      </c>
      <c r="M986" s="503">
        <f>L990</f>
        <v>4992</v>
      </c>
      <c r="N986" s="503">
        <f>M990</f>
        <v>5067</v>
      </c>
      <c r="O986" s="503">
        <f>N990</f>
        <v>5025</v>
      </c>
      <c r="P986" s="502">
        <f>K990</f>
        <v>4783</v>
      </c>
      <c r="Q986" s="503">
        <f>P990</f>
        <v>5325</v>
      </c>
      <c r="R986" s="503">
        <f>Q990</f>
        <v>5672</v>
      </c>
      <c r="S986" s="503">
        <f>R990</f>
        <v>5792</v>
      </c>
      <c r="T986" s="503">
        <f>S990</f>
        <v>5775</v>
      </c>
      <c r="U986" s="502">
        <f>P990</f>
        <v>5325</v>
      </c>
      <c r="V986" s="503">
        <f>U990</f>
        <v>6183</v>
      </c>
      <c r="W986" s="503">
        <f>V990</f>
        <v>6330</v>
      </c>
      <c r="X986" s="503">
        <f>W990</f>
        <v>6484</v>
      </c>
      <c r="Y986" s="503">
        <f>X990</f>
        <v>6091</v>
      </c>
      <c r="Z986" s="502">
        <f>U990</f>
        <v>6183</v>
      </c>
      <c r="AA986" s="503">
        <f>Z990</f>
        <v>6339</v>
      </c>
      <c r="AB986" s="504">
        <f>AA990</f>
        <v>6572</v>
      </c>
      <c r="AC986" s="503">
        <f>AB990</f>
        <v>6974</v>
      </c>
      <c r="AD986" s="503">
        <f>AC990</f>
        <v>6798</v>
      </c>
      <c r="AE986" s="502">
        <f>Z990</f>
        <v>6339</v>
      </c>
      <c r="AF986" s="503">
        <f>AE990</f>
        <v>7481</v>
      </c>
      <c r="AG986" s="504">
        <f>AF990</f>
        <v>7937</v>
      </c>
      <c r="AH986" s="503">
        <f>AG990</f>
        <v>8074</v>
      </c>
      <c r="AI986" s="503">
        <f>AH990</f>
        <v>7684</v>
      </c>
      <c r="AJ986" s="502">
        <f>AE990</f>
        <v>7481</v>
      </c>
      <c r="AK986" s="503">
        <f>AJ990</f>
        <v>7888</v>
      </c>
      <c r="AL986" s="504">
        <f>AK990</f>
        <v>8177</v>
      </c>
      <c r="AM986" s="503">
        <f>AL990</f>
        <v>24353</v>
      </c>
      <c r="AN986" s="503">
        <f>AM990</f>
        <v>22552</v>
      </c>
      <c r="AO986" s="502">
        <f>AJ990</f>
        <v>7888</v>
      </c>
      <c r="AP986" s="503">
        <f>AO990</f>
        <v>22810</v>
      </c>
      <c r="AQ986" s="504">
        <f>AP990</f>
        <v>26539</v>
      </c>
      <c r="AR986" s="503">
        <f>AQ990</f>
        <v>26757</v>
      </c>
      <c r="AS986" s="503">
        <f>AR990</f>
        <v>25560</v>
      </c>
      <c r="AT986" s="502">
        <f>AO990</f>
        <v>22810</v>
      </c>
      <c r="AU986" s="503">
        <f>AT990</f>
        <v>25022</v>
      </c>
      <c r="AV986" s="504">
        <f>AU990</f>
        <v>25929</v>
      </c>
      <c r="AW986" s="689">
        <f>AV990</f>
        <v>26858</v>
      </c>
      <c r="AX986" s="505">
        <f>AW990</f>
        <v>27889</v>
      </c>
      <c r="AY986" s="506">
        <f>AT990</f>
        <v>25022</v>
      </c>
      <c r="AZ986" s="505">
        <f>AY990</f>
        <v>27494</v>
      </c>
      <c r="BA986" s="505">
        <f>AZ990</f>
        <v>27179</v>
      </c>
      <c r="BB986" s="505">
        <f>BA990</f>
        <v>26864</v>
      </c>
      <c r="BC986" s="505">
        <f>BB990</f>
        <v>26549</v>
      </c>
      <c r="BD986" s="506">
        <f>AY990</f>
        <v>27494</v>
      </c>
      <c r="BE986" s="506">
        <f>BD990</f>
        <v>26234</v>
      </c>
      <c r="BF986" s="506">
        <f>BE990</f>
        <v>24976</v>
      </c>
      <c r="BG986" s="506">
        <f>BF990</f>
        <v>23718</v>
      </c>
      <c r="BH986" s="499"/>
    </row>
    <row r="987" spans="1:60" s="498" customFormat="1" x14ac:dyDescent="0.25">
      <c r="A987" s="483" t="s">
        <v>683</v>
      </c>
      <c r="B987" s="209"/>
      <c r="C987" s="492"/>
      <c r="D987" s="489">
        <f t="shared" ref="D987:AR987" si="1087">-D770</f>
        <v>0</v>
      </c>
      <c r="E987" s="489">
        <f t="shared" si="1087"/>
        <v>0</v>
      </c>
      <c r="F987" s="489">
        <f t="shared" si="1087"/>
        <v>0</v>
      </c>
      <c r="G987" s="490">
        <f t="shared" si="1087"/>
        <v>0</v>
      </c>
      <c r="H987" s="490">
        <f t="shared" si="1087"/>
        <v>0</v>
      </c>
      <c r="I987" s="490">
        <f t="shared" si="1087"/>
        <v>0</v>
      </c>
      <c r="J987" s="490">
        <f t="shared" si="1087"/>
        <v>0</v>
      </c>
      <c r="K987" s="489">
        <f t="shared" si="1087"/>
        <v>0</v>
      </c>
      <c r="L987" s="490">
        <f t="shared" si="1087"/>
        <v>0</v>
      </c>
      <c r="M987" s="490">
        <f t="shared" si="1087"/>
        <v>0</v>
      </c>
      <c r="N987" s="490">
        <f t="shared" si="1087"/>
        <v>0</v>
      </c>
      <c r="O987" s="490">
        <f t="shared" si="1087"/>
        <v>0</v>
      </c>
      <c r="P987" s="489">
        <f t="shared" si="1087"/>
        <v>0</v>
      </c>
      <c r="Q987" s="490">
        <f t="shared" si="1087"/>
        <v>0</v>
      </c>
      <c r="R987" s="490">
        <f t="shared" si="1087"/>
        <v>0</v>
      </c>
      <c r="S987" s="490">
        <f t="shared" si="1087"/>
        <v>0</v>
      </c>
      <c r="T987" s="490">
        <f t="shared" si="1087"/>
        <v>0</v>
      </c>
      <c r="U987" s="489">
        <f t="shared" si="1087"/>
        <v>0</v>
      </c>
      <c r="V987" s="490">
        <f t="shared" si="1087"/>
        <v>0</v>
      </c>
      <c r="W987" s="490">
        <f t="shared" si="1087"/>
        <v>0</v>
      </c>
      <c r="X987" s="490">
        <f t="shared" si="1087"/>
        <v>0</v>
      </c>
      <c r="Y987" s="490">
        <f t="shared" si="1087"/>
        <v>0</v>
      </c>
      <c r="Z987" s="489">
        <f t="shared" si="1087"/>
        <v>0</v>
      </c>
      <c r="AA987" s="490">
        <f t="shared" si="1087"/>
        <v>0</v>
      </c>
      <c r="AB987" s="497">
        <f t="shared" si="1087"/>
        <v>0</v>
      </c>
      <c r="AC987" s="490">
        <f t="shared" si="1087"/>
        <v>0</v>
      </c>
      <c r="AD987" s="490">
        <f t="shared" si="1087"/>
        <v>0</v>
      </c>
      <c r="AE987" s="489">
        <f t="shared" si="1087"/>
        <v>0</v>
      </c>
      <c r="AF987" s="490">
        <f t="shared" si="1087"/>
        <v>0</v>
      </c>
      <c r="AG987" s="497">
        <f t="shared" si="1087"/>
        <v>-44</v>
      </c>
      <c r="AH987" s="490">
        <f t="shared" si="1087"/>
        <v>-66</v>
      </c>
      <c r="AI987" s="490">
        <f t="shared" si="1087"/>
        <v>-78</v>
      </c>
      <c r="AJ987" s="489">
        <f t="shared" si="1087"/>
        <v>-253</v>
      </c>
      <c r="AK987" s="490">
        <f t="shared" si="1087"/>
        <v>-65</v>
      </c>
      <c r="AL987" s="497">
        <f t="shared" si="1087"/>
        <v>-137</v>
      </c>
      <c r="AM987" s="490">
        <f t="shared" si="1087"/>
        <v>-555</v>
      </c>
      <c r="AN987" s="490">
        <f t="shared" si="1087"/>
        <v>-566</v>
      </c>
      <c r="AO987" s="489">
        <f t="shared" si="1087"/>
        <v>-1323</v>
      </c>
      <c r="AP987" s="490">
        <f t="shared" si="1087"/>
        <v>-559</v>
      </c>
      <c r="AQ987" s="497">
        <f t="shared" si="1087"/>
        <v>-568</v>
      </c>
      <c r="AR987" s="490">
        <f t="shared" si="1087"/>
        <v>-555</v>
      </c>
      <c r="AS987" s="490">
        <f t="shared" ref="AS987:AX987" si="1088">-AS770</f>
        <v>-523</v>
      </c>
      <c r="AT987" s="489">
        <f t="shared" si="1088"/>
        <v>-2205</v>
      </c>
      <c r="AU987" s="490">
        <f t="shared" si="1088"/>
        <v>-521</v>
      </c>
      <c r="AV987" s="497">
        <f>-AV770</f>
        <v>-518</v>
      </c>
      <c r="AW987" s="687">
        <f>-AW770</f>
        <v>-505</v>
      </c>
      <c r="AX987" s="491">
        <f t="shared" si="1088"/>
        <v>-548</v>
      </c>
      <c r="AY987" s="492">
        <f>IF(OR(ISBLANK(AU987),ISBLANK(AV987),ISBLANK(AW987),ISBLANK(AX987)),"n/a",SUM(AU987,AV987,AW987,AX987))</f>
        <v>-2092</v>
      </c>
      <c r="AZ987" s="491">
        <f>-AZ770</f>
        <v>-548</v>
      </c>
      <c r="BA987" s="491">
        <f>-BA770</f>
        <v>-548</v>
      </c>
      <c r="BB987" s="491">
        <f>-BB770</f>
        <v>-548</v>
      </c>
      <c r="BC987" s="491">
        <f>-BC770</f>
        <v>-548</v>
      </c>
      <c r="BD987" s="492">
        <f>IF(OR(ISBLANK(AZ987),ISBLANK(BA987),ISBLANK(BB987),ISBLANK(BC987)),"n/a",SUM(AZ987,BA987,BB987,BC987))</f>
        <v>-2192</v>
      </c>
      <c r="BE987" s="492">
        <f>-BE770</f>
        <v>-2190</v>
      </c>
      <c r="BF987" s="492">
        <f>-BF770</f>
        <v>-2190</v>
      </c>
      <c r="BG987" s="492">
        <f>-BG770</f>
        <v>-2190</v>
      </c>
      <c r="BH987" s="499"/>
    </row>
    <row r="988" spans="1:60" s="498" customFormat="1" x14ac:dyDescent="0.25">
      <c r="A988" s="483" t="s">
        <v>685</v>
      </c>
      <c r="B988" s="209"/>
      <c r="C988" s="492"/>
      <c r="D988" s="492"/>
      <c r="E988" s="492"/>
      <c r="F988" s="492"/>
      <c r="G988" s="491"/>
      <c r="H988" s="491"/>
      <c r="I988" s="491"/>
      <c r="J988" s="491"/>
      <c r="K988" s="492"/>
      <c r="L988" s="491"/>
      <c r="M988" s="491"/>
      <c r="N988" s="491"/>
      <c r="O988" s="491"/>
      <c r="P988" s="492"/>
      <c r="Q988" s="491"/>
      <c r="R988" s="491"/>
      <c r="S988" s="491"/>
      <c r="T988" s="491"/>
      <c r="U988" s="492"/>
      <c r="V988" s="491"/>
      <c r="W988" s="491"/>
      <c r="X988" s="491"/>
      <c r="Y988" s="491"/>
      <c r="Z988" s="492"/>
      <c r="AA988" s="491"/>
      <c r="AB988" s="491"/>
      <c r="AC988" s="491"/>
      <c r="AD988" s="491"/>
      <c r="AE988" s="492"/>
      <c r="AF988" s="491"/>
      <c r="AG988" s="491"/>
      <c r="AH988" s="491"/>
      <c r="AI988" s="491"/>
      <c r="AJ988" s="492"/>
      <c r="AK988" s="491"/>
      <c r="AL988" s="491"/>
      <c r="AM988" s="491"/>
      <c r="AN988" s="491"/>
      <c r="AO988" s="492"/>
      <c r="AP988" s="491"/>
      <c r="AQ988" s="491"/>
      <c r="AR988" s="491"/>
      <c r="AS988" s="491"/>
      <c r="AT988" s="492"/>
      <c r="AU988" s="491"/>
      <c r="AV988" s="491"/>
      <c r="AW988" s="692"/>
      <c r="AX988" s="491">
        <f>AX998*AX999</f>
        <v>153</v>
      </c>
      <c r="AY988" s="492" t="str">
        <f>IF(OR(ISBLANK(AU988),ISBLANK(AV988),ISBLANK(AW988),ISBLANK(AX988)),"n/a",SUM(AU988,AV988,AW988,AX988))</f>
        <v>n/a</v>
      </c>
      <c r="AZ988" s="491">
        <f>AZ998*AZ999</f>
        <v>233</v>
      </c>
      <c r="BA988" s="491">
        <f>BA998*BA999</f>
        <v>233</v>
      </c>
      <c r="BB988" s="491">
        <f>BB998*BB999</f>
        <v>233</v>
      </c>
      <c r="BC988" s="491">
        <f>BC998*BC999</f>
        <v>233</v>
      </c>
      <c r="BD988" s="492">
        <f>IF(OR(ISBLANK(AZ988),ISBLANK(BA988),ISBLANK(BB988),ISBLANK(BC988)),"n/a",SUM(AZ988,BA988,BB988,BC988))</f>
        <v>932</v>
      </c>
      <c r="BE988" s="492">
        <f>BE998*BE999</f>
        <v>932</v>
      </c>
      <c r="BF988" s="492">
        <f>BF998*BF999</f>
        <v>932</v>
      </c>
      <c r="BG988" s="492">
        <f>BG998*BG999</f>
        <v>932</v>
      </c>
      <c r="BH988" s="499"/>
    </row>
    <row r="989" spans="1:60" s="498" customFormat="1" x14ac:dyDescent="0.25">
      <c r="A989" s="483" t="s">
        <v>686</v>
      </c>
      <c r="B989" s="209"/>
      <c r="C989" s="492"/>
      <c r="D989" s="489">
        <f t="shared" ref="D989:AR989" si="1089">ROUND(D990-D986-D987-D988,6)</f>
        <v>-352</v>
      </c>
      <c r="E989" s="489">
        <f t="shared" si="1089"/>
        <v>-416</v>
      </c>
      <c r="F989" s="489">
        <f t="shared" si="1089"/>
        <v>184</v>
      </c>
      <c r="G989" s="490">
        <f t="shared" si="1089"/>
        <v>270</v>
      </c>
      <c r="H989" s="490">
        <f t="shared" si="1089"/>
        <v>84</v>
      </c>
      <c r="I989" s="490">
        <f t="shared" si="1089"/>
        <v>-109</v>
      </c>
      <c r="J989" s="490">
        <f t="shared" si="1089"/>
        <v>-3</v>
      </c>
      <c r="K989" s="489">
        <f t="shared" si="1089"/>
        <v>242</v>
      </c>
      <c r="L989" s="490">
        <f t="shared" si="1089"/>
        <v>209</v>
      </c>
      <c r="M989" s="490">
        <f t="shared" si="1089"/>
        <v>75</v>
      </c>
      <c r="N989" s="490">
        <f t="shared" si="1089"/>
        <v>-42</v>
      </c>
      <c r="O989" s="490">
        <f t="shared" si="1089"/>
        <v>300</v>
      </c>
      <c r="P989" s="489">
        <f t="shared" si="1089"/>
        <v>542</v>
      </c>
      <c r="Q989" s="490">
        <f t="shared" si="1089"/>
        <v>347</v>
      </c>
      <c r="R989" s="490">
        <f t="shared" si="1089"/>
        <v>120</v>
      </c>
      <c r="S989" s="490">
        <f t="shared" si="1089"/>
        <v>-17</v>
      </c>
      <c r="T989" s="490">
        <f t="shared" si="1089"/>
        <v>408</v>
      </c>
      <c r="U989" s="489">
        <f t="shared" si="1089"/>
        <v>858</v>
      </c>
      <c r="V989" s="490">
        <f t="shared" si="1089"/>
        <v>147</v>
      </c>
      <c r="W989" s="490">
        <f t="shared" si="1089"/>
        <v>154</v>
      </c>
      <c r="X989" s="490">
        <f t="shared" si="1089"/>
        <v>-393</v>
      </c>
      <c r="Y989" s="490">
        <f t="shared" si="1089"/>
        <v>248</v>
      </c>
      <c r="Z989" s="489">
        <f t="shared" si="1089"/>
        <v>156</v>
      </c>
      <c r="AA989" s="490">
        <f t="shared" si="1089"/>
        <v>233</v>
      </c>
      <c r="AB989" s="497">
        <f t="shared" si="1089"/>
        <v>402</v>
      </c>
      <c r="AC989" s="490">
        <f t="shared" si="1089"/>
        <v>-176</v>
      </c>
      <c r="AD989" s="490">
        <f t="shared" si="1089"/>
        <v>683</v>
      </c>
      <c r="AE989" s="489">
        <f t="shared" si="1089"/>
        <v>1142</v>
      </c>
      <c r="AF989" s="490">
        <f t="shared" si="1089"/>
        <v>456</v>
      </c>
      <c r="AG989" s="497">
        <f t="shared" si="1089"/>
        <v>181</v>
      </c>
      <c r="AH989" s="490">
        <f t="shared" si="1089"/>
        <v>-324</v>
      </c>
      <c r="AI989" s="490">
        <f t="shared" si="1089"/>
        <v>282</v>
      </c>
      <c r="AJ989" s="489">
        <f t="shared" si="1089"/>
        <v>660</v>
      </c>
      <c r="AK989" s="490">
        <f t="shared" si="1089"/>
        <v>354</v>
      </c>
      <c r="AL989" s="497">
        <f t="shared" si="1089"/>
        <v>16313</v>
      </c>
      <c r="AM989" s="490">
        <f t="shared" si="1089"/>
        <v>-1246</v>
      </c>
      <c r="AN989" s="490">
        <f t="shared" si="1089"/>
        <v>824</v>
      </c>
      <c r="AO989" s="489">
        <f t="shared" si="1089"/>
        <v>16245</v>
      </c>
      <c r="AP989" s="490">
        <f t="shared" si="1089"/>
        <v>4288</v>
      </c>
      <c r="AQ989" s="497">
        <f t="shared" si="1089"/>
        <v>786</v>
      </c>
      <c r="AR989" s="490">
        <f t="shared" si="1089"/>
        <v>-642</v>
      </c>
      <c r="AS989" s="490">
        <f t="shared" ref="AS989:AX989" si="1090">ROUND(AS990-AS986-AS987-AS988,6)</f>
        <v>-15</v>
      </c>
      <c r="AT989" s="489">
        <f t="shared" si="1090"/>
        <v>4417</v>
      </c>
      <c r="AU989" s="490">
        <f>ROUND(AU990-AU986-AU987-AU988,6)</f>
        <v>1428</v>
      </c>
      <c r="AV989" s="497">
        <f>ROUND(AV990-AV986-AV987-AV988,6)</f>
        <v>1447</v>
      </c>
      <c r="AW989" s="687">
        <f>ROUND(AW990-AW986-AW987-AW988,6)</f>
        <v>1536</v>
      </c>
      <c r="AX989" s="491">
        <f t="shared" si="1090"/>
        <v>0</v>
      </c>
      <c r="AY989" s="492">
        <f>ROUND(AY990-AY986-IF(ISNUMBER(AY987),AY987,0)-IF(ISNUMBER(AY988),AY988,0),6)</f>
        <v>4564</v>
      </c>
      <c r="AZ989" s="491">
        <f>ROUND(AZ990-AZ986-AZ987-AZ988,6)</f>
        <v>0</v>
      </c>
      <c r="BA989" s="491">
        <f>ROUND(BA990-BA986-BA987-BA988,6)</f>
        <v>0</v>
      </c>
      <c r="BB989" s="491">
        <f>ROUND(BB990-BB986-BB987-BB988,6)</f>
        <v>0</v>
      </c>
      <c r="BC989" s="491">
        <f>ROUND(BC990-BC986-BC987-BC988,6)</f>
        <v>0</v>
      </c>
      <c r="BD989" s="492">
        <f>ROUND(BD990-BD986-IF(ISNUMBER(BD987),BD987,0)-IF(ISNUMBER(BD988),BD988,0),6)</f>
        <v>0</v>
      </c>
      <c r="BE989" s="492">
        <f>ROUND(BE990-BE986-BE987-BE988,6)</f>
        <v>0</v>
      </c>
      <c r="BF989" s="492">
        <f>ROUND(BF990-BF986-BF987-BF988,6)</f>
        <v>0</v>
      </c>
      <c r="BG989" s="492">
        <f>ROUND(BG990-BG986-BG987-BG988,6)</f>
        <v>0</v>
      </c>
      <c r="BH989" s="499"/>
    </row>
    <row r="990" spans="1:60" s="498" customFormat="1" x14ac:dyDescent="0.25">
      <c r="A990" s="626" t="s">
        <v>681</v>
      </c>
      <c r="B990" s="822"/>
      <c r="C990" s="627">
        <f t="shared" ref="C990:AP990" si="1091">C1015</f>
        <v>5125</v>
      </c>
      <c r="D990" s="627">
        <f t="shared" si="1091"/>
        <v>4773</v>
      </c>
      <c r="E990" s="627">
        <f t="shared" si="1091"/>
        <v>4357</v>
      </c>
      <c r="F990" s="627">
        <f t="shared" si="1091"/>
        <v>4541</v>
      </c>
      <c r="G990" s="628">
        <f t="shared" si="1091"/>
        <v>4811</v>
      </c>
      <c r="H990" s="628">
        <f t="shared" si="1091"/>
        <v>4895</v>
      </c>
      <c r="I990" s="628">
        <f t="shared" si="1091"/>
        <v>4786</v>
      </c>
      <c r="J990" s="628">
        <f t="shared" si="1091"/>
        <v>4783</v>
      </c>
      <c r="K990" s="627">
        <f t="shared" si="1091"/>
        <v>4783</v>
      </c>
      <c r="L990" s="628">
        <f t="shared" si="1091"/>
        <v>4992</v>
      </c>
      <c r="M990" s="628">
        <f t="shared" si="1091"/>
        <v>5067</v>
      </c>
      <c r="N990" s="628">
        <f t="shared" si="1091"/>
        <v>5025</v>
      </c>
      <c r="O990" s="628">
        <f t="shared" si="1091"/>
        <v>5325</v>
      </c>
      <c r="P990" s="627">
        <f t="shared" si="1091"/>
        <v>5325</v>
      </c>
      <c r="Q990" s="628">
        <f t="shared" si="1091"/>
        <v>5672</v>
      </c>
      <c r="R990" s="628">
        <f t="shared" si="1091"/>
        <v>5792</v>
      </c>
      <c r="S990" s="628">
        <f t="shared" si="1091"/>
        <v>5775</v>
      </c>
      <c r="T990" s="628">
        <f t="shared" si="1091"/>
        <v>6183</v>
      </c>
      <c r="U990" s="627">
        <f t="shared" si="1091"/>
        <v>6183</v>
      </c>
      <c r="V990" s="628">
        <f t="shared" si="1091"/>
        <v>6330</v>
      </c>
      <c r="W990" s="628">
        <f t="shared" si="1091"/>
        <v>6484</v>
      </c>
      <c r="X990" s="628">
        <f t="shared" si="1091"/>
        <v>6091</v>
      </c>
      <c r="Y990" s="628">
        <f t="shared" si="1091"/>
        <v>6339</v>
      </c>
      <c r="Z990" s="627">
        <f t="shared" si="1091"/>
        <v>6339</v>
      </c>
      <c r="AA990" s="628">
        <f t="shared" si="1091"/>
        <v>6572</v>
      </c>
      <c r="AB990" s="629">
        <f t="shared" si="1091"/>
        <v>6974</v>
      </c>
      <c r="AC990" s="628">
        <f t="shared" si="1091"/>
        <v>6798</v>
      </c>
      <c r="AD990" s="628">
        <f t="shared" si="1091"/>
        <v>7481</v>
      </c>
      <c r="AE990" s="627">
        <f t="shared" si="1091"/>
        <v>7481</v>
      </c>
      <c r="AF990" s="628">
        <f t="shared" si="1091"/>
        <v>7937</v>
      </c>
      <c r="AG990" s="629">
        <f t="shared" si="1091"/>
        <v>8074</v>
      </c>
      <c r="AH990" s="628">
        <f t="shared" si="1091"/>
        <v>7684</v>
      </c>
      <c r="AI990" s="628">
        <f t="shared" si="1091"/>
        <v>7888</v>
      </c>
      <c r="AJ990" s="627">
        <f t="shared" si="1091"/>
        <v>7888</v>
      </c>
      <c r="AK990" s="628">
        <f t="shared" si="1091"/>
        <v>8177</v>
      </c>
      <c r="AL990" s="629">
        <f t="shared" si="1091"/>
        <v>24353</v>
      </c>
      <c r="AM990" s="628">
        <f t="shared" si="1091"/>
        <v>22552</v>
      </c>
      <c r="AN990" s="628">
        <f t="shared" si="1091"/>
        <v>22810</v>
      </c>
      <c r="AO990" s="627">
        <f t="shared" si="1091"/>
        <v>22810</v>
      </c>
      <c r="AP990" s="628">
        <f t="shared" si="1091"/>
        <v>26539</v>
      </c>
      <c r="AQ990" s="629">
        <f t="shared" ref="AQ990:AX990" si="1092">AQ1015</f>
        <v>26757</v>
      </c>
      <c r="AR990" s="628">
        <f t="shared" si="1092"/>
        <v>25560</v>
      </c>
      <c r="AS990" s="628">
        <f t="shared" si="1092"/>
        <v>25022</v>
      </c>
      <c r="AT990" s="627">
        <f t="shared" si="1092"/>
        <v>25022</v>
      </c>
      <c r="AU990" s="628">
        <f t="shared" si="1092"/>
        <v>25929</v>
      </c>
      <c r="AV990" s="629">
        <f>AV1015</f>
        <v>26858</v>
      </c>
      <c r="AW990" s="884">
        <f>AW1015</f>
        <v>27889</v>
      </c>
      <c r="AX990" s="631">
        <f t="shared" si="1092"/>
        <v>27494</v>
      </c>
      <c r="AY990" s="632">
        <f t="shared" ref="AY990:BG990" si="1093">AY1015</f>
        <v>27494</v>
      </c>
      <c r="AZ990" s="631">
        <f t="shared" si="1093"/>
        <v>27179</v>
      </c>
      <c r="BA990" s="631">
        <f t="shared" si="1093"/>
        <v>26864</v>
      </c>
      <c r="BB990" s="631">
        <f t="shared" si="1093"/>
        <v>26549</v>
      </c>
      <c r="BC990" s="631">
        <f t="shared" si="1093"/>
        <v>26234</v>
      </c>
      <c r="BD990" s="632">
        <f t="shared" si="1093"/>
        <v>26234</v>
      </c>
      <c r="BE990" s="632">
        <f t="shared" si="1093"/>
        <v>24976</v>
      </c>
      <c r="BF990" s="632">
        <f t="shared" si="1093"/>
        <v>23718</v>
      </c>
      <c r="BG990" s="632">
        <f t="shared" si="1093"/>
        <v>22460</v>
      </c>
      <c r="BH990" s="499"/>
    </row>
    <row r="991" spans="1:60" s="498" customFormat="1" x14ac:dyDescent="0.25">
      <c r="A991" s="226"/>
      <c r="B991" s="209"/>
      <c r="C991" s="492"/>
      <c r="D991" s="492"/>
      <c r="E991" s="492"/>
      <c r="F991" s="492"/>
      <c r="G991" s="491"/>
      <c r="H991" s="491"/>
      <c r="I991" s="491"/>
      <c r="J991" s="491"/>
      <c r="K991" s="492"/>
      <c r="L991" s="491"/>
      <c r="M991" s="491"/>
      <c r="N991" s="491"/>
      <c r="O991" s="491"/>
      <c r="P991" s="492"/>
      <c r="Q991" s="491"/>
      <c r="R991" s="491"/>
      <c r="S991" s="491"/>
      <c r="T991" s="491"/>
      <c r="U991" s="492"/>
      <c r="V991" s="491"/>
      <c r="W991" s="491"/>
      <c r="X991" s="491"/>
      <c r="Y991" s="491"/>
      <c r="Z991" s="492"/>
      <c r="AA991" s="491"/>
      <c r="AB991" s="491"/>
      <c r="AC991" s="491"/>
      <c r="AD991" s="491"/>
      <c r="AE991" s="492"/>
      <c r="AF991" s="491"/>
      <c r="AG991" s="491"/>
      <c r="AH991" s="491"/>
      <c r="AI991" s="491"/>
      <c r="AJ991" s="492"/>
      <c r="AK991" s="491"/>
      <c r="AL991" s="491"/>
      <c r="AM991" s="491"/>
      <c r="AN991" s="491"/>
      <c r="AO991" s="492"/>
      <c r="AP991" s="491"/>
      <c r="AQ991" s="491"/>
      <c r="AR991" s="491"/>
      <c r="AS991" s="491"/>
      <c r="AT991" s="492"/>
      <c r="AU991" s="491"/>
      <c r="AV991" s="491"/>
      <c r="AW991" s="692"/>
      <c r="AX991" s="491"/>
      <c r="AY991" s="492"/>
      <c r="AZ991" s="491"/>
      <c r="BA991" s="491"/>
      <c r="BB991" s="491"/>
      <c r="BC991" s="491"/>
      <c r="BD991" s="492"/>
      <c r="BE991" s="492"/>
      <c r="BF991" s="492"/>
      <c r="BG991" s="492"/>
      <c r="BH991" s="499"/>
    </row>
    <row r="992" spans="1:60" s="498" customFormat="1" x14ac:dyDescent="0.25">
      <c r="A992" s="633" t="s">
        <v>678</v>
      </c>
      <c r="B992" s="207"/>
      <c r="C992" s="183"/>
      <c r="D992" s="183">
        <f>IFERROR(-D981/D980,"n/a")</f>
        <v>0</v>
      </c>
      <c r="E992" s="183">
        <f>IFERROR(-E981/E980,"n/a")</f>
        <v>0</v>
      </c>
      <c r="F992" s="183">
        <f>IFERROR(-F981/F980,"n/a")</f>
        <v>0</v>
      </c>
      <c r="G992" s="634">
        <f>IFERROR(-G981/G980*K3/G3,"n/a")</f>
        <v>0</v>
      </c>
      <c r="H992" s="634">
        <f>IFERROR(-H981/H980*K3/H3,"n/a")</f>
        <v>0</v>
      </c>
      <c r="I992" s="634">
        <f>IFERROR(-I981/I980*K3/I3,"n/a")</f>
        <v>0</v>
      </c>
      <c r="J992" s="634">
        <f>IFERROR(-J981/J980*K3/J3,"n/a")</f>
        <v>0</v>
      </c>
      <c r="K992" s="183">
        <f>IFERROR(-K981/K980,"n/a")</f>
        <v>0.10189661584232057</v>
      </c>
      <c r="L992" s="634">
        <f>IFERROR(-L981/L980*P3/L3,"n/a")</f>
        <v>9.9450693554027275E-2</v>
      </c>
      <c r="M992" s="634">
        <f>IFERROR(-M981/M980*P3/M3,"n/a")</f>
        <v>0.10423282767856704</v>
      </c>
      <c r="N992" s="634">
        <f>IFERROR(-N981/N980*P3/N3,"n/a")</f>
        <v>9.8501868485555269E-2</v>
      </c>
      <c r="O992" s="634">
        <f>IFERROR(-O981/O980*P3/O3,"n/a")</f>
        <v>0.10171472079108405</v>
      </c>
      <c r="P992" s="183">
        <f>IFERROR(-P981/P980,"n/a")</f>
        <v>0.10223413762287757</v>
      </c>
      <c r="Q992" s="634">
        <f>IFERROR(-Q981/Q980*U3/Q3,"n/a")</f>
        <v>0.10066413732958654</v>
      </c>
      <c r="R992" s="634">
        <f>IFERROR(-R981/R980*U3/R3,"n/a")</f>
        <v>0.10010331548793086</v>
      </c>
      <c r="S992" s="634">
        <f>IFERROR(-S981/S980*U3/S3,"n/a")</f>
        <v>9.7059114608142469E-2</v>
      </c>
      <c r="T992" s="634">
        <f>IFERROR(-T981/T980*U3/T3,"n/a")</f>
        <v>9.790215078252329E-2</v>
      </c>
      <c r="U992" s="183">
        <f>IFERROR(-U981/U980,"n/a")</f>
        <v>0.10089147951311503</v>
      </c>
      <c r="V992" s="634">
        <f>IFERROR(-V981/V980*Z3/V3,"n/a")</f>
        <v>9.590549060034502E-2</v>
      </c>
      <c r="W992" s="634">
        <f>IFERROR(-W981/W980*Z3/W3,"n/a")</f>
        <v>9.5472072166073021E-2</v>
      </c>
      <c r="X992" s="634">
        <f>IFERROR(-X981/X980*Z3/X3,"n/a")</f>
        <v>9.5293828460627603E-2</v>
      </c>
      <c r="Y992" s="634">
        <f>IFERROR(-Y981/Y980*Z3/Y3,"n/a")</f>
        <v>0.10202947102663072</v>
      </c>
      <c r="Z992" s="183">
        <f>IFERROR(-Z981/Z980,"n/a")</f>
        <v>0.10036141228801779</v>
      </c>
      <c r="AA992" s="634">
        <f>IFERROR(-AA981/AA980*AE3/AA3,"n/a")</f>
        <v>9.9659871515849097E-2</v>
      </c>
      <c r="AB992" s="634">
        <f>IFERROR(-AB981/AB980*AE3/AB3,"n/a")</f>
        <v>0.10133642180659258</v>
      </c>
      <c r="AC992" s="634">
        <f>IFERROR(-AC981/AC980*AE3/AC3,"n/a")</f>
        <v>0.1040845719483626</v>
      </c>
      <c r="AD992" s="634">
        <f>IFERROR(-AD981/AD980*AE3/AD3,"n/a")</f>
        <v>0.10128413959824976</v>
      </c>
      <c r="AE992" s="183">
        <f>IFERROR(-AE981/AE980,"n/a")</f>
        <v>0.101722183626458</v>
      </c>
      <c r="AF992" s="634">
        <f>IFERROR(-AF981/AF980*AJ3/AF3,"n/a")</f>
        <v>0.10363318833436905</v>
      </c>
      <c r="AG992" s="634">
        <f>IFERROR(-AG981/AG980*AJ3/AG3,"n/a")</f>
        <v>9.7472945237428874E-2</v>
      </c>
      <c r="AH992" s="634">
        <f>IFERROR(-AH981/AH980*AJ3/AH3,"n/a")</f>
        <v>9.3131868131868134E-2</v>
      </c>
      <c r="AI992" s="634">
        <f>IFERROR(-AI981/AI980*AJ3/AI3,"n/a")</f>
        <v>9.6709637214892716E-2</v>
      </c>
      <c r="AJ992" s="183">
        <f>IFERROR(-AJ981/AJ980,"n/a")</f>
        <v>9.7092163627402667E-2</v>
      </c>
      <c r="AK992" s="634">
        <f>IFERROR(-AK981/AK980*AO3/AK3,"n/a")</f>
        <v>8.9581922816519985E-2</v>
      </c>
      <c r="AL992" s="634">
        <f>IFERROR(-AL981/AL980*AO3/AL3,"n/a")</f>
        <v>9.4049363657042293E-2</v>
      </c>
      <c r="AM992" s="634">
        <f>IFERROR(-AM981/AM980*AO3/AM3,"n/a")</f>
        <v>9.6857554542050125E-2</v>
      </c>
      <c r="AN992" s="634">
        <f>IFERROR(-AN981/AN980*AO3/AN3,"n/a")</f>
        <v>9.2259035810840745E-2</v>
      </c>
      <c r="AO992" s="183">
        <f>IFERROR(-AO981/AO980,"n/a")</f>
        <v>9.6039268788083956E-2</v>
      </c>
      <c r="AP992" s="634">
        <f>IFERROR(-AP981/AP980*AT3/AP3,"n/a")</f>
        <v>9.30270791573172E-2</v>
      </c>
      <c r="AQ992" s="634">
        <f>IFERROR(-AQ981/AQ980*AT3/AQ3,"n/a")</f>
        <v>9.6466944248728231E-2</v>
      </c>
      <c r="AR992" s="634">
        <f>IFERROR(-AR981/AR980*AT3/AR3,"n/a")</f>
        <v>0.1028293345173069</v>
      </c>
      <c r="AS992" s="634">
        <f>IFERROR(-AS981/AS980*AT3/AS3,"n/a")</f>
        <v>0.10129340020968161</v>
      </c>
      <c r="AT992" s="183">
        <f>IFERROR(-AT981/AT980,"n/a")</f>
        <v>9.9357655918741891E-2</v>
      </c>
      <c r="AU992" s="634">
        <f>IFERROR(-AU981/AU980*AY3/AU3,"n/a")</f>
        <v>9.6098978847754243E-2</v>
      </c>
      <c r="AV992" s="634">
        <f>IFERROR(-AV981/AV980*AY3/AV3,"n/a")</f>
        <v>9.4780054207261835E-2</v>
      </c>
      <c r="AW992" s="691">
        <f>IFERROR(-AW981/AW980*AY3/AW3,"n/a")</f>
        <v>9.4979700574497852E-2</v>
      </c>
      <c r="AX992" s="634">
        <f>IFERROR(-AX981/AX980*AY3/AX3,"n/a")</f>
        <v>9.5824196188652441E-2</v>
      </c>
      <c r="AY992" s="183">
        <f>AVERAGE(AU992,AV992,AW992,AX992)</f>
        <v>9.5420732454541593E-2</v>
      </c>
      <c r="AZ992" s="634">
        <f>IFERROR(-AZ981/AZ980*BD3/AZ3,"n/a")</f>
        <v>9.6329990374763239E-2</v>
      </c>
      <c r="BA992" s="634">
        <f>IFERROR(-BA981/BA980*BD3/BA3,"n/a")</f>
        <v>9.8014168323529507E-2</v>
      </c>
      <c r="BB992" s="634">
        <f>IFERROR(-BB981/BB980*BD3/BB3,"n/a")</f>
        <v>9.6489783941717366E-2</v>
      </c>
      <c r="BC992" s="634">
        <f>IFERROR(-BC981/BC980*BD3/BC3,"n/a")</f>
        <v>9.5002602811035924E-2</v>
      </c>
      <c r="BD992" s="183">
        <f>AVERAGE(AZ992,BA992,BB992,BC992)</f>
        <v>9.6459136362761516E-2</v>
      </c>
      <c r="BE992" s="183">
        <f>IFERROR(-BE981/BE980*BE3/BE3,"n/a")</f>
        <v>9.2358338159539102E-2</v>
      </c>
      <c r="BF992" s="183">
        <f>IFERROR(-BF981/BF980*BF3/BF3,"n/a")</f>
        <v>9.0434263542754828E-2</v>
      </c>
      <c r="BG992" s="183">
        <f>IFERROR(-BG981/BG980*BG3/BG3,"n/a")</f>
        <v>8.8588720287694045E-2</v>
      </c>
      <c r="BH992" s="499"/>
    </row>
    <row r="993" spans="1:60" s="498" customFormat="1" x14ac:dyDescent="0.25">
      <c r="A993" s="633" t="s">
        <v>684</v>
      </c>
      <c r="B993" s="207"/>
      <c r="C993" s="183"/>
      <c r="D993" s="183">
        <f>IFERROR(-D987/D986,"n/a")</f>
        <v>0</v>
      </c>
      <c r="E993" s="183">
        <f>IFERROR(-E987/E986,"n/a")</f>
        <v>0</v>
      </c>
      <c r="F993" s="183">
        <f>IFERROR(-F987/F986,"n/a")</f>
        <v>0</v>
      </c>
      <c r="G993" s="634">
        <f>IFERROR(-G987/G986*K3/G3,"n/a")</f>
        <v>0</v>
      </c>
      <c r="H993" s="634">
        <f>IFERROR(-H987/H986*K3/H3,"n/a")</f>
        <v>0</v>
      </c>
      <c r="I993" s="634">
        <f>IFERROR(-I987/I986*K3/I3,"n/a")</f>
        <v>0</v>
      </c>
      <c r="J993" s="634">
        <f>IFERROR(-J987/J986*K3/J3,"n/a")</f>
        <v>0</v>
      </c>
      <c r="K993" s="183">
        <f>IFERROR(-K987/K986,"n/a")</f>
        <v>0</v>
      </c>
      <c r="L993" s="634">
        <f>IFERROR(-L987/L986*P3/L3,"n/a")</f>
        <v>0</v>
      </c>
      <c r="M993" s="634">
        <f>IFERROR(-M987/M986*P3/M3,"n/a")</f>
        <v>0</v>
      </c>
      <c r="N993" s="634">
        <f>IFERROR(-N987/N986*P3/N3,"n/a")</f>
        <v>0</v>
      </c>
      <c r="O993" s="634">
        <f>IFERROR(-O987/O986*P3/O3,"n/a")</f>
        <v>0</v>
      </c>
      <c r="P993" s="183">
        <f>IFERROR(-P987/P986,"n/a")</f>
        <v>0</v>
      </c>
      <c r="Q993" s="634">
        <f>IFERROR(-Q987/Q986*U3/Q3,"n/a")</f>
        <v>0</v>
      </c>
      <c r="R993" s="634">
        <f>IFERROR(-R987/R986*U3/R3,"n/a")</f>
        <v>0</v>
      </c>
      <c r="S993" s="634">
        <f>IFERROR(-S987/S986*U3/S3,"n/a")</f>
        <v>0</v>
      </c>
      <c r="T993" s="634">
        <f>IFERROR(-T987/T986*U3/T3,"n/a")</f>
        <v>0</v>
      </c>
      <c r="U993" s="183">
        <f>IFERROR(-U987/U986,"n/a")</f>
        <v>0</v>
      </c>
      <c r="V993" s="634">
        <f>IFERROR(-V987/V986*Z3/V3,"n/a")</f>
        <v>0</v>
      </c>
      <c r="W993" s="634">
        <f>IFERROR(-W987/W986*Z3/W3,"n/a")</f>
        <v>0</v>
      </c>
      <c r="X993" s="634">
        <f>IFERROR(-X987/X986*Z3/X3,"n/a")</f>
        <v>0</v>
      </c>
      <c r="Y993" s="634">
        <f>IFERROR(-Y987/Y986*Z3/Y3,"n/a")</f>
        <v>0</v>
      </c>
      <c r="Z993" s="183">
        <f>IFERROR(-Z987/Z986,"n/a")</f>
        <v>0</v>
      </c>
      <c r="AA993" s="634">
        <f>IFERROR(-AA987/AA986*AE3/AA3,"n/a")</f>
        <v>0</v>
      </c>
      <c r="AB993" s="634">
        <f>IFERROR(-AB987/AB986*AE3/AB3,"n/a")</f>
        <v>0</v>
      </c>
      <c r="AC993" s="634">
        <f>IFERROR(-AC987/AC986*AE3/AC3,"n/a")</f>
        <v>0</v>
      </c>
      <c r="AD993" s="634">
        <f>IFERROR(-AD987/AD986*AE3/AD3,"n/a")</f>
        <v>0</v>
      </c>
      <c r="AE993" s="183">
        <f>IFERROR(-AE987/AE986,"n/a")</f>
        <v>0</v>
      </c>
      <c r="AF993" s="634">
        <f>IFERROR(-AF987/AF986*AJ3/AF3,"n/a")</f>
        <v>0</v>
      </c>
      <c r="AG993" s="634">
        <f>IFERROR(-AG987/AG986*AJ3/AG3,"n/a")</f>
        <v>2.2482606078423138E-2</v>
      </c>
      <c r="AH993" s="634">
        <f>IFERROR(-AH987/AH986*AJ3/AH3,"n/a")</f>
        <v>3.2787376111626791E-2</v>
      </c>
      <c r="AI993" s="634">
        <f>IFERROR(-AI987/AI986*AJ3/AI3,"n/a")</f>
        <v>4.0272842495982619E-2</v>
      </c>
      <c r="AJ993" s="183">
        <f>IFERROR(-AJ987/AJ986,"n/a")</f>
        <v>3.381900815399011E-2</v>
      </c>
      <c r="AK993" s="634">
        <f>IFERROR(-AK987/AK986*AO3/AK3,"n/a")</f>
        <v>3.2692752888261754E-2</v>
      </c>
      <c r="AL993" s="634">
        <f>IFERROR(-AL987/AL986*AO3/AL3,"n/a")</f>
        <v>6.7948038536273833E-2</v>
      </c>
      <c r="AM993" s="634">
        <f>IFERROR(-AM987/AM986*AO3/AM3,"n/a")</f>
        <v>9.1409637461458595E-2</v>
      </c>
      <c r="AN993" s="634">
        <f>IFERROR(-AN987/AN986*AO3/AN3,"n/a")</f>
        <v>9.9571810848743766E-2</v>
      </c>
      <c r="AO993" s="183">
        <f>IFERROR(-AO987/AO986,"n/a")</f>
        <v>0.16772312373225151</v>
      </c>
      <c r="AP993" s="634">
        <f>IFERROR(-AP987/AP986*AT3/AP3,"n/a")</f>
        <v>9.7494424642128749E-2</v>
      </c>
      <c r="AQ993" s="634">
        <f>IFERROR(-AQ987/AQ986*AT3/AQ3,"n/a")</f>
        <v>8.6080241022024814E-2</v>
      </c>
      <c r="AR993" s="634">
        <f>IFERROR(-AR987/AR986*AT3/AR3,"n/a")</f>
        <v>8.3424816018156073E-2</v>
      </c>
      <c r="AS993" s="634">
        <f>IFERROR(-AS987/AS986*AT3/AS3,"n/a")</f>
        <v>8.1401816697285162E-2</v>
      </c>
      <c r="AT993" s="183">
        <f>IFERROR(-AT987/AT986,"n/a")</f>
        <v>9.6668128014028937E-2</v>
      </c>
      <c r="AU993" s="634">
        <f>IFERROR(-AU987/AU986*AY3/AU3,"n/a")</f>
        <v>8.2607739971433836E-2</v>
      </c>
      <c r="AV993" s="634">
        <f>IFERROR(-AV987/AV986*AY3/AV3,"n/a")</f>
        <v>8.1020393296223445E-2</v>
      </c>
      <c r="AW993" s="691">
        <f>IFERROR(-AW987/AW986*AY3/AW3,"n/a")</f>
        <v>7.5416987510218567E-2</v>
      </c>
      <c r="AX993" s="634">
        <f>IFERROR(-AX987/AX986*AY3/AX3,"n/a")</f>
        <v>7.795655759556129E-2</v>
      </c>
      <c r="AY993" s="183">
        <f>AVERAGE(AU993,AV993,AW993,AX993)</f>
        <v>7.9250419593359295E-2</v>
      </c>
      <c r="AZ993" s="634">
        <f>IFERROR(-AZ987/AZ986*BD3/AZ3,"n/a")</f>
        <v>7.9076541601171474E-2</v>
      </c>
      <c r="BA993" s="634">
        <f>IFERROR(-BA987/BA986*BD3/BA3,"n/a")</f>
        <v>8.1770648090233072E-2</v>
      </c>
      <c r="BB993" s="634">
        <f>IFERROR(-BB987/BB986*BD3/BB3,"n/a")</f>
        <v>8.1820353559483999E-2</v>
      </c>
      <c r="BC993" s="634">
        <f>IFERROR(-BC987/BC986*BD3/BC3,"n/a")</f>
        <v>8.1891236384896177E-2</v>
      </c>
      <c r="BD993" s="183">
        <f>AVERAGE(AZ993,BA993,BB993,BC993)</f>
        <v>8.1139694908946181E-2</v>
      </c>
      <c r="BE993" s="183">
        <f>IFERROR(-BE987/BE986*BE3/BE3,"n/a")</f>
        <v>8.3479454143477932E-2</v>
      </c>
      <c r="BF993" s="183">
        <f>IFERROR(-BF987/BF986*BF3/BF3,"n/a")</f>
        <v>8.7684176809737349E-2</v>
      </c>
      <c r="BG993" s="183">
        <f>IFERROR(-BG987/BG986*BG3/BG3,"n/a")</f>
        <v>9.2334935492031367E-2</v>
      </c>
      <c r="BH993" s="499"/>
    </row>
    <row r="994" spans="1:60" s="498" customFormat="1" x14ac:dyDescent="0.25">
      <c r="A994" s="501" t="s">
        <v>687</v>
      </c>
      <c r="B994" s="602"/>
      <c r="C994" s="506"/>
      <c r="D994" s="502" t="str">
        <f>IFERROR(-D980/D981,"n/a")</f>
        <v>n/a</v>
      </c>
      <c r="E994" s="502" t="str">
        <f>IFERROR(-E980/E981,"n/a")</f>
        <v>n/a</v>
      </c>
      <c r="F994" s="502" t="str">
        <f>IFERROR(-F980/F981,"n/a")</f>
        <v>n/a</v>
      </c>
      <c r="G994" s="503" t="str">
        <f>IFERROR(-G980/G981*G3/K3,"n/a")</f>
        <v>n/a</v>
      </c>
      <c r="H994" s="503" t="str">
        <f>IFERROR(-H980/H981*H3/K3,"n/a")</f>
        <v>n/a</v>
      </c>
      <c r="I994" s="503" t="str">
        <f>IFERROR(-I980/I981*I3/K3,"n/a")</f>
        <v>n/a</v>
      </c>
      <c r="J994" s="503" t="str">
        <f>IFERROR(-J980/J981*J3/K3,"n/a")</f>
        <v>n/a</v>
      </c>
      <c r="K994" s="502">
        <f>IFERROR(-K980/K981,"n/a")</f>
        <v>9.8138686131386859</v>
      </c>
      <c r="L994" s="503">
        <f>IFERROR(-L980/L981*L3/P3,"n/a")</f>
        <v>10.055234048787634</v>
      </c>
      <c r="M994" s="503">
        <f>IFERROR(-M980/M981*M3/P3,"n/a")</f>
        <v>9.593906471421823</v>
      </c>
      <c r="N994" s="503">
        <f>IFERROR(-N980/N981*N3/P3,"n/a")</f>
        <v>10.152091684906914</v>
      </c>
      <c r="O994" s="503">
        <f>IFERROR(-O980/O981*O3/P3,"n/a")</f>
        <v>9.831418620849778</v>
      </c>
      <c r="P994" s="502">
        <f>IFERROR(-P980/P981,"n/a")</f>
        <v>9.7814685314685317</v>
      </c>
      <c r="Q994" s="503">
        <f>IFERROR(-Q980/Q981*Q3/U3,"n/a")</f>
        <v>9.9340244353942975</v>
      </c>
      <c r="R994" s="503">
        <f>IFERROR(-R980/R981*R3/U3,"n/a")</f>
        <v>9.9896791142803529</v>
      </c>
      <c r="S994" s="503">
        <f>IFERROR(-S980/S981*S3/U3,"n/a")</f>
        <v>10.302999404407386</v>
      </c>
      <c r="T994" s="503">
        <f>IFERROR(-T980/T981*T3/U3,"n/a")</f>
        <v>10.214280197187579</v>
      </c>
      <c r="U994" s="502">
        <f>IFERROR(-U980/U981,"n/a")</f>
        <v>9.9116397621070522</v>
      </c>
      <c r="V994" s="503">
        <f>IFERROR(-V980/V981*V3/Z3,"n/a")</f>
        <v>10.426931698490291</v>
      </c>
      <c r="W994" s="503">
        <f>IFERROR(-W980/W981*W3/Z3,"n/a")</f>
        <v>10.474267262791853</v>
      </c>
      <c r="X994" s="503">
        <f>IFERROR(-X980/X981*X3/Z3,"n/a")</f>
        <v>10.493859005918399</v>
      </c>
      <c r="Y994" s="503">
        <f>IFERROR(-Y980/Y981*Y3/Z3,"n/a")</f>
        <v>9.8010897237621641</v>
      </c>
      <c r="Z994" s="502">
        <f>IFERROR(-Z980/Z981,"n/a")</f>
        <v>9.9639889196675906</v>
      </c>
      <c r="AA994" s="503">
        <f>IFERROR(-AA980/AA981*AA3/AE3,"n/a")</f>
        <v>10.0341289306295</v>
      </c>
      <c r="AB994" s="504">
        <f>IFERROR(-AB980/AB981*AB3/AE3,"n/a")</f>
        <v>9.8681202885628601</v>
      </c>
      <c r="AC994" s="503">
        <f>IFERROR(-AC980/AC981*AC3/AE3,"n/a")</f>
        <v>9.6075718166579982</v>
      </c>
      <c r="AD994" s="503">
        <f>IFERROR(-AD980/AD981*AD3/AE3,"n/a")</f>
        <v>9.8732141475118045</v>
      </c>
      <c r="AE994" s="502">
        <f>IFERROR(-AE980/AE981,"n/a")</f>
        <v>9.8306973400431339</v>
      </c>
      <c r="AF994" s="503">
        <f>IFERROR(-AF980/AF981*AF3/AJ3,"n/a")</f>
        <v>9.6494184543809762</v>
      </c>
      <c r="AG994" s="504">
        <f>IFERROR(-AG980/AG981*AG3/AJ3,"n/a")</f>
        <v>10.259257043727942</v>
      </c>
      <c r="AH994" s="503">
        <f>IFERROR(-AH980/AH981*AH3/AJ3,"n/a")</f>
        <v>10.737463126843657</v>
      </c>
      <c r="AI994" s="503">
        <f>IFERROR(-AI980/AI981*AI3/AJ3,"n/a")</f>
        <v>10.340231116553149</v>
      </c>
      <c r="AJ994" s="502">
        <f>IFERROR(-AJ980/AJ981,"n/a")</f>
        <v>10.299492385786802</v>
      </c>
      <c r="AK994" s="503">
        <f>IFERROR(-AK980/AK981*AK3/AO3,"n/a")</f>
        <v>11.162966461974491</v>
      </c>
      <c r="AL994" s="504">
        <f>IFERROR(-AL980/AL981*AL3/AO3,"n/a")</f>
        <v>10.632714152607894</v>
      </c>
      <c r="AM994" s="503">
        <f>IFERROR(-AM980/AM981*AM3/AO3,"n/a")</f>
        <v>10.324439892459351</v>
      </c>
      <c r="AN994" s="503">
        <f>IFERROR(-AN980/AN981*AN3/AO3,"n/a")</f>
        <v>10.83904672546444</v>
      </c>
      <c r="AO994" s="502">
        <f>IFERROR(-AO980/AO981,"n/a")</f>
        <v>10.412407472682411</v>
      </c>
      <c r="AP994" s="503">
        <f>IFERROR(-AP980/AP981*AP3/AT3,"n/a")</f>
        <v>10.749558183041623</v>
      </c>
      <c r="AQ994" s="504">
        <f>IFERROR(-AQ980/AQ981*AQ3/AT3,"n/a")</f>
        <v>10.366245223043679</v>
      </c>
      <c r="AR994" s="503">
        <f>IFERROR(-AR980/AR981*AR3/AT3,"n/a")</f>
        <v>9.7248514219616293</v>
      </c>
      <c r="AS994" s="503">
        <f>IFERROR(-AS980/AS981*AS3/AT3,"n/a")</f>
        <v>9.8723115023284613</v>
      </c>
      <c r="AT994" s="502">
        <f>IFERROR(-AT980/AT981,"n/a")</f>
        <v>10.064649681528662</v>
      </c>
      <c r="AU994" s="503">
        <f>IFERROR(-AU980/AU981*AU3/AY3,"n/a")</f>
        <v>10.405937836074823</v>
      </c>
      <c r="AV994" s="504">
        <f>IFERROR(-AV980/AV981*AV3/AY3,"n/a")</f>
        <v>10.550743068929181</v>
      </c>
      <c r="AW994" s="689">
        <f>IFERROR(-AW980/AW981*AW3/AY3,"n/a")</f>
        <v>10.528565514013646</v>
      </c>
      <c r="AX994" s="505">
        <f>IFERROR(-AX980/AX981*AX3/AY3,"n/a")</f>
        <v>10.435777598710718</v>
      </c>
      <c r="AY994" s="506">
        <f>AVERAGE(AU994,AV994,AW994,AX994)</f>
        <v>10.480256004432093</v>
      </c>
      <c r="AZ994" s="505">
        <f>IFERROR(-AZ980/AZ981*AZ3/BD3,"n/a")</f>
        <v>10.380983078162771</v>
      </c>
      <c r="BA994" s="505">
        <f>IFERROR(-BA980/BA981*BA3/BD3,"n/a")</f>
        <v>10.202606593560594</v>
      </c>
      <c r="BB994" s="505">
        <f>IFERROR(-BB980/BB981*BB3/BD3,"n/a")</f>
        <v>10.363791472515151</v>
      </c>
      <c r="BC994" s="505">
        <f>IFERROR(-BC980/BC981*BC3/BD3,"n/a")</f>
        <v>10.526027397260274</v>
      </c>
      <c r="BD994" s="506">
        <f>AVERAGE(AZ994,BA994,BB994,BC994)</f>
        <v>10.368352135374698</v>
      </c>
      <c r="BE994" s="506">
        <f>IFERROR(-BE980/BE981,"n/a")</f>
        <v>10.827392739273927</v>
      </c>
      <c r="BF994" s="506">
        <f>IFERROR(-BF980/BF981,"n/a")</f>
        <v>11.057755775577558</v>
      </c>
      <c r="BG994" s="506">
        <f>IFERROR(-BG980/BG981,"n/a")</f>
        <v>11.288118811881189</v>
      </c>
      <c r="BH994" s="499"/>
    </row>
    <row r="995" spans="1:60" s="498" customFormat="1" x14ac:dyDescent="0.25">
      <c r="A995" s="501" t="s">
        <v>688</v>
      </c>
      <c r="B995" s="602"/>
      <c r="C995" s="506"/>
      <c r="D995" s="502" t="str">
        <f>IFERROR(-D986/D987,"n/a")</f>
        <v>n/a</v>
      </c>
      <c r="E995" s="502" t="str">
        <f>IFERROR(-E986/E987,"n/a")</f>
        <v>n/a</v>
      </c>
      <c r="F995" s="502" t="str">
        <f>IFERROR(-F986/F987,"n/a")</f>
        <v>n/a</v>
      </c>
      <c r="G995" s="503" t="str">
        <f>IFERROR(-G986/G987*G3/K3,"n/a")</f>
        <v>n/a</v>
      </c>
      <c r="H995" s="503" t="str">
        <f>IFERROR(-H986/H987*H3/K3,"n/a")</f>
        <v>n/a</v>
      </c>
      <c r="I995" s="503" t="str">
        <f>IFERROR(-I986/I987*I3/K3,"n/a")</f>
        <v>n/a</v>
      </c>
      <c r="J995" s="503" t="str">
        <f>IFERROR(-J986/J987*J3/K3,"n/a")</f>
        <v>n/a</v>
      </c>
      <c r="K995" s="502" t="str">
        <f>IFERROR(-K986/K987,"n/a")</f>
        <v>n/a</v>
      </c>
      <c r="L995" s="503" t="str">
        <f>IFERROR(-L986/L987*L3/P3,"n/a")</f>
        <v>n/a</v>
      </c>
      <c r="M995" s="503" t="str">
        <f>IFERROR(-M986/M987*M3/P3,"n/a")</f>
        <v>n/a</v>
      </c>
      <c r="N995" s="503" t="str">
        <f>IFERROR(-N986/N987*N3/P3,"n/a")</f>
        <v>n/a</v>
      </c>
      <c r="O995" s="503" t="str">
        <f>IFERROR(-O986/O987*O3/P3,"n/a")</f>
        <v>n/a</v>
      </c>
      <c r="P995" s="502" t="str">
        <f>IFERROR(-P986/P987,"n/a")</f>
        <v>n/a</v>
      </c>
      <c r="Q995" s="503" t="str">
        <f>IFERROR(-Q986/Q987*Q3/U3,"n/a")</f>
        <v>n/a</v>
      </c>
      <c r="R995" s="503" t="str">
        <f>IFERROR(-R986/R987*R3/U3,"n/a")</f>
        <v>n/a</v>
      </c>
      <c r="S995" s="503" t="str">
        <f>IFERROR(-S986/S987*S3/U3,"n/a")</f>
        <v>n/a</v>
      </c>
      <c r="T995" s="503" t="str">
        <f>IFERROR(-T986/T987*T3/U3,"n/a")</f>
        <v>n/a</v>
      </c>
      <c r="U995" s="502" t="str">
        <f>IFERROR(-U986/U987,"n/a")</f>
        <v>n/a</v>
      </c>
      <c r="V995" s="503" t="str">
        <f>IFERROR(-V986/V987*V3/Z3,"n/a")</f>
        <v>n/a</v>
      </c>
      <c r="W995" s="503" t="str">
        <f>IFERROR(-W986/W987*W3/Z3,"n/a")</f>
        <v>n/a</v>
      </c>
      <c r="X995" s="503" t="str">
        <f>IFERROR(-X986/X987*X3/Z3,"n/a")</f>
        <v>n/a</v>
      </c>
      <c r="Y995" s="503" t="str">
        <f>IFERROR(-Y986/Y987*Y3/Z3,"n/a")</f>
        <v>n/a</v>
      </c>
      <c r="Z995" s="502" t="str">
        <f>IFERROR(-Z986/Z987,"n/a")</f>
        <v>n/a</v>
      </c>
      <c r="AA995" s="503" t="str">
        <f>IFERROR(-AA986/AA987*AA3/AE3,"n/a")</f>
        <v>n/a</v>
      </c>
      <c r="AB995" s="504" t="str">
        <f>IFERROR(-AB986/AB987*AB3/AE3,"n/a")</f>
        <v>n/a</v>
      </c>
      <c r="AC995" s="503" t="str">
        <f>IFERROR(-AC986/AC987*AC3/AE3,"n/a")</f>
        <v>n/a</v>
      </c>
      <c r="AD995" s="503" t="str">
        <f>IFERROR(-AD986/AD987*AD3/AE3,"n/a")</f>
        <v>n/a</v>
      </c>
      <c r="AE995" s="502" t="str">
        <f>IFERROR(-AE986/AE987,"n/a")</f>
        <v>n/a</v>
      </c>
      <c r="AF995" s="503" t="str">
        <f>IFERROR(-AF986/AF987*AF3/AJ3,"n/a")</f>
        <v>n/a</v>
      </c>
      <c r="AG995" s="504">
        <f>IFERROR(-AG986/AG987*AG3/AJ3,"n/a")</f>
        <v>44.478829389788288</v>
      </c>
      <c r="AH995" s="503">
        <f>IFERROR(-AH986/AH987*AH3/AJ3,"n/a")</f>
        <v>30.49954337899543</v>
      </c>
      <c r="AI995" s="503">
        <f>IFERROR(-AI986/AI987*AI3/AJ3,"n/a")</f>
        <v>24.830628731998594</v>
      </c>
      <c r="AJ995" s="502">
        <f>IFERROR(-AJ986/AJ987,"n/a")</f>
        <v>29.569169960474309</v>
      </c>
      <c r="AK995" s="503">
        <f>IFERROR(-AK986/AK987*AK3/AO3,"n/a")</f>
        <v>30.587818756585879</v>
      </c>
      <c r="AL995" s="504">
        <f>IFERROR(-AL986/AL987*AL3/AO3,"n/a")</f>
        <v>14.717128287171283</v>
      </c>
      <c r="AM995" s="503">
        <f>IFERROR(-AM986/AM987*AM3/AO3,"n/a")</f>
        <v>10.939765518943602</v>
      </c>
      <c r="AN995" s="503">
        <f>IFERROR(-AN986/AN987*AN3/AO3,"n/a")</f>
        <v>10.043003049518369</v>
      </c>
      <c r="AO995" s="502">
        <f>IFERROR(-AO986/AO987,"n/a")</f>
        <v>5.9622071050642482</v>
      </c>
      <c r="AP995" s="503">
        <f>IFERROR(-AP986/AP987*AP3/AT3,"n/a")</f>
        <v>10.256996783874404</v>
      </c>
      <c r="AQ995" s="504">
        <f>IFERROR(-AQ986/AQ987*AQ3/AT3,"n/a")</f>
        <v>11.617067844223813</v>
      </c>
      <c r="AR995" s="503">
        <f>IFERROR(-AR986/AR987*AR3/AT3,"n/a")</f>
        <v>11.986840939299956</v>
      </c>
      <c r="AS995" s="503">
        <f>IFERROR(-AS986/AS987*AS3/AT3,"n/a")</f>
        <v>12.284738112403224</v>
      </c>
      <c r="AT995" s="502">
        <f>IFERROR(-AT986/AT987,"n/a")</f>
        <v>10.344671201814059</v>
      </c>
      <c r="AU995" s="503">
        <f>IFERROR(-AU986/AU987*AU3/AY3,"n/a")</f>
        <v>12.105403202482053</v>
      </c>
      <c r="AV995" s="504">
        <f>IFERROR(-AV986/AV987*AV3/AY3,"n/a")</f>
        <v>12.342571534352357</v>
      </c>
      <c r="AW995" s="689">
        <f>IFERROR(-AW986/AW987*AW3/AY3,"n/a")</f>
        <v>13.259612098196122</v>
      </c>
      <c r="AX995" s="505">
        <f>IFERROR(-AX986/AX987*AX3/AY3,"n/a")</f>
        <v>12.827657234276572</v>
      </c>
      <c r="AY995" s="506">
        <f>AVERAGE(AU995,AV995,AW995,AX995)</f>
        <v>12.633811017326776</v>
      </c>
      <c r="AZ995" s="505">
        <f>IFERROR(-AZ986/AZ987*AZ3/BD3,"n/a")</f>
        <v>12.645975402459754</v>
      </c>
      <c r="BA995" s="505">
        <f>IFERROR(-BA986/BA987*BA3/BD3,"n/a")</f>
        <v>12.229327067293271</v>
      </c>
      <c r="BB995" s="505">
        <f>IFERROR(-BB986/BB987*BB3/BD3,"n/a")</f>
        <v>12.22189781021898</v>
      </c>
      <c r="BC995" s="505">
        <f>IFERROR(-BC986/BC987*BC3/BD3,"n/a")</f>
        <v>12.211318868113191</v>
      </c>
      <c r="BD995" s="506">
        <f>AVERAGE(AZ995,BA995,BB995,BC995)</f>
        <v>12.327129787021297</v>
      </c>
      <c r="BE995" s="506">
        <f>IFERROR(-BE986/BE987,"n/a")</f>
        <v>11.978995433789954</v>
      </c>
      <c r="BF995" s="506">
        <f>IFERROR(-BF986/BF987,"n/a")</f>
        <v>11.404566210045662</v>
      </c>
      <c r="BG995" s="506">
        <f>IFERROR(-BG986/BG987,"n/a")</f>
        <v>10.830136986301369</v>
      </c>
      <c r="BH995" s="499"/>
    </row>
    <row r="996" spans="1:60" s="498" customFormat="1" x14ac:dyDescent="0.25">
      <c r="A996" s="226"/>
      <c r="B996" s="209"/>
      <c r="C996" s="492"/>
      <c r="D996" s="492"/>
      <c r="E996" s="492"/>
      <c r="F996" s="492"/>
      <c r="G996" s="491"/>
      <c r="H996" s="491"/>
      <c r="I996" s="491"/>
      <c r="J996" s="491"/>
      <c r="K996" s="492"/>
      <c r="L996" s="491"/>
      <c r="M996" s="491"/>
      <c r="N996" s="491"/>
      <c r="O996" s="491"/>
      <c r="P996" s="492"/>
      <c r="Q996" s="491"/>
      <c r="R996" s="491"/>
      <c r="S996" s="491"/>
      <c r="T996" s="491"/>
      <c r="U996" s="492"/>
      <c r="V996" s="491"/>
      <c r="W996" s="491"/>
      <c r="X996" s="491"/>
      <c r="Y996" s="491"/>
      <c r="Z996" s="492"/>
      <c r="AA996" s="491"/>
      <c r="AB996" s="491"/>
      <c r="AC996" s="491"/>
      <c r="AD996" s="491"/>
      <c r="AE996" s="492"/>
      <c r="AF996" s="491"/>
      <c r="AG996" s="491"/>
      <c r="AH996" s="491"/>
      <c r="AI996" s="491"/>
      <c r="AJ996" s="492"/>
      <c r="AK996" s="491"/>
      <c r="AL996" s="491"/>
      <c r="AM996" s="491"/>
      <c r="AN996" s="491"/>
      <c r="AO996" s="492"/>
      <c r="AP996" s="491"/>
      <c r="AQ996" s="491"/>
      <c r="AR996" s="491"/>
      <c r="AS996" s="491"/>
      <c r="AT996" s="492"/>
      <c r="AU996" s="491"/>
      <c r="AV996" s="491"/>
      <c r="AW996" s="692"/>
      <c r="AX996" s="491"/>
      <c r="AY996" s="492"/>
      <c r="AZ996" s="491"/>
      <c r="BA996" s="491"/>
      <c r="BB996" s="491"/>
      <c r="BC996" s="491"/>
      <c r="BD996" s="492"/>
      <c r="BE996" s="492"/>
      <c r="BF996" s="492"/>
      <c r="BG996" s="492"/>
      <c r="BH996" s="499"/>
    </row>
    <row r="997" spans="1:60" s="498" customFormat="1" x14ac:dyDescent="0.25">
      <c r="A997" s="501" t="s">
        <v>689</v>
      </c>
      <c r="B997" s="602"/>
      <c r="C997" s="502">
        <f t="shared" ref="C997:AH997" si="1094">C769+C770</f>
        <v>0</v>
      </c>
      <c r="D997" s="502">
        <f t="shared" si="1094"/>
        <v>0</v>
      </c>
      <c r="E997" s="502">
        <f t="shared" si="1094"/>
        <v>0</v>
      </c>
      <c r="F997" s="502">
        <f t="shared" si="1094"/>
        <v>0</v>
      </c>
      <c r="G997" s="503">
        <f t="shared" si="1094"/>
        <v>0</v>
      </c>
      <c r="H997" s="503">
        <f t="shared" si="1094"/>
        <v>0</v>
      </c>
      <c r="I997" s="503">
        <f t="shared" si="1094"/>
        <v>0</v>
      </c>
      <c r="J997" s="503">
        <f t="shared" si="1094"/>
        <v>0</v>
      </c>
      <c r="K997" s="502">
        <f t="shared" si="1094"/>
        <v>2192</v>
      </c>
      <c r="L997" s="503">
        <f t="shared" si="1094"/>
        <v>561</v>
      </c>
      <c r="M997" s="503">
        <f t="shared" si="1094"/>
        <v>580</v>
      </c>
      <c r="N997" s="503">
        <f t="shared" si="1094"/>
        <v>557</v>
      </c>
      <c r="O997" s="503">
        <f t="shared" si="1094"/>
        <v>590</v>
      </c>
      <c r="P997" s="502">
        <f t="shared" si="1094"/>
        <v>2288</v>
      </c>
      <c r="Q997" s="503">
        <f t="shared" si="1094"/>
        <v>592</v>
      </c>
      <c r="R997" s="503">
        <f t="shared" si="1094"/>
        <v>584</v>
      </c>
      <c r="S997" s="503">
        <f t="shared" si="1094"/>
        <v>575</v>
      </c>
      <c r="T997" s="503">
        <f t="shared" si="1094"/>
        <v>603</v>
      </c>
      <c r="U997" s="502">
        <f t="shared" si="1094"/>
        <v>2354</v>
      </c>
      <c r="V997" s="503">
        <f t="shared" si="1094"/>
        <v>607</v>
      </c>
      <c r="W997" s="503">
        <f t="shared" si="1094"/>
        <v>605</v>
      </c>
      <c r="X997" s="503">
        <f t="shared" si="1094"/>
        <v>626</v>
      </c>
      <c r="Y997" s="503">
        <f t="shared" si="1094"/>
        <v>689</v>
      </c>
      <c r="Z997" s="502">
        <f t="shared" si="1094"/>
        <v>2527</v>
      </c>
      <c r="AA997" s="503">
        <f t="shared" si="1094"/>
        <v>687</v>
      </c>
      <c r="AB997" s="504">
        <f t="shared" si="1094"/>
        <v>676</v>
      </c>
      <c r="AC997" s="503">
        <f t="shared" si="1094"/>
        <v>711</v>
      </c>
      <c r="AD997" s="503">
        <f t="shared" si="1094"/>
        <v>708</v>
      </c>
      <c r="AE997" s="502">
        <f t="shared" si="1094"/>
        <v>2782</v>
      </c>
      <c r="AF997" s="503">
        <f t="shared" si="1094"/>
        <v>742</v>
      </c>
      <c r="AG997" s="504">
        <f t="shared" si="1094"/>
        <v>731</v>
      </c>
      <c r="AH997" s="503">
        <f t="shared" si="1094"/>
        <v>744</v>
      </c>
      <c r="AI997" s="503">
        <f t="shared" ref="AI997:AY997" si="1095">AI769+AI770</f>
        <v>794</v>
      </c>
      <c r="AJ997" s="502">
        <f t="shared" si="1095"/>
        <v>3011</v>
      </c>
      <c r="AK997" s="503">
        <f t="shared" si="1095"/>
        <v>732</v>
      </c>
      <c r="AL997" s="504">
        <f t="shared" si="1095"/>
        <v>828</v>
      </c>
      <c r="AM997" s="503">
        <f t="shared" si="1095"/>
        <v>1304</v>
      </c>
      <c r="AN997" s="503">
        <f t="shared" si="1095"/>
        <v>1296</v>
      </c>
      <c r="AO997" s="502">
        <f t="shared" si="1095"/>
        <v>4160</v>
      </c>
      <c r="AP997" s="503">
        <f t="shared" si="1095"/>
        <v>1298</v>
      </c>
      <c r="AQ997" s="504">
        <f t="shared" si="1095"/>
        <v>1333</v>
      </c>
      <c r="AR997" s="503">
        <f t="shared" si="1095"/>
        <v>1377</v>
      </c>
      <c r="AS997" s="503">
        <f>AS769+AS770</f>
        <v>1335</v>
      </c>
      <c r="AT997" s="502">
        <f>AT769+AT770</f>
        <v>5345</v>
      </c>
      <c r="AU997" s="503">
        <f>AU769+AU770</f>
        <v>1298</v>
      </c>
      <c r="AV997" s="504">
        <f>AV769+AV770</f>
        <v>1272</v>
      </c>
      <c r="AW997" s="689">
        <f>AW769+AW770</f>
        <v>1266</v>
      </c>
      <c r="AX997" s="505">
        <f t="shared" si="1095"/>
        <v>1330</v>
      </c>
      <c r="AY997" s="506">
        <f t="shared" si="1095"/>
        <v>5166</v>
      </c>
      <c r="AZ997" s="505">
        <f t="shared" ref="AZ997:BG997" si="1096">AZ769+AZ770</f>
        <v>1330</v>
      </c>
      <c r="BA997" s="505">
        <f t="shared" si="1096"/>
        <v>1330</v>
      </c>
      <c r="BB997" s="505">
        <f t="shared" si="1096"/>
        <v>1330</v>
      </c>
      <c r="BC997" s="505">
        <f t="shared" si="1096"/>
        <v>1330</v>
      </c>
      <c r="BD997" s="506">
        <f t="shared" si="1096"/>
        <v>5320</v>
      </c>
      <c r="BE997" s="506">
        <f t="shared" si="1096"/>
        <v>5220</v>
      </c>
      <c r="BF997" s="506">
        <f t="shared" si="1096"/>
        <v>5220</v>
      </c>
      <c r="BG997" s="506">
        <f t="shared" si="1096"/>
        <v>5220</v>
      </c>
      <c r="BH997" s="499"/>
    </row>
    <row r="998" spans="1:60" s="498" customFormat="1" x14ac:dyDescent="0.25">
      <c r="A998" s="501" t="s">
        <v>690</v>
      </c>
      <c r="B998" s="602"/>
      <c r="C998" s="502">
        <f t="shared" ref="C998:AH998" si="1097">-C809</f>
        <v>1753</v>
      </c>
      <c r="D998" s="502">
        <f t="shared" si="1097"/>
        <v>2110</v>
      </c>
      <c r="E998" s="502">
        <f t="shared" si="1097"/>
        <v>3559</v>
      </c>
      <c r="F998" s="502">
        <f t="shared" si="1097"/>
        <v>3784</v>
      </c>
      <c r="G998" s="503">
        <f t="shared" si="1097"/>
        <v>545</v>
      </c>
      <c r="H998" s="503">
        <f t="shared" si="1097"/>
        <v>574</v>
      </c>
      <c r="I998" s="503">
        <f t="shared" si="1097"/>
        <v>690</v>
      </c>
      <c r="J998" s="503">
        <f t="shared" si="1097"/>
        <v>987</v>
      </c>
      <c r="K998" s="502">
        <f t="shared" si="1097"/>
        <v>2796</v>
      </c>
      <c r="L998" s="503">
        <f t="shared" si="1097"/>
        <v>658</v>
      </c>
      <c r="M998" s="503">
        <f t="shared" si="1097"/>
        <v>701</v>
      </c>
      <c r="N998" s="503">
        <f t="shared" si="1097"/>
        <v>889</v>
      </c>
      <c r="O998" s="503">
        <f t="shared" si="1097"/>
        <v>1063</v>
      </c>
      <c r="P998" s="502">
        <f t="shared" si="1097"/>
        <v>3311</v>
      </c>
      <c r="Q998" s="503">
        <f t="shared" si="1097"/>
        <v>998</v>
      </c>
      <c r="R998" s="503">
        <f t="shared" si="1097"/>
        <v>907</v>
      </c>
      <c r="S998" s="503">
        <f t="shared" si="1097"/>
        <v>1156</v>
      </c>
      <c r="T998" s="503">
        <f t="shared" si="1097"/>
        <v>1204</v>
      </c>
      <c r="U998" s="502">
        <f t="shared" si="1097"/>
        <v>4265</v>
      </c>
      <c r="V998" s="503">
        <f t="shared" si="1097"/>
        <v>1406</v>
      </c>
      <c r="W998" s="503">
        <f t="shared" si="1097"/>
        <v>1150</v>
      </c>
      <c r="X998" s="503">
        <f t="shared" si="1097"/>
        <v>1135</v>
      </c>
      <c r="Y998" s="503">
        <f t="shared" si="1097"/>
        <v>1082</v>
      </c>
      <c r="Z998" s="502">
        <f t="shared" si="1097"/>
        <v>4773</v>
      </c>
      <c r="AA998" s="503">
        <f t="shared" si="1097"/>
        <v>1040</v>
      </c>
      <c r="AB998" s="504">
        <f t="shared" si="1097"/>
        <v>883</v>
      </c>
      <c r="AC998" s="503">
        <f t="shared" si="1097"/>
        <v>805</v>
      </c>
      <c r="AD998" s="503">
        <f t="shared" si="1097"/>
        <v>895</v>
      </c>
      <c r="AE998" s="502">
        <f t="shared" si="1097"/>
        <v>3623</v>
      </c>
      <c r="AF998" s="503">
        <f t="shared" si="1097"/>
        <v>981</v>
      </c>
      <c r="AG998" s="504">
        <f t="shared" si="1097"/>
        <v>1063</v>
      </c>
      <c r="AH998" s="503">
        <f t="shared" si="1097"/>
        <v>1220</v>
      </c>
      <c r="AI998" s="503">
        <f t="shared" ref="AI998:AY998" si="1098">-AI809</f>
        <v>1201</v>
      </c>
      <c r="AJ998" s="502">
        <f t="shared" si="1098"/>
        <v>4465</v>
      </c>
      <c r="AK998" s="503">
        <f t="shared" si="1098"/>
        <v>1195</v>
      </c>
      <c r="AL998" s="504">
        <f t="shared" si="1098"/>
        <v>1195</v>
      </c>
      <c r="AM998" s="503">
        <f t="shared" si="1098"/>
        <v>1177</v>
      </c>
      <c r="AN998" s="503">
        <f t="shared" si="1098"/>
        <v>1309</v>
      </c>
      <c r="AO998" s="502">
        <f t="shared" si="1098"/>
        <v>4876</v>
      </c>
      <c r="AP998" s="503">
        <f t="shared" si="1098"/>
        <v>1338</v>
      </c>
      <c r="AQ998" s="504">
        <f t="shared" si="1098"/>
        <v>1247</v>
      </c>
      <c r="AR998" s="503">
        <f t="shared" si="1098"/>
        <v>708</v>
      </c>
      <c r="AS998" s="503">
        <f>-AS809</f>
        <v>729</v>
      </c>
      <c r="AT998" s="502">
        <f>-AT809</f>
        <v>4022</v>
      </c>
      <c r="AU998" s="503">
        <f>-AU809</f>
        <v>760</v>
      </c>
      <c r="AV998" s="504">
        <f>-AV809</f>
        <v>770</v>
      </c>
      <c r="AW998" s="689">
        <f>-AW809</f>
        <v>938</v>
      </c>
      <c r="AX998" s="505">
        <f t="shared" si="1098"/>
        <v>765</v>
      </c>
      <c r="AY998" s="506">
        <f t="shared" si="1098"/>
        <v>3233</v>
      </c>
      <c r="AZ998" s="505">
        <f t="shared" ref="AZ998:BG998" si="1099">-AZ809</f>
        <v>1165</v>
      </c>
      <c r="BA998" s="505">
        <f t="shared" si="1099"/>
        <v>1165</v>
      </c>
      <c r="BB998" s="505">
        <f t="shared" si="1099"/>
        <v>1165</v>
      </c>
      <c r="BC998" s="505">
        <f t="shared" si="1099"/>
        <v>1165</v>
      </c>
      <c r="BD998" s="506">
        <f t="shared" si="1099"/>
        <v>4660</v>
      </c>
      <c r="BE998" s="506">
        <f t="shared" si="1099"/>
        <v>4660</v>
      </c>
      <c r="BF998" s="506">
        <f t="shared" si="1099"/>
        <v>4660</v>
      </c>
      <c r="BG998" s="506">
        <f t="shared" si="1099"/>
        <v>4660</v>
      </c>
      <c r="BH998" s="499"/>
    </row>
    <row r="999" spans="1:60" s="498" customFormat="1" x14ac:dyDescent="0.25">
      <c r="A999" s="630" t="s">
        <v>691</v>
      </c>
      <c r="B999" s="207"/>
      <c r="C999" s="183"/>
      <c r="D999" s="183"/>
      <c r="E999" s="183"/>
      <c r="F999" s="183"/>
      <c r="G999" s="634"/>
      <c r="H999" s="634"/>
      <c r="I999" s="634"/>
      <c r="J999" s="634"/>
      <c r="K999" s="183"/>
      <c r="L999" s="634"/>
      <c r="M999" s="634"/>
      <c r="N999" s="634"/>
      <c r="O999" s="634"/>
      <c r="P999" s="183"/>
      <c r="Q999" s="634"/>
      <c r="R999" s="634"/>
      <c r="S999" s="634"/>
      <c r="T999" s="634"/>
      <c r="U999" s="183"/>
      <c r="V999" s="634"/>
      <c r="W999" s="634"/>
      <c r="X999" s="634"/>
      <c r="Y999" s="634"/>
      <c r="Z999" s="183"/>
      <c r="AA999" s="634"/>
      <c r="AB999" s="634"/>
      <c r="AC999" s="634"/>
      <c r="AD999" s="634"/>
      <c r="AE999" s="183"/>
      <c r="AF999" s="634"/>
      <c r="AG999" s="634"/>
      <c r="AH999" s="634"/>
      <c r="AI999" s="634"/>
      <c r="AJ999" s="183"/>
      <c r="AK999" s="634"/>
      <c r="AL999" s="634"/>
      <c r="AM999" s="634"/>
      <c r="AN999" s="634"/>
      <c r="AO999" s="183"/>
      <c r="AP999" s="634"/>
      <c r="AQ999" s="634"/>
      <c r="AR999" s="634"/>
      <c r="AS999" s="634"/>
      <c r="AT999" s="183"/>
      <c r="AU999" s="634"/>
      <c r="AV999" s="634"/>
      <c r="AW999" s="691"/>
      <c r="AX999" s="356">
        <v>0.2</v>
      </c>
      <c r="AY999" s="183">
        <f>AVERAGE(AU999,AV999,AW999,AX999)</f>
        <v>0.2</v>
      </c>
      <c r="AZ999" s="356">
        <v>0.2</v>
      </c>
      <c r="BA999" s="356">
        <v>0.2</v>
      </c>
      <c r="BB999" s="356">
        <v>0.2</v>
      </c>
      <c r="BC999" s="356">
        <v>0.2</v>
      </c>
      <c r="BD999" s="183">
        <f>AVERAGE(AZ999,BA999,BB999,BC999)</f>
        <v>0.2</v>
      </c>
      <c r="BE999" s="358">
        <v>0.2</v>
      </c>
      <c r="BF999" s="358">
        <v>0.2</v>
      </c>
      <c r="BG999" s="358">
        <v>0.2</v>
      </c>
      <c r="BH999" s="499"/>
    </row>
    <row r="1000" spans="1:60" s="498" customFormat="1" x14ac:dyDescent="0.25">
      <c r="A1000" s="226"/>
      <c r="B1000" s="209"/>
      <c r="C1000" s="492"/>
      <c r="D1000" s="492"/>
      <c r="E1000" s="492"/>
      <c r="F1000" s="492"/>
      <c r="G1000" s="491"/>
      <c r="H1000" s="491"/>
      <c r="I1000" s="491"/>
      <c r="J1000" s="491"/>
      <c r="K1000" s="492"/>
      <c r="L1000" s="491"/>
      <c r="M1000" s="491"/>
      <c r="N1000" s="491"/>
      <c r="O1000" s="491"/>
      <c r="P1000" s="492"/>
      <c r="Q1000" s="491"/>
      <c r="R1000" s="491"/>
      <c r="S1000" s="491"/>
      <c r="T1000" s="491"/>
      <c r="U1000" s="492"/>
      <c r="V1000" s="491"/>
      <c r="W1000" s="491"/>
      <c r="X1000" s="491"/>
      <c r="Y1000" s="491"/>
      <c r="Z1000" s="492"/>
      <c r="AA1000" s="491"/>
      <c r="AB1000" s="491"/>
      <c r="AC1000" s="491"/>
      <c r="AD1000" s="491"/>
      <c r="AE1000" s="492"/>
      <c r="AF1000" s="491"/>
      <c r="AG1000" s="491"/>
      <c r="AH1000" s="491"/>
      <c r="AI1000" s="491"/>
      <c r="AJ1000" s="492"/>
      <c r="AK1000" s="491"/>
      <c r="AL1000" s="491"/>
      <c r="AM1000" s="491"/>
      <c r="AN1000" s="491"/>
      <c r="AO1000" s="492"/>
      <c r="AP1000" s="491"/>
      <c r="AQ1000" s="491"/>
      <c r="AR1000" s="491"/>
      <c r="AS1000" s="491"/>
      <c r="AT1000" s="492"/>
      <c r="AU1000" s="491"/>
      <c r="AV1000" s="491"/>
      <c r="AW1000" s="692"/>
      <c r="AX1000" s="491"/>
      <c r="AY1000" s="492"/>
      <c r="AZ1000" s="491"/>
      <c r="BA1000" s="491"/>
      <c r="BB1000" s="491"/>
      <c r="BC1000" s="491"/>
      <c r="BD1000" s="492"/>
      <c r="BE1000" s="492"/>
      <c r="BF1000" s="492"/>
      <c r="BG1000" s="492"/>
      <c r="BH1000" s="499"/>
    </row>
    <row r="1001" spans="1:60" s="19" customFormat="1" x14ac:dyDescent="0.25">
      <c r="A1001" s="956" t="s">
        <v>323</v>
      </c>
      <c r="B1001" s="956"/>
      <c r="C1001" s="986"/>
      <c r="D1001" s="986"/>
      <c r="E1001" s="986"/>
      <c r="F1001" s="986"/>
      <c r="G1001" s="986"/>
      <c r="H1001" s="986"/>
      <c r="I1001" s="986"/>
      <c r="J1001" s="986"/>
      <c r="K1001" s="986"/>
      <c r="L1001" s="986"/>
      <c r="M1001" s="986"/>
      <c r="N1001" s="986"/>
      <c r="O1001" s="986"/>
      <c r="P1001" s="986"/>
      <c r="Q1001" s="986"/>
      <c r="R1001" s="986"/>
      <c r="S1001" s="986"/>
      <c r="T1001" s="986"/>
      <c r="U1001" s="986"/>
      <c r="V1001" s="986"/>
      <c r="W1001" s="986"/>
      <c r="X1001" s="986"/>
      <c r="Y1001" s="986"/>
      <c r="Z1001" s="986"/>
      <c r="AA1001" s="986"/>
      <c r="AB1001" s="986"/>
      <c r="AC1001" s="986"/>
      <c r="AD1001" s="986"/>
      <c r="AE1001" s="986"/>
      <c r="AF1001" s="986"/>
      <c r="AG1001" s="986"/>
      <c r="AH1001" s="986"/>
      <c r="AI1001" s="986"/>
      <c r="AJ1001" s="986"/>
      <c r="AK1001" s="986"/>
      <c r="AL1001" s="986"/>
      <c r="AM1001" s="986"/>
      <c r="AN1001" s="986"/>
      <c r="AO1001" s="986"/>
      <c r="AP1001" s="986"/>
      <c r="AQ1001" s="986"/>
      <c r="AR1001" s="986"/>
      <c r="AS1001" s="986"/>
      <c r="AT1001" s="986"/>
      <c r="AU1001" s="986"/>
      <c r="AV1001" s="986"/>
      <c r="AW1001" s="987"/>
      <c r="AX1001" s="986"/>
      <c r="AY1001" s="986"/>
      <c r="AZ1001" s="986"/>
      <c r="BA1001" s="986"/>
      <c r="BB1001" s="986"/>
      <c r="BC1001" s="986"/>
      <c r="BD1001" s="986"/>
      <c r="BE1001" s="986"/>
      <c r="BF1001" s="986"/>
      <c r="BG1001" s="986"/>
      <c r="BH1001" s="730"/>
    </row>
    <row r="1002" spans="1:60" s="52" customFormat="1" x14ac:dyDescent="0.25">
      <c r="A1002" s="501" t="s">
        <v>324</v>
      </c>
      <c r="B1002" s="602"/>
      <c r="C1002" s="111"/>
      <c r="D1002" s="111"/>
      <c r="E1002" s="111"/>
      <c r="F1002" s="111"/>
      <c r="G1002" s="114"/>
      <c r="H1002" s="114"/>
      <c r="I1002" s="114"/>
      <c r="J1002" s="114"/>
      <c r="K1002" s="111"/>
      <c r="L1002" s="114"/>
      <c r="M1002" s="114"/>
      <c r="N1002" s="114"/>
      <c r="O1002" s="114"/>
      <c r="P1002" s="111"/>
      <c r="Q1002" s="114"/>
      <c r="R1002" s="114"/>
      <c r="S1002" s="114"/>
      <c r="T1002" s="114"/>
      <c r="U1002" s="111"/>
      <c r="V1002" s="114"/>
      <c r="W1002" s="114"/>
      <c r="X1002" s="114"/>
      <c r="Y1002" s="114"/>
      <c r="Z1002" s="111"/>
      <c r="AA1002" s="114"/>
      <c r="AB1002" s="114"/>
      <c r="AC1002" s="114"/>
      <c r="AD1002" s="114"/>
      <c r="AE1002" s="111"/>
      <c r="AF1002" s="114"/>
      <c r="AG1002" s="114"/>
      <c r="AH1002" s="114"/>
      <c r="AI1002" s="114"/>
      <c r="AJ1002" s="111"/>
      <c r="AK1002" s="114"/>
      <c r="AL1002" s="114"/>
      <c r="AM1002" s="114"/>
      <c r="AN1002" s="114"/>
      <c r="AO1002" s="111"/>
      <c r="AP1002" s="114"/>
      <c r="AQ1002" s="114"/>
      <c r="AR1002" s="114"/>
      <c r="AS1002" s="114"/>
      <c r="AT1002" s="111"/>
      <c r="AU1002" s="114"/>
      <c r="AV1002" s="114"/>
      <c r="AW1002" s="765"/>
      <c r="AX1002" s="114"/>
      <c r="AY1002" s="111"/>
      <c r="AZ1002" s="114"/>
      <c r="BA1002" s="114"/>
      <c r="BB1002" s="114"/>
      <c r="BC1002" s="114"/>
      <c r="BD1002" s="111"/>
      <c r="BE1002" s="111"/>
      <c r="BF1002" s="111"/>
      <c r="BG1002" s="111"/>
      <c r="BH1002" s="499"/>
    </row>
    <row r="1003" spans="1:60" s="49" customFormat="1" x14ac:dyDescent="0.25">
      <c r="A1003" s="483" t="s">
        <v>325</v>
      </c>
      <c r="B1003" s="209"/>
      <c r="C1003" s="39">
        <v>3417</v>
      </c>
      <c r="D1003" s="39">
        <v>2722</v>
      </c>
      <c r="E1003" s="39">
        <v>3185</v>
      </c>
      <c r="F1003" s="39">
        <v>3387</v>
      </c>
      <c r="G1003" s="484">
        <v>3207</v>
      </c>
      <c r="H1003" s="484">
        <v>3952</v>
      </c>
      <c r="I1003" s="484">
        <v>3932</v>
      </c>
      <c r="J1003" s="484">
        <f>K1003</f>
        <v>3931</v>
      </c>
      <c r="K1003" s="39">
        <v>3931</v>
      </c>
      <c r="L1003" s="484">
        <v>4397</v>
      </c>
      <c r="M1003" s="484">
        <v>4078</v>
      </c>
      <c r="N1003" s="484">
        <v>4090</v>
      </c>
      <c r="O1003" s="484">
        <f>P1003</f>
        <v>3421</v>
      </c>
      <c r="P1003" s="39">
        <v>3421</v>
      </c>
      <c r="Q1003" s="484">
        <v>5077</v>
      </c>
      <c r="R1003" s="484">
        <v>3745</v>
      </c>
      <c r="S1003" s="484">
        <v>4475</v>
      </c>
      <c r="T1003" s="484">
        <f>U1003</f>
        <v>4269</v>
      </c>
      <c r="U1003" s="39">
        <v>4269</v>
      </c>
      <c r="V1003" s="484">
        <v>4301</v>
      </c>
      <c r="W1003" s="484">
        <v>5015</v>
      </c>
      <c r="X1003" s="484">
        <v>5227</v>
      </c>
      <c r="Y1003" s="484">
        <f>Z1003</f>
        <v>4610</v>
      </c>
      <c r="Z1003" s="39">
        <v>4610</v>
      </c>
      <c r="AA1003" s="113">
        <v>3736</v>
      </c>
      <c r="AB1003" s="191">
        <v>3800</v>
      </c>
      <c r="AC1003" s="484">
        <v>4336</v>
      </c>
      <c r="AD1003" s="484">
        <f t="shared" ref="AD1003:AD1008" si="1100">AE1003</f>
        <v>4017</v>
      </c>
      <c r="AE1003" s="39">
        <v>4017</v>
      </c>
      <c r="AF1003" s="113">
        <v>4677</v>
      </c>
      <c r="AG1003" s="191">
        <v>4179</v>
      </c>
      <c r="AH1003" s="484">
        <v>4326</v>
      </c>
      <c r="AI1003" s="484">
        <f t="shared" ref="AI1003:AI1008" si="1101">AJ1003</f>
        <v>4150</v>
      </c>
      <c r="AJ1003" s="39">
        <v>4150</v>
      </c>
      <c r="AK1003" s="113">
        <v>4455</v>
      </c>
      <c r="AL1003" s="191">
        <v>10108</v>
      </c>
      <c r="AM1003" s="484">
        <v>6728</v>
      </c>
      <c r="AN1003" s="484">
        <f t="shared" ref="AN1003:AN1008" si="1102">AO1003</f>
        <v>5418</v>
      </c>
      <c r="AO1003" s="39">
        <v>5418</v>
      </c>
      <c r="AP1003" s="113">
        <v>6833</v>
      </c>
      <c r="AQ1003" s="191">
        <v>14339</v>
      </c>
      <c r="AR1003" s="484">
        <v>23115</v>
      </c>
      <c r="AS1003" s="484">
        <f t="shared" ref="AS1003:AS1008" si="1103">AT1003</f>
        <v>17914</v>
      </c>
      <c r="AT1003" s="39">
        <v>17914</v>
      </c>
      <c r="AU1003" s="113">
        <v>17068</v>
      </c>
      <c r="AV1003" s="191">
        <v>15890</v>
      </c>
      <c r="AW1003" s="289">
        <v>16070</v>
      </c>
      <c r="AX1003" s="113">
        <f ca="1">AW1003+AX963</f>
        <v>17038.452124980293</v>
      </c>
      <c r="AY1003" s="104">
        <f ca="1">AX1003</f>
        <v>17038.452124980293</v>
      </c>
      <c r="AZ1003" s="113">
        <f ca="1">AY1003+AZ963</f>
        <v>16743.057761956225</v>
      </c>
      <c r="BA1003" s="113">
        <f ca="1">AZ1003+BA963</f>
        <v>19421.955073268316</v>
      </c>
      <c r="BB1003" s="113">
        <f ca="1">BA1003+BB963</f>
        <v>22267.638998935639</v>
      </c>
      <c r="BC1003" s="113">
        <f ca="1">BB1003+BC963</f>
        <v>21794.260678502604</v>
      </c>
      <c r="BD1003" s="104">
        <f ca="1">BC1003</f>
        <v>21794.260678502604</v>
      </c>
      <c r="BE1003" s="104">
        <f ca="1">BD1003+BE963</f>
        <v>31071.797241260105</v>
      </c>
      <c r="BF1003" s="104">
        <f ca="1">BE1003+BF963</f>
        <v>41346.951426134954</v>
      </c>
      <c r="BG1003" s="104">
        <f ca="1">BF1003+BG963</f>
        <v>52632.111823617175</v>
      </c>
      <c r="BH1003" s="484"/>
    </row>
    <row r="1004" spans="1:60" s="49" customFormat="1" x14ac:dyDescent="0.25">
      <c r="A1004" s="483" t="s">
        <v>294</v>
      </c>
      <c r="B1004" s="209"/>
      <c r="C1004" s="39">
        <v>4854</v>
      </c>
      <c r="D1004" s="39">
        <v>5784</v>
      </c>
      <c r="E1004" s="39">
        <v>6182</v>
      </c>
      <c r="F1004" s="39">
        <v>6540</v>
      </c>
      <c r="G1004" s="484">
        <v>7315</v>
      </c>
      <c r="H1004" s="484">
        <v>7154</v>
      </c>
      <c r="I1004" s="484">
        <v>6568</v>
      </c>
      <c r="J1004" s="484">
        <f>K1004</f>
        <v>6967</v>
      </c>
      <c r="K1004" s="39">
        <v>6967</v>
      </c>
      <c r="L1004" s="484">
        <v>8013</v>
      </c>
      <c r="M1004" s="484">
        <v>7588</v>
      </c>
      <c r="N1004" s="484">
        <v>7543</v>
      </c>
      <c r="O1004" s="484">
        <f>P1004</f>
        <v>7822</v>
      </c>
      <c r="P1004" s="39">
        <v>7822</v>
      </c>
      <c r="Q1004" s="484">
        <v>8591</v>
      </c>
      <c r="R1004" s="484">
        <v>8161</v>
      </c>
      <c r="S1004" s="484">
        <v>8012</v>
      </c>
      <c r="T1004" s="484">
        <f>U1004</f>
        <v>8019</v>
      </c>
      <c r="U1004" s="39">
        <v>8019</v>
      </c>
      <c r="V1004" s="484">
        <v>10298</v>
      </c>
      <c r="W1004" s="484">
        <v>8874</v>
      </c>
      <c r="X1004" s="484">
        <v>8958</v>
      </c>
      <c r="Y1004" s="484">
        <f>Z1004</f>
        <v>9065</v>
      </c>
      <c r="Z1004" s="39">
        <v>9065</v>
      </c>
      <c r="AA1004" s="113">
        <v>9878</v>
      </c>
      <c r="AB1004" s="191">
        <v>9293</v>
      </c>
      <c r="AC1004" s="484">
        <v>9636</v>
      </c>
      <c r="AD1004" s="484">
        <f t="shared" si="1100"/>
        <v>8633</v>
      </c>
      <c r="AE1004" s="39">
        <v>8633</v>
      </c>
      <c r="AF1004" s="113">
        <v>9886</v>
      </c>
      <c r="AG1004" s="191">
        <v>9678</v>
      </c>
      <c r="AH1004" s="484">
        <v>10071</v>
      </c>
      <c r="AI1004" s="484">
        <f t="shared" si="1101"/>
        <v>9334</v>
      </c>
      <c r="AJ1004" s="39">
        <v>9334</v>
      </c>
      <c r="AK1004" s="113">
        <v>10123</v>
      </c>
      <c r="AL1004" s="191">
        <v>14593</v>
      </c>
      <c r="AM1004" s="484">
        <v>15673</v>
      </c>
      <c r="AN1004" s="484">
        <f t="shared" si="1102"/>
        <v>15481</v>
      </c>
      <c r="AO1004" s="39">
        <v>15481</v>
      </c>
      <c r="AP1004" s="113">
        <v>17100</v>
      </c>
      <c r="AQ1004" s="191">
        <v>14532</v>
      </c>
      <c r="AR1004" s="484">
        <v>12622</v>
      </c>
      <c r="AS1004" s="484">
        <f t="shared" si="1103"/>
        <v>12708</v>
      </c>
      <c r="AT1004" s="39">
        <v>12708</v>
      </c>
      <c r="AU1004" s="113">
        <v>14051</v>
      </c>
      <c r="AV1004" s="191">
        <v>12533</v>
      </c>
      <c r="AW1004" s="289">
        <v>13355</v>
      </c>
      <c r="AX1004" s="113">
        <f>(AX$758+AW$758+AV$758+AT$758)*AX971</f>
        <v>22917.393521434824</v>
      </c>
      <c r="AY1004" s="104">
        <f t="shared" ref="AY1004:AY1011" si="1104">AX1004</f>
        <v>22917.393521434824</v>
      </c>
      <c r="AZ1004" s="113">
        <f>(AZ$758+AX$758+AW$758+AV$758)*AZ971</f>
        <v>16978.740250003695</v>
      </c>
      <c r="BA1004" s="113">
        <f>(BA$758+AZ$758+AX$758+AW$758)*BA971</f>
        <v>16804.604062152906</v>
      </c>
      <c r="BB1004" s="113">
        <f>(BB$758+BA$758+AZ$758+AX$758)*BB971</f>
        <v>17665.391363742616</v>
      </c>
      <c r="BC1004" s="113">
        <f>(BC$758+BB$758+BA$758+AZ$758)*BC971</f>
        <v>17240.88622634079</v>
      </c>
      <c r="BD1004" s="104">
        <f t="shared" ref="BD1004:BD1011" si="1105">BC1004</f>
        <v>17240.88622634079</v>
      </c>
      <c r="BE1004" s="104">
        <f>BE758*BE971</f>
        <v>18970.999349103142</v>
      </c>
      <c r="BF1004" s="104">
        <f>BF758*BF971</f>
        <v>20337.744297884161</v>
      </c>
      <c r="BG1004" s="104">
        <f>BG758*BG971</f>
        <v>22127.73514578605</v>
      </c>
      <c r="BH1004" s="484"/>
    </row>
    <row r="1005" spans="1:60" s="49" customFormat="1" x14ac:dyDescent="0.25">
      <c r="A1005" s="483" t="s">
        <v>295</v>
      </c>
      <c r="B1005" s="209"/>
      <c r="C1005" s="39">
        <v>1271</v>
      </c>
      <c r="D1005" s="39">
        <v>1442</v>
      </c>
      <c r="E1005" s="39">
        <v>1595</v>
      </c>
      <c r="F1005" s="39">
        <v>1537</v>
      </c>
      <c r="G1005" s="484">
        <v>1440</v>
      </c>
      <c r="H1005" s="484">
        <v>1403</v>
      </c>
      <c r="I1005" s="484">
        <v>1465</v>
      </c>
      <c r="J1005" s="484">
        <f>K1005</f>
        <v>1487</v>
      </c>
      <c r="K1005" s="39">
        <v>1487</v>
      </c>
      <c r="L1005" s="484">
        <v>1380</v>
      </c>
      <c r="M1005" s="484">
        <v>1343</v>
      </c>
      <c r="N1005" s="484">
        <v>1425</v>
      </c>
      <c r="O1005" s="484">
        <f>P1005</f>
        <v>1574</v>
      </c>
      <c r="P1005" s="39">
        <v>1574</v>
      </c>
      <c r="Q1005" s="484">
        <v>1476</v>
      </c>
      <c r="R1005" s="484">
        <v>1432</v>
      </c>
      <c r="S1005" s="484">
        <v>1513</v>
      </c>
      <c r="T1005" s="484">
        <f>U1005</f>
        <v>1571</v>
      </c>
      <c r="U1005" s="39">
        <v>1571</v>
      </c>
      <c r="V1005" s="484">
        <v>1434</v>
      </c>
      <c r="W1005" s="484">
        <v>1352</v>
      </c>
      <c r="X1005" s="484">
        <v>1354</v>
      </c>
      <c r="Y1005" s="484">
        <f>Z1005</f>
        <v>1390</v>
      </c>
      <c r="Z1005" s="39">
        <v>1390</v>
      </c>
      <c r="AA1005" s="113">
        <v>1299</v>
      </c>
      <c r="AB1005" s="191">
        <v>1304</v>
      </c>
      <c r="AC1005" s="484">
        <v>1300</v>
      </c>
      <c r="AD1005" s="484">
        <f t="shared" si="1100"/>
        <v>1373</v>
      </c>
      <c r="AE1005" s="39">
        <v>1373</v>
      </c>
      <c r="AF1005" s="113">
        <v>1307</v>
      </c>
      <c r="AG1005" s="191">
        <v>1301</v>
      </c>
      <c r="AH1005" s="484">
        <v>1322</v>
      </c>
      <c r="AI1005" s="484">
        <f t="shared" si="1101"/>
        <v>1392</v>
      </c>
      <c r="AJ1005" s="39">
        <v>1392</v>
      </c>
      <c r="AK1005" s="113">
        <v>1357</v>
      </c>
      <c r="AL1005" s="191">
        <v>1445</v>
      </c>
      <c r="AM1005" s="484">
        <v>1516</v>
      </c>
      <c r="AN1005" s="484">
        <f t="shared" si="1102"/>
        <v>1649</v>
      </c>
      <c r="AO1005" s="39">
        <v>1649</v>
      </c>
      <c r="AP1005" s="113">
        <v>1571</v>
      </c>
      <c r="AQ1005" s="191">
        <v>1531</v>
      </c>
      <c r="AR1005" s="484">
        <v>1559</v>
      </c>
      <c r="AS1005" s="484">
        <f t="shared" si="1103"/>
        <v>1583</v>
      </c>
      <c r="AT1005" s="39">
        <v>1583</v>
      </c>
      <c r="AU1005" s="113">
        <v>1480</v>
      </c>
      <c r="AV1005" s="191">
        <v>1406</v>
      </c>
      <c r="AW1005" s="289">
        <v>1344</v>
      </c>
      <c r="AX1005" s="113">
        <f>(AX$758+AW$758+AV$758+AT$758)*AX972</f>
        <v>2854.7555826590597</v>
      </c>
      <c r="AY1005" s="104">
        <f t="shared" si="1104"/>
        <v>2854.7555826590597</v>
      </c>
      <c r="AZ1005" s="113">
        <f>(AZ$758+AX$758+AW$758+AV$758)*AZ972</f>
        <v>1788.3805828770526</v>
      </c>
      <c r="BA1005" s="113">
        <f>(BA$758+AZ$758+AX$758+AW$758)*BA972</f>
        <v>1885.2049239118319</v>
      </c>
      <c r="BB1005" s="113">
        <f>(BB$758+BA$758+AZ$758+AX$758)*BB972</f>
        <v>1777.782552816928</v>
      </c>
      <c r="BC1005" s="113">
        <f>(BC$758+BB$758+BA$758+AZ$758)*BC972</f>
        <v>2147.6489531238176</v>
      </c>
      <c r="BD1005" s="104">
        <f t="shared" si="1105"/>
        <v>2147.6489531238176</v>
      </c>
      <c r="BE1005" s="104">
        <f>BE758*BE972</f>
        <v>2363.1643035591969</v>
      </c>
      <c r="BF1005" s="104">
        <f>BF758*BF972</f>
        <v>2533.4158973521112</v>
      </c>
      <c r="BG1005" s="104">
        <f>BG758*BG972</f>
        <v>2756.3900484560372</v>
      </c>
      <c r="BH1005" s="484"/>
    </row>
    <row r="1006" spans="1:60" s="49" customFormat="1" x14ac:dyDescent="0.25">
      <c r="A1006" s="483" t="s">
        <v>326</v>
      </c>
      <c r="B1006" s="209"/>
      <c r="C1006" s="39">
        <v>631</v>
      </c>
      <c r="D1006" s="39">
        <v>678</v>
      </c>
      <c r="E1006" s="39">
        <v>674</v>
      </c>
      <c r="F1006" s="39">
        <v>676</v>
      </c>
      <c r="G1006" s="484">
        <v>864</v>
      </c>
      <c r="H1006" s="484">
        <v>905</v>
      </c>
      <c r="I1006" s="484">
        <v>655</v>
      </c>
      <c r="J1006" s="484">
        <f>K1006</f>
        <v>634</v>
      </c>
      <c r="K1006" s="39">
        <v>634</v>
      </c>
      <c r="L1006" s="484">
        <v>846</v>
      </c>
      <c r="M1006" s="484">
        <v>937</v>
      </c>
      <c r="N1006" s="484">
        <v>1095</v>
      </c>
      <c r="O1006" s="484">
        <f>P1006</f>
        <v>1061</v>
      </c>
      <c r="P1006" s="39">
        <v>1061</v>
      </c>
      <c r="Q1006" s="484">
        <v>712</v>
      </c>
      <c r="R1006" s="484">
        <v>814</v>
      </c>
      <c r="S1006" s="484">
        <v>1006</v>
      </c>
      <c r="T1006" s="484">
        <f>U1006</f>
        <v>1170</v>
      </c>
      <c r="U1006" s="39">
        <v>1170</v>
      </c>
      <c r="V1006" s="484">
        <v>811</v>
      </c>
      <c r="W1006" s="484">
        <v>977</v>
      </c>
      <c r="X1006" s="484">
        <v>1231</v>
      </c>
      <c r="Y1006" s="484">
        <f>Z1006</f>
        <v>1208</v>
      </c>
      <c r="Z1006" s="39">
        <v>1208</v>
      </c>
      <c r="AA1006" s="113">
        <v>821</v>
      </c>
      <c r="AB1006" s="191">
        <v>1133</v>
      </c>
      <c r="AC1006" s="484">
        <v>1214</v>
      </c>
      <c r="AD1006" s="484">
        <f t="shared" si="1100"/>
        <v>1278</v>
      </c>
      <c r="AE1006" s="39">
        <v>1278</v>
      </c>
      <c r="AF1006" s="113">
        <v>846</v>
      </c>
      <c r="AG1006" s="191">
        <v>1114</v>
      </c>
      <c r="AH1006" s="484">
        <v>1241</v>
      </c>
      <c r="AI1006" s="484">
        <f t="shared" si="1101"/>
        <v>1314</v>
      </c>
      <c r="AJ1006" s="39">
        <v>1314</v>
      </c>
      <c r="AK1006" s="113">
        <v>824</v>
      </c>
      <c r="AL1006" s="191">
        <v>5408</v>
      </c>
      <c r="AM1006" s="484">
        <v>4526</v>
      </c>
      <c r="AN1006" s="484">
        <f t="shared" si="1102"/>
        <v>4597</v>
      </c>
      <c r="AO1006" s="39">
        <v>4597</v>
      </c>
      <c r="AP1006" s="113">
        <v>1334</v>
      </c>
      <c r="AQ1006" s="191">
        <v>1869</v>
      </c>
      <c r="AR1006" s="484">
        <v>3135</v>
      </c>
      <c r="AS1006" s="484">
        <f t="shared" si="1103"/>
        <v>2171</v>
      </c>
      <c r="AT1006" s="39">
        <v>2171</v>
      </c>
      <c r="AU1006" s="113">
        <v>1423</v>
      </c>
      <c r="AV1006" s="191">
        <v>2204</v>
      </c>
      <c r="AW1006" s="289">
        <v>2367</v>
      </c>
      <c r="AX1006" s="113">
        <f t="shared" ref="AX1006:AX1011" si="1106">AW1006</f>
        <v>2367</v>
      </c>
      <c r="AY1006" s="104">
        <f t="shared" si="1104"/>
        <v>2367</v>
      </c>
      <c r="AZ1006" s="113">
        <f t="shared" ref="AZ1006:BC1011" si="1107">AY1006</f>
        <v>2367</v>
      </c>
      <c r="BA1006" s="113">
        <f t="shared" si="1107"/>
        <v>2367</v>
      </c>
      <c r="BB1006" s="113">
        <f t="shared" si="1107"/>
        <v>2367</v>
      </c>
      <c r="BC1006" s="113">
        <f t="shared" si="1107"/>
        <v>2367</v>
      </c>
      <c r="BD1006" s="104">
        <f t="shared" si="1105"/>
        <v>2367</v>
      </c>
      <c r="BE1006" s="104">
        <f t="shared" ref="BE1006:BG1011" si="1108">BD1006</f>
        <v>2367</v>
      </c>
      <c r="BF1006" s="104">
        <f t="shared" si="1108"/>
        <v>2367</v>
      </c>
      <c r="BG1006" s="104">
        <f t="shared" si="1108"/>
        <v>2367</v>
      </c>
      <c r="BH1006" s="484"/>
    </row>
    <row r="1007" spans="1:60" s="49" customFormat="1" x14ac:dyDescent="0.25">
      <c r="A1007" s="483" t="s">
        <v>287</v>
      </c>
      <c r="B1007" s="209"/>
      <c r="C1007" s="39">
        <v>1140</v>
      </c>
      <c r="D1007" s="39">
        <v>1018</v>
      </c>
      <c r="E1007" s="39">
        <v>1487</v>
      </c>
      <c r="F1007" s="39">
        <v>765</v>
      </c>
      <c r="G1007" s="484">
        <v>762</v>
      </c>
      <c r="H1007" s="484">
        <v>758</v>
      </c>
      <c r="I1007" s="484">
        <v>759</v>
      </c>
      <c r="J1007" s="484">
        <f>K1007</f>
        <v>485</v>
      </c>
      <c r="K1007" s="39">
        <v>485</v>
      </c>
      <c r="L1007" s="484">
        <v>484</v>
      </c>
      <c r="M1007" s="484">
        <v>478</v>
      </c>
      <c r="N1007" s="484">
        <v>480</v>
      </c>
      <c r="O1007" s="484">
        <f>P1007</f>
        <v>497</v>
      </c>
      <c r="P1007" s="39">
        <v>497</v>
      </c>
      <c r="Q1007" s="484">
        <v>452</v>
      </c>
      <c r="R1007" s="484">
        <v>496</v>
      </c>
      <c r="S1007" s="484">
        <v>619</v>
      </c>
      <c r="T1007" s="484">
        <f>U1007</f>
        <v>767</v>
      </c>
      <c r="U1007" s="39">
        <v>767</v>
      </c>
      <c r="V1007" s="484">
        <v>0</v>
      </c>
      <c r="W1007" s="484">
        <v>0</v>
      </c>
      <c r="X1007" s="484">
        <v>0</v>
      </c>
      <c r="Y1007" s="484">
        <f>Z1007</f>
        <v>0</v>
      </c>
      <c r="Z1007" s="39">
        <v>0</v>
      </c>
      <c r="AA1007" s="113"/>
      <c r="AB1007" s="113"/>
      <c r="AC1007" s="113"/>
      <c r="AD1007" s="484">
        <f t="shared" si="1100"/>
        <v>0</v>
      </c>
      <c r="AE1007" s="104"/>
      <c r="AF1007" s="113"/>
      <c r="AG1007" s="113"/>
      <c r="AH1007" s="113"/>
      <c r="AI1007" s="484">
        <f t="shared" si="1101"/>
        <v>0</v>
      </c>
      <c r="AJ1007" s="104"/>
      <c r="AK1007" s="113"/>
      <c r="AL1007" s="113"/>
      <c r="AM1007" s="113"/>
      <c r="AN1007" s="484">
        <f t="shared" si="1102"/>
        <v>0</v>
      </c>
      <c r="AO1007" s="104"/>
      <c r="AP1007" s="113"/>
      <c r="AQ1007" s="113"/>
      <c r="AR1007" s="113"/>
      <c r="AS1007" s="484">
        <f t="shared" si="1103"/>
        <v>0</v>
      </c>
      <c r="AT1007" s="104"/>
      <c r="AU1007" s="113"/>
      <c r="AV1007" s="113"/>
      <c r="AW1007" s="699"/>
      <c r="AX1007" s="113">
        <f t="shared" si="1106"/>
        <v>0</v>
      </c>
      <c r="AY1007" s="104">
        <f t="shared" si="1104"/>
        <v>0</v>
      </c>
      <c r="AZ1007" s="113">
        <f t="shared" si="1107"/>
        <v>0</v>
      </c>
      <c r="BA1007" s="113">
        <f t="shared" si="1107"/>
        <v>0</v>
      </c>
      <c r="BB1007" s="113">
        <f t="shared" si="1107"/>
        <v>0</v>
      </c>
      <c r="BC1007" s="113">
        <f t="shared" si="1107"/>
        <v>0</v>
      </c>
      <c r="BD1007" s="104">
        <f t="shared" si="1105"/>
        <v>0</v>
      </c>
      <c r="BE1007" s="104">
        <f t="shared" si="1108"/>
        <v>0</v>
      </c>
      <c r="BF1007" s="104">
        <f t="shared" si="1108"/>
        <v>0</v>
      </c>
      <c r="BG1007" s="104">
        <f t="shared" si="1108"/>
        <v>0</v>
      </c>
      <c r="BH1007" s="484"/>
    </row>
    <row r="1008" spans="1:60" s="49" customFormat="1" x14ac:dyDescent="0.25">
      <c r="A1008" s="226" t="s">
        <v>327</v>
      </c>
      <c r="B1008" s="209"/>
      <c r="C1008" s="104"/>
      <c r="D1008" s="104"/>
      <c r="E1008" s="104"/>
      <c r="F1008" s="104"/>
      <c r="G1008" s="113"/>
      <c r="H1008" s="113"/>
      <c r="I1008" s="113"/>
      <c r="J1008" s="113"/>
      <c r="K1008" s="104"/>
      <c r="L1008" s="113"/>
      <c r="M1008" s="113"/>
      <c r="N1008" s="113"/>
      <c r="O1008" s="113"/>
      <c r="P1008" s="104"/>
      <c r="Q1008" s="113"/>
      <c r="R1008" s="113"/>
      <c r="S1008" s="113"/>
      <c r="T1008" s="113"/>
      <c r="U1008" s="104"/>
      <c r="V1008" s="113"/>
      <c r="W1008" s="113"/>
      <c r="X1008" s="113"/>
      <c r="Y1008" s="113"/>
      <c r="Z1008" s="104"/>
      <c r="AA1008" s="113"/>
      <c r="AB1008" s="113"/>
      <c r="AC1008" s="113"/>
      <c r="AD1008" s="113">
        <f t="shared" si="1100"/>
        <v>26</v>
      </c>
      <c r="AE1008" s="104">
        <v>26</v>
      </c>
      <c r="AF1008" s="113">
        <v>13</v>
      </c>
      <c r="AG1008" s="113">
        <v>11</v>
      </c>
      <c r="AH1008" s="113">
        <v>1</v>
      </c>
      <c r="AI1008" s="113">
        <f t="shared" si="1101"/>
        <v>1</v>
      </c>
      <c r="AJ1008" s="104">
        <v>1</v>
      </c>
      <c r="AK1008" s="113">
        <v>4</v>
      </c>
      <c r="AL1008" s="113"/>
      <c r="AM1008" s="113">
        <v>1</v>
      </c>
      <c r="AN1008" s="113">
        <f t="shared" si="1102"/>
        <v>26</v>
      </c>
      <c r="AO1008" s="104">
        <v>26</v>
      </c>
      <c r="AP1008" s="113">
        <v>1</v>
      </c>
      <c r="AQ1008" s="113">
        <v>1</v>
      </c>
      <c r="AR1008" s="113">
        <f>AQ1008</f>
        <v>1</v>
      </c>
      <c r="AS1008" s="113">
        <f t="shared" si="1103"/>
        <v>3</v>
      </c>
      <c r="AT1008" s="104">
        <v>3</v>
      </c>
      <c r="AU1008" s="113">
        <v>3</v>
      </c>
      <c r="AV1008" s="113">
        <v>1</v>
      </c>
      <c r="AW1008" s="699">
        <v>3</v>
      </c>
      <c r="AX1008" s="113">
        <f t="shared" si="1106"/>
        <v>3</v>
      </c>
      <c r="AY1008" s="104">
        <f t="shared" si="1104"/>
        <v>3</v>
      </c>
      <c r="AZ1008" s="113">
        <f t="shared" si="1107"/>
        <v>3</v>
      </c>
      <c r="BA1008" s="113">
        <f t="shared" si="1107"/>
        <v>3</v>
      </c>
      <c r="BB1008" s="113">
        <f t="shared" si="1107"/>
        <v>3</v>
      </c>
      <c r="BC1008" s="113">
        <f t="shared" si="1107"/>
        <v>3</v>
      </c>
      <c r="BD1008" s="104">
        <f t="shared" si="1105"/>
        <v>3</v>
      </c>
      <c r="BE1008" s="104">
        <f t="shared" si="1108"/>
        <v>3</v>
      </c>
      <c r="BF1008" s="104">
        <f t="shared" si="1108"/>
        <v>3</v>
      </c>
      <c r="BG1008" s="104">
        <f t="shared" si="1108"/>
        <v>3</v>
      </c>
      <c r="BH1008" s="484"/>
    </row>
    <row r="1009" spans="1:60" s="283" customFormat="1" x14ac:dyDescent="0.25">
      <c r="A1009" s="483" t="s">
        <v>514</v>
      </c>
      <c r="B1009" s="209"/>
      <c r="C1009" s="104"/>
      <c r="D1009" s="104"/>
      <c r="E1009" s="104"/>
      <c r="F1009" s="104"/>
      <c r="G1009" s="113"/>
      <c r="H1009" s="113"/>
      <c r="I1009" s="113"/>
      <c r="J1009" s="113"/>
      <c r="K1009" s="104"/>
      <c r="L1009" s="113"/>
      <c r="M1009" s="113"/>
      <c r="N1009" s="113"/>
      <c r="O1009" s="113"/>
      <c r="P1009" s="104"/>
      <c r="Q1009" s="113"/>
      <c r="R1009" s="113"/>
      <c r="S1009" s="113"/>
      <c r="T1009" s="113"/>
      <c r="U1009" s="104"/>
      <c r="V1009" s="113"/>
      <c r="W1009" s="113"/>
      <c r="X1009" s="113"/>
      <c r="Y1009" s="113"/>
      <c r="Z1009" s="104"/>
      <c r="AA1009" s="113"/>
      <c r="AB1009" s="113"/>
      <c r="AC1009" s="113"/>
      <c r="AD1009" s="113"/>
      <c r="AE1009" s="104"/>
      <c r="AF1009" s="113"/>
      <c r="AG1009" s="113"/>
      <c r="AH1009" s="113"/>
      <c r="AI1009" s="113"/>
      <c r="AJ1009" s="104"/>
      <c r="AK1009" s="113"/>
      <c r="AL1009" s="113"/>
      <c r="AM1009" s="484">
        <v>591</v>
      </c>
      <c r="AN1009" s="113"/>
      <c r="AO1009" s="104"/>
      <c r="AP1009" s="113"/>
      <c r="AQ1009" s="113"/>
      <c r="AR1009" s="113"/>
      <c r="AS1009" s="113"/>
      <c r="AT1009" s="104"/>
      <c r="AU1009" s="113"/>
      <c r="AV1009" s="113"/>
      <c r="AW1009" s="699"/>
      <c r="AX1009" s="113">
        <f t="shared" si="1106"/>
        <v>0</v>
      </c>
      <c r="AY1009" s="104">
        <f t="shared" si="1104"/>
        <v>0</v>
      </c>
      <c r="AZ1009" s="113">
        <f t="shared" si="1107"/>
        <v>0</v>
      </c>
      <c r="BA1009" s="113">
        <f t="shared" si="1107"/>
        <v>0</v>
      </c>
      <c r="BB1009" s="113">
        <f t="shared" si="1107"/>
        <v>0</v>
      </c>
      <c r="BC1009" s="113">
        <f t="shared" si="1107"/>
        <v>0</v>
      </c>
      <c r="BD1009" s="104">
        <f t="shared" si="1105"/>
        <v>0</v>
      </c>
      <c r="BE1009" s="104">
        <f t="shared" si="1108"/>
        <v>0</v>
      </c>
      <c r="BF1009" s="104">
        <f t="shared" si="1108"/>
        <v>0</v>
      </c>
      <c r="BG1009" s="104">
        <f t="shared" si="1108"/>
        <v>0</v>
      </c>
      <c r="BH1009" s="484"/>
    </row>
    <row r="1010" spans="1:60" s="49" customFormat="1" x14ac:dyDescent="0.25">
      <c r="A1010" s="483" t="s">
        <v>328</v>
      </c>
      <c r="B1010" s="209"/>
      <c r="C1010" s="104"/>
      <c r="D1010" s="104"/>
      <c r="E1010" s="104"/>
      <c r="F1010" s="104"/>
      <c r="G1010" s="113"/>
      <c r="H1010" s="113"/>
      <c r="I1010" s="113"/>
      <c r="J1010" s="113"/>
      <c r="K1010" s="104"/>
      <c r="L1010" s="113"/>
      <c r="M1010" s="113"/>
      <c r="N1010" s="113"/>
      <c r="O1010" s="113"/>
      <c r="P1010" s="104"/>
      <c r="Q1010" s="113"/>
      <c r="R1010" s="113"/>
      <c r="S1010" s="113"/>
      <c r="T1010" s="113"/>
      <c r="U1010" s="104"/>
      <c r="V1010" s="113"/>
      <c r="W1010" s="113"/>
      <c r="X1010" s="113"/>
      <c r="Y1010" s="113"/>
      <c r="Z1010" s="104"/>
      <c r="AA1010" s="113"/>
      <c r="AB1010" s="113"/>
      <c r="AC1010" s="113"/>
      <c r="AD1010" s="113"/>
      <c r="AE1010" s="104"/>
      <c r="AF1010" s="113"/>
      <c r="AG1010" s="113"/>
      <c r="AH1010" s="113"/>
      <c r="AI1010" s="113"/>
      <c r="AJ1010" s="104"/>
      <c r="AK1010" s="113"/>
      <c r="AL1010" s="484">
        <v>1466</v>
      </c>
      <c r="AM1010" s="484">
        <f>1892-AM1009</f>
        <v>1301</v>
      </c>
      <c r="AN1010" s="113"/>
      <c r="AO1010" s="104"/>
      <c r="AP1010" s="113"/>
      <c r="AQ1010" s="113"/>
      <c r="AR1010" s="113"/>
      <c r="AS1010" s="113"/>
      <c r="AT1010" s="104"/>
      <c r="AU1010" s="113"/>
      <c r="AV1010" s="113"/>
      <c r="AW1010" s="699"/>
      <c r="AX1010" s="113">
        <f t="shared" si="1106"/>
        <v>0</v>
      </c>
      <c r="AY1010" s="104">
        <f t="shared" si="1104"/>
        <v>0</v>
      </c>
      <c r="AZ1010" s="113">
        <f t="shared" si="1107"/>
        <v>0</v>
      </c>
      <c r="BA1010" s="113">
        <f t="shared" si="1107"/>
        <v>0</v>
      </c>
      <c r="BB1010" s="113">
        <f t="shared" si="1107"/>
        <v>0</v>
      </c>
      <c r="BC1010" s="113">
        <f t="shared" si="1107"/>
        <v>0</v>
      </c>
      <c r="BD1010" s="104">
        <f t="shared" si="1105"/>
        <v>0</v>
      </c>
      <c r="BE1010" s="104">
        <f t="shared" si="1108"/>
        <v>0</v>
      </c>
      <c r="BF1010" s="104">
        <f t="shared" si="1108"/>
        <v>0</v>
      </c>
      <c r="BG1010" s="104">
        <f t="shared" si="1108"/>
        <v>0</v>
      </c>
      <c r="BH1010" s="484"/>
    </row>
    <row r="1011" spans="1:60" s="49" customFormat="1" x14ac:dyDescent="0.25">
      <c r="A1011" s="483" t="s">
        <v>329</v>
      </c>
      <c r="B1011" s="209"/>
      <c r="C1011" s="39">
        <v>576</v>
      </c>
      <c r="D1011" s="39">
        <v>581</v>
      </c>
      <c r="E1011" s="39">
        <v>634</v>
      </c>
      <c r="F1011" s="39">
        <v>804</v>
      </c>
      <c r="G1011" s="484">
        <v>734</v>
      </c>
      <c r="H1011" s="484">
        <v>831</v>
      </c>
      <c r="I1011" s="484">
        <v>826</v>
      </c>
      <c r="J1011" s="484">
        <f>K1011</f>
        <v>605</v>
      </c>
      <c r="K1011" s="39">
        <v>605</v>
      </c>
      <c r="L1011" s="484">
        <v>643</v>
      </c>
      <c r="M1011" s="484">
        <v>622</v>
      </c>
      <c r="N1011" s="484">
        <v>572</v>
      </c>
      <c r="O1011" s="484">
        <f>P1011</f>
        <v>794</v>
      </c>
      <c r="P1011" s="39">
        <v>794</v>
      </c>
      <c r="Q1011" s="484">
        <v>932</v>
      </c>
      <c r="R1011" s="484">
        <v>998</v>
      </c>
      <c r="S1011" s="484">
        <v>887</v>
      </c>
      <c r="T1011" s="484">
        <f>U1011</f>
        <v>962</v>
      </c>
      <c r="U1011" s="39">
        <v>962</v>
      </c>
      <c r="V1011" s="484">
        <v>924</v>
      </c>
      <c r="W1011" s="484">
        <v>781</v>
      </c>
      <c r="X1011" s="484">
        <v>847</v>
      </c>
      <c r="Y1011" s="484">
        <f>Z1011</f>
        <v>693</v>
      </c>
      <c r="Z1011" s="39">
        <v>693</v>
      </c>
      <c r="AA1011" s="113">
        <v>931</v>
      </c>
      <c r="AB1011" s="191">
        <v>740</v>
      </c>
      <c r="AC1011" s="484">
        <v>665</v>
      </c>
      <c r="AD1011" s="484">
        <f>AE1011</f>
        <v>562</v>
      </c>
      <c r="AE1011" s="39">
        <f>588-AE1008</f>
        <v>562</v>
      </c>
      <c r="AF1011" s="113">
        <f>558-AF1008</f>
        <v>545</v>
      </c>
      <c r="AG1011" s="191">
        <f>536-AG1008</f>
        <v>525</v>
      </c>
      <c r="AH1011" s="484">
        <f>769-AH1008</f>
        <v>768</v>
      </c>
      <c r="AI1011" s="484">
        <f>AJ1011</f>
        <v>634</v>
      </c>
      <c r="AJ1011" s="39">
        <f>635-AJ1008</f>
        <v>634</v>
      </c>
      <c r="AK1011" s="113">
        <f>778-AK1008</f>
        <v>774</v>
      </c>
      <c r="AL1011" s="191">
        <v>1257</v>
      </c>
      <c r="AM1011" s="484">
        <f>1035-AM1008</f>
        <v>1034</v>
      </c>
      <c r="AN1011" s="484">
        <f>AO1011</f>
        <v>953</v>
      </c>
      <c r="AO1011" s="39">
        <f>979-AO1008</f>
        <v>953</v>
      </c>
      <c r="AP1011" s="113">
        <f>938-AP1008</f>
        <v>937</v>
      </c>
      <c r="AQ1011" s="191">
        <f>1003-AQ1008</f>
        <v>1002</v>
      </c>
      <c r="AR1011" s="484">
        <f>899-AR1008</f>
        <v>898</v>
      </c>
      <c r="AS1011" s="484">
        <f>AT1011</f>
        <v>872</v>
      </c>
      <c r="AT1011" s="39">
        <f>875-AT1008</f>
        <v>872</v>
      </c>
      <c r="AU1011" s="113">
        <f>852-AU1008</f>
        <v>849</v>
      </c>
      <c r="AV1011" s="191">
        <f>844-AV1008</f>
        <v>843</v>
      </c>
      <c r="AW1011" s="289">
        <f>830-AW1008</f>
        <v>827</v>
      </c>
      <c r="AX1011" s="113">
        <f t="shared" si="1106"/>
        <v>827</v>
      </c>
      <c r="AY1011" s="104">
        <f t="shared" si="1104"/>
        <v>827</v>
      </c>
      <c r="AZ1011" s="113">
        <f t="shared" si="1107"/>
        <v>827</v>
      </c>
      <c r="BA1011" s="113">
        <f t="shared" si="1107"/>
        <v>827</v>
      </c>
      <c r="BB1011" s="113">
        <f t="shared" si="1107"/>
        <v>827</v>
      </c>
      <c r="BC1011" s="113">
        <f t="shared" si="1107"/>
        <v>827</v>
      </c>
      <c r="BD1011" s="104">
        <f t="shared" si="1105"/>
        <v>827</v>
      </c>
      <c r="BE1011" s="104">
        <f t="shared" si="1108"/>
        <v>827</v>
      </c>
      <c r="BF1011" s="104">
        <f t="shared" si="1108"/>
        <v>827</v>
      </c>
      <c r="BG1011" s="104">
        <f t="shared" si="1108"/>
        <v>827</v>
      </c>
      <c r="BH1011" s="484"/>
    </row>
    <row r="1012" spans="1:60" s="52" customFormat="1" x14ac:dyDescent="0.25">
      <c r="A1012" s="500" t="s">
        <v>330</v>
      </c>
      <c r="B1012" s="775"/>
      <c r="C1012" s="53">
        <f t="shared" ref="C1012:AH1012" si="1109">SUM(C1003:C1011)</f>
        <v>11889</v>
      </c>
      <c r="D1012" s="53">
        <f t="shared" si="1109"/>
        <v>12225</v>
      </c>
      <c r="E1012" s="53">
        <f t="shared" si="1109"/>
        <v>13757</v>
      </c>
      <c r="F1012" s="53">
        <f t="shared" si="1109"/>
        <v>13709</v>
      </c>
      <c r="G1012" s="61">
        <f t="shared" si="1109"/>
        <v>14322</v>
      </c>
      <c r="H1012" s="61">
        <f t="shared" si="1109"/>
        <v>15003</v>
      </c>
      <c r="I1012" s="61">
        <f t="shared" si="1109"/>
        <v>14205</v>
      </c>
      <c r="J1012" s="61">
        <f t="shared" si="1109"/>
        <v>14109</v>
      </c>
      <c r="K1012" s="53">
        <f t="shared" si="1109"/>
        <v>14109</v>
      </c>
      <c r="L1012" s="61">
        <f t="shared" si="1109"/>
        <v>15763</v>
      </c>
      <c r="M1012" s="61">
        <f t="shared" si="1109"/>
        <v>15046</v>
      </c>
      <c r="N1012" s="61">
        <f t="shared" si="1109"/>
        <v>15205</v>
      </c>
      <c r="O1012" s="61">
        <f t="shared" si="1109"/>
        <v>15169</v>
      </c>
      <c r="P1012" s="53">
        <f t="shared" si="1109"/>
        <v>15169</v>
      </c>
      <c r="Q1012" s="61">
        <f t="shared" si="1109"/>
        <v>17240</v>
      </c>
      <c r="R1012" s="61">
        <f t="shared" si="1109"/>
        <v>15646</v>
      </c>
      <c r="S1012" s="61">
        <f t="shared" si="1109"/>
        <v>16512</v>
      </c>
      <c r="T1012" s="61">
        <f t="shared" si="1109"/>
        <v>16758</v>
      </c>
      <c r="U1012" s="53">
        <f t="shared" si="1109"/>
        <v>16758</v>
      </c>
      <c r="V1012" s="61">
        <f t="shared" si="1109"/>
        <v>17768</v>
      </c>
      <c r="W1012" s="61">
        <f t="shared" si="1109"/>
        <v>16999</v>
      </c>
      <c r="X1012" s="61">
        <f t="shared" si="1109"/>
        <v>17617</v>
      </c>
      <c r="Y1012" s="61">
        <f t="shared" si="1109"/>
        <v>16966</v>
      </c>
      <c r="Z1012" s="53">
        <f t="shared" si="1109"/>
        <v>16966</v>
      </c>
      <c r="AA1012" s="105">
        <f t="shared" si="1109"/>
        <v>16665</v>
      </c>
      <c r="AB1012" s="192">
        <f t="shared" si="1109"/>
        <v>16270</v>
      </c>
      <c r="AC1012" s="61">
        <f t="shared" si="1109"/>
        <v>17151</v>
      </c>
      <c r="AD1012" s="61">
        <f t="shared" si="1109"/>
        <v>15889</v>
      </c>
      <c r="AE1012" s="53">
        <f t="shared" si="1109"/>
        <v>15889</v>
      </c>
      <c r="AF1012" s="105">
        <f t="shared" si="1109"/>
        <v>17274</v>
      </c>
      <c r="AG1012" s="192">
        <f t="shared" si="1109"/>
        <v>16808</v>
      </c>
      <c r="AH1012" s="61">
        <f t="shared" si="1109"/>
        <v>17729</v>
      </c>
      <c r="AI1012" s="61">
        <f t="shared" ref="AI1012:AY1012" si="1110">SUM(AI1003:AI1011)</f>
        <v>16825</v>
      </c>
      <c r="AJ1012" s="53">
        <f t="shared" si="1110"/>
        <v>16825</v>
      </c>
      <c r="AK1012" s="105">
        <f t="shared" si="1110"/>
        <v>17537</v>
      </c>
      <c r="AL1012" s="192">
        <f t="shared" si="1110"/>
        <v>34277</v>
      </c>
      <c r="AM1012" s="61">
        <f t="shared" si="1110"/>
        <v>31370</v>
      </c>
      <c r="AN1012" s="61">
        <f t="shared" si="1110"/>
        <v>28124</v>
      </c>
      <c r="AO1012" s="53">
        <f t="shared" si="1110"/>
        <v>28124</v>
      </c>
      <c r="AP1012" s="105">
        <f t="shared" si="1110"/>
        <v>27776</v>
      </c>
      <c r="AQ1012" s="192">
        <f t="shared" si="1110"/>
        <v>33274</v>
      </c>
      <c r="AR1012" s="61">
        <f t="shared" si="1110"/>
        <v>41330</v>
      </c>
      <c r="AS1012" s="61">
        <f>SUM(AS1003:AS1011)</f>
        <v>35251</v>
      </c>
      <c r="AT1012" s="53">
        <f>SUM(AT1003:AT1011)</f>
        <v>35251</v>
      </c>
      <c r="AU1012" s="105">
        <f>SUM(AU1003:AU1011)</f>
        <v>34874</v>
      </c>
      <c r="AV1012" s="192">
        <f>SUM(AV1003:AV1011)</f>
        <v>32877</v>
      </c>
      <c r="AW1012" s="872">
        <f>SUM(AW1003:AW1011)</f>
        <v>33966</v>
      </c>
      <c r="AX1012" s="105">
        <f t="shared" ref="AX1012" ca="1" si="1111">SUM(AX1003:AX1011)</f>
        <v>46007.601229074178</v>
      </c>
      <c r="AY1012" s="106">
        <f t="shared" ca="1" si="1110"/>
        <v>46007.601229074178</v>
      </c>
      <c r="AZ1012" s="105">
        <f t="shared" ref="AZ1012:BG1012" ca="1" si="1112">SUM(AZ1003:AZ1011)</f>
        <v>38707.178594836972</v>
      </c>
      <c r="BA1012" s="105">
        <f t="shared" ca="1" si="1112"/>
        <v>41308.764059333058</v>
      </c>
      <c r="BB1012" s="105">
        <f t="shared" ca="1" si="1112"/>
        <v>44907.812915495182</v>
      </c>
      <c r="BC1012" s="105">
        <f t="shared" ca="1" si="1112"/>
        <v>44379.795857967212</v>
      </c>
      <c r="BD1012" s="106">
        <f t="shared" ca="1" si="1112"/>
        <v>44379.795857967212</v>
      </c>
      <c r="BE1012" s="106">
        <f t="shared" ca="1" si="1112"/>
        <v>55602.960893922442</v>
      </c>
      <c r="BF1012" s="106">
        <f t="shared" ca="1" si="1112"/>
        <v>67415.111621371223</v>
      </c>
      <c r="BG1012" s="106">
        <f t="shared" ca="1" si="1112"/>
        <v>80713.237017859268</v>
      </c>
      <c r="BH1012" s="499"/>
    </row>
    <row r="1013" spans="1:60" s="52" customFormat="1" x14ac:dyDescent="0.25">
      <c r="A1013" s="635"/>
      <c r="B1013" s="602"/>
      <c r="C1013" s="111"/>
      <c r="D1013" s="111"/>
      <c r="E1013" s="111"/>
      <c r="F1013" s="111"/>
      <c r="G1013" s="114"/>
      <c r="H1013" s="114"/>
      <c r="I1013" s="114"/>
      <c r="J1013" s="114"/>
      <c r="K1013" s="111"/>
      <c r="L1013" s="114"/>
      <c r="M1013" s="114"/>
      <c r="N1013" s="114"/>
      <c r="O1013" s="114"/>
      <c r="P1013" s="111"/>
      <c r="Q1013" s="114"/>
      <c r="R1013" s="114"/>
      <c r="S1013" s="114"/>
      <c r="T1013" s="114"/>
      <c r="U1013" s="111"/>
      <c r="V1013" s="114"/>
      <c r="W1013" s="114"/>
      <c r="X1013" s="114"/>
      <c r="Y1013" s="114"/>
      <c r="Z1013" s="111"/>
      <c r="AA1013" s="114"/>
      <c r="AB1013" s="114"/>
      <c r="AC1013" s="114"/>
      <c r="AD1013" s="114"/>
      <c r="AE1013" s="111"/>
      <c r="AF1013" s="114"/>
      <c r="AG1013" s="114"/>
      <c r="AH1013" s="114"/>
      <c r="AI1013" s="114"/>
      <c r="AJ1013" s="111"/>
      <c r="AK1013" s="114"/>
      <c r="AL1013" s="114"/>
      <c r="AM1013" s="114"/>
      <c r="AN1013" s="114"/>
      <c r="AO1013" s="111"/>
      <c r="AP1013" s="114"/>
      <c r="AQ1013" s="114"/>
      <c r="AR1013" s="114"/>
      <c r="AS1013" s="114"/>
      <c r="AT1013" s="111"/>
      <c r="AU1013" s="114"/>
      <c r="AV1013" s="114"/>
      <c r="AW1013" s="765"/>
      <c r="AX1013" s="114"/>
      <c r="AY1013" s="111"/>
      <c r="AZ1013" s="114"/>
      <c r="BA1013" s="114"/>
      <c r="BB1013" s="114"/>
      <c r="BC1013" s="114"/>
      <c r="BD1013" s="111"/>
      <c r="BE1013" s="111"/>
      <c r="BF1013" s="111"/>
      <c r="BG1013" s="111"/>
      <c r="BH1013" s="499"/>
    </row>
    <row r="1014" spans="1:60" s="52" customFormat="1" x14ac:dyDescent="0.25">
      <c r="A1014" s="93" t="s">
        <v>331</v>
      </c>
      <c r="B1014" s="602"/>
      <c r="C1014" s="111"/>
      <c r="D1014" s="111"/>
      <c r="E1014" s="111"/>
      <c r="F1014" s="111"/>
      <c r="G1014" s="114"/>
      <c r="H1014" s="114"/>
      <c r="I1014" s="114"/>
      <c r="J1014" s="114"/>
      <c r="K1014" s="111"/>
      <c r="L1014" s="114"/>
      <c r="M1014" s="114"/>
      <c r="N1014" s="114"/>
      <c r="O1014" s="114"/>
      <c r="P1014" s="111"/>
      <c r="Q1014" s="114"/>
      <c r="R1014" s="114"/>
      <c r="S1014" s="114"/>
      <c r="T1014" s="114"/>
      <c r="U1014" s="111"/>
      <c r="V1014" s="114"/>
      <c r="W1014" s="114"/>
      <c r="X1014" s="114"/>
      <c r="Y1014" s="114"/>
      <c r="Z1014" s="111"/>
      <c r="AA1014" s="114"/>
      <c r="AB1014" s="114"/>
      <c r="AC1014" s="114"/>
      <c r="AD1014" s="114"/>
      <c r="AE1014" s="111"/>
      <c r="AF1014" s="114"/>
      <c r="AG1014" s="114"/>
      <c r="AH1014" s="114"/>
      <c r="AI1014" s="114"/>
      <c r="AJ1014" s="111"/>
      <c r="AK1014" s="114"/>
      <c r="AL1014" s="114"/>
      <c r="AM1014" s="114"/>
      <c r="AN1014" s="114"/>
      <c r="AO1014" s="111"/>
      <c r="AP1014" s="114"/>
      <c r="AQ1014" s="114"/>
      <c r="AR1014" s="114"/>
      <c r="AS1014" s="114"/>
      <c r="AT1014" s="111"/>
      <c r="AU1014" s="114"/>
      <c r="AV1014" s="114"/>
      <c r="AW1014" s="765"/>
      <c r="AX1014" s="114"/>
      <c r="AY1014" s="111"/>
      <c r="AZ1014" s="114"/>
      <c r="BA1014" s="114"/>
      <c r="BB1014" s="114"/>
      <c r="BC1014" s="114"/>
      <c r="BD1014" s="111"/>
      <c r="BE1014" s="111"/>
      <c r="BF1014" s="111"/>
      <c r="BG1014" s="111"/>
      <c r="BH1014" s="499"/>
    </row>
    <row r="1015" spans="1:60" s="49" customFormat="1" x14ac:dyDescent="0.25">
      <c r="A1015" s="483" t="s">
        <v>332</v>
      </c>
      <c r="B1015" s="209"/>
      <c r="C1015" s="39">
        <v>5125</v>
      </c>
      <c r="D1015" s="39">
        <v>4773</v>
      </c>
      <c r="E1015" s="39">
        <v>4357</v>
      </c>
      <c r="F1015" s="39">
        <v>4541</v>
      </c>
      <c r="G1015" s="484">
        <v>4811</v>
      </c>
      <c r="H1015" s="484">
        <v>4895</v>
      </c>
      <c r="I1015" s="484">
        <v>4786</v>
      </c>
      <c r="J1015" s="484">
        <f>K1015</f>
        <v>4783</v>
      </c>
      <c r="K1015" s="39">
        <v>4783</v>
      </c>
      <c r="L1015" s="484">
        <v>4992</v>
      </c>
      <c r="M1015" s="484">
        <v>5067</v>
      </c>
      <c r="N1015" s="484">
        <v>5025</v>
      </c>
      <c r="O1015" s="484">
        <f>P1015</f>
        <v>5325</v>
      </c>
      <c r="P1015" s="39">
        <v>5325</v>
      </c>
      <c r="Q1015" s="484">
        <v>5672</v>
      </c>
      <c r="R1015" s="484">
        <v>5792</v>
      </c>
      <c r="S1015" s="484">
        <v>5775</v>
      </c>
      <c r="T1015" s="484">
        <f>U1015</f>
        <v>6183</v>
      </c>
      <c r="U1015" s="39">
        <v>6183</v>
      </c>
      <c r="V1015" s="484">
        <v>6330</v>
      </c>
      <c r="W1015" s="484">
        <v>6484</v>
      </c>
      <c r="X1015" s="484">
        <v>6091</v>
      </c>
      <c r="Y1015" s="484">
        <f>Z1015</f>
        <v>6339</v>
      </c>
      <c r="Z1015" s="39">
        <v>6339</v>
      </c>
      <c r="AA1015" s="113">
        <v>6572</v>
      </c>
      <c r="AB1015" s="191">
        <v>6974</v>
      </c>
      <c r="AC1015" s="484">
        <v>6798</v>
      </c>
      <c r="AD1015" s="484">
        <f>AE1015</f>
        <v>7481</v>
      </c>
      <c r="AE1015" s="39">
        <v>7481</v>
      </c>
      <c r="AF1015" s="113">
        <v>7937</v>
      </c>
      <c r="AG1015" s="191">
        <v>8074</v>
      </c>
      <c r="AH1015" s="484">
        <v>7684</v>
      </c>
      <c r="AI1015" s="484">
        <f>AJ1015</f>
        <v>7888</v>
      </c>
      <c r="AJ1015" s="39">
        <v>7888</v>
      </c>
      <c r="AK1015" s="113">
        <v>8177</v>
      </c>
      <c r="AL1015" s="191">
        <v>24353</v>
      </c>
      <c r="AM1015" s="484">
        <v>22552</v>
      </c>
      <c r="AN1015" s="484">
        <f>AO1015</f>
        <v>22810</v>
      </c>
      <c r="AO1015" s="39">
        <v>22810</v>
      </c>
      <c r="AP1015" s="113">
        <v>26539</v>
      </c>
      <c r="AQ1015" s="191">
        <v>26757</v>
      </c>
      <c r="AR1015" s="484">
        <v>25560</v>
      </c>
      <c r="AS1015" s="484">
        <f>AT1015</f>
        <v>25022</v>
      </c>
      <c r="AT1015" s="39">
        <v>25022</v>
      </c>
      <c r="AU1015" s="113">
        <v>25929</v>
      </c>
      <c r="AV1015" s="191">
        <v>26858</v>
      </c>
      <c r="AW1015" s="289">
        <v>27889</v>
      </c>
      <c r="AX1015" s="113">
        <f>AW1015+AX987+AX988</f>
        <v>27494</v>
      </c>
      <c r="AY1015" s="104">
        <f>AX1015</f>
        <v>27494</v>
      </c>
      <c r="AZ1015" s="113">
        <f>AY1015+AZ987+AZ988</f>
        <v>27179</v>
      </c>
      <c r="BA1015" s="113">
        <f>AZ1015+BA987+BA988</f>
        <v>26864</v>
      </c>
      <c r="BB1015" s="113">
        <f>BA1015+BB987+BB988</f>
        <v>26549</v>
      </c>
      <c r="BC1015" s="113">
        <f>BB1015+BC987+BC988</f>
        <v>26234</v>
      </c>
      <c r="BD1015" s="104">
        <f>BC1015</f>
        <v>26234</v>
      </c>
      <c r="BE1015" s="104">
        <f>BD1015+BE987+BE988</f>
        <v>24976</v>
      </c>
      <c r="BF1015" s="104">
        <f>BE1015+BF987+BF988</f>
        <v>23718</v>
      </c>
      <c r="BG1015" s="104">
        <f>BF1015+BG987+BG988</f>
        <v>22460</v>
      </c>
      <c r="BH1015" s="484"/>
    </row>
    <row r="1016" spans="1:60" s="49" customFormat="1" x14ac:dyDescent="0.25">
      <c r="A1016" s="483" t="s">
        <v>333</v>
      </c>
      <c r="B1016" s="209"/>
      <c r="C1016" s="39">
        <v>2554</v>
      </c>
      <c r="D1016" s="39">
        <v>2513</v>
      </c>
      <c r="E1016" s="39">
        <v>2435</v>
      </c>
      <c r="F1016" s="39">
        <v>2723</v>
      </c>
      <c r="G1016" s="484">
        <v>2622</v>
      </c>
      <c r="H1016" s="484">
        <v>2566</v>
      </c>
      <c r="I1016" s="484">
        <v>2683</v>
      </c>
      <c r="J1016" s="484">
        <f>K1016</f>
        <v>2849</v>
      </c>
      <c r="K1016" s="39">
        <v>2849</v>
      </c>
      <c r="L1016" s="484">
        <v>2784</v>
      </c>
      <c r="M1016" s="484">
        <v>2750</v>
      </c>
      <c r="N1016" s="484">
        <v>2858</v>
      </c>
      <c r="O1016" s="484">
        <f>P1016</f>
        <v>2696</v>
      </c>
      <c r="P1016" s="39">
        <v>2696</v>
      </c>
      <c r="Q1016" s="484">
        <v>2642</v>
      </c>
      <c r="R1016" s="484">
        <v>2575</v>
      </c>
      <c r="S1016" s="484">
        <v>2694</v>
      </c>
      <c r="T1016" s="484">
        <f>U1016</f>
        <v>2643</v>
      </c>
      <c r="U1016" s="39">
        <v>2643</v>
      </c>
      <c r="V1016" s="484">
        <v>3268</v>
      </c>
      <c r="W1016" s="484">
        <v>3247</v>
      </c>
      <c r="X1016" s="484">
        <v>3228</v>
      </c>
      <c r="Y1016" s="484">
        <f>Z1016</f>
        <v>4280</v>
      </c>
      <c r="Z1016" s="39">
        <v>4280</v>
      </c>
      <c r="AA1016" s="113">
        <v>4220</v>
      </c>
      <c r="AB1016" s="191">
        <v>4155</v>
      </c>
      <c r="AC1016" s="484">
        <v>4141</v>
      </c>
      <c r="AD1016" s="484">
        <f>AE1016</f>
        <v>3202</v>
      </c>
      <c r="AE1016" s="39">
        <v>3202</v>
      </c>
      <c r="AF1016" s="113">
        <v>3206</v>
      </c>
      <c r="AG1016" s="191">
        <v>3148</v>
      </c>
      <c r="AH1016" s="484">
        <v>3155</v>
      </c>
      <c r="AI1016" s="484">
        <f>AJ1016</f>
        <v>2899</v>
      </c>
      <c r="AJ1016" s="39">
        <v>2899</v>
      </c>
      <c r="AK1016" s="113">
        <v>2970</v>
      </c>
      <c r="AL1016" s="191">
        <v>4080</v>
      </c>
      <c r="AM1016" s="484">
        <v>3872</v>
      </c>
      <c r="AN1016" s="484">
        <f>AO1016</f>
        <v>3224</v>
      </c>
      <c r="AO1016" s="39">
        <v>3224</v>
      </c>
      <c r="AP1016" s="113">
        <v>3312</v>
      </c>
      <c r="AQ1016" s="191">
        <v>3180</v>
      </c>
      <c r="AR1016" s="484">
        <v>3611</v>
      </c>
      <c r="AS1016" s="484">
        <f>AT1016</f>
        <v>3903</v>
      </c>
      <c r="AT1016" s="39">
        <v>3903</v>
      </c>
      <c r="AU1016" s="113">
        <v>4037</v>
      </c>
      <c r="AV1016" s="191">
        <v>4309</v>
      </c>
      <c r="AW1016" s="289">
        <v>4045</v>
      </c>
      <c r="AX1016" s="113">
        <f>AW1016-AX924</f>
        <v>4231</v>
      </c>
      <c r="AY1016" s="104">
        <f>AX1016</f>
        <v>4231</v>
      </c>
      <c r="AZ1016" s="113">
        <f>AY1016-AZ924</f>
        <v>4417</v>
      </c>
      <c r="BA1016" s="113">
        <f>AZ1016-BA924</f>
        <v>4603</v>
      </c>
      <c r="BB1016" s="113">
        <f>BA1016-BB924</f>
        <v>4789</v>
      </c>
      <c r="BC1016" s="113">
        <f>BB1016-BC924</f>
        <v>4975</v>
      </c>
      <c r="BD1016" s="104">
        <f>BC1016</f>
        <v>4975</v>
      </c>
      <c r="BE1016" s="104">
        <f>BD1016-BE924</f>
        <v>5719</v>
      </c>
      <c r="BF1016" s="104">
        <f>BE1016-BF924</f>
        <v>6463</v>
      </c>
      <c r="BG1016" s="104">
        <f>BF1016-BG924</f>
        <v>7207</v>
      </c>
      <c r="BH1016" s="484"/>
    </row>
    <row r="1017" spans="1:60" s="49" customFormat="1" hidden="1" outlineLevel="1" x14ac:dyDescent="0.25">
      <c r="A1017" s="96" t="s">
        <v>334</v>
      </c>
      <c r="B1017" s="209"/>
      <c r="C1017" s="39">
        <v>32475</v>
      </c>
      <c r="D1017" s="39">
        <v>32875</v>
      </c>
      <c r="E1017" s="39">
        <v>35515</v>
      </c>
      <c r="F1017" s="39">
        <v>38582</v>
      </c>
      <c r="G1017" s="484">
        <v>39351</v>
      </c>
      <c r="H1017" s="484">
        <v>39520</v>
      </c>
      <c r="I1017" s="484">
        <v>39960</v>
      </c>
      <c r="J1017" s="484">
        <f>K1017</f>
        <v>41192</v>
      </c>
      <c r="K1017" s="39">
        <v>41192</v>
      </c>
      <c r="L1017" s="484">
        <v>41498</v>
      </c>
      <c r="M1017" s="484">
        <v>41759</v>
      </c>
      <c r="N1017" s="484">
        <v>41934</v>
      </c>
      <c r="O1017" s="484">
        <f>P1017</f>
        <v>42263</v>
      </c>
      <c r="P1017" s="39">
        <v>42263</v>
      </c>
      <c r="Q1017" s="484">
        <v>42324</v>
      </c>
      <c r="R1017" s="484">
        <v>41838</v>
      </c>
      <c r="S1017" s="484">
        <v>42210</v>
      </c>
      <c r="T1017" s="484">
        <f>U1017</f>
        <v>42745</v>
      </c>
      <c r="U1017" s="39">
        <v>42745</v>
      </c>
      <c r="V1017" s="484">
        <v>42937</v>
      </c>
      <c r="W1017" s="484">
        <v>43577</v>
      </c>
      <c r="X1017" s="484">
        <v>49526</v>
      </c>
      <c r="Y1017" s="484">
        <f>Z1017</f>
        <v>50270</v>
      </c>
      <c r="Z1017" s="39">
        <v>50270</v>
      </c>
      <c r="AA1017" s="113">
        <v>49912</v>
      </c>
      <c r="AB1017" s="191">
        <v>50785</v>
      </c>
      <c r="AC1017" s="484">
        <v>52934</v>
      </c>
      <c r="AD1017" s="484">
        <f>AE1017</f>
        <v>54043</v>
      </c>
      <c r="AE1017" s="39">
        <v>54043</v>
      </c>
      <c r="AF1017" s="113">
        <v>54617</v>
      </c>
      <c r="AG1017" s="191">
        <v>55317</v>
      </c>
      <c r="AH1017" s="484">
        <v>55284</v>
      </c>
      <c r="AI1017" s="484">
        <f>AJ1017</f>
        <v>55238</v>
      </c>
      <c r="AJ1017" s="39">
        <v>55238</v>
      </c>
      <c r="AK1017" s="113">
        <v>55385</v>
      </c>
      <c r="AL1017" s="191">
        <v>57991</v>
      </c>
      <c r="AM1017" s="484">
        <v>57457</v>
      </c>
      <c r="AN1017" s="484">
        <f>AO1017</f>
        <v>58589</v>
      </c>
      <c r="AO1017" s="39">
        <v>58589</v>
      </c>
      <c r="AP1017" s="113">
        <v>59910</v>
      </c>
      <c r="AQ1017" s="191">
        <v>60929</v>
      </c>
      <c r="AR1017" s="484">
        <v>61130</v>
      </c>
      <c r="AS1017" s="484">
        <f>AT1017</f>
        <v>62111</v>
      </c>
      <c r="AT1017" s="39">
        <v>62111</v>
      </c>
      <c r="AU1017" s="113">
        <v>63017</v>
      </c>
      <c r="AV1017" s="191">
        <v>63037</v>
      </c>
      <c r="AW1017" s="289">
        <v>64023</v>
      </c>
      <c r="AX1017" s="113"/>
      <c r="AY1017" s="104"/>
      <c r="AZ1017" s="113"/>
      <c r="BA1017" s="113"/>
      <c r="BB1017" s="113"/>
      <c r="BC1017" s="113"/>
      <c r="BD1017" s="104"/>
      <c r="BE1017" s="104"/>
      <c r="BF1017" s="104"/>
      <c r="BG1017" s="104"/>
      <c r="BH1017" s="484"/>
    </row>
    <row r="1018" spans="1:60" s="49" customFormat="1" hidden="1" outlineLevel="1" x14ac:dyDescent="0.25">
      <c r="A1018" s="363" t="s">
        <v>335</v>
      </c>
      <c r="B1018" s="678"/>
      <c r="C1018" s="219">
        <v>-17395</v>
      </c>
      <c r="D1018" s="219">
        <v>-18373</v>
      </c>
      <c r="E1018" s="219">
        <v>-19572</v>
      </c>
      <c r="F1018" s="219">
        <v>-20687</v>
      </c>
      <c r="G1018" s="220">
        <v>-21186</v>
      </c>
      <c r="H1018" s="220">
        <v>-21481</v>
      </c>
      <c r="I1018" s="220">
        <v>-21981</v>
      </c>
      <c r="J1018" s="220">
        <f>K1018</f>
        <v>-22459</v>
      </c>
      <c r="K1018" s="219">
        <v>-22459</v>
      </c>
      <c r="L1018" s="220">
        <v>-22874</v>
      </c>
      <c r="M1018" s="220">
        <v>-23294</v>
      </c>
      <c r="N1018" s="220">
        <v>-23615</v>
      </c>
      <c r="O1018" s="220">
        <f>P1018</f>
        <v>-23722</v>
      </c>
      <c r="P1018" s="219">
        <v>-23722</v>
      </c>
      <c r="Q1018" s="220">
        <v>-24045</v>
      </c>
      <c r="R1018" s="220">
        <v>-24016</v>
      </c>
      <c r="S1018" s="220">
        <v>-24473</v>
      </c>
      <c r="T1018" s="220">
        <f>U1018</f>
        <v>-24844</v>
      </c>
      <c r="U1018" s="219">
        <v>-24844</v>
      </c>
      <c r="V1018" s="220">
        <v>-25179</v>
      </c>
      <c r="W1018" s="220">
        <v>-25857</v>
      </c>
      <c r="X1018" s="220">
        <v>-26275</v>
      </c>
      <c r="Y1018" s="220">
        <f>Z1018</f>
        <v>-26849</v>
      </c>
      <c r="Z1018" s="219">
        <v>-26849</v>
      </c>
      <c r="AA1018" s="215">
        <v>-26996</v>
      </c>
      <c r="AB1018" s="221">
        <v>-27646</v>
      </c>
      <c r="AC1018" s="220">
        <v>-28335</v>
      </c>
      <c r="AD1018" s="220">
        <f>AE1018</f>
        <v>-29037</v>
      </c>
      <c r="AE1018" s="219">
        <v>-29037</v>
      </c>
      <c r="AF1018" s="215">
        <v>-29647</v>
      </c>
      <c r="AG1018" s="221">
        <v>-30435</v>
      </c>
      <c r="AH1018" s="220">
        <v>-30611</v>
      </c>
      <c r="AI1018" s="220">
        <f>AJ1018</f>
        <v>-30764</v>
      </c>
      <c r="AJ1018" s="219">
        <v>-30764</v>
      </c>
      <c r="AK1018" s="215">
        <v>-31069</v>
      </c>
      <c r="AL1018" s="221">
        <v>-33132</v>
      </c>
      <c r="AM1018" s="220">
        <v>-32088</v>
      </c>
      <c r="AN1018" s="220">
        <f>AO1018</f>
        <v>-32415</v>
      </c>
      <c r="AO1018" s="219">
        <v>-32415</v>
      </c>
      <c r="AP1018" s="215">
        <v>-33057</v>
      </c>
      <c r="AQ1018" s="221">
        <v>-33713</v>
      </c>
      <c r="AR1018" s="220">
        <v>-34639</v>
      </c>
      <c r="AS1018" s="220">
        <f>AT1018</f>
        <v>-35517</v>
      </c>
      <c r="AT1018" s="219">
        <v>-35517</v>
      </c>
      <c r="AU1018" s="215">
        <v>-36380</v>
      </c>
      <c r="AV1018" s="221">
        <v>-36866</v>
      </c>
      <c r="AW1018" s="950">
        <v>-37579</v>
      </c>
      <c r="AX1018" s="215"/>
      <c r="AY1018" s="230"/>
      <c r="AZ1018" s="215"/>
      <c r="BA1018" s="215"/>
      <c r="BB1018" s="215"/>
      <c r="BC1018" s="215"/>
      <c r="BD1018" s="230"/>
      <c r="BE1018" s="230"/>
      <c r="BF1018" s="230"/>
      <c r="BG1018" s="230"/>
      <c r="BH1018" s="484"/>
    </row>
    <row r="1019" spans="1:60" s="49" customFormat="1" collapsed="1" x14ac:dyDescent="0.25">
      <c r="A1019" s="483" t="s">
        <v>336</v>
      </c>
      <c r="B1019" s="209"/>
      <c r="C1019" s="39">
        <f t="shared" ref="C1019:AR1019" si="1113">SUM(C1017:C1018)</f>
        <v>15080</v>
      </c>
      <c r="D1019" s="39">
        <f t="shared" si="1113"/>
        <v>14502</v>
      </c>
      <c r="E1019" s="39">
        <f t="shared" si="1113"/>
        <v>15943</v>
      </c>
      <c r="F1019" s="39">
        <f t="shared" si="1113"/>
        <v>17895</v>
      </c>
      <c r="G1019" s="484">
        <f t="shared" si="1113"/>
        <v>18165</v>
      </c>
      <c r="H1019" s="484">
        <f t="shared" si="1113"/>
        <v>18039</v>
      </c>
      <c r="I1019" s="484">
        <f t="shared" si="1113"/>
        <v>17979</v>
      </c>
      <c r="J1019" s="484">
        <f t="shared" si="1113"/>
        <v>18733</v>
      </c>
      <c r="K1019" s="39">
        <f t="shared" si="1113"/>
        <v>18733</v>
      </c>
      <c r="L1019" s="484">
        <f t="shared" si="1113"/>
        <v>18624</v>
      </c>
      <c r="M1019" s="484">
        <f t="shared" si="1113"/>
        <v>18465</v>
      </c>
      <c r="N1019" s="484">
        <f t="shared" si="1113"/>
        <v>18319</v>
      </c>
      <c r="O1019" s="484">
        <f t="shared" si="1113"/>
        <v>18541</v>
      </c>
      <c r="P1019" s="39">
        <f t="shared" si="1113"/>
        <v>18541</v>
      </c>
      <c r="Q1019" s="484">
        <f t="shared" si="1113"/>
        <v>18279</v>
      </c>
      <c r="R1019" s="484">
        <f t="shared" si="1113"/>
        <v>17822</v>
      </c>
      <c r="S1019" s="484">
        <f t="shared" si="1113"/>
        <v>17737</v>
      </c>
      <c r="T1019" s="484">
        <f t="shared" si="1113"/>
        <v>17901</v>
      </c>
      <c r="U1019" s="39">
        <f t="shared" si="1113"/>
        <v>17901</v>
      </c>
      <c r="V1019" s="484">
        <f t="shared" si="1113"/>
        <v>17758</v>
      </c>
      <c r="W1019" s="484">
        <f t="shared" si="1113"/>
        <v>17720</v>
      </c>
      <c r="X1019" s="484">
        <f t="shared" si="1113"/>
        <v>23251</v>
      </c>
      <c r="Y1019" s="484">
        <f t="shared" si="1113"/>
        <v>23421</v>
      </c>
      <c r="Z1019" s="39">
        <f t="shared" si="1113"/>
        <v>23421</v>
      </c>
      <c r="AA1019" s="113">
        <f t="shared" si="1113"/>
        <v>22916</v>
      </c>
      <c r="AB1019" s="191">
        <f t="shared" si="1113"/>
        <v>23139</v>
      </c>
      <c r="AC1019" s="484">
        <f t="shared" si="1113"/>
        <v>24599</v>
      </c>
      <c r="AD1019" s="484">
        <f t="shared" si="1113"/>
        <v>25006</v>
      </c>
      <c r="AE1019" s="39">
        <f t="shared" si="1113"/>
        <v>25006</v>
      </c>
      <c r="AF1019" s="113">
        <f t="shared" si="1113"/>
        <v>24970</v>
      </c>
      <c r="AG1019" s="191">
        <f t="shared" si="1113"/>
        <v>24882</v>
      </c>
      <c r="AH1019" s="484">
        <f t="shared" si="1113"/>
        <v>24673</v>
      </c>
      <c r="AI1019" s="484">
        <f t="shared" si="1113"/>
        <v>24474</v>
      </c>
      <c r="AJ1019" s="39">
        <f t="shared" si="1113"/>
        <v>24474</v>
      </c>
      <c r="AK1019" s="113">
        <f t="shared" si="1113"/>
        <v>24316</v>
      </c>
      <c r="AL1019" s="191">
        <f t="shared" si="1113"/>
        <v>24859</v>
      </c>
      <c r="AM1019" s="484">
        <f t="shared" si="1113"/>
        <v>25369</v>
      </c>
      <c r="AN1019" s="484">
        <f t="shared" si="1113"/>
        <v>26174</v>
      </c>
      <c r="AO1019" s="39">
        <f t="shared" si="1113"/>
        <v>26174</v>
      </c>
      <c r="AP1019" s="113">
        <f t="shared" si="1113"/>
        <v>26853</v>
      </c>
      <c r="AQ1019" s="191">
        <f t="shared" si="1113"/>
        <v>27216</v>
      </c>
      <c r="AR1019" s="484">
        <f t="shared" si="1113"/>
        <v>26491</v>
      </c>
      <c r="AS1019" s="484">
        <f>SUM(AS1017:AS1018)</f>
        <v>26594</v>
      </c>
      <c r="AT1019" s="39">
        <f>SUM(AT1017:AT1018)</f>
        <v>26594</v>
      </c>
      <c r="AU1019" s="113">
        <f>SUM(AU1017:AU1018)</f>
        <v>26637</v>
      </c>
      <c r="AV1019" s="191">
        <f>SUM(AV1017:AV1018)</f>
        <v>26171</v>
      </c>
      <c r="AW1019" s="289">
        <f>SUM(AW1017:AW1018)</f>
        <v>26444</v>
      </c>
      <c r="AX1019" s="113"/>
      <c r="AY1019" s="104"/>
      <c r="AZ1019" s="113"/>
      <c r="BA1019" s="113"/>
      <c r="BB1019" s="113"/>
      <c r="BC1019" s="113"/>
      <c r="BD1019" s="104"/>
      <c r="BE1019" s="104"/>
      <c r="BF1019" s="104"/>
      <c r="BG1019" s="104"/>
      <c r="BH1019" s="484"/>
    </row>
    <row r="1020" spans="1:60" s="49" customFormat="1" hidden="1" outlineLevel="1" x14ac:dyDescent="0.25">
      <c r="A1020" s="96" t="s">
        <v>337</v>
      </c>
      <c r="B1020" s="209"/>
      <c r="C1020" s="39">
        <v>1350</v>
      </c>
      <c r="D1020" s="39">
        <v>2180</v>
      </c>
      <c r="E1020" s="39">
        <v>2625</v>
      </c>
      <c r="F1020" s="39">
        <v>2453</v>
      </c>
      <c r="G1020" s="484">
        <v>2336</v>
      </c>
      <c r="H1020" s="484">
        <v>2445</v>
      </c>
      <c r="I1020" s="484">
        <v>2729</v>
      </c>
      <c r="J1020" s="484">
        <f>K1020</f>
        <v>2476</v>
      </c>
      <c r="K1020" s="39">
        <v>2476</v>
      </c>
      <c r="L1020" s="484">
        <v>2760</v>
      </c>
      <c r="M1020" s="484">
        <v>3030</v>
      </c>
      <c r="N1020" s="484">
        <v>3441</v>
      </c>
      <c r="O1020" s="484">
        <f>P1020</f>
        <v>3553</v>
      </c>
      <c r="P1020" s="39">
        <v>3553</v>
      </c>
      <c r="Q1020" s="484">
        <v>4148</v>
      </c>
      <c r="R1020" s="484">
        <v>4691</v>
      </c>
      <c r="S1020" s="484">
        <v>5449</v>
      </c>
      <c r="T1020" s="484">
        <f>U1020</f>
        <v>6028</v>
      </c>
      <c r="U1020" s="39">
        <v>6028</v>
      </c>
      <c r="V1020" s="484">
        <v>6485</v>
      </c>
      <c r="W1020" s="484">
        <v>7454</v>
      </c>
      <c r="X1020" s="484">
        <v>2371</v>
      </c>
      <c r="Y1020" s="484">
        <f>Z1020</f>
        <v>2684</v>
      </c>
      <c r="Z1020" s="39">
        <v>2684</v>
      </c>
      <c r="AA1020" s="113">
        <v>2902</v>
      </c>
      <c r="AB1020" s="191">
        <v>3023</v>
      </c>
      <c r="AC1020" s="484">
        <v>1889</v>
      </c>
      <c r="AD1020" s="484">
        <f>AE1020</f>
        <v>2145</v>
      </c>
      <c r="AE1020" s="39">
        <v>2145</v>
      </c>
      <c r="AF1020" s="113">
        <v>2355</v>
      </c>
      <c r="AG1020" s="191">
        <v>3056</v>
      </c>
      <c r="AH1020" s="484">
        <v>3446</v>
      </c>
      <c r="AI1020" s="484">
        <f>AJ1020</f>
        <v>3942</v>
      </c>
      <c r="AJ1020" s="39">
        <v>3942</v>
      </c>
      <c r="AK1020" s="113">
        <v>4336</v>
      </c>
      <c r="AL1020" s="191">
        <v>4984</v>
      </c>
      <c r="AM1020" s="484">
        <v>4853</v>
      </c>
      <c r="AN1020" s="484">
        <f>AO1020</f>
        <v>4264</v>
      </c>
      <c r="AO1020" s="39">
        <v>4264</v>
      </c>
      <c r="AP1020" s="113">
        <v>4023</v>
      </c>
      <c r="AQ1020" s="191">
        <v>3916</v>
      </c>
      <c r="AR1020" s="484">
        <v>4380</v>
      </c>
      <c r="AS1020" s="484">
        <f>AT1020</f>
        <v>4449</v>
      </c>
      <c r="AT1020" s="39">
        <v>4449</v>
      </c>
      <c r="AU1020" s="113">
        <v>4547</v>
      </c>
      <c r="AV1020" s="191">
        <v>4891</v>
      </c>
      <c r="AW1020" s="289">
        <v>4856</v>
      </c>
      <c r="AX1020" s="113"/>
      <c r="AY1020" s="104"/>
      <c r="AZ1020" s="113"/>
      <c r="BA1020" s="113"/>
      <c r="BB1020" s="113"/>
      <c r="BC1020" s="113"/>
      <c r="BD1020" s="104"/>
      <c r="BE1020" s="104"/>
      <c r="BF1020" s="104"/>
      <c r="BG1020" s="104"/>
      <c r="BH1020" s="484"/>
    </row>
    <row r="1021" spans="1:60" s="49" customFormat="1" hidden="1" outlineLevel="1" x14ac:dyDescent="0.25">
      <c r="A1021" s="363" t="s">
        <v>338</v>
      </c>
      <c r="B1021" s="678"/>
      <c r="C1021" s="219">
        <v>1167</v>
      </c>
      <c r="D1021" s="219">
        <v>1124</v>
      </c>
      <c r="E1021" s="219">
        <v>1127</v>
      </c>
      <c r="F1021" s="219">
        <v>1164</v>
      </c>
      <c r="G1021" s="220">
        <v>1170</v>
      </c>
      <c r="H1021" s="220">
        <v>1166</v>
      </c>
      <c r="I1021" s="220">
        <v>1167</v>
      </c>
      <c r="J1021" s="220">
        <f>K1021</f>
        <v>1171</v>
      </c>
      <c r="K1021" s="219">
        <v>1171</v>
      </c>
      <c r="L1021" s="220">
        <v>1183</v>
      </c>
      <c r="M1021" s="220">
        <v>1186</v>
      </c>
      <c r="N1021" s="220">
        <v>1253</v>
      </c>
      <c r="O1021" s="220">
        <f>P1021</f>
        <v>1238</v>
      </c>
      <c r="P1021" s="219">
        <v>1238</v>
      </c>
      <c r="Q1021" s="220">
        <v>1233</v>
      </c>
      <c r="R1021" s="220">
        <v>1249</v>
      </c>
      <c r="S1021" s="220">
        <v>1250</v>
      </c>
      <c r="T1021" s="220">
        <f>U1021</f>
        <v>1250</v>
      </c>
      <c r="U1021" s="219">
        <v>1250</v>
      </c>
      <c r="V1021" s="220">
        <v>1244</v>
      </c>
      <c r="W1021" s="220">
        <v>1247</v>
      </c>
      <c r="X1021" s="220">
        <v>1243</v>
      </c>
      <c r="Y1021" s="220">
        <f>Z1021</f>
        <v>1244</v>
      </c>
      <c r="Z1021" s="219">
        <v>1244</v>
      </c>
      <c r="AA1021" s="215">
        <v>1236</v>
      </c>
      <c r="AB1021" s="221">
        <v>1237</v>
      </c>
      <c r="AC1021" s="220">
        <v>1245</v>
      </c>
      <c r="AD1021" s="220">
        <f>AE1021</f>
        <v>1255</v>
      </c>
      <c r="AE1021" s="219">
        <v>1255</v>
      </c>
      <c r="AF1021" s="215">
        <v>1259</v>
      </c>
      <c r="AG1021" s="221">
        <v>1262</v>
      </c>
      <c r="AH1021" s="220">
        <v>1254</v>
      </c>
      <c r="AI1021" s="220">
        <f>AJ1021</f>
        <v>1124</v>
      </c>
      <c r="AJ1021" s="219">
        <v>1124</v>
      </c>
      <c r="AK1021" s="215">
        <v>1145</v>
      </c>
      <c r="AL1021" s="221">
        <v>1174</v>
      </c>
      <c r="AM1021" s="220">
        <v>1170</v>
      </c>
      <c r="AN1021" s="220">
        <f>AO1021</f>
        <v>1165</v>
      </c>
      <c r="AO1021" s="219">
        <v>1165</v>
      </c>
      <c r="AP1021" s="215">
        <v>1019</v>
      </c>
      <c r="AQ1021" s="221">
        <v>1019</v>
      </c>
      <c r="AR1021" s="220">
        <v>1020</v>
      </c>
      <c r="AS1021" s="220">
        <f>AT1021</f>
        <v>1035</v>
      </c>
      <c r="AT1021" s="219">
        <v>1035</v>
      </c>
      <c r="AU1021" s="215">
        <v>1079</v>
      </c>
      <c r="AV1021" s="221">
        <v>1075</v>
      </c>
      <c r="AW1021" s="950">
        <v>1077</v>
      </c>
      <c r="AX1021" s="215"/>
      <c r="AY1021" s="230"/>
      <c r="AZ1021" s="215"/>
      <c r="BA1021" s="215"/>
      <c r="BB1021" s="215"/>
      <c r="BC1021" s="215"/>
      <c r="BD1021" s="230"/>
      <c r="BE1021" s="230"/>
      <c r="BF1021" s="230"/>
      <c r="BG1021" s="230"/>
      <c r="BH1021" s="484"/>
    </row>
    <row r="1022" spans="1:60" s="224" customFormat="1" collapsed="1" x14ac:dyDescent="0.25">
      <c r="A1022" s="483" t="s">
        <v>339</v>
      </c>
      <c r="B1022" s="234"/>
      <c r="C1022" s="225">
        <f t="shared" ref="C1022:AR1022" si="1114">SUM(C1019:C1021)</f>
        <v>17597</v>
      </c>
      <c r="D1022" s="225">
        <f t="shared" si="1114"/>
        <v>17806</v>
      </c>
      <c r="E1022" s="225">
        <f t="shared" si="1114"/>
        <v>19695</v>
      </c>
      <c r="F1022" s="225">
        <f t="shared" si="1114"/>
        <v>21512</v>
      </c>
      <c r="G1022" s="483">
        <f t="shared" si="1114"/>
        <v>21671</v>
      </c>
      <c r="H1022" s="483">
        <f t="shared" si="1114"/>
        <v>21650</v>
      </c>
      <c r="I1022" s="483">
        <f t="shared" si="1114"/>
        <v>21875</v>
      </c>
      <c r="J1022" s="483">
        <f t="shared" si="1114"/>
        <v>22380</v>
      </c>
      <c r="K1022" s="225">
        <f t="shared" si="1114"/>
        <v>22380</v>
      </c>
      <c r="L1022" s="483">
        <f t="shared" si="1114"/>
        <v>22567</v>
      </c>
      <c r="M1022" s="483">
        <f t="shared" si="1114"/>
        <v>22681</v>
      </c>
      <c r="N1022" s="483">
        <f t="shared" si="1114"/>
        <v>23013</v>
      </c>
      <c r="O1022" s="483">
        <f t="shared" si="1114"/>
        <v>23332</v>
      </c>
      <c r="P1022" s="225">
        <f t="shared" si="1114"/>
        <v>23332</v>
      </c>
      <c r="Q1022" s="483">
        <f t="shared" si="1114"/>
        <v>23660</v>
      </c>
      <c r="R1022" s="483">
        <f t="shared" si="1114"/>
        <v>23762</v>
      </c>
      <c r="S1022" s="483">
        <f t="shared" si="1114"/>
        <v>24436</v>
      </c>
      <c r="T1022" s="483">
        <f t="shared" si="1114"/>
        <v>25179</v>
      </c>
      <c r="U1022" s="225">
        <f t="shared" si="1114"/>
        <v>25179</v>
      </c>
      <c r="V1022" s="483">
        <f t="shared" si="1114"/>
        <v>25487</v>
      </c>
      <c r="W1022" s="483">
        <f t="shared" si="1114"/>
        <v>26421</v>
      </c>
      <c r="X1022" s="483">
        <f t="shared" si="1114"/>
        <v>26865</v>
      </c>
      <c r="Y1022" s="483">
        <f t="shared" si="1114"/>
        <v>27349</v>
      </c>
      <c r="Z1022" s="225">
        <f t="shared" si="1114"/>
        <v>27349</v>
      </c>
      <c r="AA1022" s="226">
        <f t="shared" si="1114"/>
        <v>27054</v>
      </c>
      <c r="AB1022" s="227">
        <f t="shared" si="1114"/>
        <v>27399</v>
      </c>
      <c r="AC1022" s="483">
        <f t="shared" si="1114"/>
        <v>27733</v>
      </c>
      <c r="AD1022" s="483">
        <f t="shared" si="1114"/>
        <v>28406</v>
      </c>
      <c r="AE1022" s="225">
        <f t="shared" si="1114"/>
        <v>28406</v>
      </c>
      <c r="AF1022" s="226">
        <f t="shared" si="1114"/>
        <v>28584</v>
      </c>
      <c r="AG1022" s="227">
        <f t="shared" si="1114"/>
        <v>29200</v>
      </c>
      <c r="AH1022" s="483">
        <f t="shared" si="1114"/>
        <v>29373</v>
      </c>
      <c r="AI1022" s="483">
        <f t="shared" si="1114"/>
        <v>29540</v>
      </c>
      <c r="AJ1022" s="225">
        <f t="shared" si="1114"/>
        <v>29540</v>
      </c>
      <c r="AK1022" s="226">
        <f t="shared" si="1114"/>
        <v>29797</v>
      </c>
      <c r="AL1022" s="227">
        <f t="shared" si="1114"/>
        <v>31017</v>
      </c>
      <c r="AM1022" s="483">
        <f t="shared" si="1114"/>
        <v>31392</v>
      </c>
      <c r="AN1022" s="483">
        <f t="shared" si="1114"/>
        <v>31603</v>
      </c>
      <c r="AO1022" s="225">
        <f t="shared" si="1114"/>
        <v>31603</v>
      </c>
      <c r="AP1022" s="226">
        <f t="shared" si="1114"/>
        <v>31895</v>
      </c>
      <c r="AQ1022" s="227">
        <f t="shared" si="1114"/>
        <v>32151</v>
      </c>
      <c r="AR1022" s="483">
        <f t="shared" si="1114"/>
        <v>31891</v>
      </c>
      <c r="AS1022" s="483">
        <f>SUM(AS1019:AS1021)</f>
        <v>32078</v>
      </c>
      <c r="AT1022" s="225">
        <f>SUM(AT1019:AT1021)</f>
        <v>32078</v>
      </c>
      <c r="AU1022" s="226">
        <f>SUM(AU1019:AU1021)</f>
        <v>32263</v>
      </c>
      <c r="AV1022" s="227">
        <f>SUM(AV1019:AV1021)</f>
        <v>32137</v>
      </c>
      <c r="AW1022" s="885">
        <f>SUM(AW1019:AW1021)</f>
        <v>32377</v>
      </c>
      <c r="AX1022" s="226">
        <f>AW1022+AX981+AX982-AX942-AX943</f>
        <v>32207</v>
      </c>
      <c r="AY1022" s="228">
        <f t="shared" ref="AY1022:AY1027" si="1115">AX1022</f>
        <v>32207</v>
      </c>
      <c r="AZ1022" s="226">
        <f>AY1022+AZ981+AZ982-AZ942-AZ943</f>
        <v>32357</v>
      </c>
      <c r="BA1022" s="226">
        <f>AZ1022+BA981+BA982-BA942-BA943</f>
        <v>32507</v>
      </c>
      <c r="BB1022" s="226">
        <f>BA1022+BB981+BB982-BB942-BB943</f>
        <v>32657</v>
      </c>
      <c r="BC1022" s="226">
        <f>BB1022+BC981+BC982-BC942-BC943</f>
        <v>32807</v>
      </c>
      <c r="BD1022" s="228">
        <f t="shared" ref="BD1022:BD1027" si="1116">BC1022</f>
        <v>32807</v>
      </c>
      <c r="BE1022" s="228">
        <f>BD1022+BE981+BE982-BE942-BE943</f>
        <v>33505</v>
      </c>
      <c r="BF1022" s="228">
        <f>BE1022+BF981+BF982-BF942-BF943</f>
        <v>34203</v>
      </c>
      <c r="BG1022" s="228">
        <f>BF1022+BG981+BG982-BG942-BG943</f>
        <v>34901</v>
      </c>
      <c r="BH1022" s="483"/>
    </row>
    <row r="1023" spans="1:60" s="49" customFormat="1" x14ac:dyDescent="0.25">
      <c r="A1023" s="483" t="s">
        <v>340</v>
      </c>
      <c r="B1023" s="209"/>
      <c r="C1023" s="39">
        <v>2247</v>
      </c>
      <c r="D1023" s="39">
        <v>5081</v>
      </c>
      <c r="E1023" s="39">
        <v>5121</v>
      </c>
      <c r="F1023" s="39">
        <v>5015</v>
      </c>
      <c r="G1023" s="484">
        <v>7532</v>
      </c>
      <c r="H1023" s="484">
        <v>7493</v>
      </c>
      <c r="I1023" s="484">
        <v>7430</v>
      </c>
      <c r="J1023" s="484">
        <f>K1023</f>
        <v>7370</v>
      </c>
      <c r="K1023" s="39">
        <v>7370</v>
      </c>
      <c r="L1023" s="484">
        <v>7313</v>
      </c>
      <c r="M1023" s="484">
        <v>7262</v>
      </c>
      <c r="N1023" s="484">
        <v>7268</v>
      </c>
      <c r="O1023" s="484">
        <f>P1023</f>
        <v>7434</v>
      </c>
      <c r="P1023" s="39">
        <v>7434</v>
      </c>
      <c r="Q1023" s="484">
        <v>7369</v>
      </c>
      <c r="R1023" s="484">
        <v>7302</v>
      </c>
      <c r="S1023" s="484">
        <v>7237</v>
      </c>
      <c r="T1023" s="484">
        <f>U1023</f>
        <v>7172</v>
      </c>
      <c r="U1023" s="39">
        <v>7172</v>
      </c>
      <c r="V1023" s="484">
        <v>7104</v>
      </c>
      <c r="W1023" s="484">
        <v>7052</v>
      </c>
      <c r="X1023" s="484">
        <v>6995</v>
      </c>
      <c r="Y1023" s="484">
        <f>Z1023</f>
        <v>6949</v>
      </c>
      <c r="Z1023" s="39">
        <v>6949</v>
      </c>
      <c r="AA1023" s="113">
        <v>6892</v>
      </c>
      <c r="AB1023" s="191">
        <v>6845</v>
      </c>
      <c r="AC1023" s="484">
        <v>6797</v>
      </c>
      <c r="AD1023" s="484">
        <f>AE1023</f>
        <v>6995</v>
      </c>
      <c r="AE1023" s="39">
        <v>6995</v>
      </c>
      <c r="AF1023" s="113">
        <v>6930</v>
      </c>
      <c r="AG1023" s="191">
        <v>6962</v>
      </c>
      <c r="AH1023" s="484">
        <v>6892</v>
      </c>
      <c r="AI1023" s="484">
        <f>AJ1023</f>
        <v>6812</v>
      </c>
      <c r="AJ1023" s="39">
        <v>6812</v>
      </c>
      <c r="AK1023" s="113">
        <v>6747</v>
      </c>
      <c r="AL1023" s="191">
        <v>26985</v>
      </c>
      <c r="AM1023" s="484">
        <v>25114</v>
      </c>
      <c r="AN1023" s="484">
        <f>AO1023</f>
        <v>23215</v>
      </c>
      <c r="AO1023" s="39">
        <v>23215</v>
      </c>
      <c r="AP1023" s="113">
        <v>22669</v>
      </c>
      <c r="AQ1023" s="191">
        <v>22037</v>
      </c>
      <c r="AR1023" s="484">
        <v>19589</v>
      </c>
      <c r="AS1023" s="484">
        <f>AT1023</f>
        <v>19173</v>
      </c>
      <c r="AT1023" s="39">
        <v>19173</v>
      </c>
      <c r="AU1023" s="113">
        <v>18642</v>
      </c>
      <c r="AV1023" s="191">
        <v>18123</v>
      </c>
      <c r="AW1023" s="289">
        <v>17601</v>
      </c>
      <c r="AX1023" s="113">
        <f>+AW1023</f>
        <v>17601</v>
      </c>
      <c r="AY1023" s="104">
        <f t="shared" si="1115"/>
        <v>17601</v>
      </c>
      <c r="AZ1023" s="113">
        <f>AY1023</f>
        <v>17601</v>
      </c>
      <c r="BA1023" s="113">
        <f t="shared" ref="BA1023:BC1023" si="1117">AZ1023</f>
        <v>17601</v>
      </c>
      <c r="BB1023" s="113">
        <f t="shared" si="1117"/>
        <v>17601</v>
      </c>
      <c r="BC1023" s="113">
        <f t="shared" si="1117"/>
        <v>17601</v>
      </c>
      <c r="BD1023" s="104">
        <f t="shared" si="1116"/>
        <v>17601</v>
      </c>
      <c r="BE1023" s="104">
        <f t="shared" ref="BE1023:BG1027" si="1118">BD1023</f>
        <v>17601</v>
      </c>
      <c r="BF1023" s="104">
        <f t="shared" si="1118"/>
        <v>17601</v>
      </c>
      <c r="BG1023" s="104">
        <f t="shared" si="1118"/>
        <v>17601</v>
      </c>
      <c r="BH1023" s="484"/>
    </row>
    <row r="1024" spans="1:60" s="49" customFormat="1" x14ac:dyDescent="0.25">
      <c r="A1024" s="483" t="s">
        <v>341</v>
      </c>
      <c r="B1024" s="209"/>
      <c r="C1024" s="39">
        <v>21683</v>
      </c>
      <c r="D1024" s="39">
        <v>24100</v>
      </c>
      <c r="E1024" s="39">
        <v>24145</v>
      </c>
      <c r="F1024" s="39">
        <v>25110</v>
      </c>
      <c r="G1024" s="484">
        <v>27433</v>
      </c>
      <c r="H1024" s="484">
        <v>27428</v>
      </c>
      <c r="I1024" s="484">
        <v>27342</v>
      </c>
      <c r="J1024" s="484">
        <f>K1024</f>
        <v>27324</v>
      </c>
      <c r="K1024" s="39">
        <v>27324</v>
      </c>
      <c r="L1024" s="484">
        <v>27324</v>
      </c>
      <c r="M1024" s="484">
        <v>27350</v>
      </c>
      <c r="N1024" s="484">
        <v>27924</v>
      </c>
      <c r="O1024" s="484">
        <f>P1024</f>
        <v>27881</v>
      </c>
      <c r="P1024" s="39">
        <v>27881</v>
      </c>
      <c r="Q1024" s="484">
        <v>27849</v>
      </c>
      <c r="R1024" s="484">
        <v>27855</v>
      </c>
      <c r="S1024" s="484">
        <v>27848</v>
      </c>
      <c r="T1024" s="484">
        <f>U1024</f>
        <v>27826</v>
      </c>
      <c r="U1024" s="39">
        <v>27826</v>
      </c>
      <c r="V1024" s="484">
        <v>27818</v>
      </c>
      <c r="W1024" s="484">
        <v>27817</v>
      </c>
      <c r="X1024" s="484">
        <v>27802</v>
      </c>
      <c r="Y1024" s="484">
        <f>Z1024</f>
        <v>27810</v>
      </c>
      <c r="Z1024" s="39">
        <v>27810</v>
      </c>
      <c r="AA1024" s="113">
        <v>27793</v>
      </c>
      <c r="AB1024" s="191">
        <v>27831</v>
      </c>
      <c r="AC1024" s="484">
        <v>27835</v>
      </c>
      <c r="AD1024" s="484">
        <f>AE1024</f>
        <v>31426</v>
      </c>
      <c r="AE1024" s="39">
        <v>31426</v>
      </c>
      <c r="AF1024" s="113">
        <v>31430</v>
      </c>
      <c r="AG1024" s="191">
        <v>31350</v>
      </c>
      <c r="AH1024" s="484">
        <v>31306</v>
      </c>
      <c r="AI1024" s="484">
        <f>AJ1024</f>
        <v>31269</v>
      </c>
      <c r="AJ1024" s="39">
        <v>31269</v>
      </c>
      <c r="AK1024" s="113">
        <v>31289</v>
      </c>
      <c r="AL1024" s="191">
        <v>75057</v>
      </c>
      <c r="AM1024" s="484">
        <v>77801</v>
      </c>
      <c r="AN1024" s="484">
        <f>AO1024</f>
        <v>80293</v>
      </c>
      <c r="AO1024" s="39">
        <v>80293</v>
      </c>
      <c r="AP1024" s="113">
        <v>80314</v>
      </c>
      <c r="AQ1024" s="191">
        <v>80320</v>
      </c>
      <c r="AR1024" s="484">
        <v>77233</v>
      </c>
      <c r="AS1024" s="484">
        <f>AT1024</f>
        <v>77689</v>
      </c>
      <c r="AT1024" s="39">
        <v>77689</v>
      </c>
      <c r="AU1024" s="113">
        <v>77800</v>
      </c>
      <c r="AV1024" s="191">
        <v>77861</v>
      </c>
      <c r="AW1024" s="289">
        <v>77835</v>
      </c>
      <c r="AX1024" s="113">
        <f t="shared" ref="AX1024:AX1026" si="1119">AW1024</f>
        <v>77835</v>
      </c>
      <c r="AY1024" s="104">
        <f t="shared" si="1115"/>
        <v>77835</v>
      </c>
      <c r="AZ1024" s="113">
        <f t="shared" ref="AZ1024:BC1027" si="1120">AY1024</f>
        <v>77835</v>
      </c>
      <c r="BA1024" s="113">
        <f t="shared" si="1120"/>
        <v>77835</v>
      </c>
      <c r="BB1024" s="113">
        <f t="shared" si="1120"/>
        <v>77835</v>
      </c>
      <c r="BC1024" s="113">
        <f t="shared" si="1120"/>
        <v>77835</v>
      </c>
      <c r="BD1024" s="104">
        <f t="shared" si="1116"/>
        <v>77835</v>
      </c>
      <c r="BE1024" s="104">
        <f t="shared" si="1118"/>
        <v>77835</v>
      </c>
      <c r="BF1024" s="104">
        <f t="shared" si="1118"/>
        <v>77835</v>
      </c>
      <c r="BG1024" s="104">
        <f t="shared" si="1118"/>
        <v>77835</v>
      </c>
      <c r="BH1024" s="484"/>
    </row>
    <row r="1025" spans="1:60" s="49" customFormat="1" x14ac:dyDescent="0.25">
      <c r="A1025" s="226" t="s">
        <v>342</v>
      </c>
      <c r="B1025" s="209"/>
      <c r="C1025" s="104"/>
      <c r="D1025" s="104"/>
      <c r="E1025" s="104"/>
      <c r="F1025" s="104"/>
      <c r="G1025" s="113"/>
      <c r="H1025" s="113"/>
      <c r="I1025" s="113"/>
      <c r="J1025" s="113"/>
      <c r="K1025" s="104"/>
      <c r="L1025" s="113"/>
      <c r="M1025" s="113"/>
      <c r="N1025" s="113"/>
      <c r="O1025" s="113"/>
      <c r="P1025" s="104"/>
      <c r="Q1025" s="113"/>
      <c r="R1025" s="113"/>
      <c r="S1025" s="113"/>
      <c r="T1025" s="113"/>
      <c r="U1025" s="104"/>
      <c r="V1025" s="113"/>
      <c r="W1025" s="113"/>
      <c r="X1025" s="113"/>
      <c r="Y1025" s="113"/>
      <c r="Z1025" s="104"/>
      <c r="AA1025" s="113"/>
      <c r="AB1025" s="113"/>
      <c r="AC1025" s="113"/>
      <c r="AD1025" s="113">
        <f>AE1025</f>
        <v>21</v>
      </c>
      <c r="AE1025" s="104">
        <v>21</v>
      </c>
      <c r="AF1025" s="113">
        <v>5</v>
      </c>
      <c r="AG1025" s="113">
        <v>5</v>
      </c>
      <c r="AH1025" s="113">
        <v>4</v>
      </c>
      <c r="AI1025" s="113">
        <f>AJ1025</f>
        <v>4</v>
      </c>
      <c r="AJ1025" s="104">
        <v>4</v>
      </c>
      <c r="AK1025" s="113">
        <v>4</v>
      </c>
      <c r="AL1025" s="113"/>
      <c r="AM1025" s="113">
        <v>37</v>
      </c>
      <c r="AN1025" s="113">
        <f>AO1025</f>
        <v>11</v>
      </c>
      <c r="AO1025" s="104">
        <v>11</v>
      </c>
      <c r="AP1025" s="113">
        <v>40</v>
      </c>
      <c r="AQ1025" s="113">
        <v>38</v>
      </c>
      <c r="AR1025" s="113">
        <f>AQ1025</f>
        <v>38</v>
      </c>
      <c r="AS1025" s="113">
        <f>AT1025</f>
        <v>37</v>
      </c>
      <c r="AT1025" s="104">
        <v>37</v>
      </c>
      <c r="AU1025" s="484">
        <v>41</v>
      </c>
      <c r="AV1025" s="113">
        <v>41</v>
      </c>
      <c r="AW1025" s="699">
        <v>42</v>
      </c>
      <c r="AX1025" s="113">
        <f t="shared" si="1119"/>
        <v>42</v>
      </c>
      <c r="AY1025" s="104">
        <f t="shared" si="1115"/>
        <v>42</v>
      </c>
      <c r="AZ1025" s="113">
        <f t="shared" si="1120"/>
        <v>42</v>
      </c>
      <c r="BA1025" s="113">
        <f t="shared" si="1120"/>
        <v>42</v>
      </c>
      <c r="BB1025" s="113">
        <f t="shared" si="1120"/>
        <v>42</v>
      </c>
      <c r="BC1025" s="113">
        <f t="shared" si="1120"/>
        <v>42</v>
      </c>
      <c r="BD1025" s="104">
        <f t="shared" si="1116"/>
        <v>42</v>
      </c>
      <c r="BE1025" s="104">
        <f t="shared" si="1118"/>
        <v>42</v>
      </c>
      <c r="BF1025" s="104">
        <f t="shared" si="1118"/>
        <v>42</v>
      </c>
      <c r="BG1025" s="104">
        <f t="shared" si="1118"/>
        <v>42</v>
      </c>
      <c r="BH1025" s="484"/>
    </row>
    <row r="1026" spans="1:60" s="49" customFormat="1" x14ac:dyDescent="0.25">
      <c r="A1026" s="483" t="s">
        <v>343</v>
      </c>
      <c r="B1026" s="209"/>
      <c r="C1026" s="104"/>
      <c r="D1026" s="104"/>
      <c r="E1026" s="104"/>
      <c r="F1026" s="104"/>
      <c r="G1026" s="113"/>
      <c r="H1026" s="113"/>
      <c r="I1026" s="113"/>
      <c r="J1026" s="113"/>
      <c r="K1026" s="104"/>
      <c r="L1026" s="113"/>
      <c r="M1026" s="113"/>
      <c r="N1026" s="113"/>
      <c r="O1026" s="113"/>
      <c r="P1026" s="104"/>
      <c r="Q1026" s="113"/>
      <c r="R1026" s="113"/>
      <c r="S1026" s="113"/>
      <c r="T1026" s="113"/>
      <c r="U1026" s="104"/>
      <c r="V1026" s="113"/>
      <c r="W1026" s="113"/>
      <c r="X1026" s="113"/>
      <c r="Y1026" s="113"/>
      <c r="Z1026" s="104"/>
      <c r="AA1026" s="113"/>
      <c r="AB1026" s="113"/>
      <c r="AC1026" s="113"/>
      <c r="AD1026" s="113"/>
      <c r="AE1026" s="104"/>
      <c r="AF1026" s="113"/>
      <c r="AG1026" s="113"/>
      <c r="AH1026" s="113"/>
      <c r="AI1026" s="113"/>
      <c r="AJ1026" s="104"/>
      <c r="AK1026" s="113"/>
      <c r="AL1026" s="191">
        <v>13182</v>
      </c>
      <c r="AM1026" s="484">
        <v>12591</v>
      </c>
      <c r="AN1026" s="113"/>
      <c r="AO1026" s="104"/>
      <c r="AP1026" s="113"/>
      <c r="AQ1026" s="113"/>
      <c r="AR1026" s="113"/>
      <c r="AS1026" s="113"/>
      <c r="AT1026" s="104"/>
      <c r="AU1026" s="113"/>
      <c r="AV1026" s="113"/>
      <c r="AW1026" s="699"/>
      <c r="AX1026" s="113">
        <f t="shared" si="1119"/>
        <v>0</v>
      </c>
      <c r="AY1026" s="104">
        <f t="shared" si="1115"/>
        <v>0</v>
      </c>
      <c r="AZ1026" s="113">
        <f t="shared" si="1120"/>
        <v>0</v>
      </c>
      <c r="BA1026" s="113">
        <f t="shared" si="1120"/>
        <v>0</v>
      </c>
      <c r="BB1026" s="113">
        <f t="shared" si="1120"/>
        <v>0</v>
      </c>
      <c r="BC1026" s="113">
        <f t="shared" si="1120"/>
        <v>0</v>
      </c>
      <c r="BD1026" s="104">
        <f t="shared" si="1116"/>
        <v>0</v>
      </c>
      <c r="BE1026" s="104">
        <f t="shared" si="1118"/>
        <v>0</v>
      </c>
      <c r="BF1026" s="104">
        <f t="shared" si="1118"/>
        <v>0</v>
      </c>
      <c r="BG1026" s="104">
        <f t="shared" si="1118"/>
        <v>0</v>
      </c>
      <c r="BH1026" s="484"/>
    </row>
    <row r="1027" spans="1:60" s="49" customFormat="1" x14ac:dyDescent="0.25">
      <c r="A1027" s="483" t="s">
        <v>296</v>
      </c>
      <c r="B1027" s="209"/>
      <c r="C1027" s="39">
        <v>2022</v>
      </c>
      <c r="D1027" s="39">
        <v>2708</v>
      </c>
      <c r="E1027" s="39">
        <v>2614</v>
      </c>
      <c r="F1027" s="39">
        <v>2288</v>
      </c>
      <c r="G1027" s="484">
        <v>2251</v>
      </c>
      <c r="H1027" s="484">
        <v>2323</v>
      </c>
      <c r="I1027" s="484">
        <v>2244</v>
      </c>
      <c r="J1027" s="484">
        <f>K1027</f>
        <v>2426</v>
      </c>
      <c r="K1027" s="39">
        <v>2426</v>
      </c>
      <c r="L1027" s="484">
        <v>2423</v>
      </c>
      <c r="M1027" s="484">
        <v>2424</v>
      </c>
      <c r="N1027" s="484">
        <v>2430</v>
      </c>
      <c r="O1027" s="484">
        <f>P1027</f>
        <v>2304</v>
      </c>
      <c r="P1027" s="39">
        <v>2304</v>
      </c>
      <c r="Q1027" s="484">
        <v>2603</v>
      </c>
      <c r="R1027" s="484">
        <v>2783</v>
      </c>
      <c r="S1027" s="484">
        <v>2865</v>
      </c>
      <c r="T1027" s="484">
        <f>U1027</f>
        <v>2421</v>
      </c>
      <c r="U1027" s="39">
        <v>2421</v>
      </c>
      <c r="V1027" s="484">
        <v>2346</v>
      </c>
      <c r="W1027" s="484">
        <v>2244</v>
      </c>
      <c r="X1027" s="484">
        <v>2316</v>
      </c>
      <c r="Y1027" s="484">
        <f>Z1027</f>
        <v>2340</v>
      </c>
      <c r="Z1027" s="39">
        <v>2340</v>
      </c>
      <c r="AA1027" s="113">
        <v>2380</v>
      </c>
      <c r="AB1027" s="191">
        <v>2333</v>
      </c>
      <c r="AC1027" s="484">
        <v>2297</v>
      </c>
      <c r="AD1027" s="484">
        <f>AE1027</f>
        <v>2369</v>
      </c>
      <c r="AE1027" s="39">
        <f>2390-AE1025</f>
        <v>2369</v>
      </c>
      <c r="AF1027" s="113">
        <f>2373-AF1025</f>
        <v>2368</v>
      </c>
      <c r="AG1027" s="191">
        <f>2401-AG1025</f>
        <v>2396</v>
      </c>
      <c r="AH1027" s="484">
        <f>2653-AH1025</f>
        <v>2649</v>
      </c>
      <c r="AI1027" s="484">
        <f>AJ1027</f>
        <v>3361</v>
      </c>
      <c r="AJ1027" s="39">
        <f>3365-AJ1025</f>
        <v>3361</v>
      </c>
      <c r="AK1027" s="113">
        <f>3424-AK1025</f>
        <v>3420</v>
      </c>
      <c r="AL1027" s="191">
        <v>5391</v>
      </c>
      <c r="AM1027" s="484">
        <f>4783-AM1025</f>
        <v>4746</v>
      </c>
      <c r="AN1027" s="484">
        <f>AO1027</f>
        <v>4704</v>
      </c>
      <c r="AO1027" s="39">
        <f>4715-AO1025</f>
        <v>4704</v>
      </c>
      <c r="AP1027" s="113">
        <f>8443-AP1025</f>
        <v>8403</v>
      </c>
      <c r="AQ1027" s="191">
        <f>8575-AQ1025</f>
        <v>8537</v>
      </c>
      <c r="AR1027" s="484">
        <f>8435-AR1025</f>
        <v>8397</v>
      </c>
      <c r="AS1027" s="484">
        <f>AT1027</f>
        <v>8396</v>
      </c>
      <c r="AT1027" s="39">
        <f>8433-AT1025</f>
        <v>8396</v>
      </c>
      <c r="AU1027" s="113">
        <f>8343-AU1025</f>
        <v>8302</v>
      </c>
      <c r="AV1027" s="191">
        <f>8085-AV1025</f>
        <v>8044</v>
      </c>
      <c r="AW1027" s="289">
        <f>8508-AW1025</f>
        <v>8466</v>
      </c>
      <c r="AX1027" s="113">
        <f>+AW1027</f>
        <v>8466</v>
      </c>
      <c r="AY1027" s="104">
        <f t="shared" si="1115"/>
        <v>8466</v>
      </c>
      <c r="AZ1027" s="113">
        <f>AY1027</f>
        <v>8466</v>
      </c>
      <c r="BA1027" s="113">
        <f t="shared" si="1120"/>
        <v>8466</v>
      </c>
      <c r="BB1027" s="113">
        <f t="shared" si="1120"/>
        <v>8466</v>
      </c>
      <c r="BC1027" s="113">
        <f t="shared" si="1120"/>
        <v>8466</v>
      </c>
      <c r="BD1027" s="104">
        <f t="shared" si="1116"/>
        <v>8466</v>
      </c>
      <c r="BE1027" s="104">
        <f t="shared" si="1118"/>
        <v>8466</v>
      </c>
      <c r="BF1027" s="104">
        <f t="shared" si="1118"/>
        <v>8466</v>
      </c>
      <c r="BG1027" s="104">
        <f t="shared" si="1118"/>
        <v>8466</v>
      </c>
      <c r="BH1027" s="484"/>
    </row>
    <row r="1028" spans="1:60" s="52" customFormat="1" x14ac:dyDescent="0.25">
      <c r="A1028" s="500" t="s">
        <v>344</v>
      </c>
      <c r="B1028" s="775"/>
      <c r="C1028" s="53">
        <f t="shared" ref="C1028:AH1028" si="1121">SUM(C1022:C1027)+SUM(C1015:C1016)</f>
        <v>51228</v>
      </c>
      <c r="D1028" s="53">
        <f t="shared" si="1121"/>
        <v>56981</v>
      </c>
      <c r="E1028" s="53">
        <f t="shared" si="1121"/>
        <v>58367</v>
      </c>
      <c r="F1028" s="53">
        <f t="shared" si="1121"/>
        <v>61189</v>
      </c>
      <c r="G1028" s="61">
        <f t="shared" si="1121"/>
        <v>66320</v>
      </c>
      <c r="H1028" s="61">
        <f t="shared" si="1121"/>
        <v>66355</v>
      </c>
      <c r="I1028" s="61">
        <f t="shared" si="1121"/>
        <v>66360</v>
      </c>
      <c r="J1028" s="61">
        <f t="shared" si="1121"/>
        <v>67132</v>
      </c>
      <c r="K1028" s="53">
        <f t="shared" si="1121"/>
        <v>67132</v>
      </c>
      <c r="L1028" s="61">
        <f t="shared" si="1121"/>
        <v>67403</v>
      </c>
      <c r="M1028" s="61">
        <f t="shared" si="1121"/>
        <v>67534</v>
      </c>
      <c r="N1028" s="61">
        <f t="shared" si="1121"/>
        <v>68518</v>
      </c>
      <c r="O1028" s="61">
        <f t="shared" si="1121"/>
        <v>68972</v>
      </c>
      <c r="P1028" s="53">
        <f t="shared" si="1121"/>
        <v>68972</v>
      </c>
      <c r="Q1028" s="61">
        <f t="shared" si="1121"/>
        <v>69795</v>
      </c>
      <c r="R1028" s="61">
        <f t="shared" si="1121"/>
        <v>70069</v>
      </c>
      <c r="S1028" s="61">
        <f t="shared" si="1121"/>
        <v>70855</v>
      </c>
      <c r="T1028" s="61">
        <f t="shared" si="1121"/>
        <v>71424</v>
      </c>
      <c r="U1028" s="53">
        <f t="shared" si="1121"/>
        <v>71424</v>
      </c>
      <c r="V1028" s="61">
        <f t="shared" si="1121"/>
        <v>72353</v>
      </c>
      <c r="W1028" s="61">
        <f t="shared" si="1121"/>
        <v>73265</v>
      </c>
      <c r="X1028" s="61">
        <f t="shared" si="1121"/>
        <v>73297</v>
      </c>
      <c r="Y1028" s="61">
        <f t="shared" si="1121"/>
        <v>75067</v>
      </c>
      <c r="Z1028" s="53">
        <f t="shared" si="1121"/>
        <v>75067</v>
      </c>
      <c r="AA1028" s="105">
        <f t="shared" si="1121"/>
        <v>74911</v>
      </c>
      <c r="AB1028" s="192">
        <f t="shared" si="1121"/>
        <v>75537</v>
      </c>
      <c r="AC1028" s="61">
        <f t="shared" si="1121"/>
        <v>75601</v>
      </c>
      <c r="AD1028" s="61">
        <f t="shared" si="1121"/>
        <v>79900</v>
      </c>
      <c r="AE1028" s="53">
        <f t="shared" si="1121"/>
        <v>79900</v>
      </c>
      <c r="AF1028" s="105">
        <f t="shared" si="1121"/>
        <v>80460</v>
      </c>
      <c r="AG1028" s="192">
        <f t="shared" si="1121"/>
        <v>81135</v>
      </c>
      <c r="AH1028" s="61">
        <f t="shared" si="1121"/>
        <v>81063</v>
      </c>
      <c r="AI1028" s="61">
        <f t="shared" ref="AI1028:AY1028" si="1122">SUM(AI1022:AI1027)+SUM(AI1015:AI1016)</f>
        <v>81773</v>
      </c>
      <c r="AJ1028" s="53">
        <f t="shared" si="1122"/>
        <v>81773</v>
      </c>
      <c r="AK1028" s="105">
        <f t="shared" si="1122"/>
        <v>82404</v>
      </c>
      <c r="AL1028" s="192">
        <f t="shared" si="1122"/>
        <v>180065</v>
      </c>
      <c r="AM1028" s="61">
        <f t="shared" si="1122"/>
        <v>178105</v>
      </c>
      <c r="AN1028" s="61">
        <f t="shared" si="1122"/>
        <v>165860</v>
      </c>
      <c r="AO1028" s="53">
        <f t="shared" si="1122"/>
        <v>165860</v>
      </c>
      <c r="AP1028" s="105">
        <f t="shared" si="1122"/>
        <v>173172</v>
      </c>
      <c r="AQ1028" s="192">
        <f t="shared" si="1122"/>
        <v>173020</v>
      </c>
      <c r="AR1028" s="61">
        <f t="shared" si="1122"/>
        <v>166319</v>
      </c>
      <c r="AS1028" s="61">
        <f>SUM(AS1022:AS1027)+SUM(AS1015:AS1016)</f>
        <v>166298</v>
      </c>
      <c r="AT1028" s="53">
        <f>SUM(AT1022:AT1027)+SUM(AT1015:AT1016)</f>
        <v>166298</v>
      </c>
      <c r="AU1028" s="105">
        <f>SUM(AU1022:AU1027)+SUM(AU1015:AU1016)</f>
        <v>167014</v>
      </c>
      <c r="AV1028" s="192">
        <f>SUM(AV1022:AV1027)+SUM(AV1015:AV1016)</f>
        <v>167373</v>
      </c>
      <c r="AW1028" s="872">
        <f>SUM(AW1022:AW1027)+SUM(AW1015:AW1016)</f>
        <v>168255</v>
      </c>
      <c r="AX1028" s="105">
        <f t="shared" ref="AX1028" si="1123">SUM(AX1022:AX1027)+SUM(AX1015:AX1016)</f>
        <v>167876</v>
      </c>
      <c r="AY1028" s="106">
        <f t="shared" si="1122"/>
        <v>167876</v>
      </c>
      <c r="AZ1028" s="105">
        <f t="shared" ref="AZ1028:BG1028" si="1124">SUM(AZ1022:AZ1027)+SUM(AZ1015:AZ1016)</f>
        <v>167897</v>
      </c>
      <c r="BA1028" s="105">
        <f t="shared" si="1124"/>
        <v>167918</v>
      </c>
      <c r="BB1028" s="105">
        <f t="shared" si="1124"/>
        <v>167939</v>
      </c>
      <c r="BC1028" s="105">
        <f t="shared" si="1124"/>
        <v>167960</v>
      </c>
      <c r="BD1028" s="106">
        <f t="shared" si="1124"/>
        <v>167960</v>
      </c>
      <c r="BE1028" s="106">
        <f t="shared" si="1124"/>
        <v>168144</v>
      </c>
      <c r="BF1028" s="106">
        <f t="shared" si="1124"/>
        <v>168328</v>
      </c>
      <c r="BG1028" s="106">
        <f t="shared" si="1124"/>
        <v>168512</v>
      </c>
      <c r="BH1028" s="499"/>
    </row>
    <row r="1029" spans="1:60" s="52" customFormat="1" x14ac:dyDescent="0.25">
      <c r="A1029" s="501" t="s">
        <v>345</v>
      </c>
      <c r="B1029" s="602"/>
      <c r="C1029" s="51">
        <f t="shared" ref="C1029:AH1029" si="1125">C1012+C1028</f>
        <v>63117</v>
      </c>
      <c r="D1029" s="51">
        <f t="shared" si="1125"/>
        <v>69206</v>
      </c>
      <c r="E1029" s="51">
        <f t="shared" si="1125"/>
        <v>72124</v>
      </c>
      <c r="F1029" s="51">
        <f t="shared" si="1125"/>
        <v>74898</v>
      </c>
      <c r="G1029" s="499">
        <f t="shared" si="1125"/>
        <v>80642</v>
      </c>
      <c r="H1029" s="499">
        <f t="shared" si="1125"/>
        <v>81358</v>
      </c>
      <c r="I1029" s="499">
        <f t="shared" si="1125"/>
        <v>80565</v>
      </c>
      <c r="J1029" s="499">
        <f t="shared" si="1125"/>
        <v>81241</v>
      </c>
      <c r="K1029" s="51">
        <f t="shared" si="1125"/>
        <v>81241</v>
      </c>
      <c r="L1029" s="499">
        <f t="shared" si="1125"/>
        <v>83166</v>
      </c>
      <c r="M1029" s="499">
        <f t="shared" si="1125"/>
        <v>82580</v>
      </c>
      <c r="N1029" s="499">
        <f t="shared" si="1125"/>
        <v>83723</v>
      </c>
      <c r="O1029" s="499">
        <f t="shared" si="1125"/>
        <v>84141</v>
      </c>
      <c r="P1029" s="51">
        <f t="shared" si="1125"/>
        <v>84141</v>
      </c>
      <c r="Q1029" s="499">
        <f t="shared" si="1125"/>
        <v>87035</v>
      </c>
      <c r="R1029" s="499">
        <f t="shared" si="1125"/>
        <v>85715</v>
      </c>
      <c r="S1029" s="499">
        <f t="shared" si="1125"/>
        <v>87367</v>
      </c>
      <c r="T1029" s="499">
        <f t="shared" si="1125"/>
        <v>88182</v>
      </c>
      <c r="U1029" s="51">
        <f t="shared" si="1125"/>
        <v>88182</v>
      </c>
      <c r="V1029" s="499">
        <f t="shared" si="1125"/>
        <v>90121</v>
      </c>
      <c r="W1029" s="499">
        <f t="shared" si="1125"/>
        <v>90264</v>
      </c>
      <c r="X1029" s="499">
        <f t="shared" si="1125"/>
        <v>90914</v>
      </c>
      <c r="Y1029" s="499">
        <f t="shared" si="1125"/>
        <v>92033</v>
      </c>
      <c r="Z1029" s="51">
        <f t="shared" si="1125"/>
        <v>92033</v>
      </c>
      <c r="AA1029" s="114">
        <f t="shared" si="1125"/>
        <v>91576</v>
      </c>
      <c r="AB1029" s="194">
        <f t="shared" si="1125"/>
        <v>91807</v>
      </c>
      <c r="AC1029" s="499">
        <f t="shared" si="1125"/>
        <v>92752</v>
      </c>
      <c r="AD1029" s="499">
        <f t="shared" si="1125"/>
        <v>95789</v>
      </c>
      <c r="AE1029" s="51">
        <f t="shared" si="1125"/>
        <v>95789</v>
      </c>
      <c r="AF1029" s="114">
        <f t="shared" si="1125"/>
        <v>97734</v>
      </c>
      <c r="AG1029" s="194">
        <f t="shared" si="1125"/>
        <v>97943</v>
      </c>
      <c r="AH1029" s="499">
        <f t="shared" si="1125"/>
        <v>98792</v>
      </c>
      <c r="AI1029" s="499">
        <f t="shared" ref="AI1029:AY1029" si="1126">AI1012+AI1028</f>
        <v>98598</v>
      </c>
      <c r="AJ1029" s="51">
        <f t="shared" si="1126"/>
        <v>98598</v>
      </c>
      <c r="AK1029" s="114">
        <f t="shared" si="1126"/>
        <v>99941</v>
      </c>
      <c r="AL1029" s="194">
        <f t="shared" si="1126"/>
        <v>214342</v>
      </c>
      <c r="AM1029" s="499">
        <f t="shared" si="1126"/>
        <v>209475</v>
      </c>
      <c r="AN1029" s="499">
        <f t="shared" si="1126"/>
        <v>193984</v>
      </c>
      <c r="AO1029" s="51">
        <f t="shared" si="1126"/>
        <v>193984</v>
      </c>
      <c r="AP1029" s="114">
        <f t="shared" si="1126"/>
        <v>200948</v>
      </c>
      <c r="AQ1029" s="194">
        <f t="shared" si="1126"/>
        <v>206294</v>
      </c>
      <c r="AR1029" s="499">
        <f t="shared" si="1126"/>
        <v>207649</v>
      </c>
      <c r="AS1029" s="499">
        <f>AS1012+AS1028</f>
        <v>201549</v>
      </c>
      <c r="AT1029" s="51">
        <f>AT1012+AT1028</f>
        <v>201549</v>
      </c>
      <c r="AU1029" s="114">
        <f>AU1012+AU1028</f>
        <v>201888</v>
      </c>
      <c r="AV1029" s="194">
        <f>AV1012+AV1028</f>
        <v>200250</v>
      </c>
      <c r="AW1029" s="873">
        <f>AW1012+AW1028</f>
        <v>202221</v>
      </c>
      <c r="AX1029" s="114">
        <f t="shared" ref="AX1029" ca="1" si="1127">AX1012+AX1028</f>
        <v>213883.60122907418</v>
      </c>
      <c r="AY1029" s="111">
        <f t="shared" ca="1" si="1126"/>
        <v>213883.60122907418</v>
      </c>
      <c r="AZ1029" s="114">
        <f t="shared" ref="AZ1029:BG1029" ca="1" si="1128">AZ1012+AZ1028</f>
        <v>206604.17859483697</v>
      </c>
      <c r="BA1029" s="114">
        <f t="shared" ca="1" si="1128"/>
        <v>209226.76405933307</v>
      </c>
      <c r="BB1029" s="114">
        <f t="shared" ca="1" si="1128"/>
        <v>212846.81291549519</v>
      </c>
      <c r="BC1029" s="114">
        <f t="shared" ca="1" si="1128"/>
        <v>212339.79585796723</v>
      </c>
      <c r="BD1029" s="111">
        <f t="shared" ca="1" si="1128"/>
        <v>212339.79585796723</v>
      </c>
      <c r="BE1029" s="111">
        <f t="shared" ca="1" si="1128"/>
        <v>223746.96089392243</v>
      </c>
      <c r="BF1029" s="111">
        <f t="shared" ca="1" si="1128"/>
        <v>235743.11162137124</v>
      </c>
      <c r="BG1029" s="111">
        <f t="shared" ca="1" si="1128"/>
        <v>249225.23701785927</v>
      </c>
      <c r="BH1029" s="499"/>
    </row>
    <row r="1030" spans="1:60" s="52" customFormat="1" x14ac:dyDescent="0.25">
      <c r="A1030" s="635"/>
      <c r="B1030" s="602"/>
      <c r="C1030" s="111"/>
      <c r="D1030" s="111"/>
      <c r="E1030" s="111"/>
      <c r="F1030" s="111"/>
      <c r="G1030" s="114"/>
      <c r="H1030" s="114"/>
      <c r="I1030" s="114"/>
      <c r="J1030" s="114"/>
      <c r="K1030" s="111"/>
      <c r="L1030" s="114"/>
      <c r="M1030" s="114"/>
      <c r="N1030" s="114"/>
      <c r="O1030" s="114"/>
      <c r="P1030" s="111"/>
      <c r="Q1030" s="114"/>
      <c r="R1030" s="114"/>
      <c r="S1030" s="114"/>
      <c r="T1030" s="114"/>
      <c r="U1030" s="111"/>
      <c r="V1030" s="114"/>
      <c r="W1030" s="114"/>
      <c r="X1030" s="114"/>
      <c r="Y1030" s="114"/>
      <c r="Z1030" s="111"/>
      <c r="AA1030" s="114"/>
      <c r="AB1030" s="114"/>
      <c r="AC1030" s="114"/>
      <c r="AD1030" s="114"/>
      <c r="AE1030" s="111"/>
      <c r="AF1030" s="114"/>
      <c r="AG1030" s="114"/>
      <c r="AH1030" s="114"/>
      <c r="AI1030" s="114"/>
      <c r="AJ1030" s="111"/>
      <c r="AK1030" s="114"/>
      <c r="AL1030" s="114"/>
      <c r="AM1030" s="114"/>
      <c r="AN1030" s="114"/>
      <c r="AO1030" s="111"/>
      <c r="AP1030" s="114"/>
      <c r="AQ1030" s="114"/>
      <c r="AR1030" s="114"/>
      <c r="AS1030" s="114"/>
      <c r="AT1030" s="111"/>
      <c r="AU1030" s="114"/>
      <c r="AV1030" s="114"/>
      <c r="AW1030" s="765"/>
      <c r="AX1030" s="114"/>
      <c r="AY1030" s="111"/>
      <c r="AZ1030" s="114"/>
      <c r="BA1030" s="114"/>
      <c r="BB1030" s="114"/>
      <c r="BC1030" s="114"/>
      <c r="BD1030" s="111"/>
      <c r="BE1030" s="111"/>
      <c r="BF1030" s="111"/>
      <c r="BG1030" s="111"/>
      <c r="BH1030" s="499"/>
    </row>
    <row r="1031" spans="1:60" s="52" customFormat="1" x14ac:dyDescent="0.25">
      <c r="A1031" s="501" t="s">
        <v>346</v>
      </c>
      <c r="B1031" s="602"/>
      <c r="C1031" s="111"/>
      <c r="D1031" s="111"/>
      <c r="E1031" s="111"/>
      <c r="F1031" s="111"/>
      <c r="G1031" s="114"/>
      <c r="H1031" s="114"/>
      <c r="I1031" s="114"/>
      <c r="J1031" s="114"/>
      <c r="K1031" s="111"/>
      <c r="L1031" s="114"/>
      <c r="M1031" s="114"/>
      <c r="N1031" s="114"/>
      <c r="O1031" s="114"/>
      <c r="P1031" s="111"/>
      <c r="Q1031" s="114"/>
      <c r="R1031" s="114"/>
      <c r="S1031" s="114"/>
      <c r="T1031" s="114"/>
      <c r="U1031" s="111"/>
      <c r="V1031" s="114"/>
      <c r="W1031" s="114"/>
      <c r="X1031" s="114"/>
      <c r="Y1031" s="114"/>
      <c r="Z1031" s="111"/>
      <c r="AA1031" s="114"/>
      <c r="AB1031" s="114"/>
      <c r="AC1031" s="114"/>
      <c r="AD1031" s="114"/>
      <c r="AE1031" s="111"/>
      <c r="AF1031" s="114"/>
      <c r="AG1031" s="114"/>
      <c r="AH1031" s="114"/>
      <c r="AI1031" s="114"/>
      <c r="AJ1031" s="111"/>
      <c r="AK1031" s="114"/>
      <c r="AL1031" s="114"/>
      <c r="AM1031" s="114"/>
      <c r="AN1031" s="114"/>
      <c r="AO1031" s="111"/>
      <c r="AP1031" s="114"/>
      <c r="AQ1031" s="114"/>
      <c r="AR1031" s="114"/>
      <c r="AS1031" s="114"/>
      <c r="AT1031" s="111"/>
      <c r="AU1031" s="114"/>
      <c r="AV1031" s="114"/>
      <c r="AW1031" s="765"/>
      <c r="AX1031" s="114"/>
      <c r="AY1031" s="111"/>
      <c r="AZ1031" s="114"/>
      <c r="BA1031" s="114"/>
      <c r="BB1031" s="114"/>
      <c r="BC1031" s="114"/>
      <c r="BD1031" s="111"/>
      <c r="BE1031" s="111"/>
      <c r="BF1031" s="111"/>
      <c r="BG1031" s="111"/>
      <c r="BH1031" s="499"/>
    </row>
    <row r="1032" spans="1:60" s="49" customFormat="1" x14ac:dyDescent="0.25">
      <c r="A1032" s="483" t="s">
        <v>297</v>
      </c>
      <c r="B1032" s="209"/>
      <c r="C1032" s="39">
        <v>5616</v>
      </c>
      <c r="D1032" s="39">
        <v>6109</v>
      </c>
      <c r="E1032" s="39">
        <v>6362</v>
      </c>
      <c r="F1032" s="39">
        <v>6393</v>
      </c>
      <c r="G1032" s="484">
        <v>6767</v>
      </c>
      <c r="H1032" s="484">
        <v>6325</v>
      </c>
      <c r="I1032" s="484">
        <v>5658</v>
      </c>
      <c r="J1032" s="484">
        <f>K1032</f>
        <v>6803</v>
      </c>
      <c r="K1032" s="39">
        <v>6803</v>
      </c>
      <c r="L1032" s="484">
        <v>8590</v>
      </c>
      <c r="M1032" s="484">
        <v>6581</v>
      </c>
      <c r="N1032" s="484">
        <v>6379</v>
      </c>
      <c r="O1032" s="484">
        <f>P1032</f>
        <v>7595</v>
      </c>
      <c r="P1032" s="39">
        <v>7595</v>
      </c>
      <c r="Q1032" s="484">
        <v>9069</v>
      </c>
      <c r="R1032" s="484">
        <v>6823</v>
      </c>
      <c r="S1032" s="484">
        <v>7794</v>
      </c>
      <c r="T1032" s="484">
        <f>U1032</f>
        <v>7844</v>
      </c>
      <c r="U1032" s="39">
        <v>7844</v>
      </c>
      <c r="V1032" s="484">
        <v>9320</v>
      </c>
      <c r="W1032" s="484">
        <v>7252</v>
      </c>
      <c r="X1032" s="484">
        <v>8719</v>
      </c>
      <c r="Y1032" s="484">
        <f>Z1032</f>
        <v>9130</v>
      </c>
      <c r="Z1032" s="39">
        <v>9130</v>
      </c>
      <c r="AA1032" s="113">
        <v>9979</v>
      </c>
      <c r="AB1032" s="191">
        <v>8077</v>
      </c>
      <c r="AC1032" s="484">
        <v>9374</v>
      </c>
      <c r="AD1032" s="484">
        <f>AE1032</f>
        <v>8855</v>
      </c>
      <c r="AE1032" s="39">
        <v>8855</v>
      </c>
      <c r="AF1032" s="113">
        <v>9574</v>
      </c>
      <c r="AG1032" s="191">
        <v>9022</v>
      </c>
      <c r="AH1032" s="484">
        <v>9763</v>
      </c>
      <c r="AI1032" s="484">
        <f>AJ1032</f>
        <v>9479</v>
      </c>
      <c r="AJ1032" s="39">
        <v>9479</v>
      </c>
      <c r="AK1032" s="113">
        <v>10696</v>
      </c>
      <c r="AL1032" s="191">
        <v>20503</v>
      </c>
      <c r="AM1032" s="484">
        <v>17647</v>
      </c>
      <c r="AN1032" s="484">
        <f>AO1032</f>
        <v>17762</v>
      </c>
      <c r="AO1032" s="39">
        <v>17762</v>
      </c>
      <c r="AP1032" s="113">
        <v>19755</v>
      </c>
      <c r="AQ1032" s="191">
        <v>17906</v>
      </c>
      <c r="AR1032" s="484">
        <v>16986</v>
      </c>
      <c r="AS1032" s="484">
        <f>AT1032</f>
        <v>16801</v>
      </c>
      <c r="AT1032" s="39">
        <v>16801</v>
      </c>
      <c r="AU1032" s="113">
        <v>16846</v>
      </c>
      <c r="AV1032" s="191">
        <v>17062</v>
      </c>
      <c r="AW1032" s="289">
        <v>18317</v>
      </c>
      <c r="AX1032" s="113">
        <f>(AX$758+AW$758+AV$758+AT$758)*AX973</f>
        <v>30298.640899718797</v>
      </c>
      <c r="AY1032" s="104">
        <f>AX1032</f>
        <v>30298.640899718797</v>
      </c>
      <c r="AZ1032" s="113">
        <f>(AZ$758+AX$758+AW$758+AV$758)*AZ973</f>
        <v>20356.121148072179</v>
      </c>
      <c r="BA1032" s="113">
        <f>(BA$758+AZ$758+AX$758+AW$758)*BA973</f>
        <v>22877.216509092232</v>
      </c>
      <c r="BB1032" s="113">
        <f>(BB$758+BA$758+AZ$758+AX$758)*BB973</f>
        <v>24228.901056508683</v>
      </c>
      <c r="BC1032" s="113">
        <f>(BC$758+BB$758+BA$758+AZ$758)*BC973</f>
        <v>22793.840847399406</v>
      </c>
      <c r="BD1032" s="104">
        <f>BC1032</f>
        <v>22793.840847399406</v>
      </c>
      <c r="BE1032" s="104">
        <f>BE758*BE973</f>
        <v>25081.189806758099</v>
      </c>
      <c r="BF1032" s="104">
        <f>BF758*BF973</f>
        <v>26888.136760210247</v>
      </c>
      <c r="BG1032" s="104">
        <f>BG758*BG973</f>
        <v>29254.648897100367</v>
      </c>
      <c r="BH1032" s="484"/>
    </row>
    <row r="1033" spans="1:60" s="49" customFormat="1" x14ac:dyDescent="0.25">
      <c r="A1033" s="483" t="s">
        <v>347</v>
      </c>
      <c r="B1033" s="209"/>
      <c r="C1033" s="39">
        <v>1206</v>
      </c>
      <c r="D1033" s="39">
        <v>2350</v>
      </c>
      <c r="E1033" s="39">
        <v>3055</v>
      </c>
      <c r="F1033" s="39">
        <v>3614</v>
      </c>
      <c r="G1033" s="484">
        <v>4815</v>
      </c>
      <c r="H1033" s="484">
        <v>3556</v>
      </c>
      <c r="I1033" s="484">
        <v>2219</v>
      </c>
      <c r="J1033" s="484">
        <f>K1033</f>
        <v>1512</v>
      </c>
      <c r="K1033" s="39">
        <v>1512</v>
      </c>
      <c r="L1033" s="484">
        <v>3687</v>
      </c>
      <c r="M1033" s="484">
        <v>4695</v>
      </c>
      <c r="N1033" s="484">
        <v>3216</v>
      </c>
      <c r="O1033" s="484">
        <f>P1033</f>
        <v>2164</v>
      </c>
      <c r="P1033" s="39">
        <v>2164</v>
      </c>
      <c r="Q1033" s="484">
        <v>4376</v>
      </c>
      <c r="R1033" s="484">
        <v>2771</v>
      </c>
      <c r="S1033" s="484">
        <v>3119</v>
      </c>
      <c r="T1033" s="484">
        <f>U1033</f>
        <v>4563</v>
      </c>
      <c r="U1033" s="39">
        <v>4563</v>
      </c>
      <c r="V1033" s="484">
        <v>5950</v>
      </c>
      <c r="W1033" s="484">
        <v>5755</v>
      </c>
      <c r="X1033" s="484">
        <v>5312</v>
      </c>
      <c r="Y1033" s="484">
        <f>Z1033</f>
        <v>3687</v>
      </c>
      <c r="Z1033" s="39">
        <v>3687</v>
      </c>
      <c r="AA1033" s="113">
        <v>5698</v>
      </c>
      <c r="AB1033" s="191">
        <v>4865</v>
      </c>
      <c r="AC1033" s="484">
        <v>3338</v>
      </c>
      <c r="AD1033" s="484">
        <f>AE1033</f>
        <v>6172</v>
      </c>
      <c r="AE1033" s="39">
        <v>6172</v>
      </c>
      <c r="AF1033" s="113">
        <v>6009</v>
      </c>
      <c r="AG1033" s="191">
        <v>5918</v>
      </c>
      <c r="AH1033" s="484">
        <v>5992</v>
      </c>
      <c r="AI1033" s="484">
        <f>AJ1033</f>
        <v>3790</v>
      </c>
      <c r="AJ1033" s="39">
        <v>3790</v>
      </c>
      <c r="AK1033" s="113">
        <v>3489</v>
      </c>
      <c r="AL1033" s="191">
        <v>19158</v>
      </c>
      <c r="AM1033" s="484">
        <v>21923</v>
      </c>
      <c r="AN1033" s="484">
        <f>AO1033</f>
        <v>8857</v>
      </c>
      <c r="AO1033" s="39">
        <v>8857</v>
      </c>
      <c r="AP1033" s="113">
        <v>10018</v>
      </c>
      <c r="AQ1033" s="191">
        <v>12676</v>
      </c>
      <c r="AR1033" s="484">
        <v>10224</v>
      </c>
      <c r="AS1033" s="484">
        <f>AT1033</f>
        <v>5711</v>
      </c>
      <c r="AT1033" s="39">
        <v>5711</v>
      </c>
      <c r="AU1033" s="113">
        <v>5397</v>
      </c>
      <c r="AV1033" s="191">
        <v>5243</v>
      </c>
      <c r="AW1033" s="289">
        <v>4728</v>
      </c>
      <c r="AX1033" s="113">
        <f>AX827</f>
        <v>4728</v>
      </c>
      <c r="AY1033" s="104">
        <f>AX1033</f>
        <v>4728</v>
      </c>
      <c r="AZ1033" s="113">
        <f>AZ827</f>
        <v>4728</v>
      </c>
      <c r="BA1033" s="113">
        <f>BA827</f>
        <v>4728</v>
      </c>
      <c r="BB1033" s="113">
        <f>BB827</f>
        <v>4728</v>
      </c>
      <c r="BC1033" s="113">
        <f>BC827</f>
        <v>4728</v>
      </c>
      <c r="BD1033" s="104">
        <f>BC1033</f>
        <v>4728</v>
      </c>
      <c r="BE1033" s="104">
        <f>BE827</f>
        <v>4728</v>
      </c>
      <c r="BF1033" s="104">
        <f>BF827</f>
        <v>4728</v>
      </c>
      <c r="BG1033" s="104">
        <f>BG827</f>
        <v>4728</v>
      </c>
      <c r="BH1033" s="484"/>
    </row>
    <row r="1034" spans="1:60" s="49" customFormat="1" x14ac:dyDescent="0.25">
      <c r="A1034" s="483" t="s">
        <v>348</v>
      </c>
      <c r="B1034" s="209"/>
      <c r="C1034" s="104"/>
      <c r="D1034" s="104"/>
      <c r="E1034" s="104"/>
      <c r="F1034" s="104"/>
      <c r="G1034" s="113"/>
      <c r="H1034" s="113"/>
      <c r="I1034" s="113"/>
      <c r="J1034" s="113"/>
      <c r="K1034" s="104"/>
      <c r="L1034" s="113"/>
      <c r="M1034" s="113"/>
      <c r="N1034" s="113"/>
      <c r="O1034" s="113"/>
      <c r="P1034" s="104"/>
      <c r="Q1034" s="113"/>
      <c r="R1034" s="113"/>
      <c r="S1034" s="113"/>
      <c r="T1034" s="113"/>
      <c r="U1034" s="104"/>
      <c r="V1034" s="113"/>
      <c r="W1034" s="113"/>
      <c r="X1034" s="113"/>
      <c r="Y1034" s="113"/>
      <c r="Z1034" s="104"/>
      <c r="AA1034" s="113"/>
      <c r="AB1034" s="113"/>
      <c r="AC1034" s="113"/>
      <c r="AD1034" s="113"/>
      <c r="AE1034" s="104"/>
      <c r="AF1034" s="113"/>
      <c r="AG1034" s="113"/>
      <c r="AH1034" s="113"/>
      <c r="AI1034" s="113"/>
      <c r="AJ1034" s="104"/>
      <c r="AK1034" s="113"/>
      <c r="AL1034" s="191">
        <v>434</v>
      </c>
      <c r="AM1034" s="484">
        <v>293</v>
      </c>
      <c r="AN1034" s="113"/>
      <c r="AO1034" s="104"/>
      <c r="AP1034" s="113"/>
      <c r="AQ1034" s="113"/>
      <c r="AR1034" s="113"/>
      <c r="AS1034" s="113"/>
      <c r="AT1034" s="104"/>
      <c r="AU1034" s="113"/>
      <c r="AV1034" s="113"/>
      <c r="AW1034" s="699"/>
      <c r="AX1034" s="113">
        <f>AW1034</f>
        <v>0</v>
      </c>
      <c r="AY1034" s="104">
        <f>AX1034</f>
        <v>0</v>
      </c>
      <c r="AZ1034" s="113">
        <f t="shared" ref="AZ1034:BC1035" si="1129">AY1034</f>
        <v>0</v>
      </c>
      <c r="BA1034" s="113">
        <f t="shared" si="1129"/>
        <v>0</v>
      </c>
      <c r="BB1034" s="113">
        <f t="shared" si="1129"/>
        <v>0</v>
      </c>
      <c r="BC1034" s="113">
        <f t="shared" si="1129"/>
        <v>0</v>
      </c>
      <c r="BD1034" s="104">
        <f>BC1034</f>
        <v>0</v>
      </c>
      <c r="BE1034" s="104">
        <f t="shared" ref="BE1034:BG1035" si="1130">BD1034</f>
        <v>0</v>
      </c>
      <c r="BF1034" s="104">
        <f t="shared" si="1130"/>
        <v>0</v>
      </c>
      <c r="BG1034" s="104">
        <f t="shared" si="1130"/>
        <v>0</v>
      </c>
      <c r="BH1034" s="484"/>
    </row>
    <row r="1035" spans="1:60" s="49" customFormat="1" x14ac:dyDescent="0.25">
      <c r="A1035" s="483" t="s">
        <v>349</v>
      </c>
      <c r="B1035" s="209"/>
      <c r="C1035" s="39">
        <v>2112</v>
      </c>
      <c r="D1035" s="39">
        <v>2541</v>
      </c>
      <c r="E1035" s="39">
        <v>2671</v>
      </c>
      <c r="F1035" s="39">
        <v>2806</v>
      </c>
      <c r="G1035" s="484">
        <v>2916</v>
      </c>
      <c r="H1035" s="484">
        <v>3572</v>
      </c>
      <c r="I1035" s="484">
        <v>3464</v>
      </c>
      <c r="J1035" s="484">
        <f>K1035</f>
        <v>3389</v>
      </c>
      <c r="K1035" s="39">
        <v>3389</v>
      </c>
      <c r="L1035" s="484">
        <v>3419</v>
      </c>
      <c r="M1035" s="484">
        <v>3886</v>
      </c>
      <c r="N1035" s="484">
        <v>3756</v>
      </c>
      <c r="O1035" s="484">
        <f>P1035</f>
        <v>3533</v>
      </c>
      <c r="P1035" s="39">
        <v>3533</v>
      </c>
      <c r="Q1035" s="484">
        <v>3359</v>
      </c>
      <c r="R1035" s="484">
        <v>3816</v>
      </c>
      <c r="S1035" s="484">
        <v>3913</v>
      </c>
      <c r="T1035" s="484">
        <f>U1035</f>
        <v>3927</v>
      </c>
      <c r="U1035" s="39">
        <v>3927</v>
      </c>
      <c r="V1035" s="484">
        <v>3526</v>
      </c>
      <c r="W1035" s="484">
        <v>4066</v>
      </c>
      <c r="X1035" s="484">
        <v>4041</v>
      </c>
      <c r="Y1035" s="484">
        <f>Z1035</f>
        <v>4025</v>
      </c>
      <c r="Z1035" s="39">
        <v>4025</v>
      </c>
      <c r="AA1035" s="113">
        <v>3640</v>
      </c>
      <c r="AB1035" s="191">
        <v>4423</v>
      </c>
      <c r="AC1035" s="484">
        <v>4382</v>
      </c>
      <c r="AD1035" s="484">
        <f>AE1035</f>
        <v>4568</v>
      </c>
      <c r="AE1035" s="39">
        <v>4568</v>
      </c>
      <c r="AF1035" s="113">
        <v>4292</v>
      </c>
      <c r="AG1035" s="191">
        <v>4788</v>
      </c>
      <c r="AH1035" s="484">
        <v>4459</v>
      </c>
      <c r="AI1035" s="484">
        <f>AJ1035</f>
        <v>4591</v>
      </c>
      <c r="AJ1035" s="39">
        <v>4591</v>
      </c>
      <c r="AK1035" s="113">
        <v>3434</v>
      </c>
      <c r="AL1035" s="191">
        <v>4281</v>
      </c>
      <c r="AM1035" s="484">
        <v>4730</v>
      </c>
      <c r="AN1035" s="484">
        <f>AO1035</f>
        <v>4722</v>
      </c>
      <c r="AO1035" s="39">
        <v>4722</v>
      </c>
      <c r="AP1035" s="113">
        <v>5024</v>
      </c>
      <c r="AQ1035" s="191">
        <v>4891</v>
      </c>
      <c r="AR1035" s="484">
        <v>3707</v>
      </c>
      <c r="AS1035" s="484">
        <f>AT1035</f>
        <v>4116</v>
      </c>
      <c r="AT1035" s="39">
        <v>4116</v>
      </c>
      <c r="AU1035" s="113">
        <v>4303</v>
      </c>
      <c r="AV1035" s="191">
        <v>4337</v>
      </c>
      <c r="AW1035" s="289">
        <v>4368</v>
      </c>
      <c r="AX1035" s="113">
        <f>AW1035</f>
        <v>4368</v>
      </c>
      <c r="AY1035" s="104">
        <f>AX1035</f>
        <v>4368</v>
      </c>
      <c r="AZ1035" s="113">
        <f t="shared" si="1129"/>
        <v>4368</v>
      </c>
      <c r="BA1035" s="113">
        <f t="shared" si="1129"/>
        <v>4368</v>
      </c>
      <c r="BB1035" s="113">
        <f t="shared" si="1129"/>
        <v>4368</v>
      </c>
      <c r="BC1035" s="113">
        <f t="shared" si="1129"/>
        <v>4368</v>
      </c>
      <c r="BD1035" s="104">
        <f>BC1035</f>
        <v>4368</v>
      </c>
      <c r="BE1035" s="104">
        <f t="shared" si="1130"/>
        <v>4368</v>
      </c>
      <c r="BF1035" s="104">
        <f t="shared" si="1130"/>
        <v>4368</v>
      </c>
      <c r="BG1035" s="104">
        <f t="shared" si="1130"/>
        <v>4368</v>
      </c>
      <c r="BH1035" s="484"/>
    </row>
    <row r="1036" spans="1:60" s="52" customFormat="1" x14ac:dyDescent="0.25">
      <c r="A1036" s="500" t="s">
        <v>350</v>
      </c>
      <c r="B1036" s="775"/>
      <c r="C1036" s="53">
        <f t="shared" ref="C1036:AH1036" si="1131">SUM(C1032:C1035)</f>
        <v>8934</v>
      </c>
      <c r="D1036" s="53">
        <f t="shared" si="1131"/>
        <v>11000</v>
      </c>
      <c r="E1036" s="53">
        <f t="shared" si="1131"/>
        <v>12088</v>
      </c>
      <c r="F1036" s="53">
        <f t="shared" si="1131"/>
        <v>12813</v>
      </c>
      <c r="G1036" s="61">
        <f t="shared" si="1131"/>
        <v>14498</v>
      </c>
      <c r="H1036" s="61">
        <f t="shared" si="1131"/>
        <v>13453</v>
      </c>
      <c r="I1036" s="61">
        <f t="shared" si="1131"/>
        <v>11341</v>
      </c>
      <c r="J1036" s="61">
        <f t="shared" si="1131"/>
        <v>11704</v>
      </c>
      <c r="K1036" s="53">
        <f t="shared" si="1131"/>
        <v>11704</v>
      </c>
      <c r="L1036" s="61">
        <f t="shared" si="1131"/>
        <v>15696</v>
      </c>
      <c r="M1036" s="61">
        <f t="shared" si="1131"/>
        <v>15162</v>
      </c>
      <c r="N1036" s="61">
        <f t="shared" si="1131"/>
        <v>13351</v>
      </c>
      <c r="O1036" s="61">
        <f t="shared" si="1131"/>
        <v>13292</v>
      </c>
      <c r="P1036" s="53">
        <f t="shared" si="1131"/>
        <v>13292</v>
      </c>
      <c r="Q1036" s="61">
        <f t="shared" si="1131"/>
        <v>16804</v>
      </c>
      <c r="R1036" s="61">
        <f t="shared" si="1131"/>
        <v>13410</v>
      </c>
      <c r="S1036" s="61">
        <f t="shared" si="1131"/>
        <v>14826</v>
      </c>
      <c r="T1036" s="61">
        <f t="shared" si="1131"/>
        <v>16334</v>
      </c>
      <c r="U1036" s="53">
        <f t="shared" si="1131"/>
        <v>16334</v>
      </c>
      <c r="V1036" s="61">
        <f t="shared" si="1131"/>
        <v>18796</v>
      </c>
      <c r="W1036" s="61">
        <f t="shared" si="1131"/>
        <v>17073</v>
      </c>
      <c r="X1036" s="61">
        <f t="shared" si="1131"/>
        <v>18072</v>
      </c>
      <c r="Y1036" s="61">
        <f t="shared" si="1131"/>
        <v>16842</v>
      </c>
      <c r="Z1036" s="53">
        <f t="shared" si="1131"/>
        <v>16842</v>
      </c>
      <c r="AA1036" s="105">
        <f t="shared" si="1131"/>
        <v>19317</v>
      </c>
      <c r="AB1036" s="192">
        <f t="shared" si="1131"/>
        <v>17365</v>
      </c>
      <c r="AC1036" s="61">
        <f t="shared" si="1131"/>
        <v>17094</v>
      </c>
      <c r="AD1036" s="61">
        <f t="shared" si="1131"/>
        <v>19595</v>
      </c>
      <c r="AE1036" s="53">
        <f t="shared" si="1131"/>
        <v>19595</v>
      </c>
      <c r="AF1036" s="105">
        <f t="shared" si="1131"/>
        <v>19875</v>
      </c>
      <c r="AG1036" s="192">
        <f t="shared" si="1131"/>
        <v>19728</v>
      </c>
      <c r="AH1036" s="61">
        <f t="shared" si="1131"/>
        <v>20214</v>
      </c>
      <c r="AI1036" s="61">
        <f t="shared" ref="AI1036:AY1036" si="1132">SUM(AI1032:AI1035)</f>
        <v>17860</v>
      </c>
      <c r="AJ1036" s="53">
        <f t="shared" si="1132"/>
        <v>17860</v>
      </c>
      <c r="AK1036" s="105">
        <f t="shared" si="1132"/>
        <v>17619</v>
      </c>
      <c r="AL1036" s="192">
        <f t="shared" si="1132"/>
        <v>44376</v>
      </c>
      <c r="AM1036" s="61">
        <f t="shared" si="1132"/>
        <v>44593</v>
      </c>
      <c r="AN1036" s="61">
        <f t="shared" si="1132"/>
        <v>31341</v>
      </c>
      <c r="AO1036" s="53">
        <f t="shared" si="1132"/>
        <v>31341</v>
      </c>
      <c r="AP1036" s="105">
        <f t="shared" si="1132"/>
        <v>34797</v>
      </c>
      <c r="AQ1036" s="192">
        <f t="shared" si="1132"/>
        <v>35473</v>
      </c>
      <c r="AR1036" s="61">
        <f t="shared" si="1132"/>
        <v>30917</v>
      </c>
      <c r="AS1036" s="61">
        <f>SUM(AS1032:AS1035)</f>
        <v>26628</v>
      </c>
      <c r="AT1036" s="53">
        <f>SUM(AT1032:AT1035)</f>
        <v>26628</v>
      </c>
      <c r="AU1036" s="105">
        <f>SUM(AU1032:AU1035)</f>
        <v>26546</v>
      </c>
      <c r="AV1036" s="192">
        <f>SUM(AV1032:AV1035)</f>
        <v>26642</v>
      </c>
      <c r="AW1036" s="872">
        <f>SUM(AW1032:AW1035)</f>
        <v>27413</v>
      </c>
      <c r="AX1036" s="105">
        <f t="shared" ref="AX1036" si="1133">SUM(AX1032:AX1035)</f>
        <v>39394.640899718797</v>
      </c>
      <c r="AY1036" s="106">
        <f t="shared" si="1132"/>
        <v>39394.640899718797</v>
      </c>
      <c r="AZ1036" s="105">
        <f t="shared" ref="AZ1036:BG1036" si="1134">SUM(AZ1032:AZ1035)</f>
        <v>29452.121148072179</v>
      </c>
      <c r="BA1036" s="105">
        <f t="shared" si="1134"/>
        <v>31973.216509092232</v>
      </c>
      <c r="BB1036" s="105">
        <f t="shared" si="1134"/>
        <v>33324.901056508679</v>
      </c>
      <c r="BC1036" s="105">
        <f t="shared" si="1134"/>
        <v>31889.840847399406</v>
      </c>
      <c r="BD1036" s="106">
        <f t="shared" si="1134"/>
        <v>31889.840847399406</v>
      </c>
      <c r="BE1036" s="106">
        <f t="shared" si="1134"/>
        <v>34177.189806758099</v>
      </c>
      <c r="BF1036" s="106">
        <f t="shared" si="1134"/>
        <v>35984.136760210247</v>
      </c>
      <c r="BG1036" s="106">
        <f t="shared" si="1134"/>
        <v>38350.648897100371</v>
      </c>
      <c r="BH1036" s="499"/>
    </row>
    <row r="1037" spans="1:60" s="52" customFormat="1" x14ac:dyDescent="0.25">
      <c r="A1037" s="635"/>
      <c r="B1037" s="602"/>
      <c r="C1037" s="111"/>
      <c r="D1037" s="111"/>
      <c r="E1037" s="111"/>
      <c r="F1037" s="111"/>
      <c r="G1037" s="114"/>
      <c r="H1037" s="114"/>
      <c r="I1037" s="114"/>
      <c r="J1037" s="114"/>
      <c r="K1037" s="111"/>
      <c r="L1037" s="114"/>
      <c r="M1037" s="114"/>
      <c r="N1037" s="114"/>
      <c r="O1037" s="114"/>
      <c r="P1037" s="111"/>
      <c r="Q1037" s="114"/>
      <c r="R1037" s="114"/>
      <c r="S1037" s="114"/>
      <c r="T1037" s="114"/>
      <c r="U1037" s="111"/>
      <c r="V1037" s="114"/>
      <c r="W1037" s="114"/>
      <c r="X1037" s="114"/>
      <c r="Y1037" s="114"/>
      <c r="Z1037" s="111"/>
      <c r="AA1037" s="114"/>
      <c r="AB1037" s="114"/>
      <c r="AC1037" s="114"/>
      <c r="AD1037" s="114"/>
      <c r="AE1037" s="111"/>
      <c r="AF1037" s="114"/>
      <c r="AG1037" s="114"/>
      <c r="AH1037" s="114"/>
      <c r="AI1037" s="114"/>
      <c r="AJ1037" s="111"/>
      <c r="AK1037" s="114"/>
      <c r="AL1037" s="114"/>
      <c r="AM1037" s="114"/>
      <c r="AN1037" s="114"/>
      <c r="AO1037" s="111"/>
      <c r="AP1037" s="114"/>
      <c r="AQ1037" s="114"/>
      <c r="AR1037" s="114"/>
      <c r="AS1037" s="114"/>
      <c r="AT1037" s="111"/>
      <c r="AU1037" s="114"/>
      <c r="AV1037" s="114"/>
      <c r="AW1037" s="765"/>
      <c r="AX1037" s="114"/>
      <c r="AY1037" s="111"/>
      <c r="AZ1037" s="114"/>
      <c r="BA1037" s="114"/>
      <c r="BB1037" s="114"/>
      <c r="BC1037" s="114"/>
      <c r="BD1037" s="111"/>
      <c r="BE1037" s="111"/>
      <c r="BF1037" s="111"/>
      <c r="BG1037" s="111"/>
      <c r="BH1037" s="499"/>
    </row>
    <row r="1038" spans="1:60" s="52" customFormat="1" x14ac:dyDescent="0.25">
      <c r="A1038" s="93" t="s">
        <v>351</v>
      </c>
      <c r="B1038" s="602"/>
      <c r="C1038" s="111"/>
      <c r="D1038" s="111"/>
      <c r="E1038" s="111"/>
      <c r="F1038" s="111"/>
      <c r="G1038" s="114"/>
      <c r="H1038" s="114"/>
      <c r="I1038" s="114"/>
      <c r="J1038" s="114"/>
      <c r="K1038" s="111"/>
      <c r="L1038" s="114"/>
      <c r="M1038" s="114"/>
      <c r="N1038" s="114"/>
      <c r="O1038" s="114"/>
      <c r="P1038" s="111"/>
      <c r="Q1038" s="114"/>
      <c r="R1038" s="114"/>
      <c r="S1038" s="114"/>
      <c r="T1038" s="114"/>
      <c r="U1038" s="111"/>
      <c r="V1038" s="114"/>
      <c r="W1038" s="114"/>
      <c r="X1038" s="114"/>
      <c r="Y1038" s="114"/>
      <c r="Z1038" s="111"/>
      <c r="AA1038" s="114"/>
      <c r="AB1038" s="114"/>
      <c r="AC1038" s="114"/>
      <c r="AD1038" s="114"/>
      <c r="AE1038" s="111"/>
      <c r="AF1038" s="114"/>
      <c r="AG1038" s="114"/>
      <c r="AH1038" s="114"/>
      <c r="AI1038" s="114"/>
      <c r="AJ1038" s="111"/>
      <c r="AK1038" s="114"/>
      <c r="AL1038" s="114"/>
      <c r="AM1038" s="114"/>
      <c r="AN1038" s="114"/>
      <c r="AO1038" s="111"/>
      <c r="AP1038" s="114"/>
      <c r="AQ1038" s="114"/>
      <c r="AR1038" s="114"/>
      <c r="AS1038" s="114"/>
      <c r="AT1038" s="111"/>
      <c r="AU1038" s="114"/>
      <c r="AV1038" s="114"/>
      <c r="AW1038" s="765"/>
      <c r="AX1038" s="114"/>
      <c r="AY1038" s="111"/>
      <c r="AZ1038" s="114"/>
      <c r="BA1038" s="114"/>
      <c r="BB1038" s="114"/>
      <c r="BC1038" s="114"/>
      <c r="BD1038" s="111"/>
      <c r="BE1038" s="111"/>
      <c r="BF1038" s="111"/>
      <c r="BG1038" s="111"/>
      <c r="BH1038" s="499"/>
    </row>
    <row r="1039" spans="1:60" s="49" customFormat="1" x14ac:dyDescent="0.25">
      <c r="A1039" s="483" t="s">
        <v>305</v>
      </c>
      <c r="B1039" s="209"/>
      <c r="C1039" s="39">
        <v>11495</v>
      </c>
      <c r="D1039" s="39">
        <v>10130</v>
      </c>
      <c r="E1039" s="39">
        <v>10922</v>
      </c>
      <c r="F1039" s="39">
        <v>10697</v>
      </c>
      <c r="G1039" s="484">
        <v>12633</v>
      </c>
      <c r="H1039" s="484">
        <v>13381</v>
      </c>
      <c r="I1039" s="484">
        <v>12784</v>
      </c>
      <c r="J1039" s="484">
        <f>K1039</f>
        <v>12776</v>
      </c>
      <c r="K1039" s="39">
        <v>12776</v>
      </c>
      <c r="L1039" s="484">
        <v>11714</v>
      </c>
      <c r="M1039" s="484">
        <v>10909</v>
      </c>
      <c r="N1039" s="484">
        <v>12920</v>
      </c>
      <c r="O1039" s="484">
        <f>P1039</f>
        <v>12631</v>
      </c>
      <c r="P1039" s="39">
        <v>12631</v>
      </c>
      <c r="Q1039" s="484">
        <v>12167</v>
      </c>
      <c r="R1039" s="484">
        <v>12186</v>
      </c>
      <c r="S1039" s="484">
        <v>12154</v>
      </c>
      <c r="T1039" s="484">
        <f>U1039</f>
        <v>12773</v>
      </c>
      <c r="U1039" s="39">
        <v>12773</v>
      </c>
      <c r="V1039" s="484">
        <v>12965</v>
      </c>
      <c r="W1039" s="484">
        <v>15367</v>
      </c>
      <c r="X1039" s="484">
        <v>15129</v>
      </c>
      <c r="Y1039" s="484">
        <f>Z1039</f>
        <v>16483</v>
      </c>
      <c r="Z1039" s="39">
        <v>16483</v>
      </c>
      <c r="AA1039" s="113">
        <v>14792</v>
      </c>
      <c r="AB1039" s="191">
        <v>16788</v>
      </c>
      <c r="AC1039" s="484">
        <v>18849</v>
      </c>
      <c r="AD1039" s="484">
        <f>AE1039</f>
        <v>19119</v>
      </c>
      <c r="AE1039" s="39">
        <v>19119</v>
      </c>
      <c r="AF1039" s="113">
        <v>20082</v>
      </c>
      <c r="AG1039" s="191">
        <v>18766</v>
      </c>
      <c r="AH1039" s="484">
        <v>17681</v>
      </c>
      <c r="AI1039" s="484">
        <f>AJ1039</f>
        <v>17084</v>
      </c>
      <c r="AJ1039" s="39">
        <v>17084</v>
      </c>
      <c r="AK1039" s="113">
        <v>17176</v>
      </c>
      <c r="AL1039" s="191">
        <v>37803</v>
      </c>
      <c r="AM1039" s="484">
        <v>36311</v>
      </c>
      <c r="AN1039" s="484">
        <f>AO1039</f>
        <v>38129</v>
      </c>
      <c r="AO1039" s="39">
        <v>38129</v>
      </c>
      <c r="AP1039" s="113">
        <v>38057</v>
      </c>
      <c r="AQ1039" s="191">
        <v>42770</v>
      </c>
      <c r="AR1039" s="484">
        <v>54197</v>
      </c>
      <c r="AS1039" s="484">
        <f>AT1039</f>
        <v>52917</v>
      </c>
      <c r="AT1039" s="39">
        <v>52917</v>
      </c>
      <c r="AU1039" s="113">
        <v>52878</v>
      </c>
      <c r="AV1039" s="191">
        <v>50903</v>
      </c>
      <c r="AW1039" s="289">
        <v>51110</v>
      </c>
      <c r="AX1039" s="113">
        <f>AX828</f>
        <v>51110</v>
      </c>
      <c r="AY1039" s="104">
        <f>AX1039</f>
        <v>51110</v>
      </c>
      <c r="AZ1039" s="113">
        <f>AZ828</f>
        <v>51110</v>
      </c>
      <c r="BA1039" s="113">
        <f>BA828</f>
        <v>51110</v>
      </c>
      <c r="BB1039" s="113">
        <f>BB828</f>
        <v>51110</v>
      </c>
      <c r="BC1039" s="113">
        <f>BC828</f>
        <v>51110</v>
      </c>
      <c r="BD1039" s="104">
        <f>BC1039</f>
        <v>51110</v>
      </c>
      <c r="BE1039" s="104">
        <f>BE828</f>
        <v>51110</v>
      </c>
      <c r="BF1039" s="104">
        <f>BF828</f>
        <v>51110</v>
      </c>
      <c r="BG1039" s="104">
        <f>BG828</f>
        <v>51110</v>
      </c>
      <c r="BH1039" s="484"/>
    </row>
    <row r="1040" spans="1:60" s="49" customFormat="1" x14ac:dyDescent="0.25">
      <c r="A1040" s="483" t="s">
        <v>287</v>
      </c>
      <c r="B1040" s="209"/>
      <c r="C1040" s="39">
        <v>1819</v>
      </c>
      <c r="D1040" s="39">
        <v>2630</v>
      </c>
      <c r="E1040" s="39">
        <v>2866</v>
      </c>
      <c r="F1040" s="39">
        <v>2251</v>
      </c>
      <c r="G1040" s="484">
        <v>2854</v>
      </c>
      <c r="H1040" s="484">
        <v>3090</v>
      </c>
      <c r="I1040" s="484">
        <v>3485</v>
      </c>
      <c r="J1040" s="484">
        <f>K1040</f>
        <v>4050</v>
      </c>
      <c r="K1040" s="39">
        <v>4050</v>
      </c>
      <c r="L1040" s="484">
        <v>3987</v>
      </c>
      <c r="M1040" s="484">
        <v>4228</v>
      </c>
      <c r="N1040" s="484">
        <v>4360</v>
      </c>
      <c r="O1040" s="484">
        <f>P1040</f>
        <v>4098</v>
      </c>
      <c r="P1040" s="39">
        <v>4098</v>
      </c>
      <c r="Q1040" s="484">
        <v>4414</v>
      </c>
      <c r="R1040" s="484">
        <v>4388</v>
      </c>
      <c r="S1040" s="484">
        <v>4113</v>
      </c>
      <c r="T1040" s="484">
        <f>U1040</f>
        <v>4051</v>
      </c>
      <c r="U1040" s="39">
        <v>4051</v>
      </c>
      <c r="V1040" s="484">
        <v>3874</v>
      </c>
      <c r="W1040" s="484">
        <v>4044</v>
      </c>
      <c r="X1040" s="484">
        <v>4076</v>
      </c>
      <c r="Y1040" s="484">
        <f>Z1040</f>
        <v>3679</v>
      </c>
      <c r="Z1040" s="39">
        <v>3679</v>
      </c>
      <c r="AA1040" s="113">
        <v>3888</v>
      </c>
      <c r="AB1040" s="191">
        <v>4006</v>
      </c>
      <c r="AC1040" s="484">
        <v>4177</v>
      </c>
      <c r="AD1040" s="484">
        <f>AE1040</f>
        <v>4480</v>
      </c>
      <c r="AE1040" s="39">
        <v>4480</v>
      </c>
      <c r="AF1040" s="113">
        <v>2826</v>
      </c>
      <c r="AG1040" s="191">
        <v>2949</v>
      </c>
      <c r="AH1040" s="484">
        <v>3222</v>
      </c>
      <c r="AI1040" s="484">
        <f>AJ1040</f>
        <v>3109</v>
      </c>
      <c r="AJ1040" s="39">
        <v>3109</v>
      </c>
      <c r="AK1040" s="113">
        <v>3177</v>
      </c>
      <c r="AL1040" s="191">
        <v>11208</v>
      </c>
      <c r="AM1040" s="484">
        <v>10404</v>
      </c>
      <c r="AN1040" s="484">
        <f>AO1040</f>
        <v>7902</v>
      </c>
      <c r="AO1040" s="39">
        <v>7902</v>
      </c>
      <c r="AP1040" s="113">
        <v>8364</v>
      </c>
      <c r="AQ1040" s="191">
        <v>7965</v>
      </c>
      <c r="AR1040" s="484">
        <v>7055</v>
      </c>
      <c r="AS1040" s="484">
        <f>AT1040</f>
        <v>7288</v>
      </c>
      <c r="AT1040" s="39">
        <v>7288</v>
      </c>
      <c r="AU1040" s="113">
        <v>7201</v>
      </c>
      <c r="AV1040" s="191">
        <v>6894</v>
      </c>
      <c r="AW1040" s="289">
        <v>6835</v>
      </c>
      <c r="AX1040" s="113">
        <f>AW1040+AX923</f>
        <v>6863.627856439377</v>
      </c>
      <c r="AY1040" s="104">
        <f>AX1040</f>
        <v>6863.627856439377</v>
      </c>
      <c r="AZ1040" s="113">
        <f ca="1">AY1040+AZ923</f>
        <v>6927.2505682725268</v>
      </c>
      <c r="BA1040" s="113">
        <f ca="1">AZ1040+BA923</f>
        <v>6966.5247481073629</v>
      </c>
      <c r="BB1040" s="113">
        <f ca="1">BA1040+BB923</f>
        <v>7020.1542242781397</v>
      </c>
      <c r="BC1040" s="113">
        <f ca="1">BB1040+BC923</f>
        <v>7080.3537977358947</v>
      </c>
      <c r="BD1040" s="104">
        <f ca="1">BC1040</f>
        <v>7080.3537977358947</v>
      </c>
      <c r="BE1040" s="104">
        <f ca="1">BD1040+BE923</f>
        <v>7377.0499009408704</v>
      </c>
      <c r="BF1040" s="104">
        <f ca="1">BE1040+BF923</f>
        <v>7700.8191104091393</v>
      </c>
      <c r="BG1040" s="104">
        <f ca="1">BF1040+BG923</f>
        <v>8048.0417245761755</v>
      </c>
      <c r="BH1040" s="484"/>
    </row>
    <row r="1041" spans="1:60" s="49" customFormat="1" x14ac:dyDescent="0.25">
      <c r="A1041" s="483" t="s">
        <v>352</v>
      </c>
      <c r="B1041" s="209"/>
      <c r="C1041" s="104"/>
      <c r="D1041" s="104"/>
      <c r="E1041" s="104"/>
      <c r="F1041" s="104"/>
      <c r="G1041" s="113"/>
      <c r="H1041" s="113"/>
      <c r="I1041" s="113"/>
      <c r="J1041" s="113"/>
      <c r="K1041" s="104"/>
      <c r="L1041" s="113"/>
      <c r="M1041" s="113"/>
      <c r="N1041" s="113"/>
      <c r="O1041" s="113"/>
      <c r="P1041" s="104"/>
      <c r="Q1041" s="113"/>
      <c r="R1041" s="113"/>
      <c r="S1041" s="113"/>
      <c r="T1041" s="113"/>
      <c r="U1041" s="104"/>
      <c r="V1041" s="113"/>
      <c r="W1041" s="113"/>
      <c r="X1041" s="113"/>
      <c r="Y1041" s="113"/>
      <c r="Z1041" s="104"/>
      <c r="AA1041" s="113"/>
      <c r="AB1041" s="113"/>
      <c r="AC1041" s="113"/>
      <c r="AD1041" s="113"/>
      <c r="AE1041" s="104"/>
      <c r="AF1041" s="113"/>
      <c r="AG1041" s="113"/>
      <c r="AH1041" s="113"/>
      <c r="AI1041" s="113"/>
      <c r="AJ1041" s="104"/>
      <c r="AK1041" s="113"/>
      <c r="AL1041" s="191">
        <v>2659</v>
      </c>
      <c r="AM1041" s="484">
        <v>2353</v>
      </c>
      <c r="AN1041" s="113"/>
      <c r="AO1041" s="104"/>
      <c r="AP1041" s="113"/>
      <c r="AQ1041" s="113"/>
      <c r="AR1041" s="113"/>
      <c r="AS1041" s="113"/>
      <c r="AT1041" s="104"/>
      <c r="AU1041" s="113"/>
      <c r="AV1041" s="113"/>
      <c r="AW1041" s="699"/>
      <c r="AX1041" s="113">
        <f t="shared" ref="AX1041:AX1043" si="1135">AW1041</f>
        <v>0</v>
      </c>
      <c r="AY1041" s="104">
        <f>AX1041</f>
        <v>0</v>
      </c>
      <c r="AZ1041" s="113">
        <f t="shared" ref="AZ1041:BC1043" si="1136">AY1041</f>
        <v>0</v>
      </c>
      <c r="BA1041" s="113">
        <f t="shared" si="1136"/>
        <v>0</v>
      </c>
      <c r="BB1041" s="113">
        <f t="shared" si="1136"/>
        <v>0</v>
      </c>
      <c r="BC1041" s="113">
        <f t="shared" si="1136"/>
        <v>0</v>
      </c>
      <c r="BD1041" s="104">
        <f>BC1041</f>
        <v>0</v>
      </c>
      <c r="BE1041" s="104">
        <f t="shared" ref="BE1041:BG1043" si="1137">BD1041</f>
        <v>0</v>
      </c>
      <c r="BF1041" s="104">
        <f t="shared" si="1137"/>
        <v>0</v>
      </c>
      <c r="BG1041" s="104">
        <f t="shared" si="1137"/>
        <v>0</v>
      </c>
      <c r="BH1041" s="484"/>
    </row>
    <row r="1042" spans="1:60" s="49" customFormat="1" x14ac:dyDescent="0.25">
      <c r="A1042" s="483" t="s">
        <v>353</v>
      </c>
      <c r="B1042" s="209"/>
      <c r="C1042" s="39">
        <v>5444</v>
      </c>
      <c r="D1042" s="39">
        <v>6104</v>
      </c>
      <c r="E1042" s="39">
        <v>6795</v>
      </c>
      <c r="F1042" s="39">
        <v>7179</v>
      </c>
      <c r="G1042" s="484">
        <v>7287</v>
      </c>
      <c r="H1042" s="484">
        <v>7290</v>
      </c>
      <c r="I1042" s="484">
        <v>7048</v>
      </c>
      <c r="J1042" s="484">
        <f>K1042</f>
        <v>4561</v>
      </c>
      <c r="K1042" s="39">
        <v>4561</v>
      </c>
      <c r="L1042" s="484">
        <v>4473</v>
      </c>
      <c r="M1042" s="484">
        <v>4641</v>
      </c>
      <c r="N1042" s="484">
        <v>4480</v>
      </c>
      <c r="O1042" s="484">
        <f>P1042</f>
        <v>5942</v>
      </c>
      <c r="P1042" s="39">
        <v>5942</v>
      </c>
      <c r="Q1042" s="484">
        <v>5857</v>
      </c>
      <c r="R1042" s="484">
        <v>5994</v>
      </c>
      <c r="S1042" s="484">
        <v>5767</v>
      </c>
      <c r="T1042" s="484">
        <f>U1042</f>
        <v>6369</v>
      </c>
      <c r="U1042" s="39">
        <v>6369</v>
      </c>
      <c r="V1042" s="484">
        <v>6288</v>
      </c>
      <c r="W1042" s="484">
        <v>5770</v>
      </c>
      <c r="X1042" s="484">
        <v>5491</v>
      </c>
      <c r="Y1042" s="484">
        <f>Z1042</f>
        <v>7706</v>
      </c>
      <c r="Z1042" s="39">
        <v>7706</v>
      </c>
      <c r="AA1042" s="113">
        <v>6402</v>
      </c>
      <c r="AB1042" s="191">
        <v>6381</v>
      </c>
      <c r="AC1042" s="484">
        <v>6581</v>
      </c>
      <c r="AD1042" s="484">
        <f>AE1042</f>
        <v>6443</v>
      </c>
      <c r="AE1042" s="39">
        <v>6443</v>
      </c>
      <c r="AF1042" s="113">
        <v>6726</v>
      </c>
      <c r="AG1042" s="191">
        <v>6699</v>
      </c>
      <c r="AH1042" s="484">
        <v>6467</v>
      </c>
      <c r="AI1042" s="484">
        <f>AJ1042</f>
        <v>6590</v>
      </c>
      <c r="AJ1042" s="39">
        <v>6590</v>
      </c>
      <c r="AK1042" s="113">
        <v>6452</v>
      </c>
      <c r="AL1042" s="191">
        <v>12854</v>
      </c>
      <c r="AM1042" s="484">
        <v>10561</v>
      </c>
      <c r="AN1042" s="484">
        <f>AO1042</f>
        <v>13760</v>
      </c>
      <c r="AO1042" s="39">
        <v>13760</v>
      </c>
      <c r="AP1042" s="113">
        <v>15928</v>
      </c>
      <c r="AQ1042" s="191">
        <v>16113</v>
      </c>
      <c r="AR1042" s="484">
        <v>15855</v>
      </c>
      <c r="AS1042" s="484">
        <f>AT1042</f>
        <v>17204</v>
      </c>
      <c r="AT1042" s="39">
        <v>17204</v>
      </c>
      <c r="AU1042" s="113">
        <v>17205</v>
      </c>
      <c r="AV1042" s="191">
        <v>16615</v>
      </c>
      <c r="AW1042" s="289">
        <v>16249</v>
      </c>
      <c r="AX1042" s="113">
        <f t="shared" si="1135"/>
        <v>16249</v>
      </c>
      <c r="AY1042" s="104">
        <f>AX1042</f>
        <v>16249</v>
      </c>
      <c r="AZ1042" s="113">
        <f t="shared" si="1136"/>
        <v>16249</v>
      </c>
      <c r="BA1042" s="113">
        <f t="shared" si="1136"/>
        <v>16249</v>
      </c>
      <c r="BB1042" s="113">
        <f t="shared" si="1136"/>
        <v>16249</v>
      </c>
      <c r="BC1042" s="113">
        <f t="shared" si="1136"/>
        <v>16249</v>
      </c>
      <c r="BD1042" s="104">
        <f>BC1042</f>
        <v>16249</v>
      </c>
      <c r="BE1042" s="104">
        <f t="shared" si="1137"/>
        <v>16249</v>
      </c>
      <c r="BF1042" s="104">
        <f t="shared" si="1137"/>
        <v>16249</v>
      </c>
      <c r="BG1042" s="104">
        <f t="shared" si="1137"/>
        <v>16249</v>
      </c>
      <c r="BH1042" s="484"/>
    </row>
    <row r="1043" spans="1:60" s="49" customFormat="1" x14ac:dyDescent="0.25">
      <c r="A1043" s="483" t="s">
        <v>354</v>
      </c>
      <c r="B1043" s="209"/>
      <c r="C1043" s="104"/>
      <c r="D1043" s="104"/>
      <c r="E1043" s="104"/>
      <c r="F1043" s="104"/>
      <c r="G1043" s="113"/>
      <c r="H1043" s="113"/>
      <c r="I1043" s="113"/>
      <c r="J1043" s="113"/>
      <c r="K1043" s="104"/>
      <c r="L1043" s="113"/>
      <c r="M1043" s="113"/>
      <c r="N1043" s="113"/>
      <c r="O1043" s="113"/>
      <c r="P1043" s="104"/>
      <c r="Q1043" s="113"/>
      <c r="R1043" s="113"/>
      <c r="S1043" s="113"/>
      <c r="T1043" s="113"/>
      <c r="U1043" s="104"/>
      <c r="V1043" s="113"/>
      <c r="W1043" s="113"/>
      <c r="X1043" s="113"/>
      <c r="Y1043" s="113"/>
      <c r="Z1043" s="104"/>
      <c r="AA1043" s="113"/>
      <c r="AB1043" s="113"/>
      <c r="AC1043" s="113"/>
      <c r="AD1043" s="484">
        <f>AE1043</f>
        <v>1148</v>
      </c>
      <c r="AE1043" s="39">
        <v>1148</v>
      </c>
      <c r="AF1043" s="113">
        <v>1142</v>
      </c>
      <c r="AG1043" s="191">
        <v>1150</v>
      </c>
      <c r="AH1043" s="484">
        <v>1137</v>
      </c>
      <c r="AI1043" s="484">
        <f>AJ1043</f>
        <v>1123</v>
      </c>
      <c r="AJ1043" s="39">
        <v>1123</v>
      </c>
      <c r="AK1043" s="113">
        <v>1124</v>
      </c>
      <c r="AL1043" s="191">
        <v>1103</v>
      </c>
      <c r="AM1043" s="484">
        <v>8897</v>
      </c>
      <c r="AN1043" s="484">
        <f>AO1043</f>
        <v>8963</v>
      </c>
      <c r="AO1043" s="39">
        <v>8963</v>
      </c>
      <c r="AP1043" s="113">
        <v>9029</v>
      </c>
      <c r="AQ1043" s="191">
        <v>9096</v>
      </c>
      <c r="AR1043" s="484">
        <v>9162</v>
      </c>
      <c r="AS1043" s="484">
        <f>AT1043</f>
        <v>9249</v>
      </c>
      <c r="AT1043" s="39">
        <v>9249</v>
      </c>
      <c r="AU1043" s="113">
        <v>9330</v>
      </c>
      <c r="AV1043" s="191">
        <v>9410</v>
      </c>
      <c r="AW1043" s="289">
        <v>9492</v>
      </c>
      <c r="AX1043" s="113">
        <f t="shared" si="1135"/>
        <v>9492</v>
      </c>
      <c r="AY1043" s="104">
        <f>AX1043</f>
        <v>9492</v>
      </c>
      <c r="AZ1043" s="113">
        <f t="shared" si="1136"/>
        <v>9492</v>
      </c>
      <c r="BA1043" s="113">
        <f t="shared" si="1136"/>
        <v>9492</v>
      </c>
      <c r="BB1043" s="113">
        <f t="shared" si="1136"/>
        <v>9492</v>
      </c>
      <c r="BC1043" s="113">
        <f t="shared" si="1136"/>
        <v>9492</v>
      </c>
      <c r="BD1043" s="104">
        <f>BC1043</f>
        <v>9492</v>
      </c>
      <c r="BE1043" s="104">
        <f t="shared" si="1137"/>
        <v>9492</v>
      </c>
      <c r="BF1043" s="104">
        <f t="shared" si="1137"/>
        <v>9492</v>
      </c>
      <c r="BG1043" s="104">
        <f t="shared" si="1137"/>
        <v>9492</v>
      </c>
      <c r="BH1043" s="484"/>
    </row>
    <row r="1044" spans="1:60" s="52" customFormat="1" x14ac:dyDescent="0.25">
      <c r="A1044" s="500" t="s">
        <v>355</v>
      </c>
      <c r="B1044" s="775"/>
      <c r="C1044" s="53">
        <f t="shared" ref="C1044:AH1044" si="1138">SUM(C1039:C1043)</f>
        <v>18758</v>
      </c>
      <c r="D1044" s="53">
        <f t="shared" si="1138"/>
        <v>18864</v>
      </c>
      <c r="E1044" s="53">
        <f t="shared" si="1138"/>
        <v>20583</v>
      </c>
      <c r="F1044" s="53">
        <f t="shared" si="1138"/>
        <v>20127</v>
      </c>
      <c r="G1044" s="61">
        <f t="shared" si="1138"/>
        <v>22774</v>
      </c>
      <c r="H1044" s="61">
        <f t="shared" si="1138"/>
        <v>23761</v>
      </c>
      <c r="I1044" s="61">
        <f t="shared" si="1138"/>
        <v>23317</v>
      </c>
      <c r="J1044" s="61">
        <f t="shared" si="1138"/>
        <v>21387</v>
      </c>
      <c r="K1044" s="53">
        <f t="shared" si="1138"/>
        <v>21387</v>
      </c>
      <c r="L1044" s="61">
        <f t="shared" si="1138"/>
        <v>20174</v>
      </c>
      <c r="M1044" s="61">
        <f t="shared" si="1138"/>
        <v>19778</v>
      </c>
      <c r="N1044" s="61">
        <f t="shared" si="1138"/>
        <v>21760</v>
      </c>
      <c r="O1044" s="61">
        <f t="shared" si="1138"/>
        <v>22671</v>
      </c>
      <c r="P1044" s="53">
        <f t="shared" si="1138"/>
        <v>22671</v>
      </c>
      <c r="Q1044" s="61">
        <f t="shared" si="1138"/>
        <v>22438</v>
      </c>
      <c r="R1044" s="61">
        <f t="shared" si="1138"/>
        <v>22568</v>
      </c>
      <c r="S1044" s="61">
        <f t="shared" si="1138"/>
        <v>22034</v>
      </c>
      <c r="T1044" s="61">
        <f t="shared" si="1138"/>
        <v>23193</v>
      </c>
      <c r="U1044" s="53">
        <f t="shared" si="1138"/>
        <v>23193</v>
      </c>
      <c r="V1044" s="61">
        <f t="shared" si="1138"/>
        <v>23127</v>
      </c>
      <c r="W1044" s="61">
        <f t="shared" si="1138"/>
        <v>25181</v>
      </c>
      <c r="X1044" s="61">
        <f t="shared" si="1138"/>
        <v>24696</v>
      </c>
      <c r="Y1044" s="61">
        <f t="shared" si="1138"/>
        <v>27868</v>
      </c>
      <c r="Z1044" s="53">
        <f t="shared" si="1138"/>
        <v>27868</v>
      </c>
      <c r="AA1044" s="105">
        <f t="shared" si="1138"/>
        <v>25082</v>
      </c>
      <c r="AB1044" s="192">
        <f t="shared" si="1138"/>
        <v>27175</v>
      </c>
      <c r="AC1044" s="61">
        <f t="shared" si="1138"/>
        <v>29607</v>
      </c>
      <c r="AD1044" s="61">
        <f t="shared" si="1138"/>
        <v>31190</v>
      </c>
      <c r="AE1044" s="53">
        <f t="shared" si="1138"/>
        <v>31190</v>
      </c>
      <c r="AF1044" s="105">
        <f t="shared" si="1138"/>
        <v>30776</v>
      </c>
      <c r="AG1044" s="192">
        <f t="shared" si="1138"/>
        <v>29564</v>
      </c>
      <c r="AH1044" s="61">
        <f t="shared" si="1138"/>
        <v>28507</v>
      </c>
      <c r="AI1044" s="61">
        <f t="shared" ref="AI1044:AY1044" si="1139">SUM(AI1039:AI1043)</f>
        <v>27906</v>
      </c>
      <c r="AJ1044" s="53">
        <f t="shared" si="1139"/>
        <v>27906</v>
      </c>
      <c r="AK1044" s="105">
        <f t="shared" si="1139"/>
        <v>27929</v>
      </c>
      <c r="AL1044" s="192">
        <f t="shared" si="1139"/>
        <v>65627</v>
      </c>
      <c r="AM1044" s="61">
        <f t="shared" si="1139"/>
        <v>68526</v>
      </c>
      <c r="AN1044" s="61">
        <f t="shared" si="1139"/>
        <v>68754</v>
      </c>
      <c r="AO1044" s="53">
        <f t="shared" si="1139"/>
        <v>68754</v>
      </c>
      <c r="AP1044" s="105">
        <f t="shared" si="1139"/>
        <v>71378</v>
      </c>
      <c r="AQ1044" s="192">
        <f t="shared" si="1139"/>
        <v>75944</v>
      </c>
      <c r="AR1044" s="61">
        <f t="shared" si="1139"/>
        <v>86269</v>
      </c>
      <c r="AS1044" s="61">
        <f>SUM(AS1039:AS1043)</f>
        <v>86658</v>
      </c>
      <c r="AT1044" s="53">
        <f>SUM(AT1039:AT1043)</f>
        <v>86658</v>
      </c>
      <c r="AU1044" s="105">
        <f>SUM(AU1039:AU1043)</f>
        <v>86614</v>
      </c>
      <c r="AV1044" s="192">
        <f>SUM(AV1039:AV1043)</f>
        <v>83822</v>
      </c>
      <c r="AW1044" s="872">
        <f>SUM(AW1039:AW1043)</f>
        <v>83686</v>
      </c>
      <c r="AX1044" s="105">
        <f t="shared" ref="AX1044" si="1140">SUM(AX1039:AX1043)</f>
        <v>83714.627856439387</v>
      </c>
      <c r="AY1044" s="106">
        <f t="shared" si="1139"/>
        <v>83714.627856439387</v>
      </c>
      <c r="AZ1044" s="105">
        <f t="shared" ref="AZ1044:BG1044" ca="1" si="1141">SUM(AZ1039:AZ1043)</f>
        <v>83778.250568272517</v>
      </c>
      <c r="BA1044" s="105">
        <f t="shared" ca="1" si="1141"/>
        <v>83817.52474810736</v>
      </c>
      <c r="BB1044" s="105">
        <f t="shared" ca="1" si="1141"/>
        <v>83871.154224278143</v>
      </c>
      <c r="BC1044" s="105">
        <f t="shared" ca="1" si="1141"/>
        <v>83931.353797735894</v>
      </c>
      <c r="BD1044" s="106">
        <f t="shared" ca="1" si="1141"/>
        <v>83931.353797735894</v>
      </c>
      <c r="BE1044" s="106">
        <f t="shared" ca="1" si="1141"/>
        <v>84228.049900940867</v>
      </c>
      <c r="BF1044" s="106">
        <f t="shared" ca="1" si="1141"/>
        <v>84551.819110409138</v>
      </c>
      <c r="BG1044" s="106">
        <f t="shared" ca="1" si="1141"/>
        <v>84899.041724576178</v>
      </c>
      <c r="BH1044" s="499"/>
    </row>
    <row r="1045" spans="1:60" s="52" customFormat="1" x14ac:dyDescent="0.25">
      <c r="A1045" s="501" t="s">
        <v>356</v>
      </c>
      <c r="B1045" s="602"/>
      <c r="C1045" s="51">
        <f t="shared" ref="C1045:AH1045" si="1142">C1036+C1044</f>
        <v>27692</v>
      </c>
      <c r="D1045" s="51">
        <f t="shared" si="1142"/>
        <v>29864</v>
      </c>
      <c r="E1045" s="51">
        <f t="shared" si="1142"/>
        <v>32671</v>
      </c>
      <c r="F1045" s="51">
        <f t="shared" si="1142"/>
        <v>32940</v>
      </c>
      <c r="G1045" s="499">
        <f t="shared" si="1142"/>
        <v>37272</v>
      </c>
      <c r="H1045" s="499">
        <f t="shared" si="1142"/>
        <v>37214</v>
      </c>
      <c r="I1045" s="499">
        <f t="shared" si="1142"/>
        <v>34658</v>
      </c>
      <c r="J1045" s="499">
        <f t="shared" si="1142"/>
        <v>33091</v>
      </c>
      <c r="K1045" s="51">
        <f t="shared" si="1142"/>
        <v>33091</v>
      </c>
      <c r="L1045" s="499">
        <f t="shared" si="1142"/>
        <v>35870</v>
      </c>
      <c r="M1045" s="499">
        <f t="shared" si="1142"/>
        <v>34940</v>
      </c>
      <c r="N1045" s="499">
        <f t="shared" si="1142"/>
        <v>35111</v>
      </c>
      <c r="O1045" s="499">
        <f t="shared" si="1142"/>
        <v>35963</v>
      </c>
      <c r="P1045" s="51">
        <f t="shared" si="1142"/>
        <v>35963</v>
      </c>
      <c r="Q1045" s="499">
        <f t="shared" si="1142"/>
        <v>39242</v>
      </c>
      <c r="R1045" s="499">
        <f t="shared" si="1142"/>
        <v>35978</v>
      </c>
      <c r="S1045" s="499">
        <f t="shared" si="1142"/>
        <v>36860</v>
      </c>
      <c r="T1045" s="499">
        <f t="shared" si="1142"/>
        <v>39527</v>
      </c>
      <c r="U1045" s="51">
        <f t="shared" si="1142"/>
        <v>39527</v>
      </c>
      <c r="V1045" s="499">
        <f t="shared" si="1142"/>
        <v>41923</v>
      </c>
      <c r="W1045" s="499">
        <f t="shared" si="1142"/>
        <v>42254</v>
      </c>
      <c r="X1045" s="499">
        <f t="shared" si="1142"/>
        <v>42768</v>
      </c>
      <c r="Y1045" s="499">
        <f t="shared" si="1142"/>
        <v>44710</v>
      </c>
      <c r="Z1045" s="51">
        <f t="shared" si="1142"/>
        <v>44710</v>
      </c>
      <c r="AA1045" s="114">
        <f t="shared" si="1142"/>
        <v>44399</v>
      </c>
      <c r="AB1045" s="194">
        <f t="shared" si="1142"/>
        <v>44540</v>
      </c>
      <c r="AC1045" s="499">
        <f t="shared" si="1142"/>
        <v>46701</v>
      </c>
      <c r="AD1045" s="499">
        <f t="shared" si="1142"/>
        <v>50785</v>
      </c>
      <c r="AE1045" s="51">
        <f t="shared" si="1142"/>
        <v>50785</v>
      </c>
      <c r="AF1045" s="114">
        <f t="shared" si="1142"/>
        <v>50651</v>
      </c>
      <c r="AG1045" s="194">
        <f t="shared" si="1142"/>
        <v>49292</v>
      </c>
      <c r="AH1045" s="499">
        <f t="shared" si="1142"/>
        <v>48721</v>
      </c>
      <c r="AI1045" s="499">
        <f t="shared" ref="AI1045:AY1045" si="1143">AI1036+AI1044</f>
        <v>45766</v>
      </c>
      <c r="AJ1045" s="51">
        <f t="shared" si="1143"/>
        <v>45766</v>
      </c>
      <c r="AK1045" s="114">
        <f t="shared" si="1143"/>
        <v>45548</v>
      </c>
      <c r="AL1045" s="194">
        <f t="shared" si="1143"/>
        <v>110003</v>
      </c>
      <c r="AM1045" s="499">
        <f t="shared" si="1143"/>
        <v>113119</v>
      </c>
      <c r="AN1045" s="499">
        <f t="shared" si="1143"/>
        <v>100095</v>
      </c>
      <c r="AO1045" s="51">
        <f t="shared" si="1143"/>
        <v>100095</v>
      </c>
      <c r="AP1045" s="114">
        <f t="shared" si="1143"/>
        <v>106175</v>
      </c>
      <c r="AQ1045" s="194">
        <f t="shared" si="1143"/>
        <v>111417</v>
      </c>
      <c r="AR1045" s="499">
        <f t="shared" si="1143"/>
        <v>117186</v>
      </c>
      <c r="AS1045" s="499">
        <f>AS1036+AS1044</f>
        <v>113286</v>
      </c>
      <c r="AT1045" s="51">
        <f>AT1036+AT1044</f>
        <v>113286</v>
      </c>
      <c r="AU1045" s="114">
        <f>AU1036+AU1044</f>
        <v>113160</v>
      </c>
      <c r="AV1045" s="194">
        <f>AV1036+AV1044</f>
        <v>110464</v>
      </c>
      <c r="AW1045" s="873">
        <f>AW1036+AW1044</f>
        <v>111099</v>
      </c>
      <c r="AX1045" s="114">
        <f t="shared" ref="AX1045" si="1144">AX1036+AX1044</f>
        <v>123109.26875615818</v>
      </c>
      <c r="AY1045" s="111">
        <f t="shared" si="1143"/>
        <v>123109.26875615818</v>
      </c>
      <c r="AZ1045" s="114">
        <f t="shared" ref="AZ1045:BG1045" ca="1" si="1145">AZ1036+AZ1044</f>
        <v>113230.3717163447</v>
      </c>
      <c r="BA1045" s="114">
        <f t="shared" ca="1" si="1145"/>
        <v>115790.7412571996</v>
      </c>
      <c r="BB1045" s="114">
        <f t="shared" ca="1" si="1145"/>
        <v>117196.05528078682</v>
      </c>
      <c r="BC1045" s="114">
        <f t="shared" ca="1" si="1145"/>
        <v>115821.1946451353</v>
      </c>
      <c r="BD1045" s="111">
        <f t="shared" ca="1" si="1145"/>
        <v>115821.1946451353</v>
      </c>
      <c r="BE1045" s="111">
        <f t="shared" ca="1" si="1145"/>
        <v>118405.23970769896</v>
      </c>
      <c r="BF1045" s="111">
        <f t="shared" ca="1" si="1145"/>
        <v>120535.95587061939</v>
      </c>
      <c r="BG1045" s="111">
        <f t="shared" ca="1" si="1145"/>
        <v>123249.69062167655</v>
      </c>
      <c r="BH1045" s="499"/>
    </row>
    <row r="1046" spans="1:60" s="52" customFormat="1" x14ac:dyDescent="0.25">
      <c r="A1046" s="635"/>
      <c r="B1046" s="602"/>
      <c r="C1046" s="111"/>
      <c r="D1046" s="111"/>
      <c r="E1046" s="111"/>
      <c r="F1046" s="111"/>
      <c r="G1046" s="114"/>
      <c r="H1046" s="114"/>
      <c r="I1046" s="114"/>
      <c r="J1046" s="114"/>
      <c r="K1046" s="111"/>
      <c r="L1046" s="114"/>
      <c r="M1046" s="114"/>
      <c r="N1046" s="114"/>
      <c r="O1046" s="114"/>
      <c r="P1046" s="111"/>
      <c r="Q1046" s="114"/>
      <c r="R1046" s="114"/>
      <c r="S1046" s="114"/>
      <c r="T1046" s="114"/>
      <c r="U1046" s="111"/>
      <c r="V1046" s="114"/>
      <c r="W1046" s="114"/>
      <c r="X1046" s="114"/>
      <c r="Y1046" s="114"/>
      <c r="Z1046" s="111"/>
      <c r="AA1046" s="114"/>
      <c r="AB1046" s="114"/>
      <c r="AC1046" s="114"/>
      <c r="AD1046" s="114"/>
      <c r="AE1046" s="111"/>
      <c r="AF1046" s="114"/>
      <c r="AG1046" s="114"/>
      <c r="AH1046" s="114"/>
      <c r="AI1046" s="114"/>
      <c r="AJ1046" s="111"/>
      <c r="AK1046" s="114"/>
      <c r="AL1046" s="114"/>
      <c r="AM1046" s="114"/>
      <c r="AN1046" s="114"/>
      <c r="AO1046" s="111"/>
      <c r="AP1046" s="114"/>
      <c r="AQ1046" s="114"/>
      <c r="AR1046" s="114"/>
      <c r="AS1046" s="114"/>
      <c r="AT1046" s="111"/>
      <c r="AU1046" s="114"/>
      <c r="AV1046" s="114"/>
      <c r="AW1046" s="765"/>
      <c r="AX1046" s="114"/>
      <c r="AY1046" s="111"/>
      <c r="AZ1046" s="114"/>
      <c r="BA1046" s="114"/>
      <c r="BB1046" s="114"/>
      <c r="BC1046" s="114"/>
      <c r="BD1046" s="111"/>
      <c r="BE1046" s="111"/>
      <c r="BF1046" s="111"/>
      <c r="BG1046" s="111"/>
      <c r="BH1046" s="499"/>
    </row>
    <row r="1047" spans="1:60" s="52" customFormat="1" x14ac:dyDescent="0.25">
      <c r="A1047" s="93" t="s">
        <v>357</v>
      </c>
      <c r="B1047" s="602"/>
      <c r="C1047" s="111"/>
      <c r="D1047" s="111"/>
      <c r="E1047" s="111"/>
      <c r="F1047" s="111"/>
      <c r="G1047" s="114"/>
      <c r="H1047" s="114"/>
      <c r="I1047" s="114"/>
      <c r="J1047" s="114"/>
      <c r="K1047" s="111"/>
      <c r="L1047" s="114"/>
      <c r="M1047" s="114"/>
      <c r="N1047" s="114"/>
      <c r="O1047" s="114"/>
      <c r="P1047" s="111"/>
      <c r="Q1047" s="114"/>
      <c r="R1047" s="114"/>
      <c r="S1047" s="114"/>
      <c r="T1047" s="114"/>
      <c r="U1047" s="111"/>
      <c r="V1047" s="114"/>
      <c r="W1047" s="114"/>
      <c r="X1047" s="114"/>
      <c r="Y1047" s="114"/>
      <c r="Z1047" s="111"/>
      <c r="AA1047" s="114"/>
      <c r="AB1047" s="114"/>
      <c r="AC1047" s="114"/>
      <c r="AD1047" s="114"/>
      <c r="AE1047" s="111"/>
      <c r="AF1047" s="114"/>
      <c r="AG1047" s="114"/>
      <c r="AH1047" s="114"/>
      <c r="AI1047" s="114"/>
      <c r="AJ1047" s="111"/>
      <c r="AK1047" s="114"/>
      <c r="AL1047" s="114"/>
      <c r="AM1047" s="114"/>
      <c r="AN1047" s="114"/>
      <c r="AO1047" s="111"/>
      <c r="AP1047" s="114"/>
      <c r="AQ1047" s="114"/>
      <c r="AR1047" s="114"/>
      <c r="AS1047" s="114"/>
      <c r="AT1047" s="111"/>
      <c r="AU1047" s="114"/>
      <c r="AV1047" s="114"/>
      <c r="AW1047" s="765"/>
      <c r="AX1047" s="114"/>
      <c r="AY1047" s="111"/>
      <c r="AZ1047" s="114"/>
      <c r="BA1047" s="114"/>
      <c r="BB1047" s="114"/>
      <c r="BC1047" s="114"/>
      <c r="BD1047" s="111"/>
      <c r="BE1047" s="111"/>
      <c r="BF1047" s="111"/>
      <c r="BG1047" s="111"/>
      <c r="BH1047" s="499"/>
    </row>
    <row r="1048" spans="1:60" s="49" customFormat="1" x14ac:dyDescent="0.25">
      <c r="A1048" s="483" t="s">
        <v>358</v>
      </c>
      <c r="B1048" s="209"/>
      <c r="C1048" s="39">
        <v>0</v>
      </c>
      <c r="D1048" s="39">
        <v>0</v>
      </c>
      <c r="E1048" s="39">
        <v>0</v>
      </c>
      <c r="F1048" s="39">
        <v>0</v>
      </c>
      <c r="G1048" s="484">
        <v>0</v>
      </c>
      <c r="H1048" s="484">
        <v>0</v>
      </c>
      <c r="I1048" s="484">
        <v>0</v>
      </c>
      <c r="J1048" s="484">
        <f>K1048</f>
        <v>0</v>
      </c>
      <c r="K1048" s="39">
        <v>0</v>
      </c>
      <c r="L1048" s="484">
        <v>0</v>
      </c>
      <c r="M1048" s="484">
        <v>0</v>
      </c>
      <c r="N1048" s="484">
        <v>0</v>
      </c>
      <c r="O1048" s="484">
        <f>P1048</f>
        <v>0</v>
      </c>
      <c r="P1048" s="39">
        <v>0</v>
      </c>
      <c r="Q1048" s="484">
        <v>0</v>
      </c>
      <c r="R1048" s="484">
        <v>0</v>
      </c>
      <c r="S1048" s="484">
        <v>0</v>
      </c>
      <c r="T1048" s="484">
        <f>U1048</f>
        <v>0</v>
      </c>
      <c r="U1048" s="39">
        <v>0</v>
      </c>
      <c r="V1048" s="484">
        <v>0</v>
      </c>
      <c r="W1048" s="484">
        <v>0</v>
      </c>
      <c r="X1048" s="484">
        <v>0</v>
      </c>
      <c r="Y1048" s="484">
        <f>Z1048</f>
        <v>0</v>
      </c>
      <c r="Z1048" s="39">
        <v>0</v>
      </c>
      <c r="AA1048" s="113">
        <v>0</v>
      </c>
      <c r="AB1048" s="191">
        <v>0</v>
      </c>
      <c r="AC1048" s="113"/>
      <c r="AD1048" s="484">
        <f>AE1048</f>
        <v>0</v>
      </c>
      <c r="AE1048" s="104"/>
      <c r="AF1048" s="113"/>
      <c r="AG1048" s="113"/>
      <c r="AH1048" s="113"/>
      <c r="AI1048" s="484">
        <f>AJ1048</f>
        <v>0</v>
      </c>
      <c r="AJ1048" s="104"/>
      <c r="AK1048" s="113"/>
      <c r="AL1048" s="113"/>
      <c r="AM1048" s="113"/>
      <c r="AN1048" s="484">
        <f>AO1048</f>
        <v>0</v>
      </c>
      <c r="AO1048" s="104"/>
      <c r="AP1048" s="113"/>
      <c r="AQ1048" s="113"/>
      <c r="AR1048" s="113"/>
      <c r="AS1048" s="484">
        <f>AT1048</f>
        <v>0</v>
      </c>
      <c r="AT1048" s="104"/>
      <c r="AU1048" s="113"/>
      <c r="AV1048" s="113"/>
      <c r="AW1048" s="699"/>
      <c r="AX1048" s="113">
        <f>AW1048</f>
        <v>0</v>
      </c>
      <c r="AY1048" s="104">
        <f>AX1048</f>
        <v>0</v>
      </c>
      <c r="AZ1048" s="113">
        <f t="shared" ref="AZ1048:BG1048" si="1146">AY1048</f>
        <v>0</v>
      </c>
      <c r="BA1048" s="113">
        <f t="shared" si="1146"/>
        <v>0</v>
      </c>
      <c r="BB1048" s="113">
        <f t="shared" si="1146"/>
        <v>0</v>
      </c>
      <c r="BC1048" s="113">
        <f t="shared" si="1146"/>
        <v>0</v>
      </c>
      <c r="BD1048" s="104">
        <f t="shared" si="1146"/>
        <v>0</v>
      </c>
      <c r="BE1048" s="104">
        <f t="shared" si="1146"/>
        <v>0</v>
      </c>
      <c r="BF1048" s="104">
        <f t="shared" si="1146"/>
        <v>0</v>
      </c>
      <c r="BG1048" s="104">
        <f t="shared" si="1146"/>
        <v>0</v>
      </c>
      <c r="BH1048" s="484"/>
    </row>
    <row r="1049" spans="1:60" s="49" customFormat="1" x14ac:dyDescent="0.25">
      <c r="A1049" s="483" t="s">
        <v>359</v>
      </c>
      <c r="B1049" s="209"/>
      <c r="C1049" s="39">
        <v>27038</v>
      </c>
      <c r="D1049" s="39">
        <v>28736</v>
      </c>
      <c r="E1049" s="39">
        <v>30296</v>
      </c>
      <c r="F1049" s="39">
        <v>31731</v>
      </c>
      <c r="G1049" s="484">
        <v>32662</v>
      </c>
      <c r="H1049" s="484">
        <v>32929</v>
      </c>
      <c r="I1049" s="484">
        <v>33245</v>
      </c>
      <c r="J1049" s="484">
        <f>K1049</f>
        <v>33440</v>
      </c>
      <c r="K1049" s="39">
        <v>33440</v>
      </c>
      <c r="L1049" s="484">
        <v>33679</v>
      </c>
      <c r="M1049" s="484">
        <v>33942</v>
      </c>
      <c r="N1049" s="484">
        <v>34123</v>
      </c>
      <c r="O1049" s="484">
        <f>P1049</f>
        <v>34301</v>
      </c>
      <c r="P1049" s="39">
        <v>34301</v>
      </c>
      <c r="Q1049" s="484">
        <v>34488</v>
      </c>
      <c r="R1049" s="484">
        <v>34720</v>
      </c>
      <c r="S1049" s="484">
        <v>34930</v>
      </c>
      <c r="T1049" s="484">
        <f>U1049</f>
        <v>35122</v>
      </c>
      <c r="U1049" s="39">
        <v>35122</v>
      </c>
      <c r="V1049" s="484">
        <v>35249</v>
      </c>
      <c r="W1049" s="484">
        <v>35448</v>
      </c>
      <c r="X1049" s="484">
        <v>35683</v>
      </c>
      <c r="Y1049" s="484">
        <f>Z1049</f>
        <v>35859</v>
      </c>
      <c r="Z1049" s="39">
        <v>35859</v>
      </c>
      <c r="AA1049" s="113">
        <v>35906</v>
      </c>
      <c r="AB1049" s="191">
        <v>36100</v>
      </c>
      <c r="AC1049" s="484">
        <v>36119</v>
      </c>
      <c r="AD1049" s="484">
        <f>AE1049</f>
        <v>36248</v>
      </c>
      <c r="AE1049" s="39">
        <v>36248</v>
      </c>
      <c r="AF1049" s="113">
        <v>36254</v>
      </c>
      <c r="AG1049" s="191">
        <v>36411</v>
      </c>
      <c r="AH1049" s="484">
        <v>36574</v>
      </c>
      <c r="AI1049" s="484">
        <f>AJ1049</f>
        <v>36779</v>
      </c>
      <c r="AJ1049" s="39">
        <v>36779</v>
      </c>
      <c r="AK1049" s="113">
        <v>36799</v>
      </c>
      <c r="AL1049" s="191">
        <v>53419</v>
      </c>
      <c r="AM1049" s="484">
        <v>53718</v>
      </c>
      <c r="AN1049" s="484">
        <f>AO1049</f>
        <v>53907</v>
      </c>
      <c r="AO1049" s="39">
        <v>53907</v>
      </c>
      <c r="AP1049" s="113">
        <v>53995</v>
      </c>
      <c r="AQ1049" s="191">
        <v>54230</v>
      </c>
      <c r="AR1049" s="484">
        <v>54386</v>
      </c>
      <c r="AS1049" s="484">
        <f>AT1049</f>
        <v>54497</v>
      </c>
      <c r="AT1049" s="39">
        <v>54497</v>
      </c>
      <c r="AU1049" s="113">
        <v>54663</v>
      </c>
      <c r="AV1049" s="191">
        <v>55000</v>
      </c>
      <c r="AW1049" s="289">
        <v>55174</v>
      </c>
      <c r="AX1049" s="113">
        <f>AW1049+AX927+INDEX(MO_CFS_Buyback,0,COLUMN())</f>
        <v>55324</v>
      </c>
      <c r="AY1049" s="104">
        <f>AX1049</f>
        <v>55324</v>
      </c>
      <c r="AZ1049" s="113">
        <f>AY1049+AZ927+INDEX(MO_CFS_Buyback,0,COLUMN())</f>
        <v>55474</v>
      </c>
      <c r="BA1049" s="113">
        <f>AZ1049+BA927+INDEX(MO_CFS_Buyback,0,COLUMN())</f>
        <v>55624</v>
      </c>
      <c r="BB1049" s="113">
        <f>BA1049+BB927+INDEX(MO_CFS_Buyback,0,COLUMN())</f>
        <v>55774</v>
      </c>
      <c r="BC1049" s="113">
        <f>BB1049+BC927+INDEX(MO_CFS_Buyback,0,COLUMN())</f>
        <v>55924</v>
      </c>
      <c r="BD1049" s="104">
        <f>BC1049</f>
        <v>55924</v>
      </c>
      <c r="BE1049" s="104">
        <f>BD1049+BE927+INDEX(MO_CFS_Buyback,0,COLUMN())</f>
        <v>56524</v>
      </c>
      <c r="BF1049" s="104">
        <f>BE1049+BF927+INDEX(MO_CFS_Buyback,0,COLUMN())</f>
        <v>57124</v>
      </c>
      <c r="BG1049" s="104">
        <f>BF1049+BG927+INDEX(MO_CFS_Buyback,0,COLUMN())</f>
        <v>57724</v>
      </c>
      <c r="BH1049" s="484"/>
    </row>
    <row r="1050" spans="1:60" s="49" customFormat="1" x14ac:dyDescent="0.25">
      <c r="A1050" s="483" t="s">
        <v>360</v>
      </c>
      <c r="B1050" s="209"/>
      <c r="C1050" s="39">
        <v>31033</v>
      </c>
      <c r="D1050" s="39">
        <v>34327</v>
      </c>
      <c r="E1050" s="39">
        <v>38375</v>
      </c>
      <c r="F1050" s="39">
        <v>42965</v>
      </c>
      <c r="G1050" s="484">
        <v>43022</v>
      </c>
      <c r="H1050" s="484">
        <v>44517</v>
      </c>
      <c r="I1050" s="484">
        <v>46364</v>
      </c>
      <c r="J1050" s="484">
        <f>K1050</f>
        <v>47758</v>
      </c>
      <c r="K1050" s="39">
        <v>47758</v>
      </c>
      <c r="L1050" s="484">
        <v>48089</v>
      </c>
      <c r="M1050" s="484">
        <v>49989</v>
      </c>
      <c r="N1050" s="484">
        <v>52235</v>
      </c>
      <c r="O1050" s="484">
        <f>P1050</f>
        <v>53734</v>
      </c>
      <c r="P1050" s="39">
        <v>53734</v>
      </c>
      <c r="Q1050" s="484">
        <v>53969</v>
      </c>
      <c r="R1050" s="484">
        <v>56058</v>
      </c>
      <c r="S1050" s="484">
        <v>57425</v>
      </c>
      <c r="T1050" s="484">
        <f>U1050</f>
        <v>59028</v>
      </c>
      <c r="U1050" s="39">
        <v>59028</v>
      </c>
      <c r="V1050" s="484">
        <v>60734</v>
      </c>
      <c r="W1050" s="484">
        <v>62870</v>
      </c>
      <c r="X1050" s="484">
        <v>64321</v>
      </c>
      <c r="Y1050" s="484">
        <f>Z1050</f>
        <v>66088</v>
      </c>
      <c r="Z1050" s="39">
        <v>66088</v>
      </c>
      <c r="AA1050" s="113">
        <v>67327</v>
      </c>
      <c r="AB1050" s="191">
        <v>69708</v>
      </c>
      <c r="AC1050" s="484">
        <v>70863</v>
      </c>
      <c r="AD1050" s="484">
        <f>AE1050</f>
        <v>72606</v>
      </c>
      <c r="AE1050" s="39">
        <v>72606</v>
      </c>
      <c r="AF1050" s="113">
        <v>75763</v>
      </c>
      <c r="AG1050" s="191">
        <v>78704</v>
      </c>
      <c r="AH1050" s="484">
        <v>80364</v>
      </c>
      <c r="AI1050" s="484">
        <f>AJ1050</f>
        <v>82679</v>
      </c>
      <c r="AJ1050" s="39">
        <v>82679</v>
      </c>
      <c r="AK1050" s="113">
        <v>84887</v>
      </c>
      <c r="AL1050" s="191">
        <v>41212</v>
      </c>
      <c r="AM1050" s="484">
        <v>41382</v>
      </c>
      <c r="AN1050" s="484">
        <f>AO1050</f>
        <v>42494</v>
      </c>
      <c r="AO1050" s="39">
        <v>42494</v>
      </c>
      <c r="AP1050" s="113">
        <v>43202</v>
      </c>
      <c r="AQ1050" s="191">
        <v>43721</v>
      </c>
      <c r="AR1050" s="484">
        <v>39004</v>
      </c>
      <c r="AS1050" s="484">
        <f>AT1050</f>
        <v>38315</v>
      </c>
      <c r="AT1050" s="39">
        <v>38315</v>
      </c>
      <c r="AU1050" s="113">
        <v>38456</v>
      </c>
      <c r="AV1050" s="191">
        <v>39365</v>
      </c>
      <c r="AW1050" s="289">
        <v>40311</v>
      </c>
      <c r="AX1050" s="113">
        <f ca="1">AW1050+AX919+AX952</f>
        <v>39813.332472916009</v>
      </c>
      <c r="AY1050" s="104">
        <f ca="1">AX1050</f>
        <v>39813.332472916009</v>
      </c>
      <c r="AZ1050" s="113">
        <f ca="1">AY1050+AZ919+AZ952</f>
        <v>42262.806878492273</v>
      </c>
      <c r="BA1050" s="113">
        <f ca="1">AZ1050+BA919+BA952</f>
        <v>42175.02280213347</v>
      </c>
      <c r="BB1050" s="113">
        <f ca="1">BA1050+BB919+BB952</f>
        <v>44239.757634708374</v>
      </c>
      <c r="BC1050" s="113">
        <f ca="1">BB1050+BC919+BC952</f>
        <v>44957.601212831927</v>
      </c>
      <c r="BD1050" s="104">
        <f ca="1">BC1050</f>
        <v>44957.601212831927</v>
      </c>
      <c r="BE1050" s="104">
        <f ca="1">BD1050+BE919+BE952</f>
        <v>53180.721186223491</v>
      </c>
      <c r="BF1050" s="104">
        <f ca="1">BE1050+BF919+BF952</f>
        <v>62446.155750751852</v>
      </c>
      <c r="BG1050" s="104">
        <f ca="1">BF1050+BG919+BG952</f>
        <v>72614.546396182734</v>
      </c>
      <c r="BH1050" s="484"/>
    </row>
    <row r="1051" spans="1:60" s="49" customFormat="1" x14ac:dyDescent="0.25">
      <c r="A1051" s="483" t="s">
        <v>361</v>
      </c>
      <c r="B1051" s="209"/>
      <c r="C1051" s="39">
        <v>-1644</v>
      </c>
      <c r="D1051" s="39">
        <v>-1881</v>
      </c>
      <c r="E1051" s="39">
        <v>-2630</v>
      </c>
      <c r="F1051" s="39">
        <v>-3266</v>
      </c>
      <c r="G1051" s="484">
        <v>-3128</v>
      </c>
      <c r="H1051" s="484">
        <v>-2968</v>
      </c>
      <c r="I1051" s="484">
        <v>-2884</v>
      </c>
      <c r="J1051" s="484">
        <f>K1051</f>
        <v>-1187</v>
      </c>
      <c r="K1051" s="39">
        <v>-1187</v>
      </c>
      <c r="L1051" s="484">
        <v>-1144</v>
      </c>
      <c r="M1051" s="484">
        <v>-1206</v>
      </c>
      <c r="N1051" s="484">
        <v>-1169</v>
      </c>
      <c r="O1051" s="484">
        <f>P1051</f>
        <v>-1968</v>
      </c>
      <c r="P1051" s="39">
        <v>-1968</v>
      </c>
      <c r="Q1051" s="484">
        <v>-1880</v>
      </c>
      <c r="R1051" s="484">
        <v>-1843</v>
      </c>
      <c r="S1051" s="484">
        <v>-1904</v>
      </c>
      <c r="T1051" s="484">
        <f>U1051</f>
        <v>-2421</v>
      </c>
      <c r="U1051" s="39">
        <v>-2421</v>
      </c>
      <c r="V1051" s="484">
        <v>-2469</v>
      </c>
      <c r="W1051" s="484">
        <v>-2599</v>
      </c>
      <c r="X1051" s="484">
        <v>-2699</v>
      </c>
      <c r="Y1051" s="484">
        <f>Z1051</f>
        <v>-3979</v>
      </c>
      <c r="Z1051" s="39">
        <v>-3979</v>
      </c>
      <c r="AA1051" s="113">
        <v>-3855</v>
      </c>
      <c r="AB1051" s="191">
        <v>-3880</v>
      </c>
      <c r="AC1051" s="484">
        <v>-3864</v>
      </c>
      <c r="AD1051" s="484">
        <f>AE1051</f>
        <v>-3528</v>
      </c>
      <c r="AE1051" s="39">
        <v>-3528</v>
      </c>
      <c r="AF1051" s="113">
        <v>-3404</v>
      </c>
      <c r="AG1051" s="191">
        <v>-3345</v>
      </c>
      <c r="AH1051" s="484">
        <v>-3262</v>
      </c>
      <c r="AI1051" s="484">
        <f>AJ1051</f>
        <v>-3097</v>
      </c>
      <c r="AJ1051" s="39">
        <v>-3097</v>
      </c>
      <c r="AK1051" s="113">
        <v>-3782</v>
      </c>
      <c r="AL1051" s="191">
        <v>-3786</v>
      </c>
      <c r="AM1051" s="484">
        <v>-3721</v>
      </c>
      <c r="AN1051" s="484">
        <f>AO1051</f>
        <v>-6617</v>
      </c>
      <c r="AO1051" s="39">
        <v>-6617</v>
      </c>
      <c r="AP1051" s="113">
        <v>-6533</v>
      </c>
      <c r="AQ1051" s="191">
        <v>-6637</v>
      </c>
      <c r="AR1051" s="484">
        <v>-6617</v>
      </c>
      <c r="AS1051" s="484">
        <f>AT1051</f>
        <v>-8322</v>
      </c>
      <c r="AT1051" s="39">
        <v>-8322</v>
      </c>
      <c r="AU1051" s="113">
        <v>-8141</v>
      </c>
      <c r="AV1051" s="191">
        <v>-7918</v>
      </c>
      <c r="AW1051" s="289">
        <v>-7837</v>
      </c>
      <c r="AX1051" s="113">
        <f>AW1051+AX962</f>
        <v>-7837</v>
      </c>
      <c r="AY1051" s="104">
        <f>AX1051</f>
        <v>-7837</v>
      </c>
      <c r="AZ1051" s="113">
        <f>AY1051+AZ962</f>
        <v>-7837</v>
      </c>
      <c r="BA1051" s="113">
        <f>AZ1051+BA962</f>
        <v>-7837</v>
      </c>
      <c r="BB1051" s="113">
        <f>BA1051+BB962</f>
        <v>-7837</v>
      </c>
      <c r="BC1051" s="113">
        <f>BB1051+BC962</f>
        <v>-7837</v>
      </c>
      <c r="BD1051" s="104">
        <f>BC1051</f>
        <v>-7837</v>
      </c>
      <c r="BE1051" s="104">
        <f>BD1051+BE962</f>
        <v>-7837</v>
      </c>
      <c r="BF1051" s="104">
        <f>BE1051+BF962</f>
        <v>-7837</v>
      </c>
      <c r="BG1051" s="104">
        <f>BF1051+BG962</f>
        <v>-7837</v>
      </c>
      <c r="BH1051" s="484"/>
    </row>
    <row r="1052" spans="1:60" s="49" customFormat="1" x14ac:dyDescent="0.25">
      <c r="A1052" s="483" t="s">
        <v>362</v>
      </c>
      <c r="B1052" s="209"/>
      <c r="C1052" s="39">
        <v>-22693</v>
      </c>
      <c r="D1052" s="39">
        <v>-23663</v>
      </c>
      <c r="E1052" s="39">
        <v>-28656</v>
      </c>
      <c r="F1052" s="39">
        <v>-31671</v>
      </c>
      <c r="G1052" s="484">
        <v>-31540</v>
      </c>
      <c r="H1052" s="484">
        <v>-32389</v>
      </c>
      <c r="I1052" s="484">
        <v>-33189</v>
      </c>
      <c r="J1052" s="484">
        <f>K1052</f>
        <v>-34582</v>
      </c>
      <c r="K1052" s="39">
        <v>-34582</v>
      </c>
      <c r="L1052" s="484">
        <v>-36300</v>
      </c>
      <c r="M1052" s="484">
        <v>-37836</v>
      </c>
      <c r="N1052" s="484">
        <v>-39669</v>
      </c>
      <c r="O1052" s="484">
        <f>P1052</f>
        <v>-41109</v>
      </c>
      <c r="P1052" s="39">
        <v>-41109</v>
      </c>
      <c r="Q1052" s="484">
        <v>-42412</v>
      </c>
      <c r="R1052" s="484">
        <v>-42897</v>
      </c>
      <c r="S1052" s="484">
        <v>-43932</v>
      </c>
      <c r="T1052" s="484">
        <f>U1052</f>
        <v>-47204</v>
      </c>
      <c r="U1052" s="39">
        <v>-47204</v>
      </c>
      <c r="V1052" s="484">
        <v>-49556</v>
      </c>
      <c r="W1052" s="484">
        <v>-51595</v>
      </c>
      <c r="X1052" s="484">
        <v>-53112</v>
      </c>
      <c r="Y1052" s="484">
        <f>Z1052</f>
        <v>-54703</v>
      </c>
      <c r="Z1052" s="39">
        <v>-54703</v>
      </c>
      <c r="AA1052" s="113">
        <v>-56168</v>
      </c>
      <c r="AB1052" s="191">
        <v>-58144</v>
      </c>
      <c r="AC1052" s="484">
        <v>-60587</v>
      </c>
      <c r="AD1052" s="484">
        <f>AE1052</f>
        <v>-64011</v>
      </c>
      <c r="AE1052" s="39">
        <v>-64011</v>
      </c>
      <c r="AF1052" s="113">
        <v>-65324</v>
      </c>
      <c r="AG1052" s="191">
        <v>-66619</v>
      </c>
      <c r="AH1052" s="484">
        <v>-67588</v>
      </c>
      <c r="AI1052" s="484">
        <f>AJ1052</f>
        <v>-67588</v>
      </c>
      <c r="AJ1052" s="39">
        <v>-67588</v>
      </c>
      <c r="AK1052" s="113">
        <v>-67588</v>
      </c>
      <c r="AL1052" s="191">
        <v>-907</v>
      </c>
      <c r="AM1052" s="484">
        <v>-907</v>
      </c>
      <c r="AN1052" s="484">
        <f>AO1052</f>
        <v>-907</v>
      </c>
      <c r="AO1052" s="39">
        <v>-907</v>
      </c>
      <c r="AP1052" s="113">
        <v>-907</v>
      </c>
      <c r="AQ1052" s="191">
        <v>-907</v>
      </c>
      <c r="AR1052" s="484">
        <v>-907</v>
      </c>
      <c r="AS1052" s="484">
        <f>AT1052</f>
        <v>-907</v>
      </c>
      <c r="AT1052" s="39">
        <v>-907</v>
      </c>
      <c r="AU1052" s="113">
        <v>-907</v>
      </c>
      <c r="AV1052" s="191">
        <v>-907</v>
      </c>
      <c r="AW1052" s="289">
        <v>-907</v>
      </c>
      <c r="AX1052" s="113">
        <f>AW1052</f>
        <v>-907</v>
      </c>
      <c r="AY1052" s="104">
        <f>AX1052</f>
        <v>-907</v>
      </c>
      <c r="AZ1052" s="113">
        <f>AY1052</f>
        <v>-907</v>
      </c>
      <c r="BA1052" s="113">
        <f>AZ1052</f>
        <v>-907</v>
      </c>
      <c r="BB1052" s="113">
        <f>BA1052</f>
        <v>-907</v>
      </c>
      <c r="BC1052" s="113">
        <f>BB1052</f>
        <v>-907</v>
      </c>
      <c r="BD1052" s="104">
        <f>BC1052</f>
        <v>-907</v>
      </c>
      <c r="BE1052" s="104">
        <f>BD1052</f>
        <v>-907</v>
      </c>
      <c r="BF1052" s="104">
        <f>BE1052</f>
        <v>-907</v>
      </c>
      <c r="BG1052" s="104">
        <f>BF1052</f>
        <v>-907</v>
      </c>
      <c r="BH1052" s="484"/>
    </row>
    <row r="1053" spans="1:60" s="52" customFormat="1" x14ac:dyDescent="0.25">
      <c r="A1053" s="500" t="s">
        <v>363</v>
      </c>
      <c r="B1053" s="775"/>
      <c r="C1053" s="53">
        <f t="shared" ref="C1053:AH1053" si="1147">SUM(C1048:C1052)</f>
        <v>33734</v>
      </c>
      <c r="D1053" s="53">
        <f t="shared" si="1147"/>
        <v>37519</v>
      </c>
      <c r="E1053" s="53">
        <f t="shared" si="1147"/>
        <v>37385</v>
      </c>
      <c r="F1053" s="53">
        <f t="shared" si="1147"/>
        <v>39759</v>
      </c>
      <c r="G1053" s="61">
        <f t="shared" si="1147"/>
        <v>41016</v>
      </c>
      <c r="H1053" s="61">
        <f t="shared" si="1147"/>
        <v>42089</v>
      </c>
      <c r="I1053" s="61">
        <f t="shared" si="1147"/>
        <v>43536</v>
      </c>
      <c r="J1053" s="61">
        <f t="shared" si="1147"/>
        <v>45429</v>
      </c>
      <c r="K1053" s="53">
        <f t="shared" si="1147"/>
        <v>45429</v>
      </c>
      <c r="L1053" s="61">
        <f t="shared" si="1147"/>
        <v>44324</v>
      </c>
      <c r="M1053" s="61">
        <f t="shared" si="1147"/>
        <v>44889</v>
      </c>
      <c r="N1053" s="61">
        <f t="shared" si="1147"/>
        <v>45520</v>
      </c>
      <c r="O1053" s="61">
        <f t="shared" si="1147"/>
        <v>44958</v>
      </c>
      <c r="P1053" s="53">
        <f t="shared" si="1147"/>
        <v>44958</v>
      </c>
      <c r="Q1053" s="61">
        <f t="shared" si="1147"/>
        <v>44165</v>
      </c>
      <c r="R1053" s="61">
        <f t="shared" si="1147"/>
        <v>46038</v>
      </c>
      <c r="S1053" s="61">
        <f t="shared" si="1147"/>
        <v>46519</v>
      </c>
      <c r="T1053" s="61">
        <f t="shared" si="1147"/>
        <v>44525</v>
      </c>
      <c r="U1053" s="53">
        <f t="shared" si="1147"/>
        <v>44525</v>
      </c>
      <c r="V1053" s="61">
        <f t="shared" si="1147"/>
        <v>43958</v>
      </c>
      <c r="W1053" s="61">
        <f t="shared" si="1147"/>
        <v>44124</v>
      </c>
      <c r="X1053" s="61">
        <f t="shared" si="1147"/>
        <v>44193</v>
      </c>
      <c r="Y1053" s="61">
        <f t="shared" si="1147"/>
        <v>43265</v>
      </c>
      <c r="Z1053" s="53">
        <f t="shared" si="1147"/>
        <v>43265</v>
      </c>
      <c r="AA1053" s="105">
        <f t="shared" si="1147"/>
        <v>43210</v>
      </c>
      <c r="AB1053" s="192">
        <f t="shared" si="1147"/>
        <v>43784</v>
      </c>
      <c r="AC1053" s="61">
        <f t="shared" si="1147"/>
        <v>42531</v>
      </c>
      <c r="AD1053" s="61">
        <f t="shared" si="1147"/>
        <v>41315</v>
      </c>
      <c r="AE1053" s="53">
        <f t="shared" si="1147"/>
        <v>41315</v>
      </c>
      <c r="AF1053" s="105">
        <f t="shared" si="1147"/>
        <v>43289</v>
      </c>
      <c r="AG1053" s="192">
        <f t="shared" si="1147"/>
        <v>45151</v>
      </c>
      <c r="AH1053" s="61">
        <f t="shared" si="1147"/>
        <v>46088</v>
      </c>
      <c r="AI1053" s="61">
        <f t="shared" ref="AI1053:AR1053" si="1148">SUM(AI1048:AI1052)</f>
        <v>48773</v>
      </c>
      <c r="AJ1053" s="53">
        <f t="shared" si="1148"/>
        <v>48773</v>
      </c>
      <c r="AK1053" s="105">
        <f t="shared" si="1148"/>
        <v>50316</v>
      </c>
      <c r="AL1053" s="192">
        <f t="shared" si="1148"/>
        <v>89938</v>
      </c>
      <c r="AM1053" s="61">
        <f t="shared" si="1148"/>
        <v>90472</v>
      </c>
      <c r="AN1053" s="61">
        <f t="shared" si="1148"/>
        <v>88877</v>
      </c>
      <c r="AO1053" s="53">
        <f t="shared" si="1148"/>
        <v>88877</v>
      </c>
      <c r="AP1053" s="105">
        <f t="shared" si="1148"/>
        <v>89757</v>
      </c>
      <c r="AQ1053" s="192">
        <f t="shared" si="1148"/>
        <v>90407</v>
      </c>
      <c r="AR1053" s="61">
        <f t="shared" si="1148"/>
        <v>85866</v>
      </c>
      <c r="AS1053" s="61">
        <f>SUM(AS1048:AS1052)</f>
        <v>83583</v>
      </c>
      <c r="AT1053" s="53">
        <f>SUM(AT1048:AT1052)</f>
        <v>83583</v>
      </c>
      <c r="AU1053" s="105">
        <f>SUM(AU1048:AU1052)</f>
        <v>84071</v>
      </c>
      <c r="AV1053" s="192">
        <f>SUM(AV1048:AV1052)</f>
        <v>85540</v>
      </c>
      <c r="AW1053" s="872">
        <f>SUM(AW1048:AW1052)</f>
        <v>86741</v>
      </c>
      <c r="AX1053" s="105">
        <f t="shared" ref="AX1053" ca="1" si="1149">SUM(AX1048:AX1052)</f>
        <v>86393.332472916009</v>
      </c>
      <c r="AY1053" s="106">
        <f t="shared" ref="AY1053:BG1053" ca="1" si="1150">SUM(AY1048:AY1052)</f>
        <v>86393.332472916009</v>
      </c>
      <c r="AZ1053" s="105">
        <f t="shared" ca="1" si="1150"/>
        <v>88992.806878492265</v>
      </c>
      <c r="BA1053" s="105">
        <f t="shared" ca="1" si="1150"/>
        <v>89055.022802133462</v>
      </c>
      <c r="BB1053" s="105">
        <f t="shared" ca="1" si="1150"/>
        <v>91269.757634708367</v>
      </c>
      <c r="BC1053" s="105">
        <f t="shared" ca="1" si="1150"/>
        <v>92137.601212831927</v>
      </c>
      <c r="BD1053" s="106">
        <f t="shared" ca="1" si="1150"/>
        <v>92137.601212831927</v>
      </c>
      <c r="BE1053" s="106">
        <f t="shared" ca="1" si="1150"/>
        <v>100960.7211862235</v>
      </c>
      <c r="BF1053" s="106">
        <f t="shared" ca="1" si="1150"/>
        <v>110826.15575075184</v>
      </c>
      <c r="BG1053" s="106">
        <f t="shared" ca="1" si="1150"/>
        <v>121594.54639618273</v>
      </c>
      <c r="BH1053" s="499"/>
    </row>
    <row r="1054" spans="1:60" s="49" customFormat="1" x14ac:dyDescent="0.25">
      <c r="A1054" s="483" t="s">
        <v>364</v>
      </c>
      <c r="B1054" s="209"/>
      <c r="C1054" s="39">
        <v>1691</v>
      </c>
      <c r="D1054" s="39">
        <v>1823</v>
      </c>
      <c r="E1054" s="39">
        <v>2068</v>
      </c>
      <c r="F1054" s="39">
        <v>2199</v>
      </c>
      <c r="G1054" s="484">
        <v>2354</v>
      </c>
      <c r="H1054" s="484">
        <v>2055</v>
      </c>
      <c r="I1054" s="484">
        <v>2371</v>
      </c>
      <c r="J1054" s="484">
        <f>K1054</f>
        <v>2721</v>
      </c>
      <c r="K1054" s="39">
        <v>2721</v>
      </c>
      <c r="L1054" s="484">
        <v>2972</v>
      </c>
      <c r="M1054" s="484">
        <v>2751</v>
      </c>
      <c r="N1054" s="484">
        <v>3092</v>
      </c>
      <c r="O1054" s="484">
        <f>P1054</f>
        <v>3220</v>
      </c>
      <c r="P1054" s="39">
        <v>3220</v>
      </c>
      <c r="Q1054" s="484">
        <v>3628</v>
      </c>
      <c r="R1054" s="484">
        <v>3699</v>
      </c>
      <c r="S1054" s="484">
        <v>3988</v>
      </c>
      <c r="T1054" s="484">
        <f>U1054</f>
        <v>4130</v>
      </c>
      <c r="U1054" s="39">
        <v>4130</v>
      </c>
      <c r="V1054" s="484">
        <v>4240</v>
      </c>
      <c r="W1054" s="484">
        <v>3886</v>
      </c>
      <c r="X1054" s="484">
        <v>3953</v>
      </c>
      <c r="Y1054" s="484">
        <f>Z1054</f>
        <v>4058</v>
      </c>
      <c r="Z1054" s="39">
        <v>4058</v>
      </c>
      <c r="AA1054" s="113">
        <v>3967</v>
      </c>
      <c r="AB1054" s="191">
        <v>3483</v>
      </c>
      <c r="AC1054" s="484">
        <v>3520</v>
      </c>
      <c r="AD1054" s="484">
        <f>AE1054</f>
        <v>3689</v>
      </c>
      <c r="AE1054" s="39">
        <v>3689</v>
      </c>
      <c r="AF1054" s="113">
        <v>3794</v>
      </c>
      <c r="AG1054" s="191">
        <v>3500</v>
      </c>
      <c r="AH1054" s="484">
        <v>3983</v>
      </c>
      <c r="AI1054" s="484">
        <f>AJ1054</f>
        <v>4059</v>
      </c>
      <c r="AJ1054" s="39">
        <v>4059</v>
      </c>
      <c r="AK1054" s="113">
        <v>4077</v>
      </c>
      <c r="AL1054" s="191">
        <v>14401</v>
      </c>
      <c r="AM1054" s="484">
        <v>5884</v>
      </c>
      <c r="AN1054" s="484">
        <f>AO1054</f>
        <v>5012</v>
      </c>
      <c r="AO1054" s="39">
        <v>5012</v>
      </c>
      <c r="AP1054" s="113">
        <v>5016</v>
      </c>
      <c r="AQ1054" s="191">
        <v>4470</v>
      </c>
      <c r="AR1054" s="484">
        <v>4597</v>
      </c>
      <c r="AS1054" s="484">
        <f>AT1054</f>
        <v>4680</v>
      </c>
      <c r="AT1054" s="39">
        <v>4680</v>
      </c>
      <c r="AU1054" s="113">
        <v>4657</v>
      </c>
      <c r="AV1054" s="191">
        <v>4246</v>
      </c>
      <c r="AW1054" s="289">
        <v>4381</v>
      </c>
      <c r="AX1054" s="113">
        <f>AW1054</f>
        <v>4381</v>
      </c>
      <c r="AY1054" s="104">
        <f>AX1054</f>
        <v>4381</v>
      </c>
      <c r="AZ1054" s="113">
        <f t="shared" ref="AZ1054:BG1054" si="1151">AY1054</f>
        <v>4381</v>
      </c>
      <c r="BA1054" s="113">
        <f t="shared" si="1151"/>
        <v>4381</v>
      </c>
      <c r="BB1054" s="113">
        <f t="shared" si="1151"/>
        <v>4381</v>
      </c>
      <c r="BC1054" s="113">
        <f t="shared" si="1151"/>
        <v>4381</v>
      </c>
      <c r="BD1054" s="104">
        <f t="shared" si="1151"/>
        <v>4381</v>
      </c>
      <c r="BE1054" s="104">
        <f t="shared" si="1151"/>
        <v>4381</v>
      </c>
      <c r="BF1054" s="104">
        <f t="shared" si="1151"/>
        <v>4381</v>
      </c>
      <c r="BG1054" s="104">
        <f t="shared" si="1151"/>
        <v>4381</v>
      </c>
      <c r="BH1054" s="484"/>
    </row>
    <row r="1055" spans="1:60" s="52" customFormat="1" x14ac:dyDescent="0.25">
      <c r="A1055" s="501" t="s">
        <v>365</v>
      </c>
      <c r="B1055" s="602"/>
      <c r="C1055" s="51">
        <f t="shared" ref="C1055:AH1055" si="1152">C1053+C1045+C1054</f>
        <v>63117</v>
      </c>
      <c r="D1055" s="51">
        <f t="shared" si="1152"/>
        <v>69206</v>
      </c>
      <c r="E1055" s="51">
        <f t="shared" si="1152"/>
        <v>72124</v>
      </c>
      <c r="F1055" s="51">
        <f t="shared" si="1152"/>
        <v>74898</v>
      </c>
      <c r="G1055" s="499">
        <f t="shared" si="1152"/>
        <v>80642</v>
      </c>
      <c r="H1055" s="499">
        <f t="shared" si="1152"/>
        <v>81358</v>
      </c>
      <c r="I1055" s="499">
        <f t="shared" si="1152"/>
        <v>80565</v>
      </c>
      <c r="J1055" s="499">
        <f t="shared" si="1152"/>
        <v>81241</v>
      </c>
      <c r="K1055" s="51">
        <f t="shared" si="1152"/>
        <v>81241</v>
      </c>
      <c r="L1055" s="499">
        <f t="shared" si="1152"/>
        <v>83166</v>
      </c>
      <c r="M1055" s="499">
        <f t="shared" si="1152"/>
        <v>82580</v>
      </c>
      <c r="N1055" s="499">
        <f t="shared" si="1152"/>
        <v>83723</v>
      </c>
      <c r="O1055" s="499">
        <f t="shared" si="1152"/>
        <v>84141</v>
      </c>
      <c r="P1055" s="51">
        <f t="shared" si="1152"/>
        <v>84141</v>
      </c>
      <c r="Q1055" s="499">
        <f t="shared" si="1152"/>
        <v>87035</v>
      </c>
      <c r="R1055" s="499">
        <f t="shared" si="1152"/>
        <v>85715</v>
      </c>
      <c r="S1055" s="499">
        <f t="shared" si="1152"/>
        <v>87367</v>
      </c>
      <c r="T1055" s="499">
        <f t="shared" si="1152"/>
        <v>88182</v>
      </c>
      <c r="U1055" s="51">
        <f t="shared" si="1152"/>
        <v>88182</v>
      </c>
      <c r="V1055" s="499">
        <f t="shared" si="1152"/>
        <v>90121</v>
      </c>
      <c r="W1055" s="499">
        <f t="shared" si="1152"/>
        <v>90264</v>
      </c>
      <c r="X1055" s="499">
        <f t="shared" si="1152"/>
        <v>90914</v>
      </c>
      <c r="Y1055" s="499">
        <f t="shared" si="1152"/>
        <v>92033</v>
      </c>
      <c r="Z1055" s="51">
        <f t="shared" si="1152"/>
        <v>92033</v>
      </c>
      <c r="AA1055" s="114">
        <f t="shared" si="1152"/>
        <v>91576</v>
      </c>
      <c r="AB1055" s="194">
        <f t="shared" si="1152"/>
        <v>91807</v>
      </c>
      <c r="AC1055" s="499">
        <f t="shared" si="1152"/>
        <v>92752</v>
      </c>
      <c r="AD1055" s="499">
        <f t="shared" si="1152"/>
        <v>95789</v>
      </c>
      <c r="AE1055" s="51">
        <f t="shared" si="1152"/>
        <v>95789</v>
      </c>
      <c r="AF1055" s="114">
        <f t="shared" si="1152"/>
        <v>97734</v>
      </c>
      <c r="AG1055" s="194">
        <f t="shared" si="1152"/>
        <v>97943</v>
      </c>
      <c r="AH1055" s="499">
        <f t="shared" si="1152"/>
        <v>98792</v>
      </c>
      <c r="AI1055" s="499">
        <f t="shared" ref="AI1055:AY1055" si="1153">AI1053+AI1045+AI1054</f>
        <v>98598</v>
      </c>
      <c r="AJ1055" s="51">
        <f t="shared" si="1153"/>
        <v>98598</v>
      </c>
      <c r="AK1055" s="114">
        <f t="shared" si="1153"/>
        <v>99941</v>
      </c>
      <c r="AL1055" s="194">
        <f t="shared" si="1153"/>
        <v>214342</v>
      </c>
      <c r="AM1055" s="499">
        <f t="shared" si="1153"/>
        <v>209475</v>
      </c>
      <c r="AN1055" s="499">
        <f t="shared" si="1153"/>
        <v>193984</v>
      </c>
      <c r="AO1055" s="51">
        <f t="shared" si="1153"/>
        <v>193984</v>
      </c>
      <c r="AP1055" s="114">
        <f t="shared" si="1153"/>
        <v>200948</v>
      </c>
      <c r="AQ1055" s="194">
        <f t="shared" si="1153"/>
        <v>206294</v>
      </c>
      <c r="AR1055" s="499">
        <f t="shared" si="1153"/>
        <v>207649</v>
      </c>
      <c r="AS1055" s="499">
        <f>AS1053+AS1045+AS1054</f>
        <v>201549</v>
      </c>
      <c r="AT1055" s="51">
        <f>AT1053+AT1045+AT1054</f>
        <v>201549</v>
      </c>
      <c r="AU1055" s="114">
        <f>AU1053+AU1045+AU1054</f>
        <v>201888</v>
      </c>
      <c r="AV1055" s="194">
        <f>AV1053+AV1045+AV1054</f>
        <v>200250</v>
      </c>
      <c r="AW1055" s="873">
        <f>AW1053+AW1045+AW1054</f>
        <v>202221</v>
      </c>
      <c r="AX1055" s="114">
        <f t="shared" ref="AX1055" ca="1" si="1154">AX1053+AX1045+AX1054</f>
        <v>213883.60122907418</v>
      </c>
      <c r="AY1055" s="111">
        <f t="shared" ca="1" si="1153"/>
        <v>213883.60122907418</v>
      </c>
      <c r="AZ1055" s="114">
        <f t="shared" ref="AZ1055:BG1055" ca="1" si="1155">AZ1053+AZ1045+AZ1054</f>
        <v>206604.17859483697</v>
      </c>
      <c r="BA1055" s="114">
        <f t="shared" ca="1" si="1155"/>
        <v>209226.76405933307</v>
      </c>
      <c r="BB1055" s="114">
        <f t="shared" ca="1" si="1155"/>
        <v>212846.81291549519</v>
      </c>
      <c r="BC1055" s="114">
        <f t="shared" ca="1" si="1155"/>
        <v>212339.79585796723</v>
      </c>
      <c r="BD1055" s="111">
        <f t="shared" ca="1" si="1155"/>
        <v>212339.79585796723</v>
      </c>
      <c r="BE1055" s="111">
        <f t="shared" ca="1" si="1155"/>
        <v>223746.96089392246</v>
      </c>
      <c r="BF1055" s="111">
        <f t="shared" ca="1" si="1155"/>
        <v>235743.11162137124</v>
      </c>
      <c r="BG1055" s="111">
        <f t="shared" ca="1" si="1155"/>
        <v>249225.2370178593</v>
      </c>
      <c r="BH1055" s="499"/>
    </row>
    <row r="1056" spans="1:60" s="49" customFormat="1" x14ac:dyDescent="0.25">
      <c r="A1056" s="113"/>
      <c r="B1056" s="113"/>
      <c r="C1056" s="113"/>
      <c r="D1056" s="113"/>
      <c r="E1056" s="113"/>
      <c r="F1056" s="113"/>
      <c r="G1056" s="113"/>
      <c r="H1056" s="113"/>
      <c r="I1056" s="113"/>
      <c r="J1056" s="113"/>
      <c r="K1056" s="113"/>
      <c r="L1056" s="113"/>
      <c r="M1056" s="113"/>
      <c r="N1056" s="113"/>
      <c r="O1056" s="113"/>
      <c r="P1056" s="113"/>
      <c r="Q1056" s="113"/>
      <c r="R1056" s="113"/>
      <c r="S1056" s="113"/>
      <c r="T1056" s="113"/>
      <c r="U1056" s="113"/>
      <c r="V1056" s="113"/>
      <c r="W1056" s="113"/>
      <c r="X1056" s="113"/>
      <c r="Y1056" s="113"/>
      <c r="Z1056" s="113"/>
      <c r="AA1056" s="113"/>
      <c r="AB1056" s="113"/>
      <c r="AC1056" s="113"/>
      <c r="AD1056" s="113"/>
      <c r="AE1056" s="113"/>
      <c r="AF1056" s="113"/>
      <c r="AG1056" s="113"/>
      <c r="AH1056" s="113"/>
      <c r="AI1056" s="113"/>
      <c r="AJ1056" s="113"/>
      <c r="AK1056" s="113"/>
      <c r="AL1056" s="113"/>
      <c r="AM1056" s="113"/>
      <c r="AN1056" s="113"/>
      <c r="AO1056" s="113"/>
      <c r="AP1056" s="113"/>
      <c r="AQ1056" s="113"/>
      <c r="AR1056" s="113"/>
      <c r="AS1056" s="113"/>
      <c r="AT1056" s="113"/>
      <c r="AU1056" s="113"/>
      <c r="AV1056" s="113"/>
      <c r="AW1056" s="699"/>
      <c r="AX1056" s="113"/>
      <c r="AY1056" s="113"/>
      <c r="AZ1056" s="113"/>
      <c r="BA1056" s="113"/>
      <c r="BB1056" s="113"/>
      <c r="BC1056" s="113"/>
      <c r="BD1056" s="113"/>
      <c r="BE1056" s="113"/>
      <c r="BF1056" s="113"/>
      <c r="BG1056" s="113"/>
      <c r="BH1056" s="484"/>
    </row>
    <row r="1057" spans="1:60" s="49" customFormat="1" x14ac:dyDescent="0.25">
      <c r="A1057" s="74" t="s">
        <v>366</v>
      </c>
      <c r="B1057" s="74"/>
      <c r="C1057" s="75">
        <f t="shared" ref="C1057:AH1057" si="1156">ROUND(C1029-C1055,6)</f>
        <v>0</v>
      </c>
      <c r="D1057" s="75">
        <f t="shared" si="1156"/>
        <v>0</v>
      </c>
      <c r="E1057" s="75">
        <f t="shared" si="1156"/>
        <v>0</v>
      </c>
      <c r="F1057" s="75">
        <f t="shared" si="1156"/>
        <v>0</v>
      </c>
      <c r="G1057" s="75">
        <f t="shared" si="1156"/>
        <v>0</v>
      </c>
      <c r="H1057" s="75">
        <f t="shared" si="1156"/>
        <v>0</v>
      </c>
      <c r="I1057" s="75">
        <f t="shared" si="1156"/>
        <v>0</v>
      </c>
      <c r="J1057" s="75">
        <f t="shared" si="1156"/>
        <v>0</v>
      </c>
      <c r="K1057" s="75">
        <f t="shared" si="1156"/>
        <v>0</v>
      </c>
      <c r="L1057" s="75">
        <f t="shared" si="1156"/>
        <v>0</v>
      </c>
      <c r="M1057" s="75">
        <f t="shared" si="1156"/>
        <v>0</v>
      </c>
      <c r="N1057" s="75">
        <f t="shared" si="1156"/>
        <v>0</v>
      </c>
      <c r="O1057" s="75">
        <f t="shared" si="1156"/>
        <v>0</v>
      </c>
      <c r="P1057" s="75">
        <f t="shared" si="1156"/>
        <v>0</v>
      </c>
      <c r="Q1057" s="75">
        <f t="shared" si="1156"/>
        <v>0</v>
      </c>
      <c r="R1057" s="75">
        <f t="shared" si="1156"/>
        <v>0</v>
      </c>
      <c r="S1057" s="75">
        <f t="shared" si="1156"/>
        <v>0</v>
      </c>
      <c r="T1057" s="75">
        <f t="shared" si="1156"/>
        <v>0</v>
      </c>
      <c r="U1057" s="75">
        <f t="shared" si="1156"/>
        <v>0</v>
      </c>
      <c r="V1057" s="75">
        <f t="shared" si="1156"/>
        <v>0</v>
      </c>
      <c r="W1057" s="75">
        <f t="shared" si="1156"/>
        <v>0</v>
      </c>
      <c r="X1057" s="75">
        <f t="shared" si="1156"/>
        <v>0</v>
      </c>
      <c r="Y1057" s="75">
        <f t="shared" si="1156"/>
        <v>0</v>
      </c>
      <c r="Z1057" s="75">
        <f t="shared" si="1156"/>
        <v>0</v>
      </c>
      <c r="AA1057" s="75">
        <f t="shared" si="1156"/>
        <v>0</v>
      </c>
      <c r="AB1057" s="75">
        <f t="shared" si="1156"/>
        <v>0</v>
      </c>
      <c r="AC1057" s="75">
        <f t="shared" si="1156"/>
        <v>0</v>
      </c>
      <c r="AD1057" s="75">
        <f t="shared" si="1156"/>
        <v>0</v>
      </c>
      <c r="AE1057" s="75">
        <f t="shared" si="1156"/>
        <v>0</v>
      </c>
      <c r="AF1057" s="75">
        <f t="shared" si="1156"/>
        <v>0</v>
      </c>
      <c r="AG1057" s="75">
        <f t="shared" si="1156"/>
        <v>0</v>
      </c>
      <c r="AH1057" s="75">
        <f t="shared" si="1156"/>
        <v>0</v>
      </c>
      <c r="AI1057" s="75">
        <f t="shared" ref="AI1057:AR1057" si="1157">ROUND(AI1029-AI1055,6)</f>
        <v>0</v>
      </c>
      <c r="AJ1057" s="75">
        <f t="shared" si="1157"/>
        <v>0</v>
      </c>
      <c r="AK1057" s="75">
        <f t="shared" si="1157"/>
        <v>0</v>
      </c>
      <c r="AL1057" s="75">
        <f t="shared" si="1157"/>
        <v>0</v>
      </c>
      <c r="AM1057" s="75">
        <f t="shared" si="1157"/>
        <v>0</v>
      </c>
      <c r="AN1057" s="75">
        <f t="shared" si="1157"/>
        <v>0</v>
      </c>
      <c r="AO1057" s="75">
        <f t="shared" si="1157"/>
        <v>0</v>
      </c>
      <c r="AP1057" s="75">
        <f t="shared" si="1157"/>
        <v>0</v>
      </c>
      <c r="AQ1057" s="75">
        <f t="shared" si="1157"/>
        <v>0</v>
      </c>
      <c r="AR1057" s="75">
        <f t="shared" si="1157"/>
        <v>0</v>
      </c>
      <c r="AS1057" s="75">
        <f t="shared" ref="AS1057:AZ1057" si="1158">ROUND(AS1029-AS1055,6)</f>
        <v>0</v>
      </c>
      <c r="AT1057" s="75">
        <f t="shared" si="1158"/>
        <v>0</v>
      </c>
      <c r="AU1057" s="75">
        <f t="shared" si="1158"/>
        <v>0</v>
      </c>
      <c r="AV1057" s="75">
        <f t="shared" si="1158"/>
        <v>0</v>
      </c>
      <c r="AW1057" s="528">
        <f t="shared" si="1158"/>
        <v>0</v>
      </c>
      <c r="AX1057" s="75">
        <f t="shared" ca="1" si="1158"/>
        <v>0</v>
      </c>
      <c r="AY1057" s="75">
        <f t="shared" ca="1" si="1158"/>
        <v>0</v>
      </c>
      <c r="AZ1057" s="75">
        <f t="shared" ca="1" si="1158"/>
        <v>0</v>
      </c>
      <c r="BA1057" s="75">
        <f t="shared" ref="BA1057:BG1057" ca="1" si="1159">ROUND(BA1029-BA1055,6)</f>
        <v>0</v>
      </c>
      <c r="BB1057" s="75">
        <f t="shared" ca="1" si="1159"/>
        <v>0</v>
      </c>
      <c r="BC1057" s="75">
        <f t="shared" ca="1" si="1159"/>
        <v>0</v>
      </c>
      <c r="BD1057" s="75">
        <f t="shared" ca="1" si="1159"/>
        <v>0</v>
      </c>
      <c r="BE1057" s="75">
        <f t="shared" ca="1" si="1159"/>
        <v>0</v>
      </c>
      <c r="BF1057" s="75">
        <f t="shared" ca="1" si="1159"/>
        <v>0</v>
      </c>
      <c r="BG1057" s="75">
        <f t="shared" ca="1" si="1159"/>
        <v>0</v>
      </c>
      <c r="BH1057" s="484"/>
    </row>
    <row r="1058" spans="1:60" s="40" customFormat="1" x14ac:dyDescent="0.25">
      <c r="A1058" s="957"/>
      <c r="B1058" s="957"/>
      <c r="C1058" s="991"/>
      <c r="D1058" s="991"/>
      <c r="E1058" s="991"/>
      <c r="F1058" s="991"/>
      <c r="G1058" s="991"/>
      <c r="H1058" s="991"/>
      <c r="I1058" s="991"/>
      <c r="J1058" s="991"/>
      <c r="K1058" s="991"/>
      <c r="L1058" s="991"/>
      <c r="M1058" s="991"/>
      <c r="N1058" s="991"/>
      <c r="O1058" s="991"/>
      <c r="P1058" s="991"/>
      <c r="Q1058" s="991"/>
      <c r="R1058" s="991"/>
      <c r="S1058" s="991"/>
      <c r="T1058" s="991"/>
      <c r="U1058" s="991"/>
      <c r="V1058" s="991"/>
      <c r="W1058" s="991"/>
      <c r="X1058" s="991"/>
      <c r="Y1058" s="991"/>
      <c r="Z1058" s="991"/>
      <c r="AA1058" s="991"/>
      <c r="AB1058" s="991"/>
      <c r="AC1058" s="991"/>
      <c r="AD1058" s="991"/>
      <c r="AE1058" s="991"/>
      <c r="AF1058" s="991"/>
      <c r="AG1058" s="991"/>
      <c r="AH1058" s="991"/>
      <c r="AI1058" s="991"/>
      <c r="AJ1058" s="991"/>
      <c r="AK1058" s="991"/>
      <c r="AL1058" s="991"/>
      <c r="AM1058" s="991"/>
      <c r="AN1058" s="991"/>
      <c r="AO1058" s="991"/>
      <c r="AP1058" s="991"/>
      <c r="AQ1058" s="991"/>
      <c r="AR1058" s="991"/>
      <c r="AS1058" s="991"/>
      <c r="AT1058" s="991"/>
      <c r="AU1058" s="991"/>
      <c r="AV1058" s="991"/>
      <c r="AW1058" s="992"/>
      <c r="AX1058" s="991"/>
      <c r="AY1058" s="991"/>
      <c r="AZ1058" s="991"/>
      <c r="BA1058" s="991"/>
      <c r="BB1058" s="991"/>
      <c r="BC1058" s="991"/>
      <c r="BD1058" s="991"/>
      <c r="BE1058" s="991"/>
      <c r="BF1058" s="991"/>
      <c r="BG1058" s="991"/>
      <c r="BH1058" s="728"/>
    </row>
    <row r="1059" spans="1:60" s="19" customFormat="1" x14ac:dyDescent="0.25">
      <c r="A1059" s="959" t="s">
        <v>367</v>
      </c>
      <c r="B1059" s="959"/>
      <c r="C1059" s="999"/>
      <c r="D1059" s="999"/>
      <c r="E1059" s="999"/>
      <c r="F1059" s="999"/>
      <c r="G1059" s="999"/>
      <c r="H1059" s="999"/>
      <c r="I1059" s="999"/>
      <c r="J1059" s="999"/>
      <c r="K1059" s="999"/>
      <c r="L1059" s="999"/>
      <c r="M1059" s="999"/>
      <c r="N1059" s="999"/>
      <c r="O1059" s="999"/>
      <c r="P1059" s="999"/>
      <c r="Q1059" s="999"/>
      <c r="R1059" s="999"/>
      <c r="S1059" s="999"/>
      <c r="T1059" s="999"/>
      <c r="U1059" s="999"/>
      <c r="V1059" s="999"/>
      <c r="W1059" s="999"/>
      <c r="X1059" s="999"/>
      <c r="Y1059" s="999"/>
      <c r="Z1059" s="999"/>
      <c r="AA1059" s="999"/>
      <c r="AB1059" s="999"/>
      <c r="AC1059" s="999"/>
      <c r="AD1059" s="999"/>
      <c r="AE1059" s="999"/>
      <c r="AF1059" s="999"/>
      <c r="AG1059" s="999"/>
      <c r="AH1059" s="999"/>
      <c r="AI1059" s="999"/>
      <c r="AJ1059" s="999"/>
      <c r="AK1059" s="999"/>
      <c r="AL1059" s="999"/>
      <c r="AM1059" s="999"/>
      <c r="AN1059" s="999"/>
      <c r="AO1059" s="999"/>
      <c r="AP1059" s="999"/>
      <c r="AQ1059" s="999"/>
      <c r="AR1059" s="999"/>
      <c r="AS1059" s="999"/>
      <c r="AT1059" s="999"/>
      <c r="AU1059" s="999"/>
      <c r="AV1059" s="999"/>
      <c r="AW1059" s="1000"/>
      <c r="AX1059" s="999"/>
      <c r="AY1059" s="999"/>
      <c r="AZ1059" s="999"/>
      <c r="BA1059" s="999"/>
      <c r="BB1059" s="999"/>
      <c r="BC1059" s="999"/>
      <c r="BD1059" s="999"/>
      <c r="BE1059" s="999"/>
      <c r="BF1059" s="999"/>
      <c r="BG1059" s="999"/>
      <c r="BH1059" s="730"/>
    </row>
    <row r="1060" spans="1:60" s="40" customFormat="1" x14ac:dyDescent="0.25">
      <c r="A1060" s="728" t="s">
        <v>368</v>
      </c>
      <c r="B1060" s="955"/>
      <c r="C1060" s="1007">
        <f t="shared" ref="C1060:AH1060" si="1160">IF(ISBLANK(INDEX(MO_IS_FirstRow,0,COLUMN())),0,ROUND(C919-C782,6))</f>
        <v>0</v>
      </c>
      <c r="D1060" s="1007">
        <f t="shared" si="1160"/>
        <v>0</v>
      </c>
      <c r="E1060" s="1007">
        <f t="shared" si="1160"/>
        <v>0</v>
      </c>
      <c r="F1060" s="1007">
        <f t="shared" si="1160"/>
        <v>0</v>
      </c>
      <c r="G1060" s="1007">
        <f t="shared" si="1160"/>
        <v>0</v>
      </c>
      <c r="H1060" s="1007">
        <f t="shared" si="1160"/>
        <v>0</v>
      </c>
      <c r="I1060" s="1007">
        <f t="shared" si="1160"/>
        <v>0</v>
      </c>
      <c r="J1060" s="1007">
        <f t="shared" si="1160"/>
        <v>0</v>
      </c>
      <c r="K1060" s="1007">
        <f t="shared" si="1160"/>
        <v>0</v>
      </c>
      <c r="L1060" s="1007">
        <f t="shared" si="1160"/>
        <v>0</v>
      </c>
      <c r="M1060" s="1007">
        <f t="shared" si="1160"/>
        <v>0</v>
      </c>
      <c r="N1060" s="1007">
        <f t="shared" si="1160"/>
        <v>0</v>
      </c>
      <c r="O1060" s="1007">
        <f t="shared" si="1160"/>
        <v>0</v>
      </c>
      <c r="P1060" s="1007">
        <f t="shared" si="1160"/>
        <v>0</v>
      </c>
      <c r="Q1060" s="1007">
        <f t="shared" si="1160"/>
        <v>0</v>
      </c>
      <c r="R1060" s="1007">
        <f t="shared" si="1160"/>
        <v>0</v>
      </c>
      <c r="S1060" s="1007">
        <f t="shared" si="1160"/>
        <v>0</v>
      </c>
      <c r="T1060" s="1007">
        <f t="shared" si="1160"/>
        <v>0</v>
      </c>
      <c r="U1060" s="1007">
        <f t="shared" si="1160"/>
        <v>0</v>
      </c>
      <c r="V1060" s="1007">
        <f t="shared" si="1160"/>
        <v>0</v>
      </c>
      <c r="W1060" s="1007">
        <f t="shared" si="1160"/>
        <v>0</v>
      </c>
      <c r="X1060" s="1007">
        <f t="shared" si="1160"/>
        <v>0</v>
      </c>
      <c r="Y1060" s="1007">
        <f t="shared" si="1160"/>
        <v>0</v>
      </c>
      <c r="Z1060" s="1007">
        <f t="shared" si="1160"/>
        <v>0</v>
      </c>
      <c r="AA1060" s="1007">
        <f t="shared" si="1160"/>
        <v>0</v>
      </c>
      <c r="AB1060" s="1007">
        <f t="shared" si="1160"/>
        <v>0</v>
      </c>
      <c r="AC1060" s="1007">
        <f t="shared" si="1160"/>
        <v>0</v>
      </c>
      <c r="AD1060" s="1007">
        <f t="shared" si="1160"/>
        <v>0</v>
      </c>
      <c r="AE1060" s="1007">
        <f t="shared" si="1160"/>
        <v>0</v>
      </c>
      <c r="AF1060" s="1007">
        <f t="shared" si="1160"/>
        <v>0</v>
      </c>
      <c r="AG1060" s="1007">
        <f t="shared" si="1160"/>
        <v>0</v>
      </c>
      <c r="AH1060" s="1007">
        <f t="shared" si="1160"/>
        <v>0</v>
      </c>
      <c r="AI1060" s="1007">
        <f t="shared" ref="AI1060:AY1060" si="1161">IF(ISBLANK(INDEX(MO_IS_FirstRow,0,COLUMN())),0,ROUND(AI919-AI782,6))</f>
        <v>0</v>
      </c>
      <c r="AJ1060" s="1007">
        <f t="shared" si="1161"/>
        <v>0</v>
      </c>
      <c r="AK1060" s="1007">
        <f t="shared" si="1161"/>
        <v>0</v>
      </c>
      <c r="AL1060" s="1007">
        <f t="shared" si="1161"/>
        <v>0</v>
      </c>
      <c r="AM1060" s="1007">
        <f t="shared" si="1161"/>
        <v>0</v>
      </c>
      <c r="AN1060" s="1007">
        <f t="shared" si="1161"/>
        <v>0</v>
      </c>
      <c r="AO1060" s="1007">
        <f t="shared" si="1161"/>
        <v>0</v>
      </c>
      <c r="AP1060" s="1007">
        <f t="shared" si="1161"/>
        <v>0</v>
      </c>
      <c r="AQ1060" s="1007">
        <f t="shared" si="1161"/>
        <v>0</v>
      </c>
      <c r="AR1060" s="1007">
        <f t="shared" si="1161"/>
        <v>-12</v>
      </c>
      <c r="AS1060" s="1007">
        <f>IF(ISBLANK(INDEX(MO_IS_FirstRow,0,COLUMN())),0,ROUND(AS919-AS782,6))</f>
        <v>0</v>
      </c>
      <c r="AT1060" s="1007">
        <f>IF(ISBLANK(INDEX(MO_IS_FirstRow,0,COLUMN())),0,ROUND(AT919-AT782,6))</f>
        <v>0</v>
      </c>
      <c r="AU1060" s="1007">
        <f>IF(ISBLANK(INDEX(MO_IS_FirstRow,0,COLUMN())),0,ROUND(AU919-AU782,6))</f>
        <v>0</v>
      </c>
      <c r="AV1060" s="1007">
        <f>IF(ISBLANK(INDEX(MO_IS_FirstRow,0,COLUMN())),0,ROUND(AV919-AV782,6))</f>
        <v>0</v>
      </c>
      <c r="AW1060" s="1008">
        <f>IF(ISBLANK(INDEX(MO_IS_FirstRow,0,COLUMN())),0,ROUND(AW919-AW782,6))</f>
        <v>0</v>
      </c>
      <c r="AX1060" s="1007">
        <f t="shared" si="1161"/>
        <v>0</v>
      </c>
      <c r="AY1060" s="1007">
        <f t="shared" si="1161"/>
        <v>0</v>
      </c>
      <c r="AZ1060" s="1007">
        <f t="shared" ref="AZ1060:BG1060" si="1162">IF(ISBLANK(INDEX(MO_IS_FirstRow,0,COLUMN())),0,ROUND(AZ919-AZ782,6))</f>
        <v>0</v>
      </c>
      <c r="BA1060" s="1007">
        <f t="shared" si="1162"/>
        <v>0</v>
      </c>
      <c r="BB1060" s="1007">
        <f t="shared" si="1162"/>
        <v>0</v>
      </c>
      <c r="BC1060" s="1007">
        <f t="shared" si="1162"/>
        <v>0</v>
      </c>
      <c r="BD1060" s="1007">
        <f t="shared" si="1162"/>
        <v>0</v>
      </c>
      <c r="BE1060" s="1007">
        <f t="shared" si="1162"/>
        <v>0</v>
      </c>
      <c r="BF1060" s="1007">
        <f t="shared" si="1162"/>
        <v>0</v>
      </c>
      <c r="BG1060" s="1007">
        <f t="shared" si="1162"/>
        <v>0</v>
      </c>
      <c r="BH1060" s="728"/>
    </row>
    <row r="1061" spans="1:60" s="40" customFormat="1" x14ac:dyDescent="0.25">
      <c r="A1061" s="728" t="s">
        <v>369</v>
      </c>
      <c r="B1061" s="955"/>
      <c r="C1061" s="1007">
        <f t="shared" ref="C1061:AH1061" si="1163">IF(ISBLANK(INDEX(MO_IS_FirstRow,0,COLUMN())),0,ROUND(C734-C786,6))</f>
        <v>0</v>
      </c>
      <c r="D1061" s="1007">
        <f t="shared" si="1163"/>
        <v>0</v>
      </c>
      <c r="E1061" s="1007">
        <f t="shared" si="1163"/>
        <v>0</v>
      </c>
      <c r="F1061" s="1007">
        <f t="shared" si="1163"/>
        <v>0</v>
      </c>
      <c r="G1061" s="1007">
        <f t="shared" si="1163"/>
        <v>0</v>
      </c>
      <c r="H1061" s="1007">
        <f t="shared" si="1163"/>
        <v>0</v>
      </c>
      <c r="I1061" s="1007">
        <f t="shared" si="1163"/>
        <v>0</v>
      </c>
      <c r="J1061" s="1007">
        <f t="shared" si="1163"/>
        <v>0</v>
      </c>
      <c r="K1061" s="1007">
        <f t="shared" si="1163"/>
        <v>0</v>
      </c>
      <c r="L1061" s="1007">
        <f t="shared" si="1163"/>
        <v>0</v>
      </c>
      <c r="M1061" s="1007">
        <f t="shared" si="1163"/>
        <v>0</v>
      </c>
      <c r="N1061" s="1007">
        <f t="shared" si="1163"/>
        <v>0</v>
      </c>
      <c r="O1061" s="1007">
        <f t="shared" si="1163"/>
        <v>0</v>
      </c>
      <c r="P1061" s="1007">
        <f t="shared" si="1163"/>
        <v>0</v>
      </c>
      <c r="Q1061" s="1007">
        <f t="shared" si="1163"/>
        <v>0</v>
      </c>
      <c r="R1061" s="1007">
        <f t="shared" si="1163"/>
        <v>0</v>
      </c>
      <c r="S1061" s="1007">
        <f t="shared" si="1163"/>
        <v>0</v>
      </c>
      <c r="T1061" s="1007">
        <f t="shared" si="1163"/>
        <v>0</v>
      </c>
      <c r="U1061" s="1007">
        <f t="shared" si="1163"/>
        <v>0</v>
      </c>
      <c r="V1061" s="1007">
        <f t="shared" si="1163"/>
        <v>0</v>
      </c>
      <c r="W1061" s="1007">
        <f t="shared" si="1163"/>
        <v>0</v>
      </c>
      <c r="X1061" s="1007">
        <f t="shared" si="1163"/>
        <v>0</v>
      </c>
      <c r="Y1061" s="1007">
        <f t="shared" si="1163"/>
        <v>0</v>
      </c>
      <c r="Z1061" s="1007">
        <f t="shared" si="1163"/>
        <v>0</v>
      </c>
      <c r="AA1061" s="1007">
        <f t="shared" si="1163"/>
        <v>0</v>
      </c>
      <c r="AB1061" s="1007">
        <f t="shared" si="1163"/>
        <v>0</v>
      </c>
      <c r="AC1061" s="1007">
        <f t="shared" si="1163"/>
        <v>0</v>
      </c>
      <c r="AD1061" s="1007">
        <f t="shared" si="1163"/>
        <v>0</v>
      </c>
      <c r="AE1061" s="1007">
        <f t="shared" si="1163"/>
        <v>0</v>
      </c>
      <c r="AF1061" s="1007">
        <f t="shared" si="1163"/>
        <v>0</v>
      </c>
      <c r="AG1061" s="1007">
        <f t="shared" si="1163"/>
        <v>0</v>
      </c>
      <c r="AH1061" s="1007">
        <f t="shared" si="1163"/>
        <v>0</v>
      </c>
      <c r="AI1061" s="1007">
        <f t="shared" ref="AI1061:AY1061" si="1164">IF(ISBLANK(INDEX(MO_IS_FirstRow,0,COLUMN())),0,ROUND(AI734-AI786,6))</f>
        <v>0</v>
      </c>
      <c r="AJ1061" s="1007">
        <f t="shared" si="1164"/>
        <v>0</v>
      </c>
      <c r="AK1061" s="1007">
        <f t="shared" si="1164"/>
        <v>0</v>
      </c>
      <c r="AL1061" s="1007">
        <f t="shared" si="1164"/>
        <v>0</v>
      </c>
      <c r="AM1061" s="1007">
        <f t="shared" si="1164"/>
        <v>0</v>
      </c>
      <c r="AN1061" s="1007">
        <f t="shared" si="1164"/>
        <v>0</v>
      </c>
      <c r="AO1061" s="1007">
        <f t="shared" si="1164"/>
        <v>0</v>
      </c>
      <c r="AP1061" s="1007">
        <f t="shared" si="1164"/>
        <v>0</v>
      </c>
      <c r="AQ1061" s="1007">
        <f t="shared" si="1164"/>
        <v>0</v>
      </c>
      <c r="AR1061" s="1007">
        <f t="shared" si="1164"/>
        <v>0</v>
      </c>
      <c r="AS1061" s="1007">
        <f>IF(ISBLANK(INDEX(MO_IS_FirstRow,0,COLUMN())),0,ROUND(AS734-AS786,6))</f>
        <v>0</v>
      </c>
      <c r="AT1061" s="1007">
        <f>IF(ISBLANK(INDEX(MO_IS_FirstRow,0,COLUMN())),0,ROUND(AT734-AT786,6))</f>
        <v>0</v>
      </c>
      <c r="AU1061" s="1007">
        <f>IF(ISBLANK(INDEX(MO_IS_FirstRow,0,COLUMN())),0,ROUND(AU734-AU786,6))</f>
        <v>0</v>
      </c>
      <c r="AV1061" s="1007">
        <f>IF(ISBLANK(INDEX(MO_IS_FirstRow,0,COLUMN())),0,ROUND(AV734-AV786,6))</f>
        <v>0</v>
      </c>
      <c r="AW1061" s="1008">
        <f>IF(ISBLANK(INDEX(MO_IS_FirstRow,0,COLUMN())),0,ROUND(AW734-AW786,6))</f>
        <v>0</v>
      </c>
      <c r="AX1061" s="1007">
        <f t="shared" si="1164"/>
        <v>0</v>
      </c>
      <c r="AY1061" s="1007">
        <f t="shared" si="1164"/>
        <v>0</v>
      </c>
      <c r="AZ1061" s="1007">
        <f t="shared" ref="AZ1061:BG1061" si="1165">IF(ISBLANK(INDEX(MO_IS_FirstRow,0,COLUMN())),0,ROUND(AZ734-AZ786,6))</f>
        <v>0</v>
      </c>
      <c r="BA1061" s="1007">
        <f t="shared" si="1165"/>
        <v>0</v>
      </c>
      <c r="BB1061" s="1007">
        <f t="shared" si="1165"/>
        <v>0</v>
      </c>
      <c r="BC1061" s="1007">
        <f t="shared" si="1165"/>
        <v>0</v>
      </c>
      <c r="BD1061" s="1007">
        <f t="shared" si="1165"/>
        <v>0</v>
      </c>
      <c r="BE1061" s="1007">
        <f t="shared" si="1165"/>
        <v>0</v>
      </c>
      <c r="BF1061" s="1007">
        <f t="shared" si="1165"/>
        <v>0</v>
      </c>
      <c r="BG1061" s="1007">
        <f t="shared" si="1165"/>
        <v>0</v>
      </c>
      <c r="BH1061" s="728"/>
    </row>
    <row r="1062" spans="1:60" s="40" customFormat="1" x14ac:dyDescent="0.25">
      <c r="A1062" s="728" t="s">
        <v>665</v>
      </c>
      <c r="B1062" s="955"/>
      <c r="C1062" s="1007">
        <f t="shared" ref="C1062:AH1062" si="1166">IF(C826&lt;0,C826,0)</f>
        <v>0</v>
      </c>
      <c r="D1062" s="1007">
        <f t="shared" si="1166"/>
        <v>0</v>
      </c>
      <c r="E1062" s="1007">
        <f t="shared" si="1166"/>
        <v>0</v>
      </c>
      <c r="F1062" s="1007">
        <f t="shared" si="1166"/>
        <v>0</v>
      </c>
      <c r="G1062" s="1007">
        <f t="shared" si="1166"/>
        <v>0</v>
      </c>
      <c r="H1062" s="1007">
        <f t="shared" si="1166"/>
        <v>0</v>
      </c>
      <c r="I1062" s="1007">
        <f t="shared" si="1166"/>
        <v>0</v>
      </c>
      <c r="J1062" s="1007">
        <f t="shared" si="1166"/>
        <v>0</v>
      </c>
      <c r="K1062" s="1007">
        <f t="shared" si="1166"/>
        <v>0</v>
      </c>
      <c r="L1062" s="1007">
        <f t="shared" si="1166"/>
        <v>0</v>
      </c>
      <c r="M1062" s="1007">
        <f t="shared" si="1166"/>
        <v>0</v>
      </c>
      <c r="N1062" s="1007">
        <f t="shared" si="1166"/>
        <v>0</v>
      </c>
      <c r="O1062" s="1007">
        <f t="shared" si="1166"/>
        <v>0</v>
      </c>
      <c r="P1062" s="1007">
        <f t="shared" si="1166"/>
        <v>0</v>
      </c>
      <c r="Q1062" s="1007">
        <f t="shared" si="1166"/>
        <v>0</v>
      </c>
      <c r="R1062" s="1007">
        <f t="shared" si="1166"/>
        <v>0</v>
      </c>
      <c r="S1062" s="1007">
        <f t="shared" si="1166"/>
        <v>0</v>
      </c>
      <c r="T1062" s="1007">
        <f t="shared" si="1166"/>
        <v>0</v>
      </c>
      <c r="U1062" s="1007">
        <f t="shared" si="1166"/>
        <v>0</v>
      </c>
      <c r="V1062" s="1007">
        <f t="shared" si="1166"/>
        <v>0</v>
      </c>
      <c r="W1062" s="1007">
        <f t="shared" si="1166"/>
        <v>0</v>
      </c>
      <c r="X1062" s="1007">
        <f t="shared" si="1166"/>
        <v>0</v>
      </c>
      <c r="Y1062" s="1007">
        <f t="shared" si="1166"/>
        <v>0</v>
      </c>
      <c r="Z1062" s="1007">
        <f t="shared" si="1166"/>
        <v>0</v>
      </c>
      <c r="AA1062" s="1007">
        <f t="shared" si="1166"/>
        <v>0</v>
      </c>
      <c r="AB1062" s="1007">
        <f t="shared" si="1166"/>
        <v>0</v>
      </c>
      <c r="AC1062" s="1007">
        <f t="shared" si="1166"/>
        <v>0</v>
      </c>
      <c r="AD1062" s="1007">
        <f t="shared" si="1166"/>
        <v>0</v>
      </c>
      <c r="AE1062" s="1007">
        <f t="shared" si="1166"/>
        <v>0</v>
      </c>
      <c r="AF1062" s="1007">
        <f t="shared" si="1166"/>
        <v>0</v>
      </c>
      <c r="AG1062" s="1007">
        <f t="shared" si="1166"/>
        <v>0</v>
      </c>
      <c r="AH1062" s="1007">
        <f t="shared" si="1166"/>
        <v>0</v>
      </c>
      <c r="AI1062" s="1007">
        <f t="shared" ref="AI1062:AY1062" si="1167">IF(AI826&lt;0,AI826,0)</f>
        <v>0</v>
      </c>
      <c r="AJ1062" s="1007">
        <f t="shared" si="1167"/>
        <v>0</v>
      </c>
      <c r="AK1062" s="1007">
        <f t="shared" si="1167"/>
        <v>0</v>
      </c>
      <c r="AL1062" s="1007">
        <f t="shared" si="1167"/>
        <v>0</v>
      </c>
      <c r="AM1062" s="1007">
        <f t="shared" si="1167"/>
        <v>0</v>
      </c>
      <c r="AN1062" s="1007">
        <f t="shared" si="1167"/>
        <v>0</v>
      </c>
      <c r="AO1062" s="1007">
        <f t="shared" si="1167"/>
        <v>0</v>
      </c>
      <c r="AP1062" s="1007">
        <f t="shared" si="1167"/>
        <v>0</v>
      </c>
      <c r="AQ1062" s="1007">
        <f t="shared" si="1167"/>
        <v>0</v>
      </c>
      <c r="AR1062" s="1007">
        <f t="shared" si="1167"/>
        <v>0</v>
      </c>
      <c r="AS1062" s="1007">
        <f>IF(AS826&lt;0,AS826,0)</f>
        <v>0</v>
      </c>
      <c r="AT1062" s="1007">
        <f>IF(AT826&lt;0,AT826,0)</f>
        <v>0</v>
      </c>
      <c r="AU1062" s="1007">
        <f>IF(AU826&lt;0,AU826,0)</f>
        <v>0</v>
      </c>
      <c r="AV1062" s="1007">
        <f>IF(AV826&lt;0,AV826,0)</f>
        <v>0</v>
      </c>
      <c r="AW1062" s="1008">
        <f>IF(AW826&lt;0,AW826,0)</f>
        <v>0</v>
      </c>
      <c r="AX1062" s="1007">
        <f t="shared" ca="1" si="1167"/>
        <v>0</v>
      </c>
      <c r="AY1062" s="1007">
        <f t="shared" ca="1" si="1167"/>
        <v>0</v>
      </c>
      <c r="AZ1062" s="1007">
        <f t="shared" ref="AZ1062:BG1062" ca="1" si="1168">IF(AZ826&lt;0,AZ826,0)</f>
        <v>0</v>
      </c>
      <c r="BA1062" s="1007">
        <f t="shared" ca="1" si="1168"/>
        <v>0</v>
      </c>
      <c r="BB1062" s="1007">
        <f t="shared" ca="1" si="1168"/>
        <v>0</v>
      </c>
      <c r="BC1062" s="1007">
        <f t="shared" ca="1" si="1168"/>
        <v>0</v>
      </c>
      <c r="BD1062" s="1007">
        <f t="shared" ca="1" si="1168"/>
        <v>0</v>
      </c>
      <c r="BE1062" s="1007">
        <f t="shared" ca="1" si="1168"/>
        <v>0</v>
      </c>
      <c r="BF1062" s="1007">
        <f t="shared" ca="1" si="1168"/>
        <v>0</v>
      </c>
      <c r="BG1062" s="1007">
        <f t="shared" ca="1" si="1168"/>
        <v>0</v>
      </c>
      <c r="BH1062" s="728"/>
    </row>
    <row r="1063" spans="1:60" s="40" customFormat="1" x14ac:dyDescent="0.25">
      <c r="A1063" s="728" t="s">
        <v>666</v>
      </c>
      <c r="B1063" s="955"/>
      <c r="C1063" s="1007">
        <f t="shared" ref="C1063:AH1063" si="1169">IF(C829&lt;0,C829,0)</f>
        <v>0</v>
      </c>
      <c r="D1063" s="1007">
        <f t="shared" si="1169"/>
        <v>0</v>
      </c>
      <c r="E1063" s="1007">
        <f t="shared" si="1169"/>
        <v>0</v>
      </c>
      <c r="F1063" s="1007">
        <f t="shared" si="1169"/>
        <v>0</v>
      </c>
      <c r="G1063" s="1007">
        <f t="shared" si="1169"/>
        <v>0</v>
      </c>
      <c r="H1063" s="1007">
        <f t="shared" si="1169"/>
        <v>0</v>
      </c>
      <c r="I1063" s="1007">
        <f t="shared" si="1169"/>
        <v>0</v>
      </c>
      <c r="J1063" s="1007">
        <f t="shared" si="1169"/>
        <v>0</v>
      </c>
      <c r="K1063" s="1007">
        <f t="shared" si="1169"/>
        <v>0</v>
      </c>
      <c r="L1063" s="1007">
        <f t="shared" si="1169"/>
        <v>0</v>
      </c>
      <c r="M1063" s="1007">
        <f t="shared" si="1169"/>
        <v>0</v>
      </c>
      <c r="N1063" s="1007">
        <f t="shared" si="1169"/>
        <v>0</v>
      </c>
      <c r="O1063" s="1007">
        <f t="shared" si="1169"/>
        <v>0</v>
      </c>
      <c r="P1063" s="1007">
        <f t="shared" si="1169"/>
        <v>0</v>
      </c>
      <c r="Q1063" s="1007">
        <f t="shared" si="1169"/>
        <v>0</v>
      </c>
      <c r="R1063" s="1007">
        <f t="shared" si="1169"/>
        <v>0</v>
      </c>
      <c r="S1063" s="1007">
        <f t="shared" si="1169"/>
        <v>0</v>
      </c>
      <c r="T1063" s="1007">
        <f t="shared" si="1169"/>
        <v>0</v>
      </c>
      <c r="U1063" s="1007">
        <f t="shared" si="1169"/>
        <v>0</v>
      </c>
      <c r="V1063" s="1007">
        <f t="shared" si="1169"/>
        <v>0</v>
      </c>
      <c r="W1063" s="1007">
        <f t="shared" si="1169"/>
        <v>0</v>
      </c>
      <c r="X1063" s="1007">
        <f t="shared" si="1169"/>
        <v>0</v>
      </c>
      <c r="Y1063" s="1007">
        <f t="shared" si="1169"/>
        <v>0</v>
      </c>
      <c r="Z1063" s="1007">
        <f t="shared" si="1169"/>
        <v>0</v>
      </c>
      <c r="AA1063" s="1007">
        <f t="shared" si="1169"/>
        <v>0</v>
      </c>
      <c r="AB1063" s="1007">
        <f t="shared" si="1169"/>
        <v>0</v>
      </c>
      <c r="AC1063" s="1007">
        <f t="shared" si="1169"/>
        <v>0</v>
      </c>
      <c r="AD1063" s="1007">
        <f t="shared" si="1169"/>
        <v>0</v>
      </c>
      <c r="AE1063" s="1007">
        <f t="shared" si="1169"/>
        <v>0</v>
      </c>
      <c r="AF1063" s="1007">
        <f t="shared" si="1169"/>
        <v>0</v>
      </c>
      <c r="AG1063" s="1007">
        <f t="shared" si="1169"/>
        <v>0</v>
      </c>
      <c r="AH1063" s="1007">
        <f t="shared" si="1169"/>
        <v>0</v>
      </c>
      <c r="AI1063" s="1007">
        <f t="shared" ref="AI1063:AY1063" si="1170">IF(AI829&lt;0,AI829,0)</f>
        <v>0</v>
      </c>
      <c r="AJ1063" s="1007">
        <f t="shared" si="1170"/>
        <v>0</v>
      </c>
      <c r="AK1063" s="1007">
        <f t="shared" si="1170"/>
        <v>0</v>
      </c>
      <c r="AL1063" s="1007">
        <f t="shared" si="1170"/>
        <v>0</v>
      </c>
      <c r="AM1063" s="1007">
        <f t="shared" si="1170"/>
        <v>0</v>
      </c>
      <c r="AN1063" s="1007">
        <f t="shared" si="1170"/>
        <v>0</v>
      </c>
      <c r="AO1063" s="1007">
        <f t="shared" si="1170"/>
        <v>0</v>
      </c>
      <c r="AP1063" s="1007">
        <f t="shared" si="1170"/>
        <v>0</v>
      </c>
      <c r="AQ1063" s="1007">
        <f t="shared" si="1170"/>
        <v>0</v>
      </c>
      <c r="AR1063" s="1007">
        <f t="shared" si="1170"/>
        <v>0</v>
      </c>
      <c r="AS1063" s="1007">
        <f>IF(AS829&lt;0,AS829,0)</f>
        <v>0</v>
      </c>
      <c r="AT1063" s="1007">
        <f>IF(AT829&lt;0,AT829,0)</f>
        <v>0</v>
      </c>
      <c r="AU1063" s="1007">
        <f>IF(AU829&lt;0,AU829,0)</f>
        <v>0</v>
      </c>
      <c r="AV1063" s="1007">
        <f>IF(AV829&lt;0,AV829,0)</f>
        <v>0</v>
      </c>
      <c r="AW1063" s="1008">
        <f>IF(AW829&lt;0,AW829,0)</f>
        <v>0</v>
      </c>
      <c r="AX1063" s="1007">
        <f t="shared" si="1170"/>
        <v>0</v>
      </c>
      <c r="AY1063" s="1007">
        <f t="shared" si="1170"/>
        <v>0</v>
      </c>
      <c r="AZ1063" s="1007">
        <f t="shared" ref="AZ1063:BG1063" si="1171">IF(AZ829&lt;0,AZ829,0)</f>
        <v>0</v>
      </c>
      <c r="BA1063" s="1007">
        <f t="shared" si="1171"/>
        <v>0</v>
      </c>
      <c r="BB1063" s="1007">
        <f t="shared" si="1171"/>
        <v>0</v>
      </c>
      <c r="BC1063" s="1007">
        <f t="shared" si="1171"/>
        <v>0</v>
      </c>
      <c r="BD1063" s="1007">
        <f t="shared" si="1171"/>
        <v>0</v>
      </c>
      <c r="BE1063" s="1007">
        <f t="shared" si="1171"/>
        <v>0</v>
      </c>
      <c r="BF1063" s="1007">
        <f t="shared" si="1171"/>
        <v>0</v>
      </c>
      <c r="BG1063" s="1007">
        <f t="shared" si="1171"/>
        <v>0</v>
      </c>
      <c r="BH1063" s="728"/>
    </row>
    <row r="1064" spans="1:60" s="40" customFormat="1" x14ac:dyDescent="0.25">
      <c r="A1064" s="728" t="s">
        <v>370</v>
      </c>
      <c r="B1064" s="955"/>
      <c r="C1064" s="1007">
        <f t="shared" ref="C1064:Y1064" si="1172">ROUND(C699-C778,6)</f>
        <v>0</v>
      </c>
      <c r="D1064" s="1007">
        <f t="shared" si="1172"/>
        <v>0</v>
      </c>
      <c r="E1064" s="1007">
        <f t="shared" si="1172"/>
        <v>0</v>
      </c>
      <c r="F1064" s="1007">
        <f t="shared" si="1172"/>
        <v>0</v>
      </c>
      <c r="G1064" s="1007">
        <f t="shared" si="1172"/>
        <v>0</v>
      </c>
      <c r="H1064" s="1007">
        <f t="shared" si="1172"/>
        <v>0</v>
      </c>
      <c r="I1064" s="1007">
        <f t="shared" si="1172"/>
        <v>0</v>
      </c>
      <c r="J1064" s="1007">
        <f t="shared" si="1172"/>
        <v>0</v>
      </c>
      <c r="K1064" s="1007">
        <f t="shared" si="1172"/>
        <v>0</v>
      </c>
      <c r="L1064" s="1007">
        <f t="shared" si="1172"/>
        <v>0</v>
      </c>
      <c r="M1064" s="1007">
        <f t="shared" si="1172"/>
        <v>0</v>
      </c>
      <c r="N1064" s="1007">
        <f t="shared" si="1172"/>
        <v>0</v>
      </c>
      <c r="O1064" s="1007">
        <f t="shared" si="1172"/>
        <v>0</v>
      </c>
      <c r="P1064" s="1007">
        <f t="shared" si="1172"/>
        <v>0</v>
      </c>
      <c r="Q1064" s="1007">
        <f t="shared" si="1172"/>
        <v>0</v>
      </c>
      <c r="R1064" s="1007">
        <f t="shared" si="1172"/>
        <v>0</v>
      </c>
      <c r="S1064" s="1007">
        <f t="shared" si="1172"/>
        <v>0</v>
      </c>
      <c r="T1064" s="1007">
        <f t="shared" si="1172"/>
        <v>0</v>
      </c>
      <c r="U1064" s="1007">
        <f t="shared" si="1172"/>
        <v>0</v>
      </c>
      <c r="V1064" s="1007">
        <f t="shared" si="1172"/>
        <v>0</v>
      </c>
      <c r="W1064" s="1007">
        <f t="shared" si="1172"/>
        <v>0</v>
      </c>
      <c r="X1064" s="1007">
        <f t="shared" si="1172"/>
        <v>0</v>
      </c>
      <c r="Y1064" s="1007">
        <f t="shared" si="1172"/>
        <v>0</v>
      </c>
      <c r="Z1064" s="1007">
        <f>ROUND(Z535-Z778,6)</f>
        <v>0</v>
      </c>
      <c r="AA1064" s="1007">
        <f>ROUND(AA699-AA778,6)</f>
        <v>0</v>
      </c>
      <c r="AB1064" s="1007">
        <f>ROUND(AB699-AB778,6)</f>
        <v>0</v>
      </c>
      <c r="AC1064" s="1007">
        <f>ROUND(AC699-AC778,6)</f>
        <v>0</v>
      </c>
      <c r="AD1064" s="1007">
        <f>ROUND(AD699-AD778,6)</f>
        <v>0</v>
      </c>
      <c r="AE1064" s="1007">
        <f t="shared" ref="AE1064:AT1064" si="1173">ROUND(AE535-AE778,6)</f>
        <v>0</v>
      </c>
      <c r="AF1064" s="1007">
        <f t="shared" si="1173"/>
        <v>0</v>
      </c>
      <c r="AG1064" s="1007">
        <f t="shared" si="1173"/>
        <v>0</v>
      </c>
      <c r="AH1064" s="1007">
        <f t="shared" si="1173"/>
        <v>0</v>
      </c>
      <c r="AI1064" s="1007">
        <f t="shared" si="1173"/>
        <v>0</v>
      </c>
      <c r="AJ1064" s="1007">
        <f t="shared" si="1173"/>
        <v>0</v>
      </c>
      <c r="AK1064" s="1007">
        <f t="shared" si="1173"/>
        <v>0</v>
      </c>
      <c r="AL1064" s="1007">
        <f t="shared" si="1173"/>
        <v>0</v>
      </c>
      <c r="AM1064" s="1007">
        <f t="shared" si="1173"/>
        <v>0</v>
      </c>
      <c r="AN1064" s="1007">
        <f t="shared" si="1173"/>
        <v>0</v>
      </c>
      <c r="AO1064" s="1007">
        <f t="shared" si="1173"/>
        <v>0</v>
      </c>
      <c r="AP1064" s="1007">
        <f t="shared" si="1173"/>
        <v>0</v>
      </c>
      <c r="AQ1064" s="1007">
        <f t="shared" si="1173"/>
        <v>0</v>
      </c>
      <c r="AR1064" s="1007">
        <f t="shared" si="1173"/>
        <v>0</v>
      </c>
      <c r="AS1064" s="1007">
        <f t="shared" si="1173"/>
        <v>0</v>
      </c>
      <c r="AT1064" s="1007">
        <f t="shared" si="1173"/>
        <v>0</v>
      </c>
      <c r="AU1064" s="1007">
        <f t="shared" ref="AU1064:BG1064" si="1174">ROUND(AU535-AU778,6)</f>
        <v>0</v>
      </c>
      <c r="AV1064" s="1007">
        <f t="shared" si="1174"/>
        <v>0</v>
      </c>
      <c r="AW1064" s="1008">
        <f>ROUND(AW535-AW778,6)</f>
        <v>0</v>
      </c>
      <c r="AX1064" s="1007">
        <f t="shared" si="1174"/>
        <v>0</v>
      </c>
      <c r="AY1064" s="1007">
        <f t="shared" si="1174"/>
        <v>0</v>
      </c>
      <c r="AZ1064" s="1007">
        <f t="shared" ca="1" si="1174"/>
        <v>0</v>
      </c>
      <c r="BA1064" s="1007">
        <f t="shared" ca="1" si="1174"/>
        <v>0</v>
      </c>
      <c r="BB1064" s="1007">
        <f t="shared" ca="1" si="1174"/>
        <v>0</v>
      </c>
      <c r="BC1064" s="1007">
        <f t="shared" ca="1" si="1174"/>
        <v>0</v>
      </c>
      <c r="BD1064" s="1007">
        <f t="shared" ca="1" si="1174"/>
        <v>0</v>
      </c>
      <c r="BE1064" s="1007">
        <f t="shared" ca="1" si="1174"/>
        <v>0</v>
      </c>
      <c r="BF1064" s="1007">
        <f t="shared" ca="1" si="1174"/>
        <v>0</v>
      </c>
      <c r="BG1064" s="1007">
        <f t="shared" ca="1" si="1174"/>
        <v>0</v>
      </c>
      <c r="BH1064" s="728"/>
    </row>
    <row r="1065" spans="1:60" s="40" customFormat="1" x14ac:dyDescent="0.25">
      <c r="A1065" s="728" t="s">
        <v>371</v>
      </c>
      <c r="B1065" s="955"/>
      <c r="C1065" s="1007">
        <f t="shared" ref="C1065:AE1065" si="1175">ROUND(C603+C668+C685+C702+C809+C635,6)</f>
        <v>0</v>
      </c>
      <c r="D1065" s="1007">
        <f t="shared" si="1175"/>
        <v>0</v>
      </c>
      <c r="E1065" s="1007">
        <f t="shared" si="1175"/>
        <v>0</v>
      </c>
      <c r="F1065" s="1007">
        <f t="shared" si="1175"/>
        <v>0</v>
      </c>
      <c r="G1065" s="1007">
        <f t="shared" si="1175"/>
        <v>0</v>
      </c>
      <c r="H1065" s="1007">
        <f t="shared" si="1175"/>
        <v>0</v>
      </c>
      <c r="I1065" s="1007">
        <f t="shared" si="1175"/>
        <v>0</v>
      </c>
      <c r="J1065" s="1007">
        <f t="shared" si="1175"/>
        <v>0</v>
      </c>
      <c r="K1065" s="1007">
        <f t="shared" si="1175"/>
        <v>0</v>
      </c>
      <c r="L1065" s="1007">
        <f t="shared" si="1175"/>
        <v>0</v>
      </c>
      <c r="M1065" s="1007">
        <f t="shared" si="1175"/>
        <v>0</v>
      </c>
      <c r="N1065" s="1007">
        <f t="shared" si="1175"/>
        <v>0</v>
      </c>
      <c r="O1065" s="1007">
        <f t="shared" si="1175"/>
        <v>0</v>
      </c>
      <c r="P1065" s="1007">
        <f t="shared" si="1175"/>
        <v>0</v>
      </c>
      <c r="Q1065" s="1007">
        <f t="shared" si="1175"/>
        <v>0</v>
      </c>
      <c r="R1065" s="1007">
        <f t="shared" si="1175"/>
        <v>0</v>
      </c>
      <c r="S1065" s="1007">
        <f t="shared" si="1175"/>
        <v>0</v>
      </c>
      <c r="T1065" s="1007">
        <f t="shared" si="1175"/>
        <v>0</v>
      </c>
      <c r="U1065" s="1007">
        <f t="shared" si="1175"/>
        <v>0</v>
      </c>
      <c r="V1065" s="1007">
        <f t="shared" si="1175"/>
        <v>0</v>
      </c>
      <c r="W1065" s="1007">
        <f t="shared" si="1175"/>
        <v>0</v>
      </c>
      <c r="X1065" s="1007">
        <f t="shared" si="1175"/>
        <v>0</v>
      </c>
      <c r="Y1065" s="1007">
        <f t="shared" si="1175"/>
        <v>0</v>
      </c>
      <c r="Z1065" s="1007">
        <f t="shared" si="1175"/>
        <v>0</v>
      </c>
      <c r="AA1065" s="1007">
        <f t="shared" si="1175"/>
        <v>0</v>
      </c>
      <c r="AB1065" s="1007">
        <f t="shared" si="1175"/>
        <v>0</v>
      </c>
      <c r="AC1065" s="1007">
        <f t="shared" si="1175"/>
        <v>0</v>
      </c>
      <c r="AD1065" s="1007">
        <f t="shared" si="1175"/>
        <v>0</v>
      </c>
      <c r="AE1065" s="1007">
        <f t="shared" si="1175"/>
        <v>0</v>
      </c>
      <c r="AF1065" s="1007">
        <f>ROUND(AF809+AF276+AF331+AF412+AF453+AF548+AF582,6)</f>
        <v>0</v>
      </c>
      <c r="AG1065" s="1007">
        <f>ROUND(AG809+AG276+AG331+AG412+AG453+AG548+AG582,6)</f>
        <v>0</v>
      </c>
      <c r="AH1065" s="1007"/>
      <c r="AI1065" s="1007"/>
      <c r="AJ1065" s="1007"/>
      <c r="AK1065" s="1007">
        <f>ROUND(AK809+AK276+AK331+AK412+AK453+AK548,6)</f>
        <v>0</v>
      </c>
      <c r="AL1065" s="1007">
        <f>ROUND(AL809+AL276+AL331+AL412+AL453+AL548+AL582,6)</f>
        <v>0</v>
      </c>
      <c r="AM1065" s="1007">
        <f>ROUND(AM809+AM276+AM331+AM412+AM453+AM548+AM582,6)</f>
        <v>5</v>
      </c>
      <c r="AN1065" s="1007">
        <f>ROUND(AN809+AN276+AN331+AN412+AN453+AN548+AN582,6)</f>
        <v>0</v>
      </c>
      <c r="AO1065" s="1007">
        <f>ROUND(AO809+AO276+AO331+AO412+AO453+AO548+AO582,6)</f>
        <v>0</v>
      </c>
      <c r="AP1065" s="1007">
        <f>ROUND(AP809+AP276+AP331+AP412+AP453+AP548,6)</f>
        <v>0</v>
      </c>
      <c r="AQ1065" s="1007">
        <f>ROUND(AQ809+AQ276+AQ331+AQ412+AQ453+AQ548+AQ582,6)</f>
        <v>0</v>
      </c>
      <c r="AR1065" s="1007">
        <f>ROUND(AR809+AR276+AR331+AR412+AR453+AR548+AR582,6)</f>
        <v>0</v>
      </c>
      <c r="AS1065" s="1007">
        <f>ROUND(AS809+AS276+AS331+AS412+AS453+AS548+AS582,6)</f>
        <v>0</v>
      </c>
      <c r="AT1065" s="1007">
        <f>ROUND(AT809+AT276+AT331+AT412+AT453+AT548+AT582,6)</f>
        <v>0</v>
      </c>
      <c r="AU1065" s="1007">
        <f t="shared" ref="AU1065:BG1065" si="1176">ROUND(AU809+AU221+AU155+AU548,6)</f>
        <v>0</v>
      </c>
      <c r="AV1065" s="1007">
        <f t="shared" si="1176"/>
        <v>0</v>
      </c>
      <c r="AW1065" s="1008">
        <f t="shared" si="1176"/>
        <v>0</v>
      </c>
      <c r="AX1065" s="1007">
        <f t="shared" si="1176"/>
        <v>0</v>
      </c>
      <c r="AY1065" s="1007">
        <f t="shared" si="1176"/>
        <v>0</v>
      </c>
      <c r="AZ1065" s="1007">
        <f t="shared" si="1176"/>
        <v>0</v>
      </c>
      <c r="BA1065" s="1007">
        <f t="shared" si="1176"/>
        <v>0</v>
      </c>
      <c r="BB1065" s="1007">
        <f t="shared" si="1176"/>
        <v>0</v>
      </c>
      <c r="BC1065" s="1007">
        <f t="shared" si="1176"/>
        <v>0</v>
      </c>
      <c r="BD1065" s="1007">
        <f t="shared" si="1176"/>
        <v>0</v>
      </c>
      <c r="BE1065" s="1007">
        <f t="shared" si="1176"/>
        <v>0</v>
      </c>
      <c r="BF1065" s="1007">
        <f t="shared" si="1176"/>
        <v>0</v>
      </c>
      <c r="BG1065" s="1007">
        <f t="shared" si="1176"/>
        <v>0</v>
      </c>
      <c r="BH1065" s="728"/>
    </row>
    <row r="1066" spans="1:60" s="40" customFormat="1" x14ac:dyDescent="0.25">
      <c r="A1066" s="728" t="s">
        <v>372</v>
      </c>
      <c r="B1066" s="955"/>
      <c r="C1066" s="1007"/>
      <c r="D1066" s="1007"/>
      <c r="E1066" s="1007"/>
      <c r="F1066" s="1007"/>
      <c r="G1066" s="1007"/>
      <c r="H1066" s="1007"/>
      <c r="I1066" s="1007"/>
      <c r="J1066" s="1007"/>
      <c r="K1066" s="1007">
        <f t="shared" ref="K1066:AE1066" si="1177">ROUND(K590+K659+K676-K690+K769+K622,6)</f>
        <v>0</v>
      </c>
      <c r="L1066" s="1007">
        <f t="shared" si="1177"/>
        <v>0</v>
      </c>
      <c r="M1066" s="1007">
        <f t="shared" si="1177"/>
        <v>0</v>
      </c>
      <c r="N1066" s="1007">
        <f t="shared" si="1177"/>
        <v>0</v>
      </c>
      <c r="O1066" s="1007">
        <f t="shared" si="1177"/>
        <v>0</v>
      </c>
      <c r="P1066" s="1007">
        <f t="shared" si="1177"/>
        <v>0</v>
      </c>
      <c r="Q1066" s="1007">
        <f t="shared" si="1177"/>
        <v>0</v>
      </c>
      <c r="R1066" s="1007">
        <f t="shared" si="1177"/>
        <v>0</v>
      </c>
      <c r="S1066" s="1007">
        <f t="shared" si="1177"/>
        <v>0</v>
      </c>
      <c r="T1066" s="1007">
        <f t="shared" si="1177"/>
        <v>0</v>
      </c>
      <c r="U1066" s="1007">
        <f t="shared" si="1177"/>
        <v>0</v>
      </c>
      <c r="V1066" s="1007">
        <f t="shared" si="1177"/>
        <v>0</v>
      </c>
      <c r="W1066" s="1007">
        <f t="shared" si="1177"/>
        <v>0</v>
      </c>
      <c r="X1066" s="1007">
        <f t="shared" si="1177"/>
        <v>0</v>
      </c>
      <c r="Y1066" s="1007">
        <f t="shared" si="1177"/>
        <v>0</v>
      </c>
      <c r="Z1066" s="1007">
        <f t="shared" si="1177"/>
        <v>0</v>
      </c>
      <c r="AA1066" s="1007">
        <f t="shared" si="1177"/>
        <v>0</v>
      </c>
      <c r="AB1066" s="1007">
        <f t="shared" si="1177"/>
        <v>0</v>
      </c>
      <c r="AC1066" s="1007">
        <f t="shared" si="1177"/>
        <v>0</v>
      </c>
      <c r="AD1066" s="1007">
        <f t="shared" si="1177"/>
        <v>0</v>
      </c>
      <c r="AE1066" s="1007">
        <f t="shared" si="1177"/>
        <v>0</v>
      </c>
      <c r="AF1066" s="1007">
        <f>ROUND(AF769+AF254+AF310+AF395+AF433+AF526+AF542-AF577,6)</f>
        <v>0</v>
      </c>
      <c r="AG1066" s="1007">
        <f t="shared" ref="AG1066:AT1066" si="1178">ROUND(AG769+AG254+AG310+AG395+AG433+AG526+AG542-AG577+AG770,6)</f>
        <v>0</v>
      </c>
      <c r="AH1066" s="1007">
        <f t="shared" si="1178"/>
        <v>0</v>
      </c>
      <c r="AI1066" s="1007">
        <f t="shared" si="1178"/>
        <v>0</v>
      </c>
      <c r="AJ1066" s="1007">
        <f t="shared" si="1178"/>
        <v>0</v>
      </c>
      <c r="AK1066" s="1007">
        <f t="shared" si="1178"/>
        <v>0</v>
      </c>
      <c r="AL1066" s="1007">
        <f t="shared" si="1178"/>
        <v>0</v>
      </c>
      <c r="AM1066" s="1007">
        <f t="shared" si="1178"/>
        <v>0</v>
      </c>
      <c r="AN1066" s="1007">
        <f t="shared" si="1178"/>
        <v>0</v>
      </c>
      <c r="AO1066" s="1007">
        <f t="shared" si="1178"/>
        <v>0</v>
      </c>
      <c r="AP1066" s="1007">
        <f t="shared" si="1178"/>
        <v>0</v>
      </c>
      <c r="AQ1066" s="1007">
        <f t="shared" si="1178"/>
        <v>0</v>
      </c>
      <c r="AR1066" s="1007">
        <f t="shared" si="1178"/>
        <v>0</v>
      </c>
      <c r="AS1066" s="1007">
        <f t="shared" si="1178"/>
        <v>0</v>
      </c>
      <c r="AT1066" s="1007">
        <f t="shared" si="1178"/>
        <v>0</v>
      </c>
      <c r="AU1066" s="1007">
        <f t="shared" ref="AU1066:BG1066" si="1179">ROUND(AU494-AU769-AU770,6)</f>
        <v>0</v>
      </c>
      <c r="AV1066" s="1007">
        <f t="shared" si="1179"/>
        <v>0</v>
      </c>
      <c r="AW1066" s="1008">
        <f>ROUND(AW494-AW769-AW770,6)</f>
        <v>0</v>
      </c>
      <c r="AX1066" s="1007">
        <f t="shared" si="1179"/>
        <v>0</v>
      </c>
      <c r="AY1066" s="1007">
        <f t="shared" si="1179"/>
        <v>0</v>
      </c>
      <c r="AZ1066" s="1007">
        <f t="shared" si="1179"/>
        <v>0</v>
      </c>
      <c r="BA1066" s="1007">
        <f t="shared" si="1179"/>
        <v>0</v>
      </c>
      <c r="BB1066" s="1007">
        <f t="shared" si="1179"/>
        <v>0</v>
      </c>
      <c r="BC1066" s="1007">
        <f t="shared" si="1179"/>
        <v>0</v>
      </c>
      <c r="BD1066" s="1007">
        <f t="shared" si="1179"/>
        <v>0</v>
      </c>
      <c r="BE1066" s="1007">
        <f t="shared" si="1179"/>
        <v>0</v>
      </c>
      <c r="BF1066" s="1007">
        <f t="shared" si="1179"/>
        <v>0</v>
      </c>
      <c r="BG1066" s="1007">
        <f t="shared" si="1179"/>
        <v>0</v>
      </c>
      <c r="BH1066" s="728"/>
    </row>
    <row r="1067" spans="1:60" s="40" customFormat="1" x14ac:dyDescent="0.25">
      <c r="A1067" s="728" t="s">
        <v>373</v>
      </c>
      <c r="B1067" s="955"/>
      <c r="C1067" s="1007">
        <f>IF(ISBLANK(INDEX(MO_IS_FirstRow,0,COLUMN())),0,IF(OR(C963=B963,C963=D963),"CHECK",0))</f>
        <v>0</v>
      </c>
      <c r="D1067" s="1007">
        <f>IF(ISBLANK(INDEX(MO_IS_FirstRow,0,COLUMN())),0,IF(OR(D963=C963,D963=E963),"CHECK",0))</f>
        <v>0</v>
      </c>
      <c r="E1067" s="1007">
        <f>IF(ISBLANK(INDEX(MO_IS_FirstRow,0,COLUMN())),0,IF(OR(E963=D963,E963=F963),"CHECK",0))</f>
        <v>0</v>
      </c>
      <c r="F1067" s="1007">
        <f>IF(ISBLANK(INDEX(MO_IS_FirstRow,0,COLUMN())),0,IF(OR(F963=E963,F963=K963),"CHECK",0))</f>
        <v>0</v>
      </c>
      <c r="G1067" s="1007">
        <f>IF(ISBLANK(INDEX(MO_IS_FirstRow,0,COLUMN())),0,IF(OR(G963=B963,G963=H963,G963=E963),"CHECK",0))</f>
        <v>0</v>
      </c>
      <c r="H1067" s="1007">
        <f>IF(ISBLANK(INDEX(MO_IS_FirstRow,0,COLUMN())),0,IF(OR(H963=C963,H963=I963,H963=G963),"CHECK",0))</f>
        <v>0</v>
      </c>
      <c r="I1067" s="1007">
        <f>IF(ISBLANK(INDEX(MO_IS_FirstRow,0,COLUMN())),0,IF(OR(I963=D963,I963=J963,I963=H963),"CHECK",0))</f>
        <v>0</v>
      </c>
      <c r="J1067" s="1007">
        <f>IF(ISBLANK(INDEX(MO_IS_FirstRow,0,COLUMN())),0,IF(OR(J963=E963,J963=K963,J963=I963),"CHECK",0))</f>
        <v>0</v>
      </c>
      <c r="K1067" s="1007">
        <f>IF(ISBLANK(INDEX(MO_IS_FirstRow,0,COLUMN())),0,IF(K963=F963,"CHECK",0))</f>
        <v>0</v>
      </c>
      <c r="L1067" s="1007">
        <f>IF(ISBLANK(INDEX(MO_IS_FirstRow,0,COLUMN())),0,IF(OR(L963=G963,L963=M963,L963=J963),"CHECK",0))</f>
        <v>0</v>
      </c>
      <c r="M1067" s="1007">
        <f>IF(ISBLANK(INDEX(MO_IS_FirstRow,0,COLUMN())),0,IF(OR(M963=H963,M963=N963,M963=L963),"CHECK",0))</f>
        <v>0</v>
      </c>
      <c r="N1067" s="1007">
        <f>IF(ISBLANK(INDEX(MO_IS_FirstRow,0,COLUMN())),0,IF(OR(N963=I963,N963=O963,N963=M963),"CHECK",0))</f>
        <v>0</v>
      </c>
      <c r="O1067" s="1007">
        <f>IF(ISBLANK(INDEX(MO_IS_FirstRow,0,COLUMN())),0,IF(OR(O963=J963,O963=P963,O963=N963),"CHECK",0))</f>
        <v>0</v>
      </c>
      <c r="P1067" s="1007">
        <f>IF(ISBLANK(INDEX(MO_IS_FirstRow,0,COLUMN())),0,IF(P963=K963,"CHECK",0))</f>
        <v>0</v>
      </c>
      <c r="Q1067" s="1007">
        <f>IF(ISBLANK(INDEX(MO_IS_FirstRow,0,COLUMN())),0,IF(OR(Q963=L963,Q963=R963,Q963=O963),"CHECK",0))</f>
        <v>0</v>
      </c>
      <c r="R1067" s="1007">
        <f>IF(ISBLANK(INDEX(MO_IS_FirstRow,0,COLUMN())),0,IF(OR(R963=M963,R963=S963,R963=Q963),"CHECK",0))</f>
        <v>0</v>
      </c>
      <c r="S1067" s="1007">
        <f>IF(ISBLANK(INDEX(MO_IS_FirstRow,0,COLUMN())),0,IF(OR(S963=N963,S963=T963,S963=R963),"CHECK",0))</f>
        <v>0</v>
      </c>
      <c r="T1067" s="1007">
        <f>IF(ISBLANK(INDEX(MO_IS_FirstRow,0,COLUMN())),0,IF(OR(T963=O963,T963=U963,T963=S963),"CHECK",0))</f>
        <v>0</v>
      </c>
      <c r="U1067" s="1007">
        <f>IF(ISBLANK(INDEX(MO_IS_FirstRow,0,COLUMN())),0,IF(U963=P963,"CHECK",0))</f>
        <v>0</v>
      </c>
      <c r="V1067" s="1007">
        <f>IF(ISBLANK(INDEX(MO_IS_FirstRow,0,COLUMN())),0,IF(OR(V963=Q963,V963=W963,V963=T963),"CHECK",0))</f>
        <v>0</v>
      </c>
      <c r="W1067" s="1007">
        <f>IF(ISBLANK(INDEX(MO_IS_FirstRow,0,COLUMN())),0,IF(OR(W963=R963,W963=X963,W963=V963),"CHECK",0))</f>
        <v>0</v>
      </c>
      <c r="X1067" s="1007">
        <f>IF(ISBLANK(INDEX(MO_IS_FirstRow,0,COLUMN())),0,IF(OR(X963=S963,X963=Y963,X963=W963),"CHECK",0))</f>
        <v>0</v>
      </c>
      <c r="Y1067" s="1007">
        <f>IF(ISBLANK(INDEX(MO_IS_FirstRow,0,COLUMN())),0,IF(OR(Y963=T963,Y963=Z963,Y963=X963),"CHECK",0))</f>
        <v>0</v>
      </c>
      <c r="Z1067" s="1007">
        <f>IF(ISBLANK(INDEX(MO_IS_FirstRow,0,COLUMN())),0,IF(Z963=U963,"CHECK",0))</f>
        <v>0</v>
      </c>
      <c r="AA1067" s="1007">
        <f>IF(ISBLANK(INDEX(MO_IS_FirstRow,0,COLUMN())),0,IF(OR(AA963=V963,AA963=AB963,AA963=Y963),"CHECK",0))</f>
        <v>0</v>
      </c>
      <c r="AB1067" s="1007">
        <f>IF(ISBLANK(INDEX(MO_IS_FirstRow,0,COLUMN())),0,IF(OR(AB963=W963,AB963=AC963,AB963=AA963),"CHECK",0))</f>
        <v>0</v>
      </c>
      <c r="AC1067" s="1007">
        <f>IF(ISBLANK(INDEX(MO_IS_FirstRow,0,COLUMN())),0,IF(OR(AC963=X963,AC963=AD963,AC963=AB963),"CHECK",0))</f>
        <v>0</v>
      </c>
      <c r="AD1067" s="1007">
        <f>IF(ISBLANK(INDEX(MO_IS_FirstRow,0,COLUMN())),0,IF(OR(AD963=Y963,AD963=AE963,AD963=AC963),"CHECK",0))</f>
        <v>0</v>
      </c>
      <c r="AE1067" s="1007">
        <f>IF(ISBLANK(INDEX(MO_IS_FirstRow,0,COLUMN())),0,IF(AE963=Z963,"CHECK",0))</f>
        <v>0</v>
      </c>
      <c r="AF1067" s="1007">
        <f>IF(ISBLANK(INDEX(MO_IS_FirstRow,0,COLUMN())),0,IF(OR(AF963=AA963,AF963=AG963,AF963=AE963),"CHECK",0))</f>
        <v>0</v>
      </c>
      <c r="AG1067" s="1007">
        <f>IF(ISBLANK(INDEX(MO_IS_FirstRow,0,COLUMN())),0,IF(OR(AG963=AB963,AG963=AH963,AG963=AF963),"CHECK",0))</f>
        <v>0</v>
      </c>
      <c r="AH1067" s="1007">
        <f>IF(ISBLANK(INDEX(MO_IS_FirstRow,0,COLUMN())),0,IF(OR(AH963=AC963,AH963=AI963,AH963=AG963),"CHECK",0))</f>
        <v>0</v>
      </c>
      <c r="AI1067" s="1007">
        <f>IF(ISBLANK(INDEX(MO_IS_FirstRow,0,COLUMN())),0,IF(OR(AI963=AD963,AI963=AJ963,AI963=AH963),"CHECK",0))</f>
        <v>0</v>
      </c>
      <c r="AJ1067" s="1007">
        <f>IF(ISBLANK(INDEX(MO_IS_FirstRow,0,COLUMN())),0,IF(AJ963=AE963,"CHECK",0))</f>
        <v>0</v>
      </c>
      <c r="AK1067" s="1007">
        <f>IF(ISBLANK(INDEX(MO_IS_FirstRow,0,COLUMN())),0,IF(OR(AK963=AF963,AK963=AL963,AK963=AI963),"CHECK",0))</f>
        <v>0</v>
      </c>
      <c r="AL1067" s="1007">
        <f>IF(ISBLANK(INDEX(MO_IS_FirstRow,0,COLUMN())),0,IF(OR(AL963=AG963,AL963=AM963,AL963=AK963),"CHECK",0))</f>
        <v>0</v>
      </c>
      <c r="AM1067" s="1007">
        <f>IF(ISBLANK(INDEX(MO_IS_FirstRow,0,COLUMN())),0,IF(OR(AM963=AH963,AM963=AN963,AM963=AL963),"CHECK",0))</f>
        <v>0</v>
      </c>
      <c r="AN1067" s="1007">
        <f>IF(ISBLANK(INDEX(MO_IS_FirstRow,0,COLUMN())),0,IF(OR(AN963=AI963,AN963=AO963,AN963=AM963),"CHECK",0))</f>
        <v>0</v>
      </c>
      <c r="AO1067" s="1007">
        <f>IF(ISBLANK(INDEX(MO_IS_FirstRow,0,COLUMN())),0,IF(AO963=AJ963,"CHECK",0))</f>
        <v>0</v>
      </c>
      <c r="AP1067" s="1007">
        <f>IF(ISBLANK(INDEX(MO_IS_FirstRow,0,COLUMN())),0,IF(OR(AP963=AK963,AP963=AQ963,AP963=AN963),"CHECK",0))</f>
        <v>0</v>
      </c>
      <c r="AQ1067" s="1007">
        <f>IF(ISBLANK(INDEX(MO_IS_FirstRow,0,COLUMN())),0,IF(OR(AQ963=AL963,AQ963=AR963,AQ963=AP963),"CHECK",0))</f>
        <v>0</v>
      </c>
      <c r="AR1067" s="1007">
        <f>IF(ISBLANK(INDEX(MO_IS_FirstRow,0,COLUMN())),0,IF(OR(AR963=AM963,AR963=AS963,AR963=AQ963),"CHECK",0))</f>
        <v>0</v>
      </c>
      <c r="AS1067" s="1007">
        <f>IF(ISBLANK(INDEX(MO_IS_FirstRow,0,COLUMN())),0,IF(OR(AS963=AN963,AS963=AT963,AS963=AR963),"CHECK",0))</f>
        <v>0</v>
      </c>
      <c r="AT1067" s="1007">
        <f>IF(ISBLANK(INDEX(MO_IS_FirstRow,0,COLUMN())),0,IF(AT963=AO963,"CHECK",0))</f>
        <v>0</v>
      </c>
      <c r="AU1067" s="1007">
        <f>IF(ISBLANK(INDEX(MO_IS_FirstRow,0,COLUMN())),0,IF(OR(AU963=AP963,AU963=AV963,AU963=AS963),"CHECK",0))</f>
        <v>0</v>
      </c>
      <c r="AV1067" s="1007">
        <f>IF(ISBLANK(INDEX(MO_IS_FirstRow,0,COLUMN())),0,IF(OR(AV963=AQ963,AV963=AW963,AV963=AU963),"CHECK",0))</f>
        <v>0</v>
      </c>
      <c r="AW1067" s="1008">
        <f ca="1">IF(ISBLANK(INDEX(MO_IS_FirstRow,0,COLUMN())),0,IF(OR(AW963=AR963,AW963=AX963,AW963=AV963),"CHECK",0))</f>
        <v>0</v>
      </c>
      <c r="AX1067" s="1007"/>
      <c r="AY1067" s="1007"/>
      <c r="AZ1067" s="1007"/>
      <c r="BA1067" s="1007"/>
      <c r="BB1067" s="1007"/>
      <c r="BC1067" s="1007"/>
      <c r="BD1067" s="1007"/>
      <c r="BE1067" s="1007"/>
      <c r="BF1067" s="1007"/>
      <c r="BG1067" s="1007"/>
      <c r="BH1067" s="728"/>
    </row>
    <row r="1068" spans="1:60" s="40" customFormat="1" x14ac:dyDescent="0.25">
      <c r="A1068" s="728" t="s">
        <v>374</v>
      </c>
      <c r="B1068" s="955"/>
      <c r="C1068" s="1007">
        <f>IF(ISBLANK(INDEX(MO_IS_FirstRow,0,COLUMN())),0,IF(OR(C782=B782,C782=D782),"CHECK",0))</f>
        <v>0</v>
      </c>
      <c r="D1068" s="1007">
        <f>IF(ISBLANK(INDEX(MO_IS_FirstRow,0,COLUMN())),0,IF(OR(D782=C782,D782=E782),"CHECK",0))</f>
        <v>0</v>
      </c>
      <c r="E1068" s="1007">
        <f>IF(ISBLANK(INDEX(MO_IS_FirstRow,0,COLUMN())),0,IF(OR(E782=D782,E782=F782),"CHECK",0))</f>
        <v>0</v>
      </c>
      <c r="F1068" s="1007">
        <f>IF(ISBLANK(INDEX(MO_IS_FirstRow,0,COLUMN())),0,IF(OR(F782=E782,F782=K782),"CHECK",0))</f>
        <v>0</v>
      </c>
      <c r="G1068" s="1007">
        <f>IF(ISBLANK(INDEX(MO_IS_FirstRow,0,COLUMN())),0,IF(OR(G782=B782,G782=H782,G782=E782),"CHECK",0))</f>
        <v>0</v>
      </c>
      <c r="H1068" s="1007">
        <f>IF(ISBLANK(INDEX(MO_IS_FirstRow,0,COLUMN())),0,IF(OR(H782=C782,H782=I782,H782=G782),"CHECK",0))</f>
        <v>0</v>
      </c>
      <c r="I1068" s="1007">
        <f>IF(ISBLANK(INDEX(MO_IS_FirstRow,0,COLUMN())),0,IF(OR(I782=D782,I782=J782,I782=H782),"CHECK",0))</f>
        <v>0</v>
      </c>
      <c r="J1068" s="1007">
        <f>IF(ISBLANK(INDEX(MO_IS_FirstRow,0,COLUMN())),0,IF(OR(J782=E782,J782=K782,J782=I782),"CHECK",0))</f>
        <v>0</v>
      </c>
      <c r="K1068" s="1007">
        <f>IF(ISBLANK(INDEX(MO_IS_FirstRow,0,COLUMN())),0,IF(K782=F782,"CHECK",0))</f>
        <v>0</v>
      </c>
      <c r="L1068" s="1007">
        <f>IF(ISBLANK(INDEX(MO_IS_FirstRow,0,COLUMN())),0,IF(OR(L782=G782,L782=M782,L782=J782),"CHECK",0))</f>
        <v>0</v>
      </c>
      <c r="M1068" s="1007">
        <f>IF(ISBLANK(INDEX(MO_IS_FirstRow,0,COLUMN())),0,IF(OR(M782=H782,M782=N782,M782=L782),"CHECK",0))</f>
        <v>0</v>
      </c>
      <c r="N1068" s="1007">
        <f>IF(ISBLANK(INDEX(MO_IS_FirstRow,0,COLUMN())),0,IF(OR(N782=I782,N782=O782,N782=M782),"CHECK",0))</f>
        <v>0</v>
      </c>
      <c r="O1068" s="1007">
        <f>IF(ISBLANK(INDEX(MO_IS_FirstRow,0,COLUMN())),0,IF(OR(O782=J782,O782=P782,O782=N782),"CHECK",0))</f>
        <v>0</v>
      </c>
      <c r="P1068" s="1007">
        <f>IF(ISBLANK(INDEX(MO_IS_FirstRow,0,COLUMN())),0,IF(P782=K782,"CHECK",0))</f>
        <v>0</v>
      </c>
      <c r="Q1068" s="1007">
        <f>IF(ISBLANK(INDEX(MO_IS_FirstRow,0,COLUMN())),0,IF(OR(Q782=L782,Q782=R782,Q782=O782),"CHECK",0))</f>
        <v>0</v>
      </c>
      <c r="R1068" s="1007">
        <f>IF(ISBLANK(INDEX(MO_IS_FirstRow,0,COLUMN())),0,IF(OR(R782=M782,R782=S782,R782=Q782),"CHECK",0))</f>
        <v>0</v>
      </c>
      <c r="S1068" s="1007">
        <f>IF(ISBLANK(INDEX(MO_IS_FirstRow,0,COLUMN())),0,IF(OR(S782=N782,S782=T782,S782=R782),"CHECK",0))</f>
        <v>0</v>
      </c>
      <c r="T1068" s="1007">
        <f>IF(ISBLANK(INDEX(MO_IS_FirstRow,0,COLUMN())),0,IF(OR(T782=O782,T782=U782,T782=S782),"CHECK",0))</f>
        <v>0</v>
      </c>
      <c r="U1068" s="1007">
        <f>IF(ISBLANK(INDEX(MO_IS_FirstRow,0,COLUMN())),0,IF(U782=P782,"CHECK",0))</f>
        <v>0</v>
      </c>
      <c r="V1068" s="1007">
        <f>IF(ISBLANK(INDEX(MO_IS_FirstRow,0,COLUMN())),0,IF(OR(V782=Q782,V782=W782,V782=T782),"CHECK",0))</f>
        <v>0</v>
      </c>
      <c r="W1068" s="1007">
        <f>IF(ISBLANK(INDEX(MO_IS_FirstRow,0,COLUMN())),0,IF(OR(W782=R782,W782=X782,W782=V782),"CHECK",0))</f>
        <v>0</v>
      </c>
      <c r="X1068" s="1007">
        <f>IF(ISBLANK(INDEX(MO_IS_FirstRow,0,COLUMN())),0,IF(OR(X782=S782,X782=Y782,X782=W782),"CHECK",0))</f>
        <v>0</v>
      </c>
      <c r="Y1068" s="1007">
        <f>IF(ISBLANK(INDEX(MO_IS_FirstRow,0,COLUMN())),0,IF(OR(Y782=T782,Y782=Z782,Y782=X782),"CHECK",0))</f>
        <v>0</v>
      </c>
      <c r="Z1068" s="1007">
        <f>IF(ISBLANK(INDEX(MO_IS_FirstRow,0,COLUMN())),0,IF(Z782=U782,"CHECK",0))</f>
        <v>0</v>
      </c>
      <c r="AA1068" s="1007">
        <f>IF(ISBLANK(INDEX(MO_IS_FirstRow,0,COLUMN())),0,IF(OR(AA782=V782,AA782=AB782,AA782=Y782),"CHECK",0))</f>
        <v>0</v>
      </c>
      <c r="AB1068" s="1007">
        <f>IF(ISBLANK(INDEX(MO_IS_FirstRow,0,COLUMN())),0,IF(OR(AB782=W782,AB782=AC782,AB782=AA782),"CHECK",0))</f>
        <v>0</v>
      </c>
      <c r="AC1068" s="1007">
        <f>IF(ISBLANK(INDEX(MO_IS_FirstRow,0,COLUMN())),0,IF(OR(AC782=X782,AC782=AD782,AC782=AB782),"CHECK",0))</f>
        <v>0</v>
      </c>
      <c r="AD1068" s="1007">
        <f>IF(ISBLANK(INDEX(MO_IS_FirstRow,0,COLUMN())),0,IF(OR(AD782=Y782,AD782=AE782,AD782=AC782),"CHECK",0))</f>
        <v>0</v>
      </c>
      <c r="AE1068" s="1007">
        <f>IF(ISBLANK(INDEX(MO_IS_FirstRow,0,COLUMN())),0,IF(AE782=Z782,"CHECK",0))</f>
        <v>0</v>
      </c>
      <c r="AF1068" s="1007">
        <f>IF(ISBLANK(INDEX(MO_IS_FirstRow,0,COLUMN())),0,IF(OR(AF782=AA782,AF782=AG782,AF782=AE782),"CHECK",0))</f>
        <v>0</v>
      </c>
      <c r="AG1068" s="1007">
        <f>IF(ISBLANK(INDEX(MO_IS_FirstRow,0,COLUMN())),0,IF(OR(AG782=AB782,AG782=AH782,AG782=AF782),"CHECK",0))</f>
        <v>0</v>
      </c>
      <c r="AH1068" s="1007">
        <f>IF(ISBLANK(INDEX(MO_IS_FirstRow,0,COLUMN())),0,IF(OR(AH782=AC782,AH782=AI782,AH782=AG782),"CHECK",0))</f>
        <v>0</v>
      </c>
      <c r="AI1068" s="1007">
        <f>IF(ISBLANK(INDEX(MO_IS_FirstRow,0,COLUMN())),0,IF(OR(AI782=AD782,AI782=AJ782,AI782=AH782),"CHECK",0))</f>
        <v>0</v>
      </c>
      <c r="AJ1068" s="1007">
        <f>IF(ISBLANK(INDEX(MO_IS_FirstRow,0,COLUMN())),0,IF(AJ782=AE782,"CHECK",0))</f>
        <v>0</v>
      </c>
      <c r="AK1068" s="1007">
        <f>IF(ISBLANK(INDEX(MO_IS_FirstRow,0,COLUMN())),0,IF(OR(AK782=AF782,AK782=AL782,AK782=AI782),"CHECK",0))</f>
        <v>0</v>
      </c>
      <c r="AL1068" s="1007">
        <f>IF(ISBLANK(INDEX(MO_IS_FirstRow,0,COLUMN())),0,IF(OR(AL782=AG782,AL782=AM782,AL782=AK782),"CHECK",0))</f>
        <v>0</v>
      </c>
      <c r="AM1068" s="1007">
        <f>IF(ISBLANK(INDEX(MO_IS_FirstRow,0,COLUMN())),0,IF(OR(AM782=AH782,AM782=AN782,AM782=AL782),"CHECK",0))</f>
        <v>0</v>
      </c>
      <c r="AN1068" s="1007">
        <f>IF(ISBLANK(INDEX(MO_IS_FirstRow,0,COLUMN())),0,IF(OR(AN782=AI782,AN782=AO782,AN782=AM782),"CHECK",0))</f>
        <v>0</v>
      </c>
      <c r="AO1068" s="1007">
        <f>IF(ISBLANK(INDEX(MO_IS_FirstRow,0,COLUMN())),0,IF(AO782=AJ782,"CHECK",0))</f>
        <v>0</v>
      </c>
      <c r="AP1068" s="1007">
        <f>IF(ISBLANK(INDEX(MO_IS_FirstRow,0,COLUMN())),0,IF(OR(AP782=AK782,AP782=AQ782,AP782=AN782),"CHECK",0))</f>
        <v>0</v>
      </c>
      <c r="AQ1068" s="1007">
        <f>IF(ISBLANK(INDEX(MO_IS_FirstRow,0,COLUMN())),0,IF(OR(AQ782=AL782,AQ782=AR782,AQ782=AP782),"CHECK",0))</f>
        <v>0</v>
      </c>
      <c r="AR1068" s="1007">
        <f>IF(ISBLANK(INDEX(MO_IS_FirstRow,0,COLUMN())),0,IF(OR(AR782=AM782,AR782=AS782,AR782=AQ782),"CHECK",0))</f>
        <v>0</v>
      </c>
      <c r="AS1068" s="1007">
        <f>IF(ISBLANK(INDEX(MO_IS_FirstRow,0,COLUMN())),0,IF(OR(AS782=AN782,AS782=AT782,AS782=AR782),"CHECK",0))</f>
        <v>0</v>
      </c>
      <c r="AT1068" s="1007">
        <f>IF(ISBLANK(INDEX(MO_IS_FirstRow,0,COLUMN())),0,IF(AT782=AO782,"CHECK",0))</f>
        <v>0</v>
      </c>
      <c r="AU1068" s="1007">
        <f>IF(ISBLANK(INDEX(MO_IS_FirstRow,0,COLUMN())),0,IF(OR(AU782=AP782,AU782=AV782,AU782=AS782),"CHECK",0))</f>
        <v>0</v>
      </c>
      <c r="AV1068" s="1007">
        <f>IF(ISBLANK(INDEX(MO_IS_FirstRow,0,COLUMN())),0,IF(OR(AV782=AQ782,AV782=AW782,AV782=AU782),"CHECK",0))</f>
        <v>0</v>
      </c>
      <c r="AW1068" s="1008">
        <f>IF(ISBLANK(INDEX(MO_IS_FirstRow,0,COLUMN())),0,IF(OR(AW782=AR782,AW782=AX782,AW782=AV782),"CHECK",0))</f>
        <v>0</v>
      </c>
      <c r="AX1068" s="1007"/>
      <c r="AY1068" s="1007"/>
      <c r="AZ1068" s="1007"/>
      <c r="BA1068" s="1007"/>
      <c r="BB1068" s="1007"/>
      <c r="BC1068" s="1007"/>
      <c r="BD1068" s="1007"/>
      <c r="BE1068" s="1007"/>
      <c r="BF1068" s="1007"/>
      <c r="BG1068" s="1007"/>
      <c r="BH1068" s="728"/>
    </row>
    <row r="1069" spans="1:60" s="40" customFormat="1" x14ac:dyDescent="0.25">
      <c r="A1069" s="728" t="s">
        <v>375</v>
      </c>
      <c r="B1069" s="955"/>
      <c r="C1069" s="1007">
        <f>IF(OR(C1029=B1029,C1029=D1029),"CHECK",0)</f>
        <v>0</v>
      </c>
      <c r="D1069" s="1007">
        <f>IF(OR(D1029=C1029,D1029=E1029),"CHECK",0)</f>
        <v>0</v>
      </c>
      <c r="E1069" s="1007">
        <f>IF(OR(E1029=D1029,E1029=F1029),"CHECK",0)</f>
        <v>0</v>
      </c>
      <c r="F1069" s="1007">
        <f>IF(OR(F1029=E1029,F1029=K1029),"CHECK",0)</f>
        <v>0</v>
      </c>
      <c r="G1069" s="1007">
        <f>IF(OR(G1029=B1029,G1029=H1029,G1029=E1029),"CHECK",0)</f>
        <v>0</v>
      </c>
      <c r="H1069" s="1007">
        <f>IF(OR(H1029=C1029,H1029=I1029,H1029=G1029),"CHECK",0)</f>
        <v>0</v>
      </c>
      <c r="I1069" s="1007">
        <f>IF(OR(I1029=D1029,I1029=J1029,I1029=H1029),"CHECK",0)</f>
        <v>0</v>
      </c>
      <c r="J1069" s="1007">
        <f>IF(OR(J1029=E1029,J1029=I1029),"CHECK",0)</f>
        <v>0</v>
      </c>
      <c r="K1069" s="1007">
        <f>IF(K1029=F1029,"CHECK",0)</f>
        <v>0</v>
      </c>
      <c r="L1069" s="1007">
        <f>IF(OR(L1029=G1029,L1029=M1029,L1029=J1029),"CHECK",0)</f>
        <v>0</v>
      </c>
      <c r="M1069" s="1007">
        <f>IF(OR(M1029=H1029,M1029=N1029,M1029=L1029),"CHECK",0)</f>
        <v>0</v>
      </c>
      <c r="N1069" s="1007">
        <f>IF(OR(N1029=I1029,N1029=O1029,N1029=M1029),"CHECK",0)</f>
        <v>0</v>
      </c>
      <c r="O1069" s="1007">
        <f>IF(OR(O1029=J1029,O1029=N1029),"CHECK",0)</f>
        <v>0</v>
      </c>
      <c r="P1069" s="1007">
        <f>IF(P1029=K1029,"CHECK",0)</f>
        <v>0</v>
      </c>
      <c r="Q1069" s="1007">
        <f>IF(OR(Q1029=L1029,Q1029=R1029,Q1029=O1029),"CHECK",0)</f>
        <v>0</v>
      </c>
      <c r="R1069" s="1007">
        <f>IF(OR(R1029=M1029,R1029=S1029,R1029=Q1029),"CHECK",0)</f>
        <v>0</v>
      </c>
      <c r="S1069" s="1007">
        <f>IF(OR(S1029=N1029,S1029=T1029,S1029=R1029),"CHECK",0)</f>
        <v>0</v>
      </c>
      <c r="T1069" s="1007">
        <f>IF(OR(T1029=O1029,T1029=S1029),"CHECK",0)</f>
        <v>0</v>
      </c>
      <c r="U1069" s="1007">
        <f>IF(U1029=P1029,"CHECK",0)</f>
        <v>0</v>
      </c>
      <c r="V1069" s="1007">
        <f>IF(OR(V1029=Q1029,V1029=W1029,V1029=T1029),"CHECK",0)</f>
        <v>0</v>
      </c>
      <c r="W1069" s="1007">
        <f>IF(OR(W1029=R1029,W1029=X1029,W1029=V1029),"CHECK",0)</f>
        <v>0</v>
      </c>
      <c r="X1069" s="1007">
        <f>IF(OR(X1029=S1029,X1029=Y1029,X1029=W1029),"CHECK",0)</f>
        <v>0</v>
      </c>
      <c r="Y1069" s="1007">
        <f>IF(OR(Y1029=T1029,Y1029=X1029),"CHECK",0)</f>
        <v>0</v>
      </c>
      <c r="Z1069" s="1007">
        <f>IF(Z1029=U1029,"CHECK",0)</f>
        <v>0</v>
      </c>
      <c r="AA1069" s="1007">
        <f>IF(OR(AA1029=V1029,AA1029=AB1029,AA1029=Y1029),"CHECK",0)</f>
        <v>0</v>
      </c>
      <c r="AB1069" s="1007">
        <f>IF(OR(AB1029=W1029,AB1029=AC1029,AB1029=AA1029),"CHECK",0)</f>
        <v>0</v>
      </c>
      <c r="AC1069" s="1007">
        <f>IF(OR(AC1029=X1029,AC1029=AD1029,AC1029=AB1029),"CHECK",0)</f>
        <v>0</v>
      </c>
      <c r="AD1069" s="1007">
        <f>IF(OR(AD1029=Y1029,AD1029=AC1029),"CHECK",0)</f>
        <v>0</v>
      </c>
      <c r="AE1069" s="1007">
        <f>IF(AE1029=Z1029,"CHECK",0)</f>
        <v>0</v>
      </c>
      <c r="AF1069" s="1007">
        <f>IF(OR(AF1029=AA1029,AF1029=AG1029,AF1029=AE1029),"CHECK",0)</f>
        <v>0</v>
      </c>
      <c r="AG1069" s="1007">
        <f>IF(OR(AG1029=AB1029,AG1029=AH1029,AG1029=AF1029),"CHECK",0)</f>
        <v>0</v>
      </c>
      <c r="AH1069" s="1007">
        <f>IF(OR(AH1029=AC1029,AH1029=AI1029,AH1029=AG1029),"CHECK",0)</f>
        <v>0</v>
      </c>
      <c r="AI1069" s="1007">
        <f>IF(OR(AI1029=AD1029,AI1029=AH1029),"CHECK",0)</f>
        <v>0</v>
      </c>
      <c r="AJ1069" s="1007">
        <f>IF(AJ1029=AE1029,"CHECK",0)</f>
        <v>0</v>
      </c>
      <c r="AK1069" s="1007">
        <f>IF(OR(AK1029=AF1029,AK1029=AL1029,AK1029=AI1029),"CHECK",0)</f>
        <v>0</v>
      </c>
      <c r="AL1069" s="1007">
        <f>IF(OR(AL1029=AG1029,AL1029=AM1029,AL1029=AK1029),"CHECK",0)</f>
        <v>0</v>
      </c>
      <c r="AM1069" s="1007">
        <f>IF(OR(AM1029=AH1029,AM1029=AN1029,AM1029=AL1029),"CHECK",0)</f>
        <v>0</v>
      </c>
      <c r="AN1069" s="1007">
        <f>IF(OR(AN1029=AI1029,AN1029=AM1029),"CHECK",0)</f>
        <v>0</v>
      </c>
      <c r="AO1069" s="1007">
        <f>IF(AO1029=AJ1029,"CHECK",0)</f>
        <v>0</v>
      </c>
      <c r="AP1069" s="1007">
        <f>IF(OR(AP1029=AK1029,AP1029=AQ1029,AP1029=AN1029),"CHECK",0)</f>
        <v>0</v>
      </c>
      <c r="AQ1069" s="1007">
        <f>IF(OR(AQ1029=AL1029,AQ1029=AR1029,AQ1029=AP1029),"CHECK",0)</f>
        <v>0</v>
      </c>
      <c r="AR1069" s="1007">
        <f>IF(OR(AR1029=AM1029,AR1029=AS1029,AR1029=AQ1029),"CHECK",0)</f>
        <v>0</v>
      </c>
      <c r="AS1069" s="1007">
        <f>IF(OR(AS1029=AN1029,AS1029=AR1029),"CHECK",0)</f>
        <v>0</v>
      </c>
      <c r="AT1069" s="1007">
        <f>IF(AT1029=AO1029,"CHECK",0)</f>
        <v>0</v>
      </c>
      <c r="AU1069" s="1007">
        <f>IF(OR(AU1029=AP1029,AU1029=AV1029,AU1029=AS1029),"CHECK",0)</f>
        <v>0</v>
      </c>
      <c r="AV1069" s="1007">
        <f>IF(OR(AV1029=AQ1029,AV1029=AW1029,AV1029=AU1029),"CHECK",0)</f>
        <v>0</v>
      </c>
      <c r="AW1069" s="1008">
        <f ca="1">IF(OR(AW1029=AR1029,AW1029=AX1029,AW1029=AV1029),"CHECK",0)</f>
        <v>0</v>
      </c>
      <c r="AX1069" s="1007"/>
      <c r="AY1069" s="1007"/>
      <c r="AZ1069" s="1007"/>
      <c r="BA1069" s="1007"/>
      <c r="BB1069" s="1007"/>
      <c r="BC1069" s="1007"/>
      <c r="BD1069" s="1007"/>
      <c r="BE1069" s="1007"/>
      <c r="BF1069" s="1007"/>
      <c r="BG1069" s="1007"/>
      <c r="BH1069" s="728"/>
    </row>
    <row r="1070" spans="1:60" s="40" customFormat="1" x14ac:dyDescent="0.25">
      <c r="A1070" s="728" t="s">
        <v>376</v>
      </c>
      <c r="B1070" s="955"/>
      <c r="C1070" s="1007">
        <f t="shared" ref="C1070:AH1070" si="1180">IF(ISBLANK(INDEX(MO_IS_FirstRow,0,COLUMN())),0,ROUND(C966-C915,6))</f>
        <v>0</v>
      </c>
      <c r="D1070" s="1007">
        <f t="shared" si="1180"/>
        <v>0</v>
      </c>
      <c r="E1070" s="1007">
        <f t="shared" si="1180"/>
        <v>0</v>
      </c>
      <c r="F1070" s="1007">
        <f t="shared" si="1180"/>
        <v>0</v>
      </c>
      <c r="G1070" s="1007">
        <f t="shared" si="1180"/>
        <v>0</v>
      </c>
      <c r="H1070" s="1007">
        <f t="shared" si="1180"/>
        <v>0</v>
      </c>
      <c r="I1070" s="1007">
        <f t="shared" si="1180"/>
        <v>0</v>
      </c>
      <c r="J1070" s="1007">
        <f t="shared" si="1180"/>
        <v>0</v>
      </c>
      <c r="K1070" s="1007">
        <f t="shared" si="1180"/>
        <v>0</v>
      </c>
      <c r="L1070" s="1007">
        <f t="shared" si="1180"/>
        <v>0</v>
      </c>
      <c r="M1070" s="1007">
        <f t="shared" si="1180"/>
        <v>0</v>
      </c>
      <c r="N1070" s="1007">
        <f t="shared" si="1180"/>
        <v>0</v>
      </c>
      <c r="O1070" s="1007">
        <f t="shared" si="1180"/>
        <v>0</v>
      </c>
      <c r="P1070" s="1007">
        <f t="shared" si="1180"/>
        <v>0</v>
      </c>
      <c r="Q1070" s="1007">
        <f t="shared" si="1180"/>
        <v>0</v>
      </c>
      <c r="R1070" s="1007">
        <f t="shared" si="1180"/>
        <v>0</v>
      </c>
      <c r="S1070" s="1007">
        <f t="shared" si="1180"/>
        <v>0</v>
      </c>
      <c r="T1070" s="1007">
        <f t="shared" si="1180"/>
        <v>0</v>
      </c>
      <c r="U1070" s="1007">
        <f t="shared" si="1180"/>
        <v>0</v>
      </c>
      <c r="V1070" s="1007">
        <f t="shared" si="1180"/>
        <v>0</v>
      </c>
      <c r="W1070" s="1007">
        <f t="shared" si="1180"/>
        <v>0</v>
      </c>
      <c r="X1070" s="1007">
        <f t="shared" si="1180"/>
        <v>0</v>
      </c>
      <c r="Y1070" s="1007">
        <f t="shared" si="1180"/>
        <v>0</v>
      </c>
      <c r="Z1070" s="1007">
        <f t="shared" si="1180"/>
        <v>0</v>
      </c>
      <c r="AA1070" s="1007">
        <f t="shared" si="1180"/>
        <v>0</v>
      </c>
      <c r="AB1070" s="1007">
        <f t="shared" si="1180"/>
        <v>0</v>
      </c>
      <c r="AC1070" s="1007">
        <f t="shared" si="1180"/>
        <v>0</v>
      </c>
      <c r="AD1070" s="1007">
        <f t="shared" si="1180"/>
        <v>0</v>
      </c>
      <c r="AE1070" s="1007">
        <f t="shared" si="1180"/>
        <v>0</v>
      </c>
      <c r="AF1070" s="1007">
        <f t="shared" si="1180"/>
        <v>0</v>
      </c>
      <c r="AG1070" s="1007">
        <f t="shared" si="1180"/>
        <v>0</v>
      </c>
      <c r="AH1070" s="1007">
        <f t="shared" si="1180"/>
        <v>0</v>
      </c>
      <c r="AI1070" s="1007">
        <f t="shared" ref="AI1070:AY1070" si="1181">IF(ISBLANK(INDEX(MO_IS_FirstRow,0,COLUMN())),0,ROUND(AI966-AI915,6))</f>
        <v>0</v>
      </c>
      <c r="AJ1070" s="1007">
        <f t="shared" si="1181"/>
        <v>0</v>
      </c>
      <c r="AK1070" s="1007">
        <f t="shared" si="1181"/>
        <v>0</v>
      </c>
      <c r="AL1070" s="1007">
        <f t="shared" si="1181"/>
        <v>0</v>
      </c>
      <c r="AM1070" s="1007">
        <f t="shared" si="1181"/>
        <v>0</v>
      </c>
      <c r="AN1070" s="1007">
        <f t="shared" si="1181"/>
        <v>0</v>
      </c>
      <c r="AO1070" s="1007">
        <f t="shared" si="1181"/>
        <v>0</v>
      </c>
      <c r="AP1070" s="1007">
        <f t="shared" si="1181"/>
        <v>0</v>
      </c>
      <c r="AQ1070" s="1007">
        <f t="shared" si="1181"/>
        <v>0</v>
      </c>
      <c r="AR1070" s="1007">
        <f t="shared" si="1181"/>
        <v>0</v>
      </c>
      <c r="AS1070" s="1007">
        <f>IF(ISBLANK(INDEX(MO_IS_FirstRow,0,COLUMN())),0,ROUND(AS966-AS915,6))</f>
        <v>0</v>
      </c>
      <c r="AT1070" s="1007">
        <f>IF(ISBLANK(INDEX(MO_IS_FirstRow,0,COLUMN())),0,ROUND(AT966-AT915,6))</f>
        <v>0</v>
      </c>
      <c r="AU1070" s="1007">
        <f>IF(ISBLANK(INDEX(MO_IS_FirstRow,0,COLUMN())),0,ROUND(AU966-AU915,6))</f>
        <v>0</v>
      </c>
      <c r="AV1070" s="1007">
        <f>IF(ISBLANK(INDEX(MO_IS_FirstRow,0,COLUMN())),0,ROUND(AV966-AV915,6))</f>
        <v>0</v>
      </c>
      <c r="AW1070" s="1008">
        <f>IF(ISBLANK(INDEX(MO_IS_FirstRow,0,COLUMN())),0,ROUND(AW966-AW915,6))</f>
        <v>0</v>
      </c>
      <c r="AX1070" s="1007">
        <f t="shared" si="1181"/>
        <v>0</v>
      </c>
      <c r="AY1070" s="1007">
        <f t="shared" si="1181"/>
        <v>0</v>
      </c>
      <c r="AZ1070" s="1007">
        <f t="shared" ref="AZ1070:BG1070" si="1182">IF(ISBLANK(INDEX(MO_IS_FirstRow,0,COLUMN())),0,ROUND(AZ966-AZ915,6))</f>
        <v>0</v>
      </c>
      <c r="BA1070" s="1007">
        <f t="shared" si="1182"/>
        <v>0</v>
      </c>
      <c r="BB1070" s="1007">
        <f t="shared" si="1182"/>
        <v>0</v>
      </c>
      <c r="BC1070" s="1007">
        <f t="shared" si="1182"/>
        <v>0</v>
      </c>
      <c r="BD1070" s="1007">
        <f t="shared" si="1182"/>
        <v>0</v>
      </c>
      <c r="BE1070" s="1007">
        <f t="shared" si="1182"/>
        <v>0</v>
      </c>
      <c r="BF1070" s="1007">
        <f t="shared" si="1182"/>
        <v>0</v>
      </c>
      <c r="BG1070" s="1007">
        <f t="shared" si="1182"/>
        <v>0</v>
      </c>
      <c r="BH1070" s="728"/>
    </row>
    <row r="1071" spans="1:60" s="40" customFormat="1" x14ac:dyDescent="0.25">
      <c r="A1071" s="728" t="s">
        <v>377</v>
      </c>
      <c r="B1071" s="955"/>
      <c r="C1071" s="1007">
        <f t="shared" ref="C1071:AH1071" si="1183">ROUND(INDEX(MO_CFSum_Capex,0,COLUMN())-C941,6)</f>
        <v>0</v>
      </c>
      <c r="D1071" s="1007">
        <f t="shared" si="1183"/>
        <v>0</v>
      </c>
      <c r="E1071" s="1007">
        <f t="shared" si="1183"/>
        <v>0</v>
      </c>
      <c r="F1071" s="1007">
        <f t="shared" si="1183"/>
        <v>0</v>
      </c>
      <c r="G1071" s="1007">
        <f t="shared" si="1183"/>
        <v>0</v>
      </c>
      <c r="H1071" s="1007">
        <f t="shared" si="1183"/>
        <v>0</v>
      </c>
      <c r="I1071" s="1007">
        <f t="shared" si="1183"/>
        <v>0</v>
      </c>
      <c r="J1071" s="1007">
        <f t="shared" si="1183"/>
        <v>0</v>
      </c>
      <c r="K1071" s="1007">
        <f t="shared" si="1183"/>
        <v>0</v>
      </c>
      <c r="L1071" s="1007">
        <f t="shared" si="1183"/>
        <v>0</v>
      </c>
      <c r="M1071" s="1007">
        <f t="shared" si="1183"/>
        <v>0</v>
      </c>
      <c r="N1071" s="1007">
        <f t="shared" si="1183"/>
        <v>0</v>
      </c>
      <c r="O1071" s="1007">
        <f t="shared" si="1183"/>
        <v>0</v>
      </c>
      <c r="P1071" s="1007">
        <f t="shared" si="1183"/>
        <v>0</v>
      </c>
      <c r="Q1071" s="1007">
        <f t="shared" si="1183"/>
        <v>0</v>
      </c>
      <c r="R1071" s="1007">
        <f t="shared" si="1183"/>
        <v>0</v>
      </c>
      <c r="S1071" s="1007">
        <f t="shared" si="1183"/>
        <v>0</v>
      </c>
      <c r="T1071" s="1007">
        <f t="shared" si="1183"/>
        <v>0</v>
      </c>
      <c r="U1071" s="1007">
        <f t="shared" si="1183"/>
        <v>0</v>
      </c>
      <c r="V1071" s="1007">
        <f t="shared" si="1183"/>
        <v>0</v>
      </c>
      <c r="W1071" s="1007">
        <f t="shared" si="1183"/>
        <v>0</v>
      </c>
      <c r="X1071" s="1007">
        <f t="shared" si="1183"/>
        <v>0</v>
      </c>
      <c r="Y1071" s="1007">
        <f t="shared" si="1183"/>
        <v>0</v>
      </c>
      <c r="Z1071" s="1007">
        <f t="shared" si="1183"/>
        <v>0</v>
      </c>
      <c r="AA1071" s="1007">
        <f t="shared" si="1183"/>
        <v>0</v>
      </c>
      <c r="AB1071" s="1007">
        <f t="shared" si="1183"/>
        <v>0</v>
      </c>
      <c r="AC1071" s="1007">
        <f t="shared" si="1183"/>
        <v>0</v>
      </c>
      <c r="AD1071" s="1007">
        <f t="shared" si="1183"/>
        <v>0</v>
      </c>
      <c r="AE1071" s="1007">
        <f t="shared" si="1183"/>
        <v>0</v>
      </c>
      <c r="AF1071" s="1007">
        <f t="shared" si="1183"/>
        <v>0</v>
      </c>
      <c r="AG1071" s="1007">
        <f t="shared" si="1183"/>
        <v>0</v>
      </c>
      <c r="AH1071" s="1007">
        <f t="shared" si="1183"/>
        <v>0</v>
      </c>
      <c r="AI1071" s="1007">
        <f t="shared" ref="AI1071:AY1071" si="1184">ROUND(INDEX(MO_CFSum_Capex,0,COLUMN())-AI941,6)</f>
        <v>0</v>
      </c>
      <c r="AJ1071" s="1007">
        <f t="shared" si="1184"/>
        <v>0</v>
      </c>
      <c r="AK1071" s="1007">
        <f t="shared" si="1184"/>
        <v>0</v>
      </c>
      <c r="AL1071" s="1007">
        <f t="shared" si="1184"/>
        <v>0</v>
      </c>
      <c r="AM1071" s="1007">
        <f t="shared" si="1184"/>
        <v>0</v>
      </c>
      <c r="AN1071" s="1007">
        <f t="shared" si="1184"/>
        <v>0</v>
      </c>
      <c r="AO1071" s="1007">
        <f t="shared" si="1184"/>
        <v>0</v>
      </c>
      <c r="AP1071" s="1007">
        <f t="shared" si="1184"/>
        <v>0</v>
      </c>
      <c r="AQ1071" s="1007">
        <f t="shared" si="1184"/>
        <v>0</v>
      </c>
      <c r="AR1071" s="1007">
        <f t="shared" si="1184"/>
        <v>0</v>
      </c>
      <c r="AS1071" s="1007">
        <f>ROUND(INDEX(MO_CFSum_Capex,0,COLUMN())-AS941,6)</f>
        <v>0</v>
      </c>
      <c r="AT1071" s="1007">
        <f>ROUND(INDEX(MO_CFSum_Capex,0,COLUMN())-AT941,6)</f>
        <v>0</v>
      </c>
      <c r="AU1071" s="1007">
        <f>ROUND(INDEX(MO_CFSum_Capex,0,COLUMN())-AU941,6)</f>
        <v>0</v>
      </c>
      <c r="AV1071" s="1007">
        <f>ROUND(INDEX(MO_CFSum_Capex,0,COLUMN())-AV941,6)</f>
        <v>0</v>
      </c>
      <c r="AW1071" s="1008">
        <f>ROUND(INDEX(MO_CFSum_Capex,0,COLUMN())-AW941,6)</f>
        <v>0</v>
      </c>
      <c r="AX1071" s="1007">
        <f t="shared" si="1184"/>
        <v>0</v>
      </c>
      <c r="AY1071" s="1007">
        <f t="shared" si="1184"/>
        <v>0</v>
      </c>
      <c r="AZ1071" s="1007">
        <f t="shared" ref="AZ1071:BG1071" si="1185">ROUND(INDEX(MO_CFSum_Capex,0,COLUMN())-AZ941,6)</f>
        <v>0</v>
      </c>
      <c r="BA1071" s="1007">
        <f t="shared" si="1185"/>
        <v>0</v>
      </c>
      <c r="BB1071" s="1007">
        <f t="shared" si="1185"/>
        <v>0</v>
      </c>
      <c r="BC1071" s="1007">
        <f t="shared" si="1185"/>
        <v>0</v>
      </c>
      <c r="BD1071" s="1007">
        <f t="shared" si="1185"/>
        <v>0</v>
      </c>
      <c r="BE1071" s="1007">
        <f t="shared" si="1185"/>
        <v>0</v>
      </c>
      <c r="BF1071" s="1007">
        <f t="shared" si="1185"/>
        <v>0</v>
      </c>
      <c r="BG1071" s="1007">
        <f t="shared" si="1185"/>
        <v>0</v>
      </c>
      <c r="BH1071" s="728"/>
    </row>
    <row r="1072" spans="1:60" s="40" customFormat="1" x14ac:dyDescent="0.25">
      <c r="A1072" s="728" t="s">
        <v>378</v>
      </c>
      <c r="B1072" s="955"/>
      <c r="C1072" s="1007">
        <f t="shared" ref="C1072:AH1072" si="1186">IF(ISBLANK(INDEX(MO_IS_FirstRow,0,COLUMN())),0,IF(MOD(C709*1000000,1)=0,"Check",0))</f>
        <v>0</v>
      </c>
      <c r="D1072" s="1007">
        <f t="shared" si="1186"/>
        <v>0</v>
      </c>
      <c r="E1072" s="1007">
        <f t="shared" si="1186"/>
        <v>0</v>
      </c>
      <c r="F1072" s="1007">
        <f t="shared" si="1186"/>
        <v>0</v>
      </c>
      <c r="G1072" s="1007">
        <f t="shared" si="1186"/>
        <v>0</v>
      </c>
      <c r="H1072" s="1007">
        <f t="shared" si="1186"/>
        <v>0</v>
      </c>
      <c r="I1072" s="1007">
        <f t="shared" si="1186"/>
        <v>0</v>
      </c>
      <c r="J1072" s="1007">
        <f t="shared" si="1186"/>
        <v>0</v>
      </c>
      <c r="K1072" s="1007">
        <f t="shared" si="1186"/>
        <v>0</v>
      </c>
      <c r="L1072" s="1007">
        <f t="shared" si="1186"/>
        <v>0</v>
      </c>
      <c r="M1072" s="1007">
        <f t="shared" si="1186"/>
        <v>0</v>
      </c>
      <c r="N1072" s="1007">
        <f t="shared" si="1186"/>
        <v>0</v>
      </c>
      <c r="O1072" s="1007">
        <f t="shared" si="1186"/>
        <v>0</v>
      </c>
      <c r="P1072" s="1007">
        <f t="shared" si="1186"/>
        <v>0</v>
      </c>
      <c r="Q1072" s="1007">
        <f t="shared" si="1186"/>
        <v>0</v>
      </c>
      <c r="R1072" s="1007">
        <f t="shared" si="1186"/>
        <v>0</v>
      </c>
      <c r="S1072" s="1007">
        <f t="shared" si="1186"/>
        <v>0</v>
      </c>
      <c r="T1072" s="1007">
        <f t="shared" si="1186"/>
        <v>0</v>
      </c>
      <c r="U1072" s="1007">
        <f t="shared" si="1186"/>
        <v>0</v>
      </c>
      <c r="V1072" s="1007">
        <f t="shared" si="1186"/>
        <v>0</v>
      </c>
      <c r="W1072" s="1007">
        <f t="shared" si="1186"/>
        <v>0</v>
      </c>
      <c r="X1072" s="1007">
        <f t="shared" si="1186"/>
        <v>0</v>
      </c>
      <c r="Y1072" s="1007">
        <f t="shared" si="1186"/>
        <v>0</v>
      </c>
      <c r="Z1072" s="1007">
        <f t="shared" si="1186"/>
        <v>0</v>
      </c>
      <c r="AA1072" s="1007">
        <f t="shared" si="1186"/>
        <v>0</v>
      </c>
      <c r="AB1072" s="1007">
        <f t="shared" si="1186"/>
        <v>0</v>
      </c>
      <c r="AC1072" s="1007">
        <f t="shared" si="1186"/>
        <v>0</v>
      </c>
      <c r="AD1072" s="1007">
        <f t="shared" si="1186"/>
        <v>0</v>
      </c>
      <c r="AE1072" s="1007">
        <f t="shared" si="1186"/>
        <v>0</v>
      </c>
      <c r="AF1072" s="1007">
        <f t="shared" si="1186"/>
        <v>0</v>
      </c>
      <c r="AG1072" s="1007">
        <f t="shared" si="1186"/>
        <v>0</v>
      </c>
      <c r="AH1072" s="1007">
        <f t="shared" si="1186"/>
        <v>0</v>
      </c>
      <c r="AI1072" s="1007">
        <f t="shared" ref="AI1072:BG1072" si="1187">IF(ISBLANK(INDEX(MO_IS_FirstRow,0,COLUMN())),0,IF(MOD(AI709*1000000,1)=0,"Check",0))</f>
        <v>0</v>
      </c>
      <c r="AJ1072" s="1007">
        <f t="shared" si="1187"/>
        <v>0</v>
      </c>
      <c r="AK1072" s="1007">
        <f t="shared" si="1187"/>
        <v>0</v>
      </c>
      <c r="AL1072" s="1007">
        <f t="shared" si="1187"/>
        <v>0</v>
      </c>
      <c r="AM1072" s="1007">
        <f t="shared" si="1187"/>
        <v>0</v>
      </c>
      <c r="AN1072" s="1007">
        <f t="shared" si="1187"/>
        <v>0</v>
      </c>
      <c r="AO1072" s="1007">
        <f t="shared" si="1187"/>
        <v>0</v>
      </c>
      <c r="AP1072" s="1007">
        <f t="shared" si="1187"/>
        <v>0</v>
      </c>
      <c r="AQ1072" s="1007">
        <f t="shared" si="1187"/>
        <v>0</v>
      </c>
      <c r="AR1072" s="1007">
        <f t="shared" si="1187"/>
        <v>0</v>
      </c>
      <c r="AS1072" s="1007">
        <f t="shared" si="1187"/>
        <v>0</v>
      </c>
      <c r="AT1072" s="1007">
        <f t="shared" si="1187"/>
        <v>0</v>
      </c>
      <c r="AU1072" s="1007">
        <f>IF(ISBLANK(INDEX(MO_IS_FirstRow,0,COLUMN())),0,IF(MOD(AU709*1000000,1)=0,"Check",0))</f>
        <v>0</v>
      </c>
      <c r="AV1072" s="1007">
        <f>IF(ISBLANK(INDEX(MO_IS_FirstRow,0,COLUMN())),0,IF(MOD(AV709*1000000,1)=0,"Check",0))</f>
        <v>0</v>
      </c>
      <c r="AW1072" s="1008">
        <f>IF(ISBLANK(INDEX(MO_IS_FirstRow,0,COLUMN())),0,IF(MOD(AW709*1000000,1)=0,"Check",0))</f>
        <v>0</v>
      </c>
      <c r="AX1072" s="1007">
        <f t="shared" si="1187"/>
        <v>0</v>
      </c>
      <c r="AY1072" s="1007">
        <f t="shared" si="1187"/>
        <v>0</v>
      </c>
      <c r="AZ1072" s="1007">
        <f t="shared" si="1187"/>
        <v>0</v>
      </c>
      <c r="BA1072" s="1007">
        <f t="shared" si="1187"/>
        <v>0</v>
      </c>
      <c r="BB1072" s="1007">
        <f t="shared" si="1187"/>
        <v>0</v>
      </c>
      <c r="BC1072" s="1007">
        <f t="shared" si="1187"/>
        <v>0</v>
      </c>
      <c r="BD1072" s="1007">
        <f t="shared" si="1187"/>
        <v>0</v>
      </c>
      <c r="BE1072" s="1007">
        <f t="shared" si="1187"/>
        <v>0</v>
      </c>
      <c r="BF1072" s="1007">
        <f t="shared" si="1187"/>
        <v>0</v>
      </c>
      <c r="BG1072" s="1007">
        <f t="shared" si="1187"/>
        <v>0</v>
      </c>
      <c r="BH1072" s="728"/>
    </row>
    <row r="1073" spans="1:60" s="40" customFormat="1" x14ac:dyDescent="0.25">
      <c r="A1073" s="728" t="s">
        <v>379</v>
      </c>
      <c r="B1073" s="955"/>
      <c r="C1073" s="1007"/>
      <c r="D1073" s="1007"/>
      <c r="E1073" s="1007"/>
      <c r="F1073" s="1007"/>
      <c r="G1073" s="1007"/>
      <c r="H1073" s="1007"/>
      <c r="I1073" s="1007"/>
      <c r="J1073" s="1007"/>
      <c r="K1073" s="1007">
        <f>IF(ISBLANK(INDEX(MO_IS_FirstRow,0,COLUMN())),0,ROUND(K688-SUM(G688,H688,I688,J688),6)+ROUND(K755-SUM(G755,H755,I755,J755),6))</f>
        <v>0.01</v>
      </c>
      <c r="L1073" s="1007"/>
      <c r="M1073" s="1007"/>
      <c r="N1073" s="1007"/>
      <c r="O1073" s="1007"/>
      <c r="P1073" s="1007">
        <f>IF(ISBLANK(INDEX(MO_IS_FirstRow,0,COLUMN())),0,ROUND(P688-SUM(L688,M688,N688,O688),6)+ROUND(P755-SUM(L755,M755,N755,O755),6))</f>
        <v>0</v>
      </c>
      <c r="Q1073" s="1007"/>
      <c r="R1073" s="1007"/>
      <c r="S1073" s="1007"/>
      <c r="T1073" s="1007"/>
      <c r="U1073" s="1007">
        <f>IF(ISBLANK(INDEX(MO_IS_FirstRow,0,COLUMN())),0,ROUND(U688-SUM(Q688,R688,S688,T688),6)+ROUND(U755-SUM(Q755,R755,S755,T755),6))</f>
        <v>0</v>
      </c>
      <c r="V1073" s="1007"/>
      <c r="W1073" s="1007"/>
      <c r="X1073" s="1007"/>
      <c r="Y1073" s="1007"/>
      <c r="Z1073" s="1007">
        <f>IF(ISBLANK(INDEX(MO_IS_FirstRow,0,COLUMN())),0,ROUND(Z688-SUM(V688,W688,X688,Y688),6)+ROUND(Z755-SUM(V755,W755,X755,Y755),6))</f>
        <v>0.03</v>
      </c>
      <c r="AA1073" s="1007"/>
      <c r="AB1073" s="1007"/>
      <c r="AC1073" s="1007"/>
      <c r="AD1073" s="1007"/>
      <c r="AE1073" s="1007">
        <f>IF(ISBLANK(INDEX(MO_IS_FirstRow,0,COLUMN())),0,ROUND(AE688-SUM(AA688,AB688,AC688,AD688),6)+ROUND(AE755-SUM(AA755,AB755,AC755,AD755),6))</f>
        <v>0</v>
      </c>
      <c r="AF1073" s="1007"/>
      <c r="AG1073" s="1007"/>
      <c r="AH1073" s="1007"/>
      <c r="AI1073" s="1007"/>
      <c r="AJ1073" s="1007">
        <f>IF(ISBLANK(INDEX(MO_IS_FirstRow,0,COLUMN())),0,ROUND(AJ688-SUM(AF688,AG688,AH688,AI688),6)+ROUND(AJ755-SUM(AF755,AG755,AH755,AI755),6))</f>
        <v>0.01</v>
      </c>
      <c r="AK1073" s="1007"/>
      <c r="AL1073" s="1007"/>
      <c r="AM1073" s="1007"/>
      <c r="AN1073" s="1007"/>
      <c r="AO1073" s="1007">
        <f>IF(ISBLANK(INDEX(MO_IS_FirstRow,0,COLUMN())),0,ROUND(AO688-SUM(AK688,AL688,AM688,AN688),6)+ROUND(AO755-SUM(AK755,AL755,AM755,AN755),6))</f>
        <v>-0.09</v>
      </c>
      <c r="AP1073" s="1007"/>
      <c r="AQ1073" s="1007"/>
      <c r="AR1073" s="1007"/>
      <c r="AS1073" s="1007"/>
      <c r="AT1073" s="1007">
        <f>IF(ISBLANK(INDEX(MO_IS_FirstRow,0,COLUMN())),0,ROUND(AT688-SUM(AP688,AQ688,AR688,AS688),6)+ROUND(AT755-SUM(AP755,AQ755,AR755,AS755),6))</f>
        <v>0.01</v>
      </c>
      <c r="AU1073" s="1007"/>
      <c r="AV1073" s="1007"/>
      <c r="AW1073" s="1008"/>
      <c r="AX1073" s="1007"/>
      <c r="AY1073" s="1007">
        <f>IF(ISBLANK(INDEX(MO_IS_FirstRow,0,COLUMN())),0,ROUND(AY688-SUM(AU688,AV688,AW688,AX688),6)+ROUND(AY755-SUM(AU755,AV755,AW755,AX755),6))</f>
        <v>0</v>
      </c>
      <c r="AZ1073" s="1007"/>
      <c r="BA1073" s="1007"/>
      <c r="BB1073" s="1007"/>
      <c r="BC1073" s="1007"/>
      <c r="BD1073" s="1007">
        <f>IF(ISBLANK(INDEX(MO_IS_FirstRow,0,COLUMN())),0,ROUND(BD688-SUM(AZ688,BA688,BB688,BC688),6)+ROUND(BD755-SUM(AZ755,BA755,BB755,BC755),6))</f>
        <v>0</v>
      </c>
      <c r="BE1073" s="1007"/>
      <c r="BF1073" s="1007"/>
      <c r="BG1073" s="1007"/>
      <c r="BH1073" s="728"/>
    </row>
    <row r="1074" spans="1:60" s="40" customFormat="1" x14ac:dyDescent="0.25">
      <c r="A1074" s="728" t="s">
        <v>380</v>
      </c>
      <c r="B1074" s="955"/>
      <c r="C1074" s="1007">
        <f t="shared" ref="C1074:AH1074" si="1188">ROUND(1-INDEX(MO_MA_COGS,0,COLUMN())-INDEX(MO_MA_SGA,0,COLUMN())-INDEX(MO_MA_EBITDA,0,COLUMN()),6)</f>
        <v>0</v>
      </c>
      <c r="D1074" s="1007">
        <f t="shared" si="1188"/>
        <v>0</v>
      </c>
      <c r="E1074" s="1007">
        <f t="shared" si="1188"/>
        <v>0</v>
      </c>
      <c r="F1074" s="1007">
        <f t="shared" si="1188"/>
        <v>0</v>
      </c>
      <c r="G1074" s="1007">
        <f t="shared" si="1188"/>
        <v>0</v>
      </c>
      <c r="H1074" s="1007">
        <f t="shared" si="1188"/>
        <v>0</v>
      </c>
      <c r="I1074" s="1007">
        <f t="shared" si="1188"/>
        <v>0</v>
      </c>
      <c r="J1074" s="1007">
        <f t="shared" si="1188"/>
        <v>0</v>
      </c>
      <c r="K1074" s="1007">
        <f t="shared" si="1188"/>
        <v>0</v>
      </c>
      <c r="L1074" s="1007">
        <f t="shared" si="1188"/>
        <v>0</v>
      </c>
      <c r="M1074" s="1007">
        <f t="shared" si="1188"/>
        <v>0</v>
      </c>
      <c r="N1074" s="1007">
        <f t="shared" si="1188"/>
        <v>0</v>
      </c>
      <c r="O1074" s="1007">
        <f t="shared" si="1188"/>
        <v>0</v>
      </c>
      <c r="P1074" s="1007">
        <f t="shared" si="1188"/>
        <v>0</v>
      </c>
      <c r="Q1074" s="1007">
        <f t="shared" si="1188"/>
        <v>0</v>
      </c>
      <c r="R1074" s="1007">
        <f t="shared" si="1188"/>
        <v>0</v>
      </c>
      <c r="S1074" s="1007">
        <f t="shared" si="1188"/>
        <v>0</v>
      </c>
      <c r="T1074" s="1007">
        <f t="shared" si="1188"/>
        <v>0</v>
      </c>
      <c r="U1074" s="1007">
        <f t="shared" si="1188"/>
        <v>0</v>
      </c>
      <c r="V1074" s="1007">
        <f t="shared" si="1188"/>
        <v>0</v>
      </c>
      <c r="W1074" s="1007">
        <f t="shared" si="1188"/>
        <v>0</v>
      </c>
      <c r="X1074" s="1007">
        <f t="shared" si="1188"/>
        <v>0</v>
      </c>
      <c r="Y1074" s="1007">
        <f t="shared" si="1188"/>
        <v>0</v>
      </c>
      <c r="Z1074" s="1007">
        <f t="shared" si="1188"/>
        <v>0</v>
      </c>
      <c r="AA1074" s="1007">
        <f t="shared" si="1188"/>
        <v>0</v>
      </c>
      <c r="AB1074" s="1007">
        <f t="shared" si="1188"/>
        <v>0</v>
      </c>
      <c r="AC1074" s="1007">
        <f t="shared" si="1188"/>
        <v>0</v>
      </c>
      <c r="AD1074" s="1007">
        <f t="shared" si="1188"/>
        <v>0</v>
      </c>
      <c r="AE1074" s="1007">
        <f t="shared" si="1188"/>
        <v>0</v>
      </c>
      <c r="AF1074" s="1007">
        <f t="shared" si="1188"/>
        <v>0</v>
      </c>
      <c r="AG1074" s="1007">
        <f t="shared" si="1188"/>
        <v>0</v>
      </c>
      <c r="AH1074" s="1007">
        <f t="shared" si="1188"/>
        <v>0</v>
      </c>
      <c r="AI1074" s="1007">
        <f t="shared" ref="AI1074:AY1074" si="1189">ROUND(1-INDEX(MO_MA_COGS,0,COLUMN())-INDEX(MO_MA_SGA,0,COLUMN())-INDEX(MO_MA_EBITDA,0,COLUMN()),6)</f>
        <v>0</v>
      </c>
      <c r="AJ1074" s="1007">
        <f t="shared" si="1189"/>
        <v>0</v>
      </c>
      <c r="AK1074" s="1007">
        <f t="shared" si="1189"/>
        <v>0</v>
      </c>
      <c r="AL1074" s="1007">
        <f t="shared" si="1189"/>
        <v>0</v>
      </c>
      <c r="AM1074" s="1007">
        <f t="shared" si="1189"/>
        <v>0</v>
      </c>
      <c r="AN1074" s="1007">
        <f t="shared" si="1189"/>
        <v>0</v>
      </c>
      <c r="AO1074" s="1007">
        <f t="shared" si="1189"/>
        <v>0</v>
      </c>
      <c r="AP1074" s="1007">
        <f t="shared" si="1189"/>
        <v>0</v>
      </c>
      <c r="AQ1074" s="1007">
        <f t="shared" si="1189"/>
        <v>0</v>
      </c>
      <c r="AR1074" s="1007">
        <f t="shared" si="1189"/>
        <v>0</v>
      </c>
      <c r="AS1074" s="1007">
        <f>ROUND(1-INDEX(MO_MA_COGS,0,COLUMN())-INDEX(MO_MA_SGA,0,COLUMN())-INDEX(MO_MA_EBITDA,0,COLUMN()),6)</f>
        <v>0</v>
      </c>
      <c r="AT1074" s="1007">
        <f>ROUND(1-INDEX(MO_MA_COGS,0,COLUMN())-INDEX(MO_MA_SGA,0,COLUMN())-INDEX(MO_MA_EBITDA,0,COLUMN()),6)</f>
        <v>0</v>
      </c>
      <c r="AU1074" s="1007">
        <f>ROUND(1-INDEX(MO_MA_COGS,0,COLUMN())-INDEX(MO_MA_SGA,0,COLUMN())-INDEX(MO_MA_EBITDA,0,COLUMN()),6)</f>
        <v>0</v>
      </c>
      <c r="AV1074" s="1007">
        <f>ROUND(1-INDEX(MO_MA_COGS,0,COLUMN())-INDEX(MO_MA_SGA,0,COLUMN())-INDEX(MO_MA_EBITDA,0,COLUMN()),6)</f>
        <v>0</v>
      </c>
      <c r="AW1074" s="1008">
        <f>ROUND(1-INDEX(MO_MA_COGS,0,COLUMN())-INDEX(MO_MA_SGA,0,COLUMN())-INDEX(MO_MA_EBITDA,0,COLUMN()),6)</f>
        <v>0</v>
      </c>
      <c r="AX1074" s="1007">
        <f t="shared" si="1189"/>
        <v>0</v>
      </c>
      <c r="AY1074" s="1007">
        <f t="shared" si="1189"/>
        <v>0</v>
      </c>
      <c r="AZ1074" s="1007">
        <f t="shared" ref="AZ1074:BG1074" si="1190">ROUND(1-INDEX(MO_MA_COGS,0,COLUMN())-INDEX(MO_MA_SGA,0,COLUMN())-INDEX(MO_MA_EBITDA,0,COLUMN()),6)</f>
        <v>0</v>
      </c>
      <c r="BA1074" s="1007">
        <f t="shared" si="1190"/>
        <v>0</v>
      </c>
      <c r="BB1074" s="1007">
        <f t="shared" si="1190"/>
        <v>0</v>
      </c>
      <c r="BC1074" s="1007">
        <f t="shared" si="1190"/>
        <v>0</v>
      </c>
      <c r="BD1074" s="1007">
        <f t="shared" si="1190"/>
        <v>0</v>
      </c>
      <c r="BE1074" s="1007">
        <f t="shared" si="1190"/>
        <v>0</v>
      </c>
      <c r="BF1074" s="1007">
        <f t="shared" si="1190"/>
        <v>0</v>
      </c>
      <c r="BG1074" s="1007">
        <f t="shared" si="1190"/>
        <v>0</v>
      </c>
      <c r="BH1074" s="728"/>
    </row>
    <row r="1075" spans="1:60" s="40" customFormat="1" x14ac:dyDescent="0.25">
      <c r="A1075" s="728" t="s">
        <v>381</v>
      </c>
      <c r="B1075" s="955"/>
      <c r="C1075" s="1007">
        <f t="shared" ref="C1075:AH1075" si="1191">IF(OR(INDEX(MO_CFSum_Acquisition,1,COLUMN())&gt;0,INDEX(MO_CFSum_Divestiture,1,COLUMN())&lt;0,INDEX(MO_CFSum_Capex,1,COLUMN())&gt;0,INDEX(MO_CFSum_Dividend,1,COLUMN())&gt;0),"CHECK",0)</f>
        <v>0</v>
      </c>
      <c r="D1075" s="1007">
        <f t="shared" si="1191"/>
        <v>0</v>
      </c>
      <c r="E1075" s="1007">
        <f t="shared" si="1191"/>
        <v>0</v>
      </c>
      <c r="F1075" s="1007">
        <f t="shared" si="1191"/>
        <v>0</v>
      </c>
      <c r="G1075" s="1007">
        <f t="shared" si="1191"/>
        <v>0</v>
      </c>
      <c r="H1075" s="1007">
        <f t="shared" si="1191"/>
        <v>0</v>
      </c>
      <c r="I1075" s="1007">
        <f t="shared" si="1191"/>
        <v>0</v>
      </c>
      <c r="J1075" s="1007">
        <f t="shared" si="1191"/>
        <v>0</v>
      </c>
      <c r="K1075" s="1007">
        <f t="shared" si="1191"/>
        <v>0</v>
      </c>
      <c r="L1075" s="1007">
        <f t="shared" si="1191"/>
        <v>0</v>
      </c>
      <c r="M1075" s="1007">
        <f t="shared" si="1191"/>
        <v>0</v>
      </c>
      <c r="N1075" s="1007">
        <f t="shared" si="1191"/>
        <v>0</v>
      </c>
      <c r="O1075" s="1007">
        <f t="shared" si="1191"/>
        <v>0</v>
      </c>
      <c r="P1075" s="1007">
        <f t="shared" si="1191"/>
        <v>0</v>
      </c>
      <c r="Q1075" s="1007">
        <f t="shared" si="1191"/>
        <v>0</v>
      </c>
      <c r="R1075" s="1007">
        <f t="shared" si="1191"/>
        <v>0</v>
      </c>
      <c r="S1075" s="1007">
        <f t="shared" si="1191"/>
        <v>0</v>
      </c>
      <c r="T1075" s="1007">
        <f t="shared" si="1191"/>
        <v>0</v>
      </c>
      <c r="U1075" s="1007">
        <f t="shared" si="1191"/>
        <v>0</v>
      </c>
      <c r="V1075" s="1007">
        <f t="shared" si="1191"/>
        <v>0</v>
      </c>
      <c r="W1075" s="1007">
        <f t="shared" si="1191"/>
        <v>0</v>
      </c>
      <c r="X1075" s="1007">
        <f t="shared" si="1191"/>
        <v>0</v>
      </c>
      <c r="Y1075" s="1007">
        <f t="shared" si="1191"/>
        <v>0</v>
      </c>
      <c r="Z1075" s="1007">
        <f t="shared" si="1191"/>
        <v>0</v>
      </c>
      <c r="AA1075" s="1007">
        <f t="shared" si="1191"/>
        <v>0</v>
      </c>
      <c r="AB1075" s="1007">
        <f t="shared" si="1191"/>
        <v>0</v>
      </c>
      <c r="AC1075" s="1007">
        <f t="shared" si="1191"/>
        <v>0</v>
      </c>
      <c r="AD1075" s="1007" t="str">
        <f t="shared" si="1191"/>
        <v>CHECK</v>
      </c>
      <c r="AE1075" s="1007">
        <f t="shared" si="1191"/>
        <v>0</v>
      </c>
      <c r="AF1075" s="1007">
        <f t="shared" si="1191"/>
        <v>0</v>
      </c>
      <c r="AG1075" s="1007">
        <f t="shared" si="1191"/>
        <v>0</v>
      </c>
      <c r="AH1075" s="1007">
        <f t="shared" si="1191"/>
        <v>0</v>
      </c>
      <c r="AI1075" s="1007">
        <f t="shared" ref="AI1075:AY1075" si="1192">IF(OR(INDEX(MO_CFSum_Acquisition,1,COLUMN())&gt;0,INDEX(MO_CFSum_Divestiture,1,COLUMN())&lt;0,INDEX(MO_CFSum_Capex,1,COLUMN())&gt;0,INDEX(MO_CFSum_Dividend,1,COLUMN())&gt;0),"CHECK",0)</f>
        <v>0</v>
      </c>
      <c r="AJ1075" s="1007">
        <f t="shared" si="1192"/>
        <v>0</v>
      </c>
      <c r="AK1075" s="1007">
        <f t="shared" si="1192"/>
        <v>0</v>
      </c>
      <c r="AL1075" s="1007">
        <f t="shared" si="1192"/>
        <v>0</v>
      </c>
      <c r="AM1075" s="1007">
        <f t="shared" si="1192"/>
        <v>0</v>
      </c>
      <c r="AN1075" s="1007">
        <f t="shared" si="1192"/>
        <v>0</v>
      </c>
      <c r="AO1075" s="1007">
        <f t="shared" si="1192"/>
        <v>0</v>
      </c>
      <c r="AP1075" s="1007">
        <f t="shared" si="1192"/>
        <v>0</v>
      </c>
      <c r="AQ1075" s="1007">
        <f t="shared" si="1192"/>
        <v>0</v>
      </c>
      <c r="AR1075" s="1007">
        <f t="shared" si="1192"/>
        <v>0</v>
      </c>
      <c r="AS1075" s="1007">
        <f>IF(OR(INDEX(MO_CFSum_Acquisition,1,COLUMN())&gt;0,INDEX(MO_CFSum_Divestiture,1,COLUMN())&lt;0,INDEX(MO_CFSum_Capex,1,COLUMN())&gt;0,INDEX(MO_CFSum_Dividend,1,COLUMN())&gt;0),"CHECK",0)</f>
        <v>0</v>
      </c>
      <c r="AT1075" s="1007">
        <f>IF(OR(INDEX(MO_CFSum_Acquisition,1,COLUMN())&gt;0,INDEX(MO_CFSum_Divestiture,1,COLUMN())&lt;0,INDEX(MO_CFSum_Capex,1,COLUMN())&gt;0,INDEX(MO_CFSum_Dividend,1,COLUMN())&gt;0),"CHECK",0)</f>
        <v>0</v>
      </c>
      <c r="AU1075" s="1007">
        <f>IF(OR(INDEX(MO_CFSum_Acquisition,1,COLUMN())&gt;0,INDEX(MO_CFSum_Divestiture,1,COLUMN())&lt;0,INDEX(MO_CFSum_Capex,1,COLUMN())&gt;0,INDEX(MO_CFSum_Dividend,1,COLUMN())&gt;0),"CHECK",0)</f>
        <v>0</v>
      </c>
      <c r="AV1075" s="1007">
        <f>IF(OR(INDEX(MO_CFSum_Acquisition,1,COLUMN())&gt;0,INDEX(MO_CFSum_Divestiture,1,COLUMN())&lt;0,INDEX(MO_CFSum_Capex,1,COLUMN())&gt;0,INDEX(MO_CFSum_Dividend,1,COLUMN())&gt;0),"CHECK",0)</f>
        <v>0</v>
      </c>
      <c r="AW1075" s="1008">
        <f>IF(OR(INDEX(MO_CFSum_Acquisition,1,COLUMN())&gt;0,INDEX(MO_CFSum_Divestiture,1,COLUMN())&lt;0,INDEX(MO_CFSum_Capex,1,COLUMN())&gt;0,INDEX(MO_CFSum_Dividend,1,COLUMN())&gt;0),"CHECK",0)</f>
        <v>0</v>
      </c>
      <c r="AX1075" s="1007">
        <f t="shared" ca="1" si="1192"/>
        <v>0</v>
      </c>
      <c r="AY1075" s="1007">
        <f t="shared" ca="1" si="1192"/>
        <v>0</v>
      </c>
      <c r="AZ1075" s="1007">
        <f t="shared" ref="AZ1075:BG1075" ca="1" si="1193">IF(OR(INDEX(MO_CFSum_Acquisition,1,COLUMN())&gt;0,INDEX(MO_CFSum_Divestiture,1,COLUMN())&lt;0,INDEX(MO_CFSum_Capex,1,COLUMN())&gt;0,INDEX(MO_CFSum_Dividend,1,COLUMN())&gt;0),"CHECK",0)</f>
        <v>0</v>
      </c>
      <c r="BA1075" s="1007">
        <f t="shared" ca="1" si="1193"/>
        <v>0</v>
      </c>
      <c r="BB1075" s="1007">
        <f t="shared" ca="1" si="1193"/>
        <v>0</v>
      </c>
      <c r="BC1075" s="1007">
        <f t="shared" ca="1" si="1193"/>
        <v>0</v>
      </c>
      <c r="BD1075" s="1007">
        <f t="shared" ca="1" si="1193"/>
        <v>0</v>
      </c>
      <c r="BE1075" s="1007">
        <f t="shared" ca="1" si="1193"/>
        <v>0</v>
      </c>
      <c r="BF1075" s="1007">
        <f t="shared" ca="1" si="1193"/>
        <v>0</v>
      </c>
      <c r="BG1075" s="1007">
        <f t="shared" ca="1" si="1193"/>
        <v>0</v>
      </c>
      <c r="BH1075" s="728"/>
    </row>
    <row r="1076" spans="1:60" s="40" customFormat="1" x14ac:dyDescent="0.25">
      <c r="A1076" s="728" t="s">
        <v>382</v>
      </c>
      <c r="B1076" s="955"/>
      <c r="C1076" s="1007"/>
      <c r="D1076" s="1007"/>
      <c r="E1076" s="1007"/>
      <c r="F1076" s="1007"/>
      <c r="G1076" s="1007"/>
      <c r="H1076" s="1007"/>
      <c r="I1076" s="1007"/>
      <c r="J1076" s="1007"/>
      <c r="K1076" s="1007">
        <f>ROUND(K782-SUM(G782,H782,I782,J782),6)</f>
        <v>0</v>
      </c>
      <c r="L1076" s="1007"/>
      <c r="M1076" s="1007"/>
      <c r="N1076" s="1007"/>
      <c r="O1076" s="1007"/>
      <c r="P1076" s="1007">
        <f>ROUND(P782-SUM(L782,M782,N782,O782),6)</f>
        <v>0</v>
      </c>
      <c r="Q1076" s="1007"/>
      <c r="R1076" s="1007"/>
      <c r="S1076" s="1007"/>
      <c r="T1076" s="1007"/>
      <c r="U1076" s="1007">
        <f>ROUND(U782-SUM(Q782,R782,S782,T782),6)</f>
        <v>0</v>
      </c>
      <c r="V1076" s="1007"/>
      <c r="W1076" s="1007"/>
      <c r="X1076" s="1007"/>
      <c r="Y1076" s="1007"/>
      <c r="Z1076" s="1007">
        <f>ROUND(Z782-SUM(V782,W782,X782,Y782),6)</f>
        <v>0</v>
      </c>
      <c r="AA1076" s="1007"/>
      <c r="AB1076" s="1007"/>
      <c r="AC1076" s="1007"/>
      <c r="AD1076" s="1007"/>
      <c r="AE1076" s="1007">
        <f>ROUND(AE782-SUM(AA782,AB782,AC782,AD782),6)</f>
        <v>0</v>
      </c>
      <c r="AF1076" s="1007"/>
      <c r="AG1076" s="1007"/>
      <c r="AH1076" s="1007"/>
      <c r="AI1076" s="1007"/>
      <c r="AJ1076" s="1007">
        <f>ROUND(AJ782-SUM(AF782,AG782,AH782,AI782),6)</f>
        <v>0</v>
      </c>
      <c r="AK1076" s="1007"/>
      <c r="AL1076" s="1007"/>
      <c r="AM1076" s="1007"/>
      <c r="AN1076" s="1007"/>
      <c r="AO1076" s="1007">
        <f>ROUND(AO782-SUM(AK782,AL782,AM782,AN782),6)</f>
        <v>0</v>
      </c>
      <c r="AP1076" s="1007"/>
      <c r="AQ1076" s="1007"/>
      <c r="AR1076" s="1007"/>
      <c r="AS1076" s="1007"/>
      <c r="AT1076" s="1007">
        <f>ROUND(AT782-SUM(AP782,AQ782,AR782,AS782),6)</f>
        <v>-12</v>
      </c>
      <c r="AU1076" s="1007"/>
      <c r="AV1076" s="1007"/>
      <c r="AW1076" s="1008"/>
      <c r="AX1076" s="1007"/>
      <c r="AY1076" s="1007"/>
      <c r="AZ1076" s="1007"/>
      <c r="BA1076" s="1007"/>
      <c r="BB1076" s="1007"/>
      <c r="BC1076" s="1007"/>
      <c r="BD1076" s="1007"/>
      <c r="BE1076" s="1007"/>
      <c r="BF1076" s="1007"/>
      <c r="BG1076" s="1007"/>
      <c r="BH1076" s="728"/>
    </row>
    <row r="1077" spans="1:60" s="40" customFormat="1" x14ac:dyDescent="0.25">
      <c r="A1077" s="728" t="s">
        <v>383</v>
      </c>
      <c r="B1077" s="955"/>
      <c r="C1077" s="1007"/>
      <c r="D1077" s="1007"/>
      <c r="E1077" s="1007"/>
      <c r="F1077" s="1007"/>
      <c r="G1077" s="1007"/>
      <c r="H1077" s="1007"/>
      <c r="I1077" s="1007"/>
      <c r="J1077" s="1007"/>
      <c r="K1077" s="1007">
        <f>ROUND(SUM(G791,H791,I791,J791)-INDEX(MO_RIS_NI_NONGAAP_Diluted,1,COLUMN()),6)</f>
        <v>-0.57999999999999996</v>
      </c>
      <c r="L1077" s="1007"/>
      <c r="M1077" s="1007"/>
      <c r="N1077" s="1007"/>
      <c r="O1077" s="1007"/>
      <c r="P1077" s="1007">
        <f>ROUND(SUM(L791,M791,N791,O791)-INDEX(MO_RIS_NI_NONGAAP_Diluted,1,COLUMN()),6)</f>
        <v>17.420000000000002</v>
      </c>
      <c r="Q1077" s="1007"/>
      <c r="R1077" s="1007"/>
      <c r="S1077" s="1007"/>
      <c r="T1077" s="1007"/>
      <c r="U1077" s="1007">
        <f>ROUND(SUM(Q791,R791,S791,T791)-INDEX(MO_RIS_NI_NONGAAP_Diluted,1,COLUMN()),6)</f>
        <v>13.19</v>
      </c>
      <c r="V1077" s="1007"/>
      <c r="W1077" s="1007"/>
      <c r="X1077" s="1007"/>
      <c r="Y1077" s="1007"/>
      <c r="Z1077" s="1007">
        <f>ROUND(SUM(V791,W791,X791,Y791)-INDEX(MO_RIS_NI_NONGAAP_Diluted,1,COLUMN()),6)</f>
        <v>-51.83</v>
      </c>
      <c r="AA1077" s="1007"/>
      <c r="AB1077" s="1007"/>
      <c r="AC1077" s="1007"/>
      <c r="AD1077" s="1007"/>
      <c r="AE1077" s="1007">
        <f>ROUND(SUM(AA791,AB791,AC791,AD791)-INDEX(MO_RIS_NI_NONGAAP_Diluted,1,COLUMN()),6)</f>
        <v>1.44</v>
      </c>
      <c r="AF1077" s="1007"/>
      <c r="AG1077" s="1007"/>
      <c r="AH1077" s="1007"/>
      <c r="AI1077" s="1007"/>
      <c r="AJ1077" s="1007">
        <f>ROUND(SUM(AF791,AG791,AH791,AI791)-INDEX(MO_RIS_NI_NONGAAP_Diluted,1,COLUMN()),6)</f>
        <v>1.92</v>
      </c>
      <c r="AK1077" s="1007"/>
      <c r="AL1077" s="1007"/>
      <c r="AM1077" s="1007"/>
      <c r="AN1077" s="1007"/>
      <c r="AO1077" s="1007">
        <f>ROUND(SUM(AK791,AL791,AM791,AN791)-INDEX(MO_RIS_NI_NONGAAP_Diluted,1,COLUMN()),6)</f>
        <v>13.42</v>
      </c>
      <c r="AP1077" s="1007"/>
      <c r="AQ1077" s="1007"/>
      <c r="AR1077" s="1007"/>
      <c r="AS1077" s="1007"/>
      <c r="AT1077" s="1007">
        <f>ROUND(SUM(AP791,AQ791,AR791,AS791)-INDEX(MO_RIS_NI_NONGAAP_Diluted,1,COLUMN()),6)</f>
        <v>-15.33</v>
      </c>
      <c r="AU1077" s="1007"/>
      <c r="AV1077" s="1007"/>
      <c r="AW1077" s="1008"/>
      <c r="AX1077" s="1007"/>
      <c r="AY1077" s="1007"/>
      <c r="AZ1077" s="1007"/>
      <c r="BA1077" s="1007"/>
      <c r="BB1077" s="1007"/>
      <c r="BC1077" s="1007"/>
      <c r="BD1077" s="1007"/>
      <c r="BE1077" s="1007"/>
      <c r="BF1077" s="1007"/>
      <c r="BG1077" s="1007"/>
      <c r="BH1077" s="728"/>
    </row>
    <row r="1078" spans="1:60" s="40" customFormat="1" x14ac:dyDescent="0.25">
      <c r="A1078" s="728" t="s">
        <v>384</v>
      </c>
      <c r="B1078" s="955"/>
      <c r="C1078" s="1007"/>
      <c r="D1078" s="1007"/>
      <c r="E1078" s="1007"/>
      <c r="F1078" s="1007"/>
      <c r="G1078" s="1007"/>
      <c r="H1078" s="1007"/>
      <c r="I1078" s="1007"/>
      <c r="J1078" s="1007"/>
      <c r="K1078" s="1007">
        <f ca="1">ROUND(SUM(G931,H931,I931,J931)-SUM(OFFSET(INDEX(MO_CFS_CFO_BeforeWC,1,COLUMN()),ROW(INDEX(MO_SubSection_CFS_CFO,1,COLUMN()))-ROW(INDEX(MO_CFS_CFO_BeforeWC,1,COLUMN())),0,ROW(INDEX(MO_CFS_CFO_BeforeWC,1,COLUMN()))-ROW(INDEX(MO_SubSection_CFS_CFO,1,COLUMN())),1)),6)</f>
        <v>0</v>
      </c>
      <c r="L1078" s="1007"/>
      <c r="M1078" s="1007"/>
      <c r="N1078" s="1007"/>
      <c r="O1078" s="1007"/>
      <c r="P1078" s="1007">
        <f ca="1">ROUND(SUM(L931,M931,N931,O931)-SUM(OFFSET(INDEX(MO_CFS_CFO_BeforeWC,1,COLUMN()),ROW(INDEX(MO_SubSection_CFS_CFO,1,COLUMN()))-ROW(INDEX(MO_CFS_CFO_BeforeWC,1,COLUMN())),0,ROW(INDEX(MO_CFS_CFO_BeforeWC,1,COLUMN()))-ROW(INDEX(MO_SubSection_CFS_CFO,1,COLUMN())),1)),6)</f>
        <v>0</v>
      </c>
      <c r="Q1078" s="1007"/>
      <c r="R1078" s="1007"/>
      <c r="S1078" s="1007"/>
      <c r="T1078" s="1007"/>
      <c r="U1078" s="1007">
        <f ca="1">ROUND(SUM(Q931,R931,S931,T931)-SUM(OFFSET(INDEX(MO_CFS_CFO_BeforeWC,1,COLUMN()),ROW(INDEX(MO_SubSection_CFS_CFO,1,COLUMN()))-ROW(INDEX(MO_CFS_CFO_BeforeWC,1,COLUMN())),0,ROW(INDEX(MO_CFS_CFO_BeforeWC,1,COLUMN()))-ROW(INDEX(MO_SubSection_CFS_CFO,1,COLUMN())),1)),6)</f>
        <v>0</v>
      </c>
      <c r="V1078" s="1007"/>
      <c r="W1078" s="1007"/>
      <c r="X1078" s="1007"/>
      <c r="Y1078" s="1007"/>
      <c r="Z1078" s="1007">
        <f ca="1">ROUND(SUM(V931,W931,X931,Y931)-SUM(OFFSET(INDEX(MO_CFS_CFO_BeforeWC,1,COLUMN()),ROW(INDEX(MO_SubSection_CFS_CFO,1,COLUMN()))-ROW(INDEX(MO_CFS_CFO_BeforeWC,1,COLUMN())),0,ROW(INDEX(MO_CFS_CFO_BeforeWC,1,COLUMN()))-ROW(INDEX(MO_SubSection_CFS_CFO,1,COLUMN())),1)),6)</f>
        <v>0</v>
      </c>
      <c r="AA1078" s="1007"/>
      <c r="AB1078" s="1007"/>
      <c r="AC1078" s="1007"/>
      <c r="AD1078" s="1007"/>
      <c r="AE1078" s="1007">
        <f ca="1">ROUND(SUM(AA931,AB931,AC931,AD931)-SUM(OFFSET(INDEX(MO_CFS_CFO_BeforeWC,1,COLUMN()),ROW(INDEX(MO_SubSection_CFS_CFO,1,COLUMN()))-ROW(INDEX(MO_CFS_CFO_BeforeWC,1,COLUMN())),0,ROW(INDEX(MO_CFS_CFO_BeforeWC,1,COLUMN()))-ROW(INDEX(MO_SubSection_CFS_CFO,1,COLUMN())),1)),6)</f>
        <v>0</v>
      </c>
      <c r="AF1078" s="1007"/>
      <c r="AG1078" s="1007"/>
      <c r="AH1078" s="1007"/>
      <c r="AI1078" s="1007"/>
      <c r="AJ1078" s="1007">
        <f ca="1">ROUND(SUM(AF931,AG931,AH931,AI931)-SUM(OFFSET(INDEX(MO_CFS_CFO_BeforeWC,1,COLUMN()),ROW(INDEX(MO_SubSection_CFS_CFO,1,COLUMN()))-ROW(INDEX(MO_CFS_CFO_BeforeWC,1,COLUMN())),0,ROW(INDEX(MO_CFS_CFO_BeforeWC,1,COLUMN()))-ROW(INDEX(MO_SubSection_CFS_CFO,1,COLUMN())),1)),6)</f>
        <v>0</v>
      </c>
      <c r="AK1078" s="1007"/>
      <c r="AL1078" s="1007"/>
      <c r="AM1078" s="1007"/>
      <c r="AN1078" s="1007"/>
      <c r="AO1078" s="1007">
        <f ca="1">ROUND(SUM(AK931,AL931,AM931,AN931)-SUM(OFFSET(INDEX(MO_CFS_CFO_BeforeWC,1,COLUMN()),ROW(INDEX(MO_SubSection_CFS_CFO,1,COLUMN()))-ROW(INDEX(MO_CFS_CFO_BeforeWC,1,COLUMN())),0,ROW(INDEX(MO_CFS_CFO_BeforeWC,1,COLUMN()))-ROW(INDEX(MO_SubSection_CFS_CFO,1,COLUMN())),1)),6)</f>
        <v>0</v>
      </c>
      <c r="AP1078" s="1007"/>
      <c r="AQ1078" s="1007"/>
      <c r="AR1078" s="1007"/>
      <c r="AS1078" s="1007"/>
      <c r="AT1078" s="1007">
        <f ca="1">ROUND(SUM(AP931,AQ931,AR931,AS931)-SUM(OFFSET(INDEX(MO_CFS_CFO_BeforeWC,1,COLUMN()),ROW(INDEX(MO_SubSection_CFS_CFO,1,COLUMN()))-ROW(INDEX(MO_CFS_CFO_BeforeWC,1,COLUMN())),0,ROW(INDEX(MO_CFS_CFO_BeforeWC,1,COLUMN()))-ROW(INDEX(MO_SubSection_CFS_CFO,1,COLUMN())),1)),6)</f>
        <v>0</v>
      </c>
      <c r="AU1078" s="1007"/>
      <c r="AV1078" s="1007"/>
      <c r="AW1078" s="1008"/>
      <c r="AX1078" s="1007"/>
      <c r="AY1078" s="1007"/>
      <c r="AZ1078" s="1007"/>
      <c r="BA1078" s="1007"/>
      <c r="BB1078" s="1007"/>
      <c r="BC1078" s="1007"/>
      <c r="BD1078" s="1007"/>
      <c r="BE1078" s="1007"/>
      <c r="BF1078" s="1007"/>
      <c r="BG1078" s="1007"/>
      <c r="BH1078" s="728"/>
    </row>
    <row r="1079" spans="1:60" s="40" customFormat="1" x14ac:dyDescent="0.25">
      <c r="A1079" s="728" t="s">
        <v>385</v>
      </c>
      <c r="B1079" s="955"/>
      <c r="C1079" s="1007"/>
      <c r="D1079" s="1007"/>
      <c r="E1079" s="1007"/>
      <c r="F1079" s="1007"/>
      <c r="G1079" s="1007"/>
      <c r="H1079" s="1007"/>
      <c r="I1079" s="1007"/>
      <c r="J1079" s="1007"/>
      <c r="K1079" s="1007">
        <f ca="1">ROUND(SUM(G938,H938,I938,J938)-SUM(OFFSET(INDEX(MO_CFS_CFO,1,COLUMN()),ROW(INDEX(MO_CFS_CFO_BeforeWC,1,COLUMN()))-ROW(INDEX(MO_CFS_CFO,1,COLUMN())),0,ROW(INDEX(MO_CFS_CFO,1,COLUMN()))-ROW(INDEX(MO_CFS_CFO_BeforeWC,1,COLUMN())),1)),6)</f>
        <v>0</v>
      </c>
      <c r="L1079" s="1007"/>
      <c r="M1079" s="1007"/>
      <c r="N1079" s="1007"/>
      <c r="O1079" s="1007"/>
      <c r="P1079" s="1007">
        <f ca="1">ROUND(SUM(L938,M938,N938,O938)-SUM(OFFSET(INDEX(MO_CFS_CFO,1,COLUMN()),ROW(INDEX(MO_CFS_CFO_BeforeWC,1,COLUMN()))-ROW(INDEX(MO_CFS_CFO,1,COLUMN())),0,ROW(INDEX(MO_CFS_CFO,1,COLUMN()))-ROW(INDEX(MO_CFS_CFO_BeforeWC,1,COLUMN())),1)),6)</f>
        <v>0</v>
      </c>
      <c r="Q1079" s="1007"/>
      <c r="R1079" s="1007"/>
      <c r="S1079" s="1007"/>
      <c r="T1079" s="1007"/>
      <c r="U1079" s="1007">
        <f ca="1">ROUND(SUM(Q938,R938,S938,T938)-SUM(OFFSET(INDEX(MO_CFS_CFO,1,COLUMN()),ROW(INDEX(MO_CFS_CFO_BeforeWC,1,COLUMN()))-ROW(INDEX(MO_CFS_CFO,1,COLUMN())),0,ROW(INDEX(MO_CFS_CFO,1,COLUMN()))-ROW(INDEX(MO_CFS_CFO_BeforeWC,1,COLUMN())),1)),6)</f>
        <v>0</v>
      </c>
      <c r="V1079" s="1007"/>
      <c r="W1079" s="1007"/>
      <c r="X1079" s="1007"/>
      <c r="Y1079" s="1007"/>
      <c r="Z1079" s="1007">
        <f ca="1">ROUND(SUM(V938,W938,X938,Y938)-SUM(OFFSET(INDEX(MO_CFS_CFO,1,COLUMN()),ROW(INDEX(MO_CFS_CFO_BeforeWC,1,COLUMN()))-ROW(INDEX(MO_CFS_CFO,1,COLUMN())),0,ROW(INDEX(MO_CFS_CFO,1,COLUMN()))-ROW(INDEX(MO_CFS_CFO_BeforeWC,1,COLUMN())),1)),6)</f>
        <v>0</v>
      </c>
      <c r="AA1079" s="1007"/>
      <c r="AB1079" s="1007"/>
      <c r="AC1079" s="1007"/>
      <c r="AD1079" s="1007"/>
      <c r="AE1079" s="1007">
        <f ca="1">ROUND(SUM(AA938,AB938,AC938,AD938)-SUM(OFFSET(INDEX(MO_CFS_CFO,1,COLUMN()),ROW(INDEX(MO_CFS_CFO_BeforeWC,1,COLUMN()))-ROW(INDEX(MO_CFS_CFO,1,COLUMN())),0,ROW(INDEX(MO_CFS_CFO,1,COLUMN()))-ROW(INDEX(MO_CFS_CFO_BeforeWC,1,COLUMN())),1)),6)</f>
        <v>0</v>
      </c>
      <c r="AF1079" s="1007"/>
      <c r="AG1079" s="1007"/>
      <c r="AH1079" s="1007"/>
      <c r="AI1079" s="1007"/>
      <c r="AJ1079" s="1007">
        <f ca="1">ROUND(SUM(AF938,AG938,AH938,AI938)-SUM(OFFSET(INDEX(MO_CFS_CFO,1,COLUMN()),ROW(INDEX(MO_CFS_CFO_BeforeWC,1,COLUMN()))-ROW(INDEX(MO_CFS_CFO,1,COLUMN())),0,ROW(INDEX(MO_CFS_CFO,1,COLUMN()))-ROW(INDEX(MO_CFS_CFO_BeforeWC,1,COLUMN())),1)),6)</f>
        <v>0</v>
      </c>
      <c r="AK1079" s="1007"/>
      <c r="AL1079" s="1007"/>
      <c r="AM1079" s="1007"/>
      <c r="AN1079" s="1007"/>
      <c r="AO1079" s="1007">
        <f ca="1">ROUND(SUM(AK938,AL938,AM938,AN938)-SUM(OFFSET(INDEX(MO_CFS_CFO,1,COLUMN()),ROW(INDEX(MO_CFS_CFO_BeforeWC,1,COLUMN()))-ROW(INDEX(MO_CFS_CFO,1,COLUMN())),0,ROW(INDEX(MO_CFS_CFO,1,COLUMN()))-ROW(INDEX(MO_CFS_CFO_BeforeWC,1,COLUMN())),1)),6)</f>
        <v>0</v>
      </c>
      <c r="AP1079" s="1007"/>
      <c r="AQ1079" s="1007"/>
      <c r="AR1079" s="1007"/>
      <c r="AS1079" s="1007"/>
      <c r="AT1079" s="1007">
        <f ca="1">ROUND(SUM(AP938,AQ938,AR938,AS938)-SUM(OFFSET(INDEX(MO_CFS_CFO,1,COLUMN()),ROW(INDEX(MO_CFS_CFO_BeforeWC,1,COLUMN()))-ROW(INDEX(MO_CFS_CFO,1,COLUMN())),0,ROW(INDEX(MO_CFS_CFO,1,COLUMN()))-ROW(INDEX(MO_CFS_CFO_BeforeWC,1,COLUMN())),1)),6)</f>
        <v>0</v>
      </c>
      <c r="AU1079" s="1007"/>
      <c r="AV1079" s="1007"/>
      <c r="AW1079" s="1008"/>
      <c r="AX1079" s="1007"/>
      <c r="AY1079" s="1007"/>
      <c r="AZ1079" s="1007"/>
      <c r="BA1079" s="1007"/>
      <c r="BB1079" s="1007"/>
      <c r="BC1079" s="1007"/>
      <c r="BD1079" s="1007"/>
      <c r="BE1079" s="1007"/>
      <c r="BF1079" s="1007"/>
      <c r="BG1079" s="1007"/>
      <c r="BH1079" s="728"/>
    </row>
    <row r="1080" spans="1:60" s="40" customFormat="1" x14ac:dyDescent="0.25">
      <c r="A1080" s="728" t="s">
        <v>386</v>
      </c>
      <c r="B1080" s="955"/>
      <c r="C1080" s="1007"/>
      <c r="D1080" s="1007"/>
      <c r="E1080" s="1007"/>
      <c r="F1080" s="1007"/>
      <c r="G1080" s="1007"/>
      <c r="H1080" s="1007"/>
      <c r="I1080" s="1007"/>
      <c r="J1080" s="1007"/>
      <c r="K1080" s="1007">
        <f ca="1">ROUND(SUM(G946,H946,I946,J946)-SUM(OFFSET(INDEX(MO_CFS_CFI,1,COLUMN()),ROW(INDEX(MO_SubSection_CFS_CFI,1,COLUMN()))-ROW(INDEX(MO_CFS_CFI,1,COLUMN())),0,ROW(INDEX(MO_CFS_CFI,1,COLUMN()))-ROW(INDEX(MO_SubSection_CFS_CFI,1,COLUMN())),1)),6)</f>
        <v>0</v>
      </c>
      <c r="L1080" s="1007"/>
      <c r="M1080" s="1007"/>
      <c r="N1080" s="1007"/>
      <c r="O1080" s="1007"/>
      <c r="P1080" s="1007">
        <f ca="1">ROUND(SUM(L946,M946,N946,O946)-SUM(OFFSET(INDEX(MO_CFS_CFI,1,COLUMN()),ROW(INDEX(MO_SubSection_CFS_CFI,1,COLUMN()))-ROW(INDEX(MO_CFS_CFI,1,COLUMN())),0,ROW(INDEX(MO_CFS_CFI,1,COLUMN()))-ROW(INDEX(MO_SubSection_CFS_CFI,1,COLUMN())),1)),6)</f>
        <v>0</v>
      </c>
      <c r="Q1080" s="1007"/>
      <c r="R1080" s="1007"/>
      <c r="S1080" s="1007"/>
      <c r="T1080" s="1007"/>
      <c r="U1080" s="1007">
        <f ca="1">ROUND(SUM(Q946,R946,S946,T946)-SUM(OFFSET(INDEX(MO_CFS_CFI,1,COLUMN()),ROW(INDEX(MO_SubSection_CFS_CFI,1,COLUMN()))-ROW(INDEX(MO_CFS_CFI,1,COLUMN())),0,ROW(INDEX(MO_CFS_CFI,1,COLUMN()))-ROW(INDEX(MO_SubSection_CFS_CFI,1,COLUMN())),1)),6)</f>
        <v>0</v>
      </c>
      <c r="V1080" s="1007"/>
      <c r="W1080" s="1007"/>
      <c r="X1080" s="1007"/>
      <c r="Y1080" s="1007"/>
      <c r="Z1080" s="1007">
        <f ca="1">ROUND(SUM(V946,W946,X946,Y946)-SUM(OFFSET(INDEX(MO_CFS_CFI,1,COLUMN()),ROW(INDEX(MO_SubSection_CFS_CFI,1,COLUMN()))-ROW(INDEX(MO_CFS_CFI,1,COLUMN())),0,ROW(INDEX(MO_CFS_CFI,1,COLUMN()))-ROW(INDEX(MO_SubSection_CFS_CFI,1,COLUMN())),1)),6)</f>
        <v>0</v>
      </c>
      <c r="AA1080" s="1007"/>
      <c r="AB1080" s="1007"/>
      <c r="AC1080" s="1007"/>
      <c r="AD1080" s="1007"/>
      <c r="AE1080" s="1007">
        <f ca="1">ROUND(SUM(AA946,AB946,AC946,AD946)-SUM(OFFSET(INDEX(MO_CFS_CFI,1,COLUMN()),ROW(INDEX(MO_SubSection_CFS_CFI,1,COLUMN()))-ROW(INDEX(MO_CFS_CFI,1,COLUMN())),0,ROW(INDEX(MO_CFS_CFI,1,COLUMN()))-ROW(INDEX(MO_SubSection_CFS_CFI,1,COLUMN())),1)),6)</f>
        <v>0</v>
      </c>
      <c r="AF1080" s="1007"/>
      <c r="AG1080" s="1007"/>
      <c r="AH1080" s="1007"/>
      <c r="AI1080" s="1007"/>
      <c r="AJ1080" s="1007">
        <f ca="1">ROUND(SUM(AF946,AG946,AH946,AI946)-SUM(OFFSET(INDEX(MO_CFS_CFI,1,COLUMN()),ROW(INDEX(MO_SubSection_CFS_CFI,1,COLUMN()))-ROW(INDEX(MO_CFS_CFI,1,COLUMN())),0,ROW(INDEX(MO_CFS_CFI,1,COLUMN()))-ROW(INDEX(MO_SubSection_CFS_CFI,1,COLUMN())),1)),6)</f>
        <v>0</v>
      </c>
      <c r="AK1080" s="1007"/>
      <c r="AL1080" s="1007"/>
      <c r="AM1080" s="1007"/>
      <c r="AN1080" s="1007"/>
      <c r="AO1080" s="1007">
        <f ca="1">ROUND(SUM(AK946,AL946,AM946,AN946)-SUM(OFFSET(INDEX(MO_CFS_CFI,1,COLUMN()),ROW(INDEX(MO_SubSection_CFS_CFI,1,COLUMN()))-ROW(INDEX(MO_CFS_CFI,1,COLUMN())),0,ROW(INDEX(MO_CFS_CFI,1,COLUMN()))-ROW(INDEX(MO_SubSection_CFS_CFI,1,COLUMN())),1)),6)</f>
        <v>0</v>
      </c>
      <c r="AP1080" s="1007"/>
      <c r="AQ1080" s="1007"/>
      <c r="AR1080" s="1007"/>
      <c r="AS1080" s="1007"/>
      <c r="AT1080" s="1007">
        <f ca="1">ROUND(SUM(AP946,AQ946,AR946,AS946)-SUM(OFFSET(INDEX(MO_CFS_CFI,1,COLUMN()),ROW(INDEX(MO_SubSection_CFS_CFI,1,COLUMN()))-ROW(INDEX(MO_CFS_CFI,1,COLUMN())),0,ROW(INDEX(MO_CFS_CFI,1,COLUMN()))-ROW(INDEX(MO_SubSection_CFS_CFI,1,COLUMN())),1)),6)</f>
        <v>0</v>
      </c>
      <c r="AU1080" s="1007"/>
      <c r="AV1080" s="1007"/>
      <c r="AW1080" s="1008"/>
      <c r="AX1080" s="1007"/>
      <c r="AY1080" s="1007"/>
      <c r="AZ1080" s="1007"/>
      <c r="BA1080" s="1007"/>
      <c r="BB1080" s="1007"/>
      <c r="BC1080" s="1007"/>
      <c r="BD1080" s="1007"/>
      <c r="BE1080" s="1007"/>
      <c r="BF1080" s="1007"/>
      <c r="BG1080" s="1007"/>
      <c r="BH1080" s="728"/>
    </row>
    <row r="1081" spans="1:60" s="40" customFormat="1" x14ac:dyDescent="0.25">
      <c r="A1081" s="728" t="s">
        <v>387</v>
      </c>
      <c r="B1081" s="955"/>
      <c r="C1081" s="1007"/>
      <c r="D1081" s="1007"/>
      <c r="E1081" s="1007"/>
      <c r="F1081" s="1007"/>
      <c r="G1081" s="1007"/>
      <c r="H1081" s="1007"/>
      <c r="I1081" s="1007"/>
      <c r="J1081" s="1007"/>
      <c r="K1081" s="1007">
        <f ca="1">ROUND(SUM(G959,H959,I959,J959)-SUM(OFFSET(INDEX(MO_CFS_CFF,1,COLUMN()),ROW(INDEX(MO_SubSection_CFS_CFF,1,COLUMN()))-ROW(INDEX(MO_CFS_CFF,1,COLUMN())),0,ROW(INDEX(MO_CFS_CFF,1,COLUMN()))-ROW(INDEX(MO_SubSection_CFS_CFF,1,COLUMN())),1)),6)</f>
        <v>0</v>
      </c>
      <c r="L1081" s="1007"/>
      <c r="M1081" s="1007"/>
      <c r="N1081" s="1007"/>
      <c r="O1081" s="1007"/>
      <c r="P1081" s="1007">
        <f ca="1">ROUND(SUM(L959,M959,N959,O959)-SUM(OFFSET(INDEX(MO_CFS_CFF,1,COLUMN()),ROW(INDEX(MO_SubSection_CFS_CFF,1,COLUMN()))-ROW(INDEX(MO_CFS_CFF,1,COLUMN())),0,ROW(INDEX(MO_CFS_CFF,1,COLUMN()))-ROW(INDEX(MO_SubSection_CFS_CFF,1,COLUMN())),1)),6)</f>
        <v>0</v>
      </c>
      <c r="Q1081" s="1007"/>
      <c r="R1081" s="1007"/>
      <c r="S1081" s="1007"/>
      <c r="T1081" s="1007"/>
      <c r="U1081" s="1007">
        <f ca="1">ROUND(SUM(Q959,R959,S959,T959)-SUM(OFFSET(INDEX(MO_CFS_CFF,1,COLUMN()),ROW(INDEX(MO_SubSection_CFS_CFF,1,COLUMN()))-ROW(INDEX(MO_CFS_CFF,1,COLUMN())),0,ROW(INDEX(MO_CFS_CFF,1,COLUMN()))-ROW(INDEX(MO_SubSection_CFS_CFF,1,COLUMN())),1)),6)</f>
        <v>0</v>
      </c>
      <c r="V1081" s="1007"/>
      <c r="W1081" s="1007"/>
      <c r="X1081" s="1007"/>
      <c r="Y1081" s="1007"/>
      <c r="Z1081" s="1007">
        <f ca="1">ROUND(SUM(V959,W959,X959,Y959)-SUM(OFFSET(INDEX(MO_CFS_CFF,1,COLUMN()),ROW(INDEX(MO_SubSection_CFS_CFF,1,COLUMN()))-ROW(INDEX(MO_CFS_CFF,1,COLUMN())),0,ROW(INDEX(MO_CFS_CFF,1,COLUMN()))-ROW(INDEX(MO_SubSection_CFS_CFF,1,COLUMN())),1)),6)</f>
        <v>0</v>
      </c>
      <c r="AA1081" s="1007"/>
      <c r="AB1081" s="1007"/>
      <c r="AC1081" s="1007"/>
      <c r="AD1081" s="1007"/>
      <c r="AE1081" s="1007">
        <f ca="1">ROUND(SUM(AA959,AB959,AC959,AD959)-SUM(OFFSET(INDEX(MO_CFS_CFF,1,COLUMN()),ROW(INDEX(MO_SubSection_CFS_CFF,1,COLUMN()))-ROW(INDEX(MO_CFS_CFF,1,COLUMN())),0,ROW(INDEX(MO_CFS_CFF,1,COLUMN()))-ROW(INDEX(MO_SubSection_CFS_CFF,1,COLUMN())),1)),6)</f>
        <v>0</v>
      </c>
      <c r="AF1081" s="1007"/>
      <c r="AG1081" s="1007"/>
      <c r="AH1081" s="1007"/>
      <c r="AI1081" s="1007"/>
      <c r="AJ1081" s="1007">
        <f ca="1">ROUND(SUM(AF959,AG959,AH959,AI959)-SUM(OFFSET(INDEX(MO_CFS_CFF,1,COLUMN()),ROW(INDEX(MO_SubSection_CFS_CFF,1,COLUMN()))-ROW(INDEX(MO_CFS_CFF,1,COLUMN())),0,ROW(INDEX(MO_CFS_CFF,1,COLUMN()))-ROW(INDEX(MO_SubSection_CFS_CFF,1,COLUMN())),1)),6)</f>
        <v>0</v>
      </c>
      <c r="AK1081" s="1007"/>
      <c r="AL1081" s="1007"/>
      <c r="AM1081" s="1007"/>
      <c r="AN1081" s="1007"/>
      <c r="AO1081" s="1007">
        <f ca="1">ROUND(SUM(AK959,AL959,AM959,AN959)-SUM(OFFSET(INDEX(MO_CFS_CFF,1,COLUMN()),ROW(INDEX(MO_SubSection_CFS_CFF,1,COLUMN()))-ROW(INDEX(MO_CFS_CFF,1,COLUMN())),0,ROW(INDEX(MO_CFS_CFF,1,COLUMN()))-ROW(INDEX(MO_SubSection_CFS_CFF,1,COLUMN())),1)),6)</f>
        <v>0</v>
      </c>
      <c r="AP1081" s="1007"/>
      <c r="AQ1081" s="1007"/>
      <c r="AR1081" s="1007"/>
      <c r="AS1081" s="1007"/>
      <c r="AT1081" s="1007">
        <f ca="1">ROUND(SUM(AP959,AQ959,AR959,AS959)-SUM(OFFSET(INDEX(MO_CFS_CFF,1,COLUMN()),ROW(INDEX(MO_SubSection_CFS_CFF,1,COLUMN()))-ROW(INDEX(MO_CFS_CFF,1,COLUMN())),0,ROW(INDEX(MO_CFS_CFF,1,COLUMN()))-ROW(INDEX(MO_SubSection_CFS_CFF,1,COLUMN())),1)),6)</f>
        <v>0</v>
      </c>
      <c r="AU1081" s="1007"/>
      <c r="AV1081" s="1007"/>
      <c r="AW1081" s="1008"/>
      <c r="AX1081" s="1007"/>
      <c r="AY1081" s="1007"/>
      <c r="AZ1081" s="1007"/>
      <c r="BA1081" s="1007"/>
      <c r="BB1081" s="1007"/>
      <c r="BC1081" s="1007"/>
      <c r="BD1081" s="1007"/>
      <c r="BE1081" s="1007"/>
      <c r="BF1081" s="1007"/>
      <c r="BG1081" s="1007"/>
      <c r="BH1081" s="728"/>
    </row>
    <row r="1082" spans="1:60" s="40" customFormat="1" x14ac:dyDescent="0.25">
      <c r="A1082" s="728" t="s">
        <v>388</v>
      </c>
      <c r="B1082" s="955"/>
      <c r="C1082" s="1007"/>
      <c r="D1082" s="1007"/>
      <c r="E1082" s="1007"/>
      <c r="F1082" s="1007"/>
      <c r="G1082" s="1007"/>
      <c r="H1082" s="1007"/>
      <c r="I1082" s="1007"/>
      <c r="J1082" s="1007"/>
      <c r="K1082" s="1007">
        <f>ROUND(SUM(INDEX(MO_CFSum_Acquisition,0,COLUMN()),INDEX(MO_CFSum_Capex,0,COLUMN()),INDEX(MO_CFSum_Divestiture,0,COLUMN()),INDEX(MO_CFSum_Dividend,0,COLUMN()))-SUM(G811,H811,I811,J811,G812,H812,I812,J812,G813,H813,I813,J813)-SUM(G809,H809,I809,J809),6)</f>
        <v>0</v>
      </c>
      <c r="L1082" s="1007"/>
      <c r="M1082" s="1007"/>
      <c r="N1082" s="1007"/>
      <c r="O1082" s="1007"/>
      <c r="P1082" s="1007">
        <f>ROUND(SUM(INDEX(MO_CFSum_Acquisition,0,COLUMN()),INDEX(MO_CFSum_Capex,0,COLUMN()),INDEX(MO_CFSum_Divestiture,0,COLUMN()),INDEX(MO_CFSum_Dividend,0,COLUMN()))-SUM(L811,M811,N811,O811,L812,M812,N812,O812,L813,M813,N813,O813)-SUM(L809,M809,N809,O809),6)</f>
        <v>0</v>
      </c>
      <c r="Q1082" s="1007"/>
      <c r="R1082" s="1007"/>
      <c r="S1082" s="1007"/>
      <c r="T1082" s="1007"/>
      <c r="U1082" s="1007">
        <f>ROUND(SUM(INDEX(MO_CFSum_Acquisition,0,COLUMN()),INDEX(MO_CFSum_Capex,0,COLUMN()),INDEX(MO_CFSum_Divestiture,0,COLUMN()),INDEX(MO_CFSum_Dividend,0,COLUMN()))-SUM(Q811,R811,S811,T811,Q812,R812,S812,T812,Q813,R813,S813,T813)-SUM(Q809,R809,S809,T809),6)</f>
        <v>0</v>
      </c>
      <c r="V1082" s="1007"/>
      <c r="W1082" s="1007"/>
      <c r="X1082" s="1007"/>
      <c r="Y1082" s="1007"/>
      <c r="Z1082" s="1007">
        <f>ROUND(SUM(INDEX(MO_CFSum_Acquisition,0,COLUMN()),INDEX(MO_CFSum_Capex,0,COLUMN()),INDEX(MO_CFSum_Divestiture,0,COLUMN()),INDEX(MO_CFSum_Dividend,0,COLUMN()))-SUM(V811,W811,X811,Y811,V812,W812,X812,Y812,V813,W813,X813,Y813)-SUM(V809,W809,X809,Y809),6)</f>
        <v>0</v>
      </c>
      <c r="AA1082" s="1007"/>
      <c r="AB1082" s="1007"/>
      <c r="AC1082" s="1007"/>
      <c r="AD1082" s="1007"/>
      <c r="AE1082" s="1007">
        <f>ROUND(SUM(INDEX(MO_CFSum_Acquisition,0,COLUMN()),INDEX(MO_CFSum_Capex,0,COLUMN()),INDEX(MO_CFSum_Divestiture,0,COLUMN()),INDEX(MO_CFSum_Dividend,0,COLUMN()))-SUM(AA811,AB811,AC811,AD811,AA812,AB812,AC812,AD812,AA813,AB813,AC813,AD813)-SUM(AA809,AB809,AC809,AD809),6)</f>
        <v>0</v>
      </c>
      <c r="AF1082" s="1007"/>
      <c r="AG1082" s="1007"/>
      <c r="AH1082" s="1007"/>
      <c r="AI1082" s="1007"/>
      <c r="AJ1082" s="1007">
        <f>ROUND(SUM(INDEX(MO_CFSum_Acquisition,0,COLUMN()),INDEX(MO_CFSum_Capex,0,COLUMN()),INDEX(MO_CFSum_Divestiture,0,COLUMN()),INDEX(MO_CFSum_Dividend,0,COLUMN()))-SUM(AF811,AG811,AH811,AI811,AF812,AG812,AH812,AI812,AF813,AG813,AH813,AI813)-SUM(AF809,AG809,AH809,AI809),6)</f>
        <v>0</v>
      </c>
      <c r="AK1082" s="1007"/>
      <c r="AL1082" s="1007"/>
      <c r="AM1082" s="1007"/>
      <c r="AN1082" s="1007"/>
      <c r="AO1082" s="1007">
        <f>ROUND(SUM(INDEX(MO_CFSum_Acquisition,0,COLUMN()),INDEX(MO_CFSum_Capex,0,COLUMN()),INDEX(MO_CFSum_Divestiture,0,COLUMN()),INDEX(MO_CFSum_Dividend,0,COLUMN()))-SUM(AK811,AL811,AM811,AN811,AK812,AL812,AM812,AN812,AK813,AL813,AM813,AN813)-SUM(AK809,AL809,AM809,AN809),6)</f>
        <v>0</v>
      </c>
      <c r="AP1082" s="1007"/>
      <c r="AQ1082" s="1007"/>
      <c r="AR1082" s="1007"/>
      <c r="AS1082" s="1007"/>
      <c r="AT1082" s="1007">
        <f>ROUND(SUM(INDEX(MO_CFSum_Acquisition,0,COLUMN()),INDEX(MO_CFSum_Capex,0,COLUMN()),INDEX(MO_CFSum_Divestiture,0,COLUMN()),INDEX(MO_CFSum_Dividend,0,COLUMN()))-SUM(AP811,AQ811,AR811,AS811,AP812,AQ812,AR812,AS812,AP813,AQ813,AR813,AS813)-SUM(AP809,AQ809,AR809,AS809),6)</f>
        <v>0</v>
      </c>
      <c r="AU1082" s="1007"/>
      <c r="AV1082" s="1007"/>
      <c r="AW1082" s="1008"/>
      <c r="AX1082" s="1007"/>
      <c r="AY1082" s="1007"/>
      <c r="AZ1082" s="1007"/>
      <c r="BA1082" s="1007"/>
      <c r="BB1082" s="1007"/>
      <c r="BC1082" s="1007"/>
      <c r="BD1082" s="1007"/>
      <c r="BE1082" s="1007"/>
      <c r="BF1082" s="1007"/>
      <c r="BG1082" s="1007"/>
      <c r="BH1082" s="728"/>
    </row>
    <row r="1083" spans="1:60" s="40" customFormat="1" x14ac:dyDescent="0.25">
      <c r="A1083" s="957"/>
      <c r="B1083" s="957"/>
      <c r="C1083" s="991"/>
      <c r="D1083" s="991"/>
      <c r="E1083" s="991"/>
      <c r="F1083" s="991"/>
      <c r="G1083" s="991"/>
      <c r="H1083" s="991"/>
      <c r="I1083" s="991"/>
      <c r="J1083" s="991"/>
      <c r="K1083" s="991"/>
      <c r="L1083" s="991"/>
      <c r="M1083" s="991"/>
      <c r="N1083" s="991"/>
      <c r="O1083" s="991"/>
      <c r="P1083" s="991"/>
      <c r="Q1083" s="991"/>
      <c r="R1083" s="991"/>
      <c r="S1083" s="991"/>
      <c r="T1083" s="991"/>
      <c r="U1083" s="991"/>
      <c r="V1083" s="991"/>
      <c r="W1083" s="991"/>
      <c r="X1083" s="991"/>
      <c r="Y1083" s="991"/>
      <c r="Z1083" s="991"/>
      <c r="AA1083" s="991"/>
      <c r="AB1083" s="991"/>
      <c r="AC1083" s="991"/>
      <c r="AD1083" s="991"/>
      <c r="AE1083" s="991"/>
      <c r="AF1083" s="991"/>
      <c r="AG1083" s="991"/>
      <c r="AH1083" s="991"/>
      <c r="AI1083" s="991"/>
      <c r="AJ1083" s="991"/>
      <c r="AK1083" s="991"/>
      <c r="AL1083" s="991"/>
      <c r="AM1083" s="991"/>
      <c r="AN1083" s="991"/>
      <c r="AO1083" s="991"/>
      <c r="AP1083" s="991"/>
      <c r="AQ1083" s="991"/>
      <c r="AR1083" s="991"/>
      <c r="AS1083" s="991"/>
      <c r="AT1083" s="991"/>
      <c r="AU1083" s="991"/>
      <c r="AV1083" s="991"/>
      <c r="AW1083" s="992"/>
      <c r="AX1083" s="991"/>
      <c r="AY1083" s="991"/>
      <c r="AZ1083" s="991"/>
      <c r="BA1083" s="991"/>
      <c r="BB1083" s="991"/>
      <c r="BC1083" s="991"/>
      <c r="BD1083" s="991"/>
      <c r="BE1083" s="991"/>
      <c r="BF1083" s="991"/>
      <c r="BG1083" s="991"/>
      <c r="BH1083" s="728"/>
    </row>
    <row r="1084" spans="1:60" s="19" customFormat="1" x14ac:dyDescent="0.25">
      <c r="A1084" s="959" t="s">
        <v>389</v>
      </c>
      <c r="B1084" s="959"/>
      <c r="C1084" s="959"/>
      <c r="D1084" s="959"/>
      <c r="E1084" s="959"/>
      <c r="F1084" s="959"/>
      <c r="G1084" s="959"/>
      <c r="H1084" s="959"/>
      <c r="I1084" s="959"/>
      <c r="J1084" s="959"/>
      <c r="K1084" s="959"/>
      <c r="L1084" s="959"/>
      <c r="M1084" s="959"/>
      <c r="N1084" s="959"/>
      <c r="O1084" s="959"/>
      <c r="P1084" s="959"/>
      <c r="Q1084" s="959"/>
      <c r="R1084" s="959"/>
      <c r="S1084" s="959"/>
      <c r="T1084" s="959"/>
      <c r="U1084" s="959"/>
      <c r="V1084" s="959"/>
      <c r="W1084" s="959"/>
      <c r="X1084" s="959"/>
      <c r="Y1084" s="959"/>
      <c r="Z1084" s="959"/>
      <c r="AA1084" s="959"/>
      <c r="AB1084" s="959"/>
      <c r="AC1084" s="959"/>
      <c r="AD1084" s="959"/>
      <c r="AE1084" s="959"/>
      <c r="AF1084" s="959"/>
      <c r="AG1084" s="959"/>
      <c r="AH1084" s="959"/>
      <c r="AI1084" s="959"/>
      <c r="AJ1084" s="959"/>
      <c r="AK1084" s="959"/>
      <c r="AL1084" s="959"/>
      <c r="AM1084" s="959"/>
      <c r="AN1084" s="959"/>
      <c r="AO1084" s="959"/>
      <c r="AP1084" s="959"/>
      <c r="AQ1084" s="959"/>
      <c r="AR1084" s="959"/>
      <c r="AS1084" s="959"/>
      <c r="AT1084" s="959"/>
      <c r="AU1084" s="959"/>
      <c r="AV1084" s="959"/>
      <c r="AW1084" s="960"/>
      <c r="AX1084" s="959"/>
      <c r="AY1084" s="959"/>
      <c r="AZ1084" s="959"/>
      <c r="BA1084" s="959"/>
      <c r="BB1084" s="959"/>
      <c r="BC1084" s="959"/>
      <c r="BD1084" s="959"/>
      <c r="BE1084" s="959"/>
      <c r="BF1084" s="959"/>
      <c r="BG1084" s="959"/>
      <c r="BH1084" s="730"/>
    </row>
    <row r="1085" spans="1:60" s="40" customFormat="1" x14ac:dyDescent="0.25">
      <c r="A1085" s="413"/>
      <c r="B1085" s="957"/>
      <c r="C1085" s="187"/>
      <c r="D1085" s="187"/>
      <c r="E1085" s="957"/>
      <c r="F1085" s="957"/>
      <c r="G1085" s="957"/>
      <c r="H1085" s="957"/>
      <c r="I1085" s="957"/>
      <c r="J1085" s="957"/>
      <c r="K1085" s="957"/>
      <c r="L1085" s="957"/>
      <c r="M1085" s="957"/>
      <c r="N1085" s="957"/>
      <c r="O1085" s="957"/>
      <c r="P1085" s="957"/>
      <c r="Q1085" s="957"/>
      <c r="R1085" s="957"/>
      <c r="S1085" s="957"/>
      <c r="T1085" s="957"/>
      <c r="U1085" s="957"/>
      <c r="V1085" s="957"/>
      <c r="W1085" s="957"/>
      <c r="X1085" s="957"/>
      <c r="Y1085" s="957"/>
      <c r="Z1085" s="957"/>
      <c r="AA1085" s="957"/>
      <c r="AB1085" s="957"/>
      <c r="AC1085" s="957"/>
      <c r="AD1085" s="957"/>
      <c r="AE1085" s="957"/>
      <c r="AF1085" s="957"/>
      <c r="AG1085" s="957"/>
      <c r="AH1085" s="957"/>
      <c r="AI1085" s="957"/>
      <c r="AJ1085" s="957"/>
      <c r="AK1085" s="957"/>
      <c r="AL1085" s="957"/>
      <c r="AM1085" s="957"/>
      <c r="AN1085" s="957"/>
      <c r="AO1085" s="957"/>
      <c r="AP1085" s="957"/>
      <c r="AQ1085" s="957"/>
      <c r="AR1085" s="957"/>
      <c r="AS1085" s="957"/>
      <c r="AT1085" s="957"/>
      <c r="AU1085" s="957"/>
      <c r="AV1085" s="957"/>
      <c r="AW1085" s="958"/>
      <c r="AX1085" s="957"/>
      <c r="AY1085" s="957"/>
      <c r="AZ1085" s="957"/>
      <c r="BA1085" s="957"/>
      <c r="BB1085" s="957"/>
      <c r="BC1085" s="957"/>
      <c r="BD1085" s="957"/>
      <c r="BE1085" s="957"/>
      <c r="BF1085" s="957"/>
      <c r="BG1085" s="957"/>
      <c r="BH1085" s="728"/>
    </row>
    <row r="1086" spans="1:60" s="52" customFormat="1" x14ac:dyDescent="0.25">
      <c r="A1086" s="547" t="s">
        <v>390</v>
      </c>
      <c r="B1086" s="114"/>
      <c r="C1086" s="823"/>
      <c r="D1086" s="823"/>
      <c r="E1086" s="114"/>
      <c r="F1086" s="114"/>
      <c r="G1086" s="114"/>
      <c r="H1086" s="114"/>
      <c r="I1086" s="114"/>
      <c r="J1086" s="114"/>
      <c r="K1086" s="114"/>
      <c r="L1086" s="114"/>
      <c r="M1086" s="114"/>
      <c r="N1086" s="114"/>
      <c r="O1086" s="114"/>
      <c r="P1086" s="114"/>
      <c r="Q1086" s="114"/>
      <c r="R1086" s="114"/>
      <c r="S1086" s="114"/>
      <c r="T1086" s="114"/>
      <c r="U1086" s="114"/>
      <c r="V1086" s="114"/>
      <c r="W1086" s="114"/>
      <c r="X1086" s="114"/>
      <c r="Y1086" s="114"/>
      <c r="Z1086" s="114"/>
      <c r="AA1086" s="114"/>
      <c r="AB1086" s="114"/>
      <c r="AC1086" s="114"/>
      <c r="AD1086" s="114"/>
      <c r="AE1086" s="114"/>
      <c r="AF1086" s="114"/>
      <c r="AG1086" s="114"/>
      <c r="AH1086" s="114"/>
      <c r="AI1086" s="114"/>
      <c r="AJ1086" s="114"/>
      <c r="AK1086" s="114"/>
      <c r="AL1086" s="114"/>
      <c r="AM1086" s="114"/>
      <c r="AN1086" s="114"/>
      <c r="AO1086" s="114"/>
      <c r="AP1086" s="114"/>
      <c r="AQ1086" s="114"/>
      <c r="AR1086" s="114"/>
      <c r="AS1086" s="114"/>
      <c r="AT1086" s="114"/>
      <c r="AU1086" s="114"/>
      <c r="AV1086" s="114"/>
      <c r="AW1086" s="765"/>
      <c r="AX1086" s="114"/>
      <c r="AY1086" s="114"/>
      <c r="AZ1086" s="114"/>
      <c r="BA1086" s="114"/>
      <c r="BB1086" s="114"/>
      <c r="BC1086" s="114"/>
      <c r="BD1086" s="114"/>
      <c r="BE1086" s="114"/>
      <c r="BF1086" s="114"/>
      <c r="BG1086" s="114"/>
      <c r="BH1086" s="499"/>
    </row>
    <row r="1087" spans="1:60" s="49" customFormat="1" x14ac:dyDescent="0.25">
      <c r="A1087" s="548" t="s">
        <v>391</v>
      </c>
      <c r="B1087" s="113"/>
      <c r="C1087" s="824"/>
      <c r="D1087" s="824"/>
      <c r="E1087" s="113"/>
      <c r="F1087" s="113"/>
      <c r="G1087" s="113"/>
      <c r="H1087" s="113"/>
      <c r="I1087" s="113"/>
      <c r="J1087" s="113"/>
      <c r="K1087" s="113"/>
      <c r="L1087" s="113"/>
      <c r="M1087" s="113"/>
      <c r="N1087" s="113"/>
      <c r="O1087" s="113"/>
      <c r="P1087" s="113"/>
      <c r="Q1087" s="113"/>
      <c r="R1087" s="113"/>
      <c r="S1087" s="113"/>
      <c r="T1087" s="113"/>
      <c r="U1087" s="113"/>
      <c r="V1087" s="113"/>
      <c r="W1087" s="113"/>
      <c r="X1087" s="113"/>
      <c r="Y1087" s="113"/>
      <c r="Z1087" s="113"/>
      <c r="AA1087" s="113"/>
      <c r="AB1087" s="113"/>
      <c r="AC1087" s="113"/>
      <c r="AD1087" s="113"/>
      <c r="AE1087" s="113"/>
      <c r="AF1087" s="113"/>
      <c r="AG1087" s="113"/>
      <c r="AH1087" s="113"/>
      <c r="AI1087" s="113"/>
      <c r="AJ1087" s="113"/>
      <c r="AK1087" s="113"/>
      <c r="AL1087" s="113"/>
      <c r="AM1087" s="113"/>
      <c r="AN1087" s="113"/>
      <c r="AO1087" s="113"/>
      <c r="AP1087" s="113"/>
      <c r="AQ1087" s="113"/>
      <c r="AR1087" s="113"/>
      <c r="AS1087" s="113"/>
      <c r="AT1087" s="113"/>
      <c r="AU1087" s="113"/>
      <c r="AV1087" s="113"/>
      <c r="AW1087" s="699"/>
      <c r="AX1087" s="113"/>
      <c r="AY1087" s="113"/>
      <c r="AZ1087" s="113"/>
      <c r="BA1087" s="113"/>
      <c r="BB1087" s="113"/>
      <c r="BC1087" s="113"/>
      <c r="BD1087" s="113"/>
      <c r="BE1087" s="113"/>
      <c r="BF1087" s="113"/>
      <c r="BG1087" s="113"/>
      <c r="BH1087" s="484"/>
    </row>
    <row r="1088" spans="1:60" s="49" customFormat="1" x14ac:dyDescent="0.25">
      <c r="A1088" s="549" t="s">
        <v>392</v>
      </c>
      <c r="B1088" s="113"/>
      <c r="C1088" s="824"/>
      <c r="D1088" s="824"/>
      <c r="E1088" s="113"/>
      <c r="F1088" s="113"/>
      <c r="G1088" s="113"/>
      <c r="H1088" s="113"/>
      <c r="I1088" s="113"/>
      <c r="J1088" s="113"/>
      <c r="K1088" s="113"/>
      <c r="L1088" s="113"/>
      <c r="M1088" s="113"/>
      <c r="N1088" s="113"/>
      <c r="O1088" s="113"/>
      <c r="P1088" s="113"/>
      <c r="Q1088" s="113"/>
      <c r="R1088" s="113"/>
      <c r="S1088" s="113"/>
      <c r="T1088" s="113"/>
      <c r="U1088" s="113"/>
      <c r="V1088" s="113"/>
      <c r="W1088" s="113"/>
      <c r="X1088" s="113"/>
      <c r="Y1088" s="113"/>
      <c r="Z1088" s="113"/>
      <c r="AA1088" s="113"/>
      <c r="AB1088" s="113"/>
      <c r="AC1088" s="113"/>
      <c r="AD1088" s="113"/>
      <c r="AE1088" s="113"/>
      <c r="AF1088" s="113"/>
      <c r="AG1088" s="113"/>
      <c r="AH1088" s="113"/>
      <c r="AI1088" s="113"/>
      <c r="AJ1088" s="113"/>
      <c r="AK1088" s="113"/>
      <c r="AL1088" s="113"/>
      <c r="AM1088" s="113"/>
      <c r="AN1088" s="113"/>
      <c r="AO1088" s="113"/>
      <c r="AP1088" s="113"/>
      <c r="AQ1088" s="113"/>
      <c r="AR1088" s="113"/>
      <c r="AS1088" s="113"/>
      <c r="AT1088" s="113"/>
      <c r="AU1088" s="113"/>
      <c r="AV1088" s="113"/>
      <c r="AW1088" s="699"/>
      <c r="AX1088" s="113"/>
      <c r="AY1088" s="113"/>
      <c r="AZ1088" s="113"/>
      <c r="BA1088" s="113"/>
      <c r="BB1088" s="113"/>
      <c r="BC1088" s="113"/>
      <c r="BD1088" s="113"/>
      <c r="BE1088" s="113"/>
      <c r="BF1088" s="113"/>
      <c r="BG1088" s="113"/>
      <c r="BH1088" s="484"/>
    </row>
    <row r="1089" spans="1:60" s="49" customFormat="1" x14ac:dyDescent="0.25">
      <c r="A1089" s="550" t="s">
        <v>393</v>
      </c>
      <c r="B1089" s="113"/>
      <c r="C1089" s="824"/>
      <c r="D1089" s="824"/>
      <c r="E1089" s="113"/>
      <c r="F1089" s="113"/>
      <c r="G1089" s="113"/>
      <c r="H1089" s="113"/>
      <c r="I1089" s="113"/>
      <c r="J1089" s="113"/>
      <c r="K1089" s="113"/>
      <c r="L1089" s="113"/>
      <c r="M1089" s="113"/>
      <c r="N1089" s="113"/>
      <c r="O1089" s="113"/>
      <c r="P1089" s="113"/>
      <c r="Q1089" s="113"/>
      <c r="R1089" s="113"/>
      <c r="S1089" s="113"/>
      <c r="T1089" s="113"/>
      <c r="U1089" s="113"/>
      <c r="V1089" s="113"/>
      <c r="W1089" s="113"/>
      <c r="X1089" s="113"/>
      <c r="Y1089" s="113"/>
      <c r="Z1089" s="113"/>
      <c r="AA1089" s="113"/>
      <c r="AB1089" s="113"/>
      <c r="AC1089" s="113"/>
      <c r="AD1089" s="113"/>
      <c r="AE1089" s="113"/>
      <c r="AF1089" s="113"/>
      <c r="AG1089" s="113"/>
      <c r="AH1089" s="113"/>
      <c r="AI1089" s="113"/>
      <c r="AJ1089" s="113"/>
      <c r="AK1089" s="113"/>
      <c r="AL1089" s="113"/>
      <c r="AM1089" s="113"/>
      <c r="AN1089" s="113"/>
      <c r="AO1089" s="113"/>
      <c r="AP1089" s="113"/>
      <c r="AQ1089" s="113"/>
      <c r="AR1089" s="113"/>
      <c r="AS1089" s="113"/>
      <c r="AT1089" s="113"/>
      <c r="AU1089" s="113"/>
      <c r="AV1089" s="113"/>
      <c r="AW1089" s="699"/>
      <c r="AX1089" s="113"/>
      <c r="AY1089" s="113"/>
      <c r="AZ1089" s="113"/>
      <c r="BA1089" s="113"/>
      <c r="BB1089" s="113"/>
      <c r="BC1089" s="113"/>
      <c r="BD1089" s="113"/>
      <c r="BE1089" s="113"/>
      <c r="BF1089" s="113"/>
      <c r="BG1089" s="113"/>
      <c r="BH1089" s="484"/>
    </row>
    <row r="1090" spans="1:60" s="49" customFormat="1" x14ac:dyDescent="0.25">
      <c r="A1090" s="662" t="s">
        <v>394</v>
      </c>
      <c r="B1090" s="113"/>
      <c r="C1090" s="824"/>
      <c r="D1090" s="824"/>
      <c r="E1090" s="113"/>
      <c r="F1090" s="113"/>
      <c r="G1090" s="113"/>
      <c r="H1090" s="113"/>
      <c r="I1090" s="113"/>
      <c r="J1090" s="113"/>
      <c r="K1090" s="113"/>
      <c r="L1090" s="113"/>
      <c r="M1090" s="113"/>
      <c r="N1090" s="113"/>
      <c r="O1090" s="113"/>
      <c r="P1090" s="113"/>
      <c r="Q1090" s="113"/>
      <c r="R1090" s="113"/>
      <c r="S1090" s="113"/>
      <c r="T1090" s="113"/>
      <c r="U1090" s="113"/>
      <c r="V1090" s="113"/>
      <c r="W1090" s="113"/>
      <c r="X1090" s="113"/>
      <c r="Y1090" s="113"/>
      <c r="Z1090" s="113"/>
      <c r="AA1090" s="113"/>
      <c r="AB1090" s="113"/>
      <c r="AC1090" s="113"/>
      <c r="AD1090" s="113"/>
      <c r="AE1090" s="113"/>
      <c r="AF1090" s="113"/>
      <c r="AG1090" s="113"/>
      <c r="AH1090" s="113"/>
      <c r="AI1090" s="113"/>
      <c r="AJ1090" s="113"/>
      <c r="AK1090" s="113"/>
      <c r="AL1090" s="113"/>
      <c r="AM1090" s="113"/>
      <c r="AN1090" s="113"/>
      <c r="AO1090" s="113"/>
      <c r="AP1090" s="113"/>
      <c r="AQ1090" s="113"/>
      <c r="AR1090" s="113"/>
      <c r="AS1090" s="113"/>
      <c r="AT1090" s="113"/>
      <c r="AU1090" s="113"/>
      <c r="AV1090" s="113"/>
      <c r="AW1090" s="699"/>
      <c r="AX1090" s="113"/>
      <c r="AY1090" s="113"/>
      <c r="AZ1090" s="113"/>
      <c r="BA1090" s="113"/>
      <c r="BB1090" s="113"/>
      <c r="BC1090" s="113"/>
      <c r="BD1090" s="113"/>
      <c r="BE1090" s="113"/>
      <c r="BF1090" s="113"/>
      <c r="BG1090" s="113"/>
      <c r="BH1090" s="484"/>
    </row>
    <row r="1091" spans="1:60" s="49" customFormat="1" x14ac:dyDescent="0.25">
      <c r="A1091" s="413"/>
      <c r="B1091" s="113"/>
      <c r="C1091" s="824"/>
      <c r="D1091" s="824"/>
      <c r="E1091" s="113"/>
      <c r="F1091" s="113"/>
      <c r="G1091" s="113"/>
      <c r="H1091" s="113"/>
      <c r="I1091" s="113"/>
      <c r="J1091" s="113"/>
      <c r="K1091" s="113"/>
      <c r="L1091" s="113"/>
      <c r="M1091" s="113"/>
      <c r="N1091" s="113"/>
      <c r="O1091" s="113"/>
      <c r="P1091" s="113"/>
      <c r="Q1091" s="113"/>
      <c r="R1091" s="113"/>
      <c r="S1091" s="113"/>
      <c r="T1091" s="113"/>
      <c r="U1091" s="113"/>
      <c r="V1091" s="113"/>
      <c r="W1091" s="113"/>
      <c r="X1091" s="113"/>
      <c r="Y1091" s="113"/>
      <c r="Z1091" s="113"/>
      <c r="AA1091" s="113"/>
      <c r="AB1091" s="113"/>
      <c r="AC1091" s="113"/>
      <c r="AD1091" s="113"/>
      <c r="AE1091" s="113"/>
      <c r="AF1091" s="113"/>
      <c r="AG1091" s="113"/>
      <c r="AH1091" s="113"/>
      <c r="AI1091" s="113"/>
      <c r="AJ1091" s="113"/>
      <c r="AK1091" s="113"/>
      <c r="AL1091" s="113"/>
      <c r="AM1091" s="113"/>
      <c r="AN1091" s="113"/>
      <c r="AO1091" s="113"/>
      <c r="AP1091" s="113"/>
      <c r="AQ1091" s="113"/>
      <c r="AR1091" s="113"/>
      <c r="AS1091" s="113"/>
      <c r="AT1091" s="113"/>
      <c r="AU1091" s="113"/>
      <c r="AV1091" s="113"/>
      <c r="AW1091" s="699"/>
      <c r="AX1091" s="113"/>
      <c r="AY1091" s="113"/>
      <c r="AZ1091" s="113"/>
      <c r="BA1091" s="113"/>
      <c r="BB1091" s="113"/>
      <c r="BC1091" s="113"/>
      <c r="BD1091" s="113"/>
      <c r="BE1091" s="113"/>
      <c r="BF1091" s="113"/>
      <c r="BG1091" s="113"/>
      <c r="BH1091" s="484"/>
    </row>
    <row r="1092" spans="1:60" s="81" customFormat="1" x14ac:dyDescent="0.25">
      <c r="A1092" s="554" t="s">
        <v>395</v>
      </c>
      <c r="B1092" s="551"/>
      <c r="C1092" s="825"/>
      <c r="D1092" s="825"/>
      <c r="E1092" s="825"/>
      <c r="F1092" s="825"/>
      <c r="G1092" s="825"/>
      <c r="H1092" s="825"/>
      <c r="I1092" s="825"/>
      <c r="J1092" s="825"/>
      <c r="K1092" s="825"/>
      <c r="L1092" s="825"/>
      <c r="M1092" s="825"/>
      <c r="N1092" s="825"/>
      <c r="O1092" s="825"/>
      <c r="P1092" s="825"/>
      <c r="Q1092" s="825"/>
      <c r="R1092" s="825"/>
      <c r="S1092" s="825"/>
      <c r="T1092" s="825"/>
      <c r="U1092" s="825"/>
      <c r="V1092" s="825"/>
      <c r="W1092" s="825"/>
      <c r="X1092" s="825"/>
      <c r="Y1092" s="825"/>
      <c r="Z1092" s="825"/>
      <c r="AA1092" s="825"/>
      <c r="AB1092" s="825"/>
      <c r="AC1092" s="825"/>
      <c r="AD1092" s="825"/>
      <c r="AE1092" s="825"/>
      <c r="AF1092" s="825"/>
      <c r="AG1092" s="825"/>
      <c r="AH1092" s="825"/>
      <c r="AI1092" s="825"/>
      <c r="AJ1092" s="825"/>
      <c r="AK1092" s="825"/>
      <c r="AL1092" s="825"/>
      <c r="AM1092" s="825"/>
      <c r="AN1092" s="825"/>
      <c r="AO1092" s="825"/>
      <c r="AP1092" s="825"/>
      <c r="AQ1092" s="825"/>
      <c r="AR1092" s="825"/>
      <c r="AS1092" s="825"/>
      <c r="AT1092" s="825"/>
      <c r="AU1092" s="825"/>
      <c r="AV1092" s="825"/>
      <c r="AW1092" s="826"/>
      <c r="AX1092" s="825"/>
      <c r="AY1092" s="825"/>
      <c r="AZ1092" s="825"/>
      <c r="BA1092" s="825"/>
      <c r="BB1092" s="825"/>
      <c r="BC1092" s="825"/>
      <c r="BD1092" s="825"/>
      <c r="BE1092" s="825"/>
      <c r="BF1092" s="825"/>
      <c r="BG1092" s="825"/>
      <c r="BH1092" s="290"/>
    </row>
    <row r="1093" spans="1:60" s="49" customFormat="1" x14ac:dyDescent="0.25">
      <c r="A1093" s="545" t="s">
        <v>396</v>
      </c>
      <c r="B1093" s="552">
        <v>1</v>
      </c>
      <c r="C1093" s="113"/>
      <c r="D1093" s="824"/>
      <c r="E1093" s="113"/>
      <c r="F1093" s="113"/>
      <c r="G1093" s="113"/>
      <c r="H1093" s="113"/>
      <c r="I1093" s="113"/>
      <c r="J1093" s="113"/>
      <c r="K1093" s="113"/>
      <c r="L1093" s="113"/>
      <c r="M1093" s="113"/>
      <c r="N1093" s="113"/>
      <c r="O1093" s="113"/>
      <c r="P1093" s="113"/>
      <c r="Q1093" s="113"/>
      <c r="R1093" s="113"/>
      <c r="S1093" s="113"/>
      <c r="T1093" s="113"/>
      <c r="U1093" s="113"/>
      <c r="V1093" s="113"/>
      <c r="W1093" s="113"/>
      <c r="X1093" s="113"/>
      <c r="Y1093" s="113"/>
      <c r="Z1093" s="113"/>
      <c r="AA1093" s="113"/>
      <c r="AB1093" s="113"/>
      <c r="AC1093" s="113"/>
      <c r="AD1093" s="113"/>
      <c r="AE1093" s="113"/>
      <c r="AF1093" s="113"/>
      <c r="AG1093" s="113"/>
      <c r="AH1093" s="113"/>
      <c r="AI1093" s="113"/>
      <c r="AJ1093" s="113"/>
      <c r="AK1093" s="113"/>
      <c r="AL1093" s="113"/>
      <c r="AM1093" s="113"/>
      <c r="AN1093" s="113"/>
      <c r="AO1093" s="113"/>
      <c r="AP1093" s="113"/>
      <c r="AQ1093" s="113"/>
      <c r="AR1093" s="113"/>
      <c r="AS1093" s="113"/>
      <c r="AT1093" s="113"/>
      <c r="AU1093" s="113"/>
      <c r="AV1093" s="113"/>
      <c r="AW1093" s="699"/>
      <c r="AX1093" s="113"/>
      <c r="AY1093" s="113"/>
      <c r="AZ1093" s="113"/>
      <c r="BA1093" s="113"/>
      <c r="BB1093" s="113"/>
      <c r="BC1093" s="113"/>
      <c r="BD1093" s="113"/>
      <c r="BE1093" s="113"/>
      <c r="BF1093" s="113"/>
      <c r="BG1093" s="113"/>
      <c r="BH1093" s="484"/>
    </row>
    <row r="1094" spans="1:60" s="49" customFormat="1" x14ac:dyDescent="0.25">
      <c r="A1094" s="545" t="s">
        <v>397</v>
      </c>
      <c r="B1094" s="552">
        <v>2</v>
      </c>
      <c r="C1094" s="113"/>
      <c r="D1094" s="824"/>
      <c r="E1094" s="113"/>
      <c r="F1094" s="113"/>
      <c r="G1094" s="113"/>
      <c r="H1094" s="113"/>
      <c r="I1094" s="113"/>
      <c r="J1094" s="113"/>
      <c r="K1094" s="113"/>
      <c r="L1094" s="113"/>
      <c r="M1094" s="113"/>
      <c r="N1094" s="113"/>
      <c r="O1094" s="113"/>
      <c r="P1094" s="113"/>
      <c r="Q1094" s="113"/>
      <c r="R1094" s="113"/>
      <c r="S1094" s="113"/>
      <c r="T1094" s="113"/>
      <c r="U1094" s="113"/>
      <c r="V1094" s="113"/>
      <c r="W1094" s="113"/>
      <c r="X1094" s="113"/>
      <c r="Y1094" s="113"/>
      <c r="Z1094" s="113"/>
      <c r="AA1094" s="113"/>
      <c r="AB1094" s="113"/>
      <c r="AC1094" s="113"/>
      <c r="AD1094" s="113"/>
      <c r="AE1094" s="113"/>
      <c r="AF1094" s="113"/>
      <c r="AG1094" s="113"/>
      <c r="AH1094" s="113"/>
      <c r="AI1094" s="113"/>
      <c r="AJ1094" s="113"/>
      <c r="AK1094" s="113"/>
      <c r="AL1094" s="113"/>
      <c r="AM1094" s="113"/>
      <c r="AN1094" s="113"/>
      <c r="AO1094" s="113"/>
      <c r="AP1094" s="113"/>
      <c r="AQ1094" s="113"/>
      <c r="AR1094" s="113"/>
      <c r="AS1094" s="113"/>
      <c r="AT1094" s="113"/>
      <c r="AU1094" s="113"/>
      <c r="AV1094" s="113"/>
      <c r="AW1094" s="699"/>
      <c r="AX1094" s="113"/>
      <c r="AY1094" s="113"/>
      <c r="AZ1094" s="113"/>
      <c r="BA1094" s="113"/>
      <c r="BB1094" s="113"/>
      <c r="BC1094" s="113"/>
      <c r="BD1094" s="113"/>
      <c r="BE1094" s="113"/>
      <c r="BF1094" s="113"/>
      <c r="BG1094" s="113"/>
      <c r="BH1094" s="484"/>
    </row>
    <row r="1095" spans="1:60" s="49" customFormat="1" x14ac:dyDescent="0.25">
      <c r="A1095" s="546" t="s">
        <v>278</v>
      </c>
      <c r="B1095" s="553">
        <v>3</v>
      </c>
      <c r="C1095" s="113"/>
      <c r="D1095" s="824"/>
      <c r="E1095" s="113"/>
      <c r="F1095" s="113"/>
      <c r="G1095" s="113"/>
      <c r="H1095" s="113"/>
      <c r="I1095" s="113"/>
      <c r="J1095" s="113"/>
      <c r="K1095" s="113"/>
      <c r="L1095" s="113"/>
      <c r="M1095" s="113"/>
      <c r="N1095" s="113"/>
      <c r="O1095" s="113"/>
      <c r="P1095" s="113"/>
      <c r="Q1095" s="113"/>
      <c r="R1095" s="113"/>
      <c r="S1095" s="113"/>
      <c r="T1095" s="113"/>
      <c r="U1095" s="113"/>
      <c r="V1095" s="113"/>
      <c r="W1095" s="113"/>
      <c r="X1095" s="113"/>
      <c r="Y1095" s="113"/>
      <c r="Z1095" s="113"/>
      <c r="AA1095" s="113"/>
      <c r="AB1095" s="113"/>
      <c r="AC1095" s="113"/>
      <c r="AD1095" s="113"/>
      <c r="AE1095" s="113"/>
      <c r="AF1095" s="113"/>
      <c r="AG1095" s="113"/>
      <c r="AH1095" s="113"/>
      <c r="AI1095" s="113"/>
      <c r="AJ1095" s="113"/>
      <c r="AK1095" s="113"/>
      <c r="AL1095" s="113"/>
      <c r="AM1095" s="113"/>
      <c r="AN1095" s="113"/>
      <c r="AO1095" s="113"/>
      <c r="AP1095" s="113"/>
      <c r="AQ1095" s="113"/>
      <c r="AR1095" s="113"/>
      <c r="AS1095" s="113"/>
      <c r="AT1095" s="113"/>
      <c r="AU1095" s="113"/>
      <c r="AV1095" s="113"/>
      <c r="AW1095" s="699"/>
      <c r="AX1095" s="113"/>
      <c r="AY1095" s="113"/>
      <c r="AZ1095" s="113"/>
      <c r="BA1095" s="113"/>
      <c r="BB1095" s="113"/>
      <c r="BC1095" s="113"/>
      <c r="BD1095" s="113"/>
      <c r="BE1095" s="113"/>
      <c r="BF1095" s="113"/>
      <c r="BG1095" s="113"/>
      <c r="BH1095" s="484"/>
    </row>
    <row r="1096" spans="1:60" s="49" customFormat="1" x14ac:dyDescent="0.25">
      <c r="A1096" s="413"/>
      <c r="B1096" s="113"/>
      <c r="C1096" s="824"/>
      <c r="D1096" s="824"/>
      <c r="E1096" s="113"/>
      <c r="F1096" s="113"/>
      <c r="G1096" s="113"/>
      <c r="H1096" s="113"/>
      <c r="I1096" s="113"/>
      <c r="J1096" s="113"/>
      <c r="K1096" s="113"/>
      <c r="L1096" s="113"/>
      <c r="M1096" s="113"/>
      <c r="N1096" s="113"/>
      <c r="O1096" s="113"/>
      <c r="P1096" s="113"/>
      <c r="Q1096" s="113"/>
      <c r="R1096" s="113"/>
      <c r="S1096" s="113"/>
      <c r="T1096" s="113"/>
      <c r="U1096" s="113"/>
      <c r="V1096" s="113"/>
      <c r="W1096" s="113"/>
      <c r="X1096" s="113"/>
      <c r="Y1096" s="113"/>
      <c r="Z1096" s="113"/>
      <c r="AA1096" s="113"/>
      <c r="AB1096" s="113"/>
      <c r="AC1096" s="113"/>
      <c r="AD1096" s="113"/>
      <c r="AE1096" s="113"/>
      <c r="AF1096" s="113"/>
      <c r="AG1096" s="113"/>
      <c r="AH1096" s="113"/>
      <c r="AI1096" s="113"/>
      <c r="AJ1096" s="113"/>
      <c r="AK1096" s="113"/>
      <c r="AL1096" s="113"/>
      <c r="AM1096" s="113"/>
      <c r="AN1096" s="113"/>
      <c r="AO1096" s="113"/>
      <c r="AP1096" s="113"/>
      <c r="AQ1096" s="113"/>
      <c r="AR1096" s="113"/>
      <c r="AS1096" s="113"/>
      <c r="AT1096" s="113"/>
      <c r="AU1096" s="113"/>
      <c r="AV1096" s="113"/>
      <c r="AW1096" s="699"/>
      <c r="AX1096" s="113"/>
      <c r="AY1096" s="113"/>
      <c r="AZ1096" s="113"/>
      <c r="BA1096" s="113"/>
      <c r="BB1096" s="113"/>
      <c r="BC1096" s="113"/>
      <c r="BD1096" s="113"/>
      <c r="BE1096" s="113"/>
      <c r="BF1096" s="113"/>
      <c r="BG1096" s="113"/>
      <c r="BH1096" s="484"/>
    </row>
    <row r="1097" spans="1:60" s="49" customFormat="1" x14ac:dyDescent="0.25">
      <c r="A1097" s="594" t="s">
        <v>651</v>
      </c>
      <c r="B1097" s="113"/>
      <c r="C1097" s="824"/>
      <c r="D1097" s="824"/>
      <c r="E1097" s="113"/>
      <c r="F1097" s="113"/>
      <c r="G1097" s="113"/>
      <c r="H1097" s="113"/>
      <c r="I1097" s="113"/>
      <c r="J1097" s="113"/>
      <c r="K1097" s="113"/>
      <c r="L1097" s="113"/>
      <c r="M1097" s="113"/>
      <c r="N1097" s="113"/>
      <c r="O1097" s="113"/>
      <c r="P1097" s="113"/>
      <c r="Q1097" s="113"/>
      <c r="R1097" s="113"/>
      <c r="S1097" s="113"/>
      <c r="T1097" s="113"/>
      <c r="U1097" s="113"/>
      <c r="V1097" s="113"/>
      <c r="W1097" s="113"/>
      <c r="X1097" s="113"/>
      <c r="Y1097" s="113"/>
      <c r="Z1097" s="113"/>
      <c r="AA1097" s="113"/>
      <c r="AB1097" s="113"/>
      <c r="AC1097" s="113"/>
      <c r="AD1097" s="113"/>
      <c r="AE1097" s="113"/>
      <c r="AF1097" s="113"/>
      <c r="AG1097" s="113"/>
      <c r="AH1097" s="113"/>
      <c r="AI1097" s="113"/>
      <c r="AJ1097" s="113"/>
      <c r="AK1097" s="113"/>
      <c r="AL1097" s="113"/>
      <c r="AM1097" s="113"/>
      <c r="AN1097" s="113"/>
      <c r="AO1097" s="113"/>
      <c r="AP1097" s="113"/>
      <c r="AQ1097" s="113"/>
      <c r="AR1097" s="113"/>
      <c r="AS1097" s="113"/>
      <c r="AT1097" s="113"/>
      <c r="AU1097" s="113"/>
      <c r="AV1097" s="113"/>
      <c r="AW1097" s="699"/>
      <c r="AX1097" s="113"/>
      <c r="AY1097" s="113"/>
      <c r="AZ1097" s="113"/>
      <c r="BA1097" s="113"/>
      <c r="BB1097" s="113"/>
      <c r="BC1097" s="113"/>
      <c r="BD1097" s="113"/>
      <c r="BE1097" s="113"/>
      <c r="BF1097" s="113"/>
      <c r="BG1097" s="113"/>
      <c r="BH1097" s="484"/>
    </row>
    <row r="1098" spans="1:60" s="49" customFormat="1" x14ac:dyDescent="0.25">
      <c r="A1098" s="595" t="str">
        <f>MO_RIS_REV</f>
        <v>Net Revenue</v>
      </c>
      <c r="B1098" s="113"/>
      <c r="C1098" s="824"/>
      <c r="D1098" s="824"/>
      <c r="E1098" s="113"/>
      <c r="F1098" s="113"/>
      <c r="G1098" s="113"/>
      <c r="H1098" s="113"/>
      <c r="I1098" s="113"/>
      <c r="J1098" s="113"/>
      <c r="K1098" s="113"/>
      <c r="L1098" s="113"/>
      <c r="M1098" s="113"/>
      <c r="N1098" s="113"/>
      <c r="O1098" s="113"/>
      <c r="P1098" s="113"/>
      <c r="Q1098" s="113"/>
      <c r="R1098" s="113"/>
      <c r="S1098" s="113"/>
      <c r="T1098" s="113"/>
      <c r="U1098" s="113"/>
      <c r="V1098" s="113"/>
      <c r="W1098" s="113"/>
      <c r="X1098" s="113"/>
      <c r="Y1098" s="113"/>
      <c r="Z1098" s="113"/>
      <c r="AA1098" s="113"/>
      <c r="AB1098" s="113"/>
      <c r="AC1098" s="113"/>
      <c r="AD1098" s="113"/>
      <c r="AE1098" s="113"/>
      <c r="AF1098" s="113"/>
      <c r="AG1098" s="113"/>
      <c r="AH1098" s="113"/>
      <c r="AI1098" s="113"/>
      <c r="AJ1098" s="113"/>
      <c r="AK1098" s="113"/>
      <c r="AL1098" s="113"/>
      <c r="AM1098" s="113"/>
      <c r="AN1098" s="113"/>
      <c r="AO1098" s="113"/>
      <c r="AP1098" s="113"/>
      <c r="AQ1098" s="113"/>
      <c r="AR1098" s="113"/>
      <c r="AS1098" s="113"/>
      <c r="AT1098" s="113"/>
      <c r="AU1098" s="113"/>
      <c r="AV1098" s="113"/>
      <c r="AW1098" s="699"/>
      <c r="AX1098" s="113"/>
      <c r="AY1098" s="113"/>
      <c r="AZ1098" s="113"/>
      <c r="BA1098" s="113"/>
      <c r="BB1098" s="113"/>
      <c r="BC1098" s="113"/>
      <c r="BD1098" s="113"/>
      <c r="BE1098" s="113"/>
      <c r="BF1098" s="113"/>
      <c r="BG1098" s="113"/>
      <c r="BH1098" s="484"/>
    </row>
    <row r="1099" spans="1:60" s="49" customFormat="1" x14ac:dyDescent="0.25">
      <c r="A1099" s="595" t="str">
        <f>MO_RIS_EBITDA_Adj</f>
        <v>Adjusted EBITDA</v>
      </c>
      <c r="B1099" s="113"/>
      <c r="C1099" s="824"/>
      <c r="D1099" s="824"/>
      <c r="E1099" s="113"/>
      <c r="F1099" s="113"/>
      <c r="G1099" s="113"/>
      <c r="H1099" s="113"/>
      <c r="I1099" s="113"/>
      <c r="J1099" s="113"/>
      <c r="K1099" s="113"/>
      <c r="L1099" s="113"/>
      <c r="M1099" s="113"/>
      <c r="N1099" s="113"/>
      <c r="O1099" s="113"/>
      <c r="P1099" s="113"/>
      <c r="Q1099" s="113"/>
      <c r="R1099" s="113"/>
      <c r="S1099" s="113"/>
      <c r="T1099" s="113"/>
      <c r="U1099" s="113"/>
      <c r="V1099" s="113"/>
      <c r="W1099" s="113"/>
      <c r="X1099" s="113"/>
      <c r="Y1099" s="113"/>
      <c r="Z1099" s="113"/>
      <c r="AA1099" s="113"/>
      <c r="AB1099" s="113"/>
      <c r="AC1099" s="113"/>
      <c r="AD1099" s="113"/>
      <c r="AE1099" s="113"/>
      <c r="AF1099" s="113"/>
      <c r="AG1099" s="113"/>
      <c r="AH1099" s="113"/>
      <c r="AI1099" s="113"/>
      <c r="AJ1099" s="113"/>
      <c r="AK1099" s="113"/>
      <c r="AL1099" s="113"/>
      <c r="AM1099" s="113"/>
      <c r="AN1099" s="113"/>
      <c r="AO1099" s="113"/>
      <c r="AP1099" s="113"/>
      <c r="AQ1099" s="113"/>
      <c r="AR1099" s="113"/>
      <c r="AS1099" s="113"/>
      <c r="AT1099" s="113"/>
      <c r="AU1099" s="113"/>
      <c r="AV1099" s="113"/>
      <c r="AW1099" s="699"/>
      <c r="AX1099" s="113"/>
      <c r="AY1099" s="113"/>
      <c r="AZ1099" s="113"/>
      <c r="BA1099" s="113"/>
      <c r="BB1099" s="113"/>
      <c r="BC1099" s="113"/>
      <c r="BD1099" s="113"/>
      <c r="BE1099" s="113"/>
      <c r="BF1099" s="113"/>
      <c r="BG1099" s="113"/>
      <c r="BH1099" s="484"/>
    </row>
    <row r="1100" spans="1:60" s="49" customFormat="1" x14ac:dyDescent="0.25">
      <c r="A1100" s="595" t="str">
        <f>MO_RIS_EPS_WAD_Adj</f>
        <v>Adjusted Earnings Per Share - WAD</v>
      </c>
      <c r="B1100" s="113"/>
      <c r="C1100" s="824"/>
      <c r="D1100" s="824"/>
      <c r="E1100" s="113"/>
      <c r="F1100" s="113"/>
      <c r="G1100" s="113"/>
      <c r="H1100" s="113"/>
      <c r="I1100" s="113"/>
      <c r="J1100" s="113"/>
      <c r="K1100" s="113"/>
      <c r="L1100" s="113"/>
      <c r="M1100" s="113"/>
      <c r="N1100" s="113"/>
      <c r="O1100" s="113"/>
      <c r="P1100" s="113"/>
      <c r="Q1100" s="113"/>
      <c r="R1100" s="113"/>
      <c r="S1100" s="113"/>
      <c r="T1100" s="113"/>
      <c r="U1100" s="113"/>
      <c r="V1100" s="113"/>
      <c r="W1100" s="113"/>
      <c r="X1100" s="113"/>
      <c r="Y1100" s="113"/>
      <c r="Z1100" s="113"/>
      <c r="AA1100" s="113"/>
      <c r="AB1100" s="113"/>
      <c r="AC1100" s="113"/>
      <c r="AD1100" s="113"/>
      <c r="AE1100" s="113"/>
      <c r="AF1100" s="113"/>
      <c r="AG1100" s="113"/>
      <c r="AH1100" s="113"/>
      <c r="AI1100" s="113"/>
      <c r="AJ1100" s="113"/>
      <c r="AK1100" s="113"/>
      <c r="AL1100" s="113"/>
      <c r="AM1100" s="113"/>
      <c r="AN1100" s="113"/>
      <c r="AO1100" s="113"/>
      <c r="AP1100" s="113"/>
      <c r="AQ1100" s="113"/>
      <c r="AR1100" s="113"/>
      <c r="AS1100" s="113"/>
      <c r="AT1100" s="113"/>
      <c r="AU1100" s="113"/>
      <c r="AV1100" s="113"/>
      <c r="AW1100" s="699"/>
      <c r="AX1100" s="113"/>
      <c r="AY1100" s="113"/>
      <c r="AZ1100" s="113"/>
      <c r="BA1100" s="113"/>
      <c r="BB1100" s="113"/>
      <c r="BC1100" s="113"/>
      <c r="BD1100" s="113"/>
      <c r="BE1100" s="113"/>
      <c r="BF1100" s="113"/>
      <c r="BG1100" s="113"/>
      <c r="BH1100" s="484"/>
    </row>
    <row r="1101" spans="1:60" s="49" customFormat="1" x14ac:dyDescent="0.25">
      <c r="A1101" s="595" t="str">
        <f>MO_VA_EV_ToEBITDA</f>
        <v>EV/EBITDA - Avg</v>
      </c>
      <c r="B1101" s="113"/>
      <c r="C1101" s="824"/>
      <c r="D1101" s="824"/>
      <c r="E1101" s="113"/>
      <c r="F1101" s="113"/>
      <c r="G1101" s="113"/>
      <c r="H1101" s="113"/>
      <c r="I1101" s="113"/>
      <c r="J1101" s="113"/>
      <c r="K1101" s="113"/>
      <c r="L1101" s="113"/>
      <c r="M1101" s="113"/>
      <c r="N1101" s="113"/>
      <c r="O1101" s="113"/>
      <c r="P1101" s="113"/>
      <c r="Q1101" s="113"/>
      <c r="R1101" s="113"/>
      <c r="S1101" s="113"/>
      <c r="T1101" s="113"/>
      <c r="U1101" s="113"/>
      <c r="V1101" s="113"/>
      <c r="W1101" s="113"/>
      <c r="X1101" s="113"/>
      <c r="Y1101" s="113"/>
      <c r="Z1101" s="113"/>
      <c r="AA1101" s="113"/>
      <c r="AB1101" s="113"/>
      <c r="AC1101" s="113"/>
      <c r="AD1101" s="113"/>
      <c r="AE1101" s="113"/>
      <c r="AF1101" s="113"/>
      <c r="AG1101" s="113"/>
      <c r="AH1101" s="113"/>
      <c r="AI1101" s="113"/>
      <c r="AJ1101" s="113"/>
      <c r="AK1101" s="113"/>
      <c r="AL1101" s="113"/>
      <c r="AM1101" s="113"/>
      <c r="AN1101" s="113"/>
      <c r="AO1101" s="113"/>
      <c r="AP1101" s="113"/>
      <c r="AQ1101" s="113"/>
      <c r="AR1101" s="113"/>
      <c r="AS1101" s="113"/>
      <c r="AT1101" s="113"/>
      <c r="AU1101" s="113"/>
      <c r="AV1101" s="113"/>
      <c r="AW1101" s="699"/>
      <c r="AX1101" s="113"/>
      <c r="AY1101" s="113"/>
      <c r="AZ1101" s="113"/>
      <c r="BA1101" s="113"/>
      <c r="BB1101" s="113"/>
      <c r="BC1101" s="113"/>
      <c r="BD1101" s="113"/>
      <c r="BE1101" s="113"/>
      <c r="BF1101" s="113"/>
      <c r="BG1101" s="113"/>
      <c r="BH1101" s="484"/>
    </row>
    <row r="1102" spans="1:60" s="49" customFormat="1" x14ac:dyDescent="0.25">
      <c r="A1102" s="595" t="str">
        <f>MO_VA_P_ToE</f>
        <v>P/E - Avg</v>
      </c>
      <c r="B1102" s="113"/>
      <c r="C1102" s="824"/>
      <c r="D1102" s="824"/>
      <c r="E1102" s="113"/>
      <c r="F1102" s="113"/>
      <c r="G1102" s="113"/>
      <c r="H1102" s="113"/>
      <c r="I1102" s="113"/>
      <c r="J1102" s="113"/>
      <c r="K1102" s="113"/>
      <c r="L1102" s="113"/>
      <c r="M1102" s="113"/>
      <c r="N1102" s="113"/>
      <c r="O1102" s="113"/>
      <c r="P1102" s="113"/>
      <c r="Q1102" s="113"/>
      <c r="R1102" s="113"/>
      <c r="S1102" s="113"/>
      <c r="T1102" s="113"/>
      <c r="U1102" s="113"/>
      <c r="V1102" s="113"/>
      <c r="W1102" s="113"/>
      <c r="X1102" s="113"/>
      <c r="Y1102" s="113"/>
      <c r="Z1102" s="113"/>
      <c r="AA1102" s="113"/>
      <c r="AB1102" s="113"/>
      <c r="AC1102" s="113"/>
      <c r="AD1102" s="113"/>
      <c r="AE1102" s="113"/>
      <c r="AF1102" s="113"/>
      <c r="AG1102" s="113"/>
      <c r="AH1102" s="113"/>
      <c r="AI1102" s="113"/>
      <c r="AJ1102" s="113"/>
      <c r="AK1102" s="113"/>
      <c r="AL1102" s="113"/>
      <c r="AM1102" s="113"/>
      <c r="AN1102" s="113"/>
      <c r="AO1102" s="113"/>
      <c r="AP1102" s="113"/>
      <c r="AQ1102" s="113"/>
      <c r="AR1102" s="113"/>
      <c r="AS1102" s="113"/>
      <c r="AT1102" s="113"/>
      <c r="AU1102" s="113"/>
      <c r="AV1102" s="113"/>
      <c r="AW1102" s="699"/>
      <c r="AX1102" s="113"/>
      <c r="AY1102" s="113"/>
      <c r="AZ1102" s="113"/>
      <c r="BA1102" s="113"/>
      <c r="BB1102" s="113"/>
      <c r="BC1102" s="113"/>
      <c r="BD1102" s="113"/>
      <c r="BE1102" s="113"/>
      <c r="BF1102" s="113"/>
      <c r="BG1102" s="113"/>
      <c r="BH1102" s="484"/>
    </row>
    <row r="1103" spans="1:60" s="49" customFormat="1" x14ac:dyDescent="0.25">
      <c r="A1103" s="827"/>
      <c r="B1103" s="113"/>
      <c r="C1103" s="824"/>
      <c r="D1103" s="824"/>
      <c r="E1103" s="113"/>
      <c r="F1103" s="113"/>
      <c r="G1103" s="113"/>
      <c r="H1103" s="113"/>
      <c r="I1103" s="113"/>
      <c r="J1103" s="113"/>
      <c r="K1103" s="113"/>
      <c r="L1103" s="113"/>
      <c r="M1103" s="113"/>
      <c r="N1103" s="113"/>
      <c r="O1103" s="113"/>
      <c r="P1103" s="113"/>
      <c r="Q1103" s="113"/>
      <c r="R1103" s="113"/>
      <c r="S1103" s="113"/>
      <c r="T1103" s="113"/>
      <c r="U1103" s="113"/>
      <c r="V1103" s="113"/>
      <c r="W1103" s="113"/>
      <c r="X1103" s="113"/>
      <c r="Y1103" s="113"/>
      <c r="Z1103" s="113"/>
      <c r="AA1103" s="113"/>
      <c r="AB1103" s="113"/>
      <c r="AC1103" s="113"/>
      <c r="AD1103" s="113"/>
      <c r="AE1103" s="113"/>
      <c r="AF1103" s="113"/>
      <c r="AG1103" s="113"/>
      <c r="AH1103" s="113"/>
      <c r="AI1103" s="113"/>
      <c r="AJ1103" s="113"/>
      <c r="AK1103" s="113"/>
      <c r="AL1103" s="113"/>
      <c r="AM1103" s="113"/>
      <c r="AN1103" s="113"/>
      <c r="AO1103" s="113"/>
      <c r="AP1103" s="113"/>
      <c r="AQ1103" s="113"/>
      <c r="AR1103" s="113"/>
      <c r="AS1103" s="113"/>
      <c r="AT1103" s="113"/>
      <c r="AU1103" s="113"/>
      <c r="AV1103" s="113"/>
      <c r="AW1103" s="699"/>
      <c r="AX1103" s="113"/>
      <c r="AY1103" s="113"/>
      <c r="AZ1103" s="113"/>
      <c r="BA1103" s="113"/>
      <c r="BB1103" s="113"/>
      <c r="BC1103" s="113"/>
      <c r="BD1103" s="113"/>
      <c r="BE1103" s="113"/>
      <c r="BF1103" s="113"/>
      <c r="BG1103" s="113"/>
      <c r="BH1103" s="484"/>
    </row>
    <row r="1104" spans="1:60" s="49" customFormat="1" x14ac:dyDescent="0.25">
      <c r="A1104" s="413"/>
      <c r="B1104" s="113"/>
      <c r="C1104" s="824"/>
      <c r="D1104" s="824"/>
      <c r="E1104" s="113"/>
      <c r="F1104" s="113"/>
      <c r="G1104" s="113"/>
      <c r="H1104" s="113"/>
      <c r="I1104" s="113"/>
      <c r="J1104" s="113"/>
      <c r="K1104" s="113"/>
      <c r="L1104" s="113"/>
      <c r="M1104" s="113"/>
      <c r="N1104" s="113"/>
      <c r="O1104" s="113"/>
      <c r="P1104" s="113"/>
      <c r="Q1104" s="113"/>
      <c r="R1104" s="113"/>
      <c r="S1104" s="113"/>
      <c r="T1104" s="113"/>
      <c r="U1104" s="113"/>
      <c r="V1104" s="113"/>
      <c r="W1104" s="113"/>
      <c r="X1104" s="113"/>
      <c r="Y1104" s="113"/>
      <c r="Z1104" s="113"/>
      <c r="AA1104" s="113"/>
      <c r="AB1104" s="113"/>
      <c r="AC1104" s="113"/>
      <c r="AD1104" s="113"/>
      <c r="AE1104" s="113"/>
      <c r="AF1104" s="113"/>
      <c r="AG1104" s="113"/>
      <c r="AH1104" s="113"/>
      <c r="AI1104" s="113"/>
      <c r="AJ1104" s="113"/>
      <c r="AK1104" s="113"/>
      <c r="AL1104" s="113"/>
      <c r="AM1104" s="113"/>
      <c r="AN1104" s="113"/>
      <c r="AO1104" s="113"/>
      <c r="AP1104" s="113"/>
      <c r="AQ1104" s="113"/>
      <c r="AR1104" s="113"/>
      <c r="AS1104" s="113"/>
      <c r="AT1104" s="113"/>
      <c r="AU1104" s="113"/>
      <c r="AV1104" s="113"/>
      <c r="AW1104" s="699"/>
      <c r="AX1104" s="113"/>
      <c r="AY1104" s="113"/>
      <c r="AZ1104" s="113"/>
      <c r="BA1104" s="113"/>
      <c r="BB1104" s="113"/>
      <c r="BC1104" s="113"/>
      <c r="BD1104" s="113"/>
      <c r="BE1104" s="113"/>
      <c r="BF1104" s="113"/>
      <c r="BG1104" s="113"/>
      <c r="BH1104" s="484"/>
    </row>
    <row r="1105" spans="1:60" s="19" customFormat="1" x14ac:dyDescent="0.25">
      <c r="A1105" s="1001" t="s">
        <v>398</v>
      </c>
      <c r="B1105" s="1002"/>
      <c r="C1105" s="1002"/>
      <c r="D1105" s="1002"/>
      <c r="E1105" s="1002"/>
      <c r="F1105" s="1002"/>
      <c r="G1105" s="1002"/>
      <c r="H1105" s="1002"/>
      <c r="I1105" s="1002"/>
      <c r="J1105" s="1002"/>
      <c r="K1105" s="1002"/>
      <c r="L1105" s="1002"/>
      <c r="M1105" s="1002"/>
      <c r="N1105" s="1002"/>
      <c r="O1105" s="1002"/>
      <c r="P1105" s="1002"/>
      <c r="Q1105" s="1002"/>
      <c r="R1105" s="1002"/>
      <c r="S1105" s="1002"/>
      <c r="T1105" s="1002"/>
      <c r="U1105" s="1002"/>
      <c r="V1105" s="1002"/>
      <c r="W1105" s="1002"/>
      <c r="X1105" s="1002"/>
      <c r="Y1105" s="1002"/>
      <c r="Z1105" s="1002"/>
      <c r="AA1105" s="1002"/>
      <c r="AB1105" s="1002"/>
      <c r="AC1105" s="1002"/>
      <c r="AD1105" s="1002"/>
      <c r="AE1105" s="1002"/>
      <c r="AF1105" s="1002"/>
      <c r="AG1105" s="1002"/>
      <c r="AH1105" s="1002"/>
      <c r="AI1105" s="1002"/>
      <c r="AJ1105" s="1002"/>
      <c r="AK1105" s="1002"/>
      <c r="AL1105" s="1002"/>
      <c r="AM1105" s="1002"/>
      <c r="AN1105" s="1002"/>
      <c r="AO1105" s="1002"/>
      <c r="AP1105" s="1002"/>
      <c r="AQ1105" s="1002"/>
      <c r="AR1105" s="1002"/>
      <c r="AS1105" s="1002"/>
      <c r="AT1105" s="1002"/>
      <c r="AU1105" s="1002"/>
      <c r="AV1105" s="1002"/>
      <c r="AW1105" s="1003"/>
      <c r="AX1105" s="1002" t="str">
        <f t="shared" ref="AX1105:BG1105" si="1194">AX5</f>
        <v>Q4-2021</v>
      </c>
      <c r="AY1105" s="1002" t="str">
        <f t="shared" si="1194"/>
        <v>FY2021</v>
      </c>
      <c r="AZ1105" s="1002" t="str">
        <f t="shared" si="1194"/>
        <v>Q1-2022</v>
      </c>
      <c r="BA1105" s="1002" t="str">
        <f t="shared" si="1194"/>
        <v>Q2-2022</v>
      </c>
      <c r="BB1105" s="1002" t="str">
        <f t="shared" si="1194"/>
        <v>Q3-2022</v>
      </c>
      <c r="BC1105" s="1002" t="str">
        <f t="shared" si="1194"/>
        <v>Q4-2022</v>
      </c>
      <c r="BD1105" s="1002" t="str">
        <f t="shared" si="1194"/>
        <v>FY2022</v>
      </c>
      <c r="BE1105" s="1002" t="str">
        <f t="shared" si="1194"/>
        <v>FY2023</v>
      </c>
      <c r="BF1105" s="1002" t="str">
        <f t="shared" si="1194"/>
        <v>FY2024</v>
      </c>
      <c r="BG1105" s="1004" t="str">
        <f t="shared" si="1194"/>
        <v>FY2025</v>
      </c>
      <c r="BH1105" s="730"/>
    </row>
    <row r="1106" spans="1:60" s="19" customFormat="1" x14ac:dyDescent="0.25">
      <c r="A1106" s="1005" t="s">
        <v>399</v>
      </c>
      <c r="B1106" s="997"/>
      <c r="C1106" s="997"/>
      <c r="D1106" s="997"/>
      <c r="E1106" s="997"/>
      <c r="F1106" s="997"/>
      <c r="G1106" s="997"/>
      <c r="H1106" s="997"/>
      <c r="I1106" s="997"/>
      <c r="J1106" s="997"/>
      <c r="K1106" s="997"/>
      <c r="L1106" s="997"/>
      <c r="M1106" s="997"/>
      <c r="N1106" s="997"/>
      <c r="O1106" s="997"/>
      <c r="P1106" s="997"/>
      <c r="Q1106" s="997"/>
      <c r="R1106" s="997"/>
      <c r="S1106" s="997"/>
      <c r="T1106" s="997"/>
      <c r="U1106" s="997"/>
      <c r="V1106" s="997"/>
      <c r="W1106" s="997"/>
      <c r="X1106" s="997"/>
      <c r="Y1106" s="997"/>
      <c r="Z1106" s="997"/>
      <c r="AA1106" s="997"/>
      <c r="AB1106" s="997"/>
      <c r="AC1106" s="997"/>
      <c r="AD1106" s="997"/>
      <c r="AE1106" s="997"/>
      <c r="AF1106" s="997"/>
      <c r="AG1106" s="997"/>
      <c r="AH1106" s="997"/>
      <c r="AI1106" s="997"/>
      <c r="AJ1106" s="997"/>
      <c r="AK1106" s="997"/>
      <c r="AL1106" s="997"/>
      <c r="AM1106" s="997"/>
      <c r="AN1106" s="997"/>
      <c r="AO1106" s="997"/>
      <c r="AP1106" s="997"/>
      <c r="AQ1106" s="997"/>
      <c r="AR1106" s="997"/>
      <c r="AS1106" s="997"/>
      <c r="AT1106" s="997"/>
      <c r="AU1106" s="997"/>
      <c r="AV1106" s="997"/>
      <c r="AW1106" s="998"/>
      <c r="AX1106" s="997" t="str">
        <f>IF(MO.DataSourceIndex=3,IF(LEFT(AX1105,2)="FY","ANNUAL",IF(LEFT(AX1105,1)="Q","QUARTERLY","")),IF(LEFT(AX1105,2)="FY","FY",IF(LEFT(AX1105,1)="Q","FQ","")))</f>
        <v>FQ</v>
      </c>
      <c r="AY1106" s="997" t="str">
        <f>IF(MO.DataSourceIndex=3,IF(LEFT(AY1105,2)="FY","ANNUAL",IF(LEFT(AY1105,1)="Q","QUARTERLY","")),IF(LEFT(AY1105,2)="FY","FY",IF(LEFT(AY1105,1)="Q","FQ","")))</f>
        <v>FY</v>
      </c>
      <c r="AZ1106" s="997" t="str">
        <f t="shared" ref="AZ1106:BG1106" si="1195">IF(MO.DataSourceIndex=3,IF(LEFT(AZ1105,2)="FY","ANNUAL",IF(LEFT(AZ1105,1)="Q","QUARTERLY","")),IF(LEFT(AZ1105,2)="FY","FY",IF(LEFT(AZ1105,1)="Q","FQ","")))</f>
        <v>FQ</v>
      </c>
      <c r="BA1106" s="997" t="str">
        <f t="shared" si="1195"/>
        <v>FQ</v>
      </c>
      <c r="BB1106" s="997" t="str">
        <f t="shared" si="1195"/>
        <v>FQ</v>
      </c>
      <c r="BC1106" s="997" t="str">
        <f t="shared" si="1195"/>
        <v>FQ</v>
      </c>
      <c r="BD1106" s="997" t="str">
        <f t="shared" si="1195"/>
        <v>FY</v>
      </c>
      <c r="BE1106" s="997" t="str">
        <f t="shared" si="1195"/>
        <v>FY</v>
      </c>
      <c r="BF1106" s="997" t="str">
        <f t="shared" si="1195"/>
        <v>FY</v>
      </c>
      <c r="BG1106" s="1006" t="str">
        <f t="shared" si="1195"/>
        <v>FY</v>
      </c>
      <c r="BH1106" s="730"/>
    </row>
    <row r="1107" spans="1:60" s="19" customFormat="1" x14ac:dyDescent="0.25">
      <c r="A1107" s="1005" t="s">
        <v>400</v>
      </c>
      <c r="B1107" s="997"/>
      <c r="C1107" s="997"/>
      <c r="D1107" s="997"/>
      <c r="E1107" s="997"/>
      <c r="F1107" s="997"/>
      <c r="G1107" s="997"/>
      <c r="H1107" s="997"/>
      <c r="I1107" s="997"/>
      <c r="J1107" s="997"/>
      <c r="K1107" s="997"/>
      <c r="L1107" s="997"/>
      <c r="M1107" s="997"/>
      <c r="N1107" s="997"/>
      <c r="O1107" s="997"/>
      <c r="P1107" s="997"/>
      <c r="Q1107" s="997"/>
      <c r="R1107" s="997"/>
      <c r="S1107" s="997"/>
      <c r="T1107" s="997"/>
      <c r="U1107" s="997"/>
      <c r="V1107" s="997"/>
      <c r="W1107" s="997"/>
      <c r="X1107" s="997"/>
      <c r="Y1107" s="997"/>
      <c r="Z1107" s="997"/>
      <c r="AA1107" s="997"/>
      <c r="AB1107" s="997"/>
      <c r="AC1107" s="997"/>
      <c r="AD1107" s="997"/>
      <c r="AE1107" s="997"/>
      <c r="AF1107" s="997"/>
      <c r="AG1107" s="997"/>
      <c r="AH1107" s="997"/>
      <c r="AI1107" s="997"/>
      <c r="AJ1107" s="997"/>
      <c r="AK1107" s="997"/>
      <c r="AL1107" s="997"/>
      <c r="AM1107" s="997"/>
      <c r="AN1107" s="997"/>
      <c r="AO1107" s="997"/>
      <c r="AP1107" s="997"/>
      <c r="AQ1107" s="997"/>
      <c r="AR1107" s="997"/>
      <c r="AS1107" s="997"/>
      <c r="AT1107" s="997"/>
      <c r="AU1107" s="997"/>
      <c r="AV1107" s="997"/>
      <c r="AW1107" s="998"/>
      <c r="AX1107" s="997">
        <f t="shared" ref="AX1107:BG1107" ca="1" si="1196">IF(MO.DataSourceIndex=3,IF(INDEX(MO_SNA_ConsensusEstimatePeriodType,,COLUMN())="ANNUAL",COUNTIF(OFFSET(INDEX(MO_SNA_ConsensusEstimatePeriodType,,1),,,,COLUMN()),"ANNUAL"),IF(INDEX(MO_SNA_ConsensusEstimatePeriodType,,COLUMN())="QUARTERLY",COUNTIF(OFFSET(INDEX(MO_SNA_ConsensusEstimatePeriodType,,1),,,,COLUMN()),"QUARTERLY"),"")),IF(INDEX(MO_SNA_ConsensusEstimatePeriodType,,COLUMN())="FY",COUNTIF(OFFSET(INDEX(MO_SNA_ConsensusEstimatePeriodType,,1),,,,COLUMN()),"FY"),IF(INDEX(MO_SNA_ConsensusEstimatePeriodType,,COLUMN())="FQ",COUNTIF(OFFSET(INDEX(MO_SNA_ConsensusEstimatePeriodType,,1),,,,COLUMN()),"FQ"),"")))</f>
        <v>1</v>
      </c>
      <c r="AY1107" s="997">
        <f t="shared" ca="1" si="1196"/>
        <v>1</v>
      </c>
      <c r="AZ1107" s="997">
        <f t="shared" ca="1" si="1196"/>
        <v>2</v>
      </c>
      <c r="BA1107" s="997">
        <f t="shared" ca="1" si="1196"/>
        <v>3</v>
      </c>
      <c r="BB1107" s="997">
        <f t="shared" ca="1" si="1196"/>
        <v>4</v>
      </c>
      <c r="BC1107" s="997">
        <f t="shared" ca="1" si="1196"/>
        <v>5</v>
      </c>
      <c r="BD1107" s="997">
        <f t="shared" ca="1" si="1196"/>
        <v>2</v>
      </c>
      <c r="BE1107" s="997">
        <f t="shared" ca="1" si="1196"/>
        <v>3</v>
      </c>
      <c r="BF1107" s="997">
        <f t="shared" ca="1" si="1196"/>
        <v>4</v>
      </c>
      <c r="BG1107" s="1006">
        <f t="shared" ca="1" si="1196"/>
        <v>5</v>
      </c>
      <c r="BH1107" s="730"/>
    </row>
    <row r="1108" spans="1:60" s="40" customFormat="1" x14ac:dyDescent="0.25">
      <c r="A1108" s="545" t="str">
        <f>$A$707</f>
        <v>Consensus Estimates - Gross Margin, %</v>
      </c>
      <c r="B1108" s="957"/>
      <c r="C1108" s="185"/>
      <c r="D1108" s="185"/>
      <c r="E1108" s="185"/>
      <c r="F1108" s="185"/>
      <c r="G1108" s="185"/>
      <c r="H1108" s="186"/>
      <c r="I1108" s="186"/>
      <c r="J1108" s="186"/>
      <c r="K1108" s="186"/>
      <c r="L1108" s="186"/>
      <c r="M1108" s="186"/>
      <c r="N1108" s="186"/>
      <c r="O1108" s="186"/>
      <c r="P1108" s="957"/>
      <c r="Q1108" s="957"/>
      <c r="R1108" s="957"/>
      <c r="S1108" s="957"/>
      <c r="T1108" s="957"/>
      <c r="U1108" s="957"/>
      <c r="V1108" s="957"/>
      <c r="W1108" s="957"/>
      <c r="X1108" s="957"/>
      <c r="Y1108" s="957"/>
      <c r="Z1108" s="957"/>
      <c r="AA1108" s="957"/>
      <c r="AB1108" s="957"/>
      <c r="AC1108" s="957"/>
      <c r="AD1108" s="957"/>
      <c r="AE1108" s="957"/>
      <c r="AF1108" s="957"/>
      <c r="AG1108" s="957"/>
      <c r="AH1108" s="957"/>
      <c r="AI1108" s="957"/>
      <c r="AJ1108" s="957"/>
      <c r="AK1108" s="957"/>
      <c r="AL1108" s="957"/>
      <c r="AM1108" s="957"/>
      <c r="AN1108" s="957"/>
      <c r="AO1108" s="957"/>
      <c r="AP1108" s="957"/>
      <c r="AQ1108" s="957"/>
      <c r="AR1108" s="957"/>
      <c r="AS1108" s="957"/>
      <c r="AT1108" s="957"/>
      <c r="AU1108" s="957"/>
      <c r="AV1108" s="957"/>
      <c r="AW1108" s="958"/>
      <c r="AX1108" s="186"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AY1108" s="186"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AZ1108" s="186"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A1108" s="186"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B1108" s="186"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C1108" s="186"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D1108" s="186"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E1108" s="186"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F1108" s="186"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G1108" s="542" t="str">
        <f ca="1">IFERROR(CHOOSE(MO.DataSourceIndex,BDP(MO.Ticker.Bloomberg&amp;" EQUITY","BEST_GROSS_MARGIN","BEST_FPERIOD_OVERRIDE="&amp;INDEX(tb_ConsensusEstimate,3,COLUMN())&amp;INDEX(tb_ConsensusEstimate,2,COLUMN())),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BH1108" s="728"/>
    </row>
    <row r="1109" spans="1:60" s="40" customFormat="1" x14ac:dyDescent="0.25">
      <c r="A1109" s="545" t="str">
        <f>$A$759</f>
        <v>Consensus Estimates - Net Revenue</v>
      </c>
      <c r="B1109" s="957"/>
      <c r="C1109" s="187"/>
      <c r="D1109" s="187"/>
      <c r="E1109" s="187"/>
      <c r="F1109" s="187"/>
      <c r="G1109" s="187"/>
      <c r="H1109" s="957"/>
      <c r="I1109" s="957"/>
      <c r="J1109" s="957"/>
      <c r="K1109" s="957"/>
      <c r="L1109" s="957"/>
      <c r="M1109" s="957"/>
      <c r="N1109" s="957"/>
      <c r="O1109" s="957"/>
      <c r="P1109" s="957"/>
      <c r="Q1109" s="957"/>
      <c r="R1109" s="957"/>
      <c r="S1109" s="957"/>
      <c r="T1109" s="957"/>
      <c r="U1109" s="957"/>
      <c r="V1109" s="957"/>
      <c r="W1109" s="957"/>
      <c r="X1109" s="957"/>
      <c r="Y1109" s="957"/>
      <c r="Z1109" s="957"/>
      <c r="AA1109" s="957"/>
      <c r="AB1109" s="957"/>
      <c r="AC1109" s="957"/>
      <c r="AD1109" s="957"/>
      <c r="AE1109" s="957"/>
      <c r="AF1109" s="957"/>
      <c r="AG1109" s="957"/>
      <c r="AH1109" s="957"/>
      <c r="AI1109" s="957"/>
      <c r="AJ1109" s="957"/>
      <c r="AK1109" s="957"/>
      <c r="AL1109" s="957"/>
      <c r="AM1109" s="957"/>
      <c r="AN1109" s="957"/>
      <c r="AO1109" s="957"/>
      <c r="AP1109" s="957"/>
      <c r="AQ1109" s="957"/>
      <c r="AR1109" s="957"/>
      <c r="AS1109" s="957"/>
      <c r="AT1109" s="957"/>
      <c r="AU1109" s="957"/>
      <c r="AV1109" s="957"/>
      <c r="AW1109" s="958"/>
      <c r="AX1109" s="95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AY1109" s="95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AZ1109" s="95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A1109" s="95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B1109" s="95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C1109" s="95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D1109" s="95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E1109" s="95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F1109" s="95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G1109" s="543"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H1109" s="728"/>
    </row>
    <row r="1110" spans="1:60" s="40" customFormat="1" x14ac:dyDescent="0.25">
      <c r="A1110" s="545" t="str">
        <f>$A$767</f>
        <v>Consensus Estimates - Adjusted EBITDA</v>
      </c>
      <c r="B1110" s="957"/>
      <c r="C1110" s="187"/>
      <c r="D1110" s="187"/>
      <c r="E1110" s="187"/>
      <c r="F1110" s="187"/>
      <c r="G1110" s="187"/>
      <c r="H1110" s="957"/>
      <c r="I1110" s="957"/>
      <c r="J1110" s="957"/>
      <c r="K1110" s="957"/>
      <c r="L1110" s="957"/>
      <c r="M1110" s="957"/>
      <c r="N1110" s="957"/>
      <c r="O1110" s="957"/>
      <c r="P1110" s="957"/>
      <c r="Q1110" s="957"/>
      <c r="R1110" s="957"/>
      <c r="S1110" s="957"/>
      <c r="T1110" s="957"/>
      <c r="U1110" s="957"/>
      <c r="V1110" s="957"/>
      <c r="W1110" s="957"/>
      <c r="X1110" s="957"/>
      <c r="Y1110" s="957"/>
      <c r="Z1110" s="957"/>
      <c r="AA1110" s="957"/>
      <c r="AB1110" s="957"/>
      <c r="AC1110" s="957"/>
      <c r="AD1110" s="957"/>
      <c r="AE1110" s="957"/>
      <c r="AF1110" s="957"/>
      <c r="AG1110" s="957"/>
      <c r="AH1110" s="957"/>
      <c r="AI1110" s="957"/>
      <c r="AJ1110" s="957"/>
      <c r="AK1110" s="957"/>
      <c r="AL1110" s="957"/>
      <c r="AM1110" s="957"/>
      <c r="AN1110" s="957"/>
      <c r="AO1110" s="957"/>
      <c r="AP1110" s="957"/>
      <c r="AQ1110" s="957"/>
      <c r="AR1110" s="957"/>
      <c r="AS1110" s="957"/>
      <c r="AT1110" s="957"/>
      <c r="AU1110" s="957"/>
      <c r="AV1110" s="957"/>
      <c r="AW1110" s="958"/>
      <c r="AX1110" s="957"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AY1110" s="957"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AZ1110" s="957"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A1110" s="957"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B1110" s="957"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C1110" s="957"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D1110" s="957"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E1110" s="957"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F1110" s="957"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G1110" s="543" t="str">
        <f ca="1">IFERROR(CHOOSE(MO.DataSourceIndex,BDP(MO.Ticker.Bloomberg&amp;" EQUITY","BEST_EBITDA","BEST_FPERIOD_OVERRIDE="&amp;INDEX(tb_ConsensusEstimate,3,COLUMN())&amp;INDEX(tb_ConsensusEstimate,2,COLUMN())),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BH1110" s="728"/>
    </row>
    <row r="1111" spans="1:60" s="40" customFormat="1" x14ac:dyDescent="0.25">
      <c r="A1111" s="545" t="str">
        <f>$A$799</f>
        <v>Consensus Estimates - Adjusted Earnings Per Share - WAD</v>
      </c>
      <c r="B1111" s="957"/>
      <c r="C1111" s="188"/>
      <c r="D1111" s="188"/>
      <c r="E1111" s="188"/>
      <c r="F1111" s="188"/>
      <c r="G1111" s="188"/>
      <c r="H1111" s="957"/>
      <c r="I1111" s="957"/>
      <c r="J1111" s="957"/>
      <c r="K1111" s="957"/>
      <c r="L1111" s="957"/>
      <c r="M1111" s="957"/>
      <c r="N1111" s="957"/>
      <c r="O1111" s="957"/>
      <c r="P1111" s="957"/>
      <c r="Q1111" s="957"/>
      <c r="R1111" s="957"/>
      <c r="S1111" s="957"/>
      <c r="T1111" s="957"/>
      <c r="U1111" s="957"/>
      <c r="V1111" s="957"/>
      <c r="W1111" s="957"/>
      <c r="X1111" s="957"/>
      <c r="Y1111" s="957"/>
      <c r="Z1111" s="957"/>
      <c r="AA1111" s="957"/>
      <c r="AB1111" s="957"/>
      <c r="AC1111" s="957"/>
      <c r="AD1111" s="957"/>
      <c r="AE1111" s="957"/>
      <c r="AF1111" s="957"/>
      <c r="AG1111" s="957"/>
      <c r="AH1111" s="957"/>
      <c r="AI1111" s="957"/>
      <c r="AJ1111" s="957"/>
      <c r="AK1111" s="957"/>
      <c r="AL1111" s="957"/>
      <c r="AM1111" s="957"/>
      <c r="AN1111" s="957"/>
      <c r="AO1111" s="957"/>
      <c r="AP1111" s="957"/>
      <c r="AQ1111" s="957"/>
      <c r="AR1111" s="957"/>
      <c r="AS1111" s="957"/>
      <c r="AT1111" s="957"/>
      <c r="AU1111" s="957"/>
      <c r="AV1111" s="957"/>
      <c r="AW1111" s="958"/>
      <c r="AX1111" s="95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AY1111" s="95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AZ1111" s="95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A1111" s="95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B1111" s="95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C1111" s="95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D1111" s="95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E1111" s="95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F1111" s="95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G1111" s="543"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H1111" s="728"/>
    </row>
    <row r="1112" spans="1:60" s="40" customFormat="1" x14ac:dyDescent="0.25">
      <c r="A1112" s="545" t="str">
        <f>$A$808</f>
        <v>Consensus Estimates - Cash Flow Per Diluted Share</v>
      </c>
      <c r="B1112" s="957"/>
      <c r="C1112" s="188"/>
      <c r="D1112" s="188"/>
      <c r="E1112" s="188"/>
      <c r="F1112" s="188"/>
      <c r="G1112" s="188"/>
      <c r="H1112" s="957"/>
      <c r="I1112" s="957"/>
      <c r="J1112" s="957"/>
      <c r="K1112" s="957"/>
      <c r="L1112" s="957"/>
      <c r="M1112" s="957"/>
      <c r="N1112" s="957"/>
      <c r="O1112" s="957"/>
      <c r="P1112" s="957"/>
      <c r="Q1112" s="957"/>
      <c r="R1112" s="957"/>
      <c r="S1112" s="957"/>
      <c r="T1112" s="957"/>
      <c r="U1112" s="957"/>
      <c r="V1112" s="957"/>
      <c r="W1112" s="957"/>
      <c r="X1112" s="957"/>
      <c r="Y1112" s="957"/>
      <c r="Z1112" s="957"/>
      <c r="AA1112" s="957"/>
      <c r="AB1112" s="957"/>
      <c r="AC1112" s="957"/>
      <c r="AD1112" s="957"/>
      <c r="AE1112" s="957"/>
      <c r="AF1112" s="957"/>
      <c r="AG1112" s="957"/>
      <c r="AH1112" s="957"/>
      <c r="AI1112" s="957"/>
      <c r="AJ1112" s="957"/>
      <c r="AK1112" s="957"/>
      <c r="AL1112" s="957"/>
      <c r="AM1112" s="957"/>
      <c r="AN1112" s="957"/>
      <c r="AO1112" s="957"/>
      <c r="AP1112" s="957"/>
      <c r="AQ1112" s="957"/>
      <c r="AR1112" s="957"/>
      <c r="AS1112" s="957"/>
      <c r="AT1112" s="957"/>
      <c r="AU1112" s="957"/>
      <c r="AV1112" s="957"/>
      <c r="AW1112" s="958"/>
      <c r="AX1112" s="957"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AY1112" s="957"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AZ1112" s="957"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A1112" s="957"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B1112" s="957"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C1112" s="957"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D1112" s="957"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E1112" s="957"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F1112" s="957"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G1112" s="543" t="str">
        <f ca="1">IFERROR(CHOOSE(MO.DataSourceIndex,BDP(MO.Ticker.Bloomberg&amp;" EQUITY","BEST_CPS","BEST_FPERIOD_OVERRIDE="&amp;INDEX(tb_ConsensusEstimate,3,COLUMN())&amp;INDEX(tb_ConsensusEstimate,2,COLUMN())),CIQ(MO.Ticker.CapIQ,"IQ_CFPS_EST","IQ_"&amp;INDEX(tb_ConsensusEstimate,2,COLUMN())&amp;"+"&amp;INDEX(tb_ConsensusEstimate,3,COLUMN())),FDS(MO.Ticker.FactSet,"FE_ESTIMATE(CFPS,MEAN,"&amp;INDEX(tb_ConsensusEstimate,2,COLUMN())&amp;",+"&amp;INDEX(tb_ConsensusEstimate,3,COLUMN())&amp;",NOW"&amp;",,,'CURRENCY="&amp;HP.ReportCurrency&amp;"')"),_xll.TR(MO.Ticker.Thomson,"ZAV(TR.CFPSMean)","Period="&amp;INDEX(tb_ConsensusEstimate,2,COLUMN())&amp;INDEX(tb_ConsensusEstimate,3,COLUMN()))),"N/A")</f>
        <v>N/A</v>
      </c>
      <c r="BH1112" s="728"/>
    </row>
    <row r="1113" spans="1:60" s="40" customFormat="1" x14ac:dyDescent="0.25">
      <c r="A1113" s="545" t="str">
        <f>A810</f>
        <v>Consensus Estimates - Capex</v>
      </c>
      <c r="B1113" s="957"/>
      <c r="C1113" s="187"/>
      <c r="D1113" s="187"/>
      <c r="E1113" s="187"/>
      <c r="F1113" s="187"/>
      <c r="G1113" s="187"/>
      <c r="H1113" s="957"/>
      <c r="I1113" s="957"/>
      <c r="J1113" s="957"/>
      <c r="K1113" s="957"/>
      <c r="L1113" s="957"/>
      <c r="M1113" s="957"/>
      <c r="N1113" s="957"/>
      <c r="O1113" s="957"/>
      <c r="P1113" s="957"/>
      <c r="Q1113" s="957"/>
      <c r="R1113" s="957"/>
      <c r="S1113" s="957"/>
      <c r="T1113" s="957"/>
      <c r="U1113" s="957"/>
      <c r="V1113" s="957"/>
      <c r="W1113" s="957"/>
      <c r="X1113" s="957"/>
      <c r="Y1113" s="957"/>
      <c r="Z1113" s="957"/>
      <c r="AA1113" s="957"/>
      <c r="AB1113" s="957"/>
      <c r="AC1113" s="957"/>
      <c r="AD1113" s="957"/>
      <c r="AE1113" s="957"/>
      <c r="AF1113" s="957"/>
      <c r="AG1113" s="957"/>
      <c r="AH1113" s="957"/>
      <c r="AI1113" s="957"/>
      <c r="AJ1113" s="957"/>
      <c r="AK1113" s="957"/>
      <c r="AL1113" s="957"/>
      <c r="AM1113" s="957"/>
      <c r="AN1113" s="957"/>
      <c r="AO1113" s="957"/>
      <c r="AP1113" s="957"/>
      <c r="AQ1113" s="957"/>
      <c r="AR1113" s="957"/>
      <c r="AS1113" s="957"/>
      <c r="AT1113" s="957"/>
      <c r="AU1113" s="957"/>
      <c r="AV1113" s="957"/>
      <c r="AW1113" s="958"/>
      <c r="AX1113" s="957"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AY1113" s="957"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AZ1113" s="957"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A1113" s="957"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B1113" s="957"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C1113" s="957"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D1113" s="957"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E1113" s="957"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F1113" s="957"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G1113" s="543" t="str">
        <f ca="1">IFERROR(CHOOSE(MO.DataSourceIndex,BDP(MO.Ticker.Bloomberg&amp;" EQUITY","BEST_CAPEX","BEST_FPERIOD_OVERRIDE="&amp;INDEX(tb_ConsensusEstimate,3,COLUMN())&amp;INDEX(tb_ConsensusEstimate,2,COLUMN())),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BH1113" s="728"/>
    </row>
    <row r="1114" spans="1:60" s="15" customFormat="1" x14ac:dyDescent="0.25">
      <c r="A1114" s="546"/>
      <c r="B1114" s="539"/>
      <c r="C1114" s="540"/>
      <c r="D1114" s="540"/>
      <c r="E1114" s="539"/>
      <c r="F1114" s="539"/>
      <c r="G1114" s="539"/>
      <c r="H1114" s="539"/>
      <c r="I1114" s="539"/>
      <c r="J1114" s="539"/>
      <c r="K1114" s="539"/>
      <c r="L1114" s="539"/>
      <c r="M1114" s="539"/>
      <c r="N1114" s="539"/>
      <c r="O1114" s="539"/>
      <c r="P1114" s="539"/>
      <c r="Q1114" s="539"/>
      <c r="R1114" s="539"/>
      <c r="S1114" s="539"/>
      <c r="T1114" s="539"/>
      <c r="U1114" s="539"/>
      <c r="V1114" s="539"/>
      <c r="W1114" s="539"/>
      <c r="X1114" s="539"/>
      <c r="Y1114" s="539"/>
      <c r="Z1114" s="539"/>
      <c r="AA1114" s="539"/>
      <c r="AB1114" s="539"/>
      <c r="AC1114" s="539"/>
      <c r="AD1114" s="539"/>
      <c r="AE1114" s="539"/>
      <c r="AF1114" s="539"/>
      <c r="AG1114" s="539"/>
      <c r="AH1114" s="539"/>
      <c r="AI1114" s="539"/>
      <c r="AJ1114" s="539"/>
      <c r="AK1114" s="539"/>
      <c r="AL1114" s="539"/>
      <c r="AM1114" s="539"/>
      <c r="AN1114" s="539"/>
      <c r="AO1114" s="539"/>
      <c r="AP1114" s="539"/>
      <c r="AQ1114" s="539"/>
      <c r="AR1114" s="539"/>
      <c r="AS1114" s="539"/>
      <c r="AT1114" s="539"/>
      <c r="AU1114" s="539"/>
      <c r="AV1114" s="539"/>
      <c r="AW1114" s="541"/>
      <c r="AX1114" s="539"/>
      <c r="AY1114" s="539"/>
      <c r="AZ1114" s="539"/>
      <c r="BA1114" s="539"/>
      <c r="BB1114" s="539"/>
      <c r="BC1114" s="539"/>
      <c r="BD1114" s="539"/>
      <c r="BE1114" s="539"/>
      <c r="BF1114" s="539"/>
      <c r="BG1114" s="544"/>
      <c r="BH1114" s="728"/>
    </row>
    <row r="1115" spans="1:60" s="15" customFormat="1" x14ac:dyDescent="0.25">
      <c r="A1115" s="413"/>
      <c r="B1115" s="957"/>
      <c r="C1115" s="187"/>
      <c r="D1115" s="187"/>
      <c r="E1115" s="957"/>
      <c r="F1115" s="957"/>
      <c r="G1115" s="957"/>
      <c r="H1115" s="957"/>
      <c r="I1115" s="957"/>
      <c r="J1115" s="957"/>
      <c r="K1115" s="957"/>
      <c r="L1115" s="957"/>
      <c r="M1115" s="957"/>
      <c r="N1115" s="957"/>
      <c r="O1115" s="957"/>
      <c r="P1115" s="957"/>
      <c r="Q1115" s="957"/>
      <c r="R1115" s="957"/>
      <c r="S1115" s="957"/>
      <c r="T1115" s="957"/>
      <c r="U1115" s="957"/>
      <c r="V1115" s="957"/>
      <c r="W1115" s="957"/>
      <c r="X1115" s="957"/>
      <c r="Y1115" s="957"/>
      <c r="Z1115" s="957"/>
      <c r="AA1115" s="957"/>
      <c r="AB1115" s="957"/>
      <c r="AC1115" s="957"/>
      <c r="AD1115" s="957"/>
      <c r="AE1115" s="957"/>
      <c r="AF1115" s="957"/>
      <c r="AG1115" s="957"/>
      <c r="AH1115" s="957"/>
      <c r="AI1115" s="957"/>
      <c r="AJ1115" s="957"/>
      <c r="AK1115" s="957"/>
      <c r="AL1115" s="957"/>
      <c r="AM1115" s="957"/>
      <c r="AN1115" s="957"/>
      <c r="AO1115" s="957"/>
      <c r="AP1115" s="957"/>
      <c r="AQ1115" s="957"/>
      <c r="AR1115" s="957"/>
      <c r="AS1115" s="957"/>
      <c r="AT1115" s="957"/>
      <c r="AU1115" s="957"/>
      <c r="AV1115" s="957"/>
      <c r="AW1115" s="958"/>
      <c r="AX1115" s="957"/>
      <c r="AY1115" s="957"/>
      <c r="AZ1115" s="957"/>
      <c r="BA1115" s="957"/>
      <c r="BB1115" s="957"/>
      <c r="BC1115" s="957"/>
      <c r="BD1115" s="957"/>
      <c r="BE1115" s="957"/>
      <c r="BF1115" s="957"/>
      <c r="BG1115" s="957"/>
      <c r="BH1115" s="728"/>
    </row>
    <row r="1116" spans="1:60" s="15" customFormat="1" x14ac:dyDescent="0.25">
      <c r="A1116" s="417" t="s">
        <v>401</v>
      </c>
      <c r="B1116" s="414"/>
      <c r="C1116" s="415"/>
      <c r="D1116" s="415"/>
      <c r="E1116" s="414"/>
      <c r="F1116" s="414"/>
      <c r="G1116" s="414"/>
      <c r="H1116" s="414"/>
      <c r="I1116" s="414"/>
      <c r="J1116" s="414"/>
      <c r="K1116" s="414"/>
      <c r="L1116" s="414"/>
      <c r="M1116" s="414"/>
      <c r="N1116" s="414"/>
      <c r="O1116" s="414"/>
      <c r="P1116" s="414"/>
      <c r="Q1116" s="414"/>
      <c r="R1116" s="414"/>
      <c r="S1116" s="414"/>
      <c r="T1116" s="414"/>
      <c r="U1116" s="414"/>
      <c r="V1116" s="414"/>
      <c r="W1116" s="414"/>
      <c r="X1116" s="414"/>
      <c r="Y1116" s="414"/>
      <c r="Z1116" s="414"/>
      <c r="AA1116" s="414"/>
      <c r="AB1116" s="414"/>
      <c r="AC1116" s="414"/>
      <c r="AD1116" s="414"/>
      <c r="AE1116" s="414"/>
      <c r="AF1116" s="414"/>
      <c r="AG1116" s="414"/>
      <c r="AH1116" s="414"/>
      <c r="AI1116" s="414"/>
      <c r="AJ1116" s="414"/>
      <c r="AK1116" s="414"/>
      <c r="AL1116" s="414"/>
      <c r="AM1116" s="414"/>
      <c r="AN1116" s="414"/>
      <c r="AO1116" s="414"/>
      <c r="AP1116" s="414"/>
      <c r="AQ1116" s="414"/>
      <c r="AR1116" s="414"/>
      <c r="AS1116" s="414"/>
      <c r="AT1116" s="414"/>
      <c r="AU1116" s="414"/>
      <c r="AV1116" s="414"/>
      <c r="AW1116" s="451"/>
      <c r="AX1116" s="414"/>
      <c r="AY1116" s="414"/>
      <c r="AZ1116" s="414"/>
      <c r="BA1116" s="414"/>
      <c r="BB1116" s="414"/>
      <c r="BC1116" s="414"/>
      <c r="BD1116" s="414"/>
      <c r="BE1116" s="414"/>
      <c r="BF1116" s="414"/>
      <c r="BG1116" s="416"/>
      <c r="BH1116" s="728"/>
    </row>
    <row r="1117" spans="1:60" s="15" customFormat="1" x14ac:dyDescent="0.25">
      <c r="A1117" s="418" t="s">
        <v>402</v>
      </c>
      <c r="B1117" s="957"/>
      <c r="C1117" s="419">
        <f t="shared" ref="C1117:AH1117" si="1197">INDEX(MO_Common_QEndDate,0,COLUMN())-INDEX(MO_Common_FPDays,0,COLUMN())+1</f>
        <v>39722</v>
      </c>
      <c r="D1117" s="419">
        <f t="shared" si="1197"/>
        <v>40087</v>
      </c>
      <c r="E1117" s="420">
        <f t="shared" si="1197"/>
        <v>40452</v>
      </c>
      <c r="F1117" s="420">
        <f t="shared" si="1197"/>
        <v>40817</v>
      </c>
      <c r="G1117" s="420">
        <f t="shared" si="1197"/>
        <v>41183</v>
      </c>
      <c r="H1117" s="420">
        <f t="shared" si="1197"/>
        <v>41275</v>
      </c>
      <c r="I1117" s="420">
        <f t="shared" si="1197"/>
        <v>41365</v>
      </c>
      <c r="J1117" s="420">
        <f t="shared" si="1197"/>
        <v>41456</v>
      </c>
      <c r="K1117" s="420">
        <f t="shared" si="1197"/>
        <v>41183</v>
      </c>
      <c r="L1117" s="420">
        <f t="shared" si="1197"/>
        <v>41548</v>
      </c>
      <c r="M1117" s="420">
        <f t="shared" si="1197"/>
        <v>41640</v>
      </c>
      <c r="N1117" s="420">
        <f t="shared" si="1197"/>
        <v>41730</v>
      </c>
      <c r="O1117" s="420">
        <f t="shared" si="1197"/>
        <v>41821</v>
      </c>
      <c r="P1117" s="420">
        <f t="shared" si="1197"/>
        <v>41548</v>
      </c>
      <c r="Q1117" s="420">
        <f t="shared" si="1197"/>
        <v>41913</v>
      </c>
      <c r="R1117" s="420">
        <f t="shared" si="1197"/>
        <v>42005</v>
      </c>
      <c r="S1117" s="420">
        <f t="shared" si="1197"/>
        <v>42095</v>
      </c>
      <c r="T1117" s="420">
        <f t="shared" si="1197"/>
        <v>42186</v>
      </c>
      <c r="U1117" s="420">
        <f t="shared" si="1197"/>
        <v>41913</v>
      </c>
      <c r="V1117" s="420">
        <f t="shared" si="1197"/>
        <v>42278</v>
      </c>
      <c r="W1117" s="420">
        <f t="shared" si="1197"/>
        <v>42370</v>
      </c>
      <c r="X1117" s="420">
        <f t="shared" si="1197"/>
        <v>42461</v>
      </c>
      <c r="Y1117" s="420">
        <f t="shared" si="1197"/>
        <v>42552</v>
      </c>
      <c r="Z1117" s="420">
        <f t="shared" si="1197"/>
        <v>42278</v>
      </c>
      <c r="AA1117" s="420">
        <f t="shared" si="1197"/>
        <v>42644</v>
      </c>
      <c r="AB1117" s="420">
        <f t="shared" si="1197"/>
        <v>42736</v>
      </c>
      <c r="AC1117" s="420">
        <f t="shared" si="1197"/>
        <v>42826</v>
      </c>
      <c r="AD1117" s="420">
        <f t="shared" si="1197"/>
        <v>42917</v>
      </c>
      <c r="AE1117" s="420">
        <f t="shared" si="1197"/>
        <v>42644</v>
      </c>
      <c r="AF1117" s="420">
        <f t="shared" si="1197"/>
        <v>43009</v>
      </c>
      <c r="AG1117" s="420">
        <f t="shared" si="1197"/>
        <v>43101</v>
      </c>
      <c r="AH1117" s="420">
        <f t="shared" si="1197"/>
        <v>43191</v>
      </c>
      <c r="AI1117" s="420">
        <f t="shared" ref="AI1117:AY1117" si="1198">INDEX(MO_Common_QEndDate,0,COLUMN())-INDEX(MO_Common_FPDays,0,COLUMN())+1</f>
        <v>43282</v>
      </c>
      <c r="AJ1117" s="420">
        <f t="shared" si="1198"/>
        <v>43009</v>
      </c>
      <c r="AK1117" s="420">
        <f t="shared" si="1198"/>
        <v>43374</v>
      </c>
      <c r="AL1117" s="420">
        <f t="shared" si="1198"/>
        <v>43466</v>
      </c>
      <c r="AM1117" s="420">
        <f t="shared" si="1198"/>
        <v>43556</v>
      </c>
      <c r="AN1117" s="420">
        <f t="shared" si="1198"/>
        <v>43647</v>
      </c>
      <c r="AO1117" s="420">
        <f t="shared" si="1198"/>
        <v>43374</v>
      </c>
      <c r="AP1117" s="420">
        <f t="shared" si="1198"/>
        <v>43739</v>
      </c>
      <c r="AQ1117" s="420">
        <f t="shared" si="1198"/>
        <v>43831</v>
      </c>
      <c r="AR1117" s="420">
        <f t="shared" si="1198"/>
        <v>43922</v>
      </c>
      <c r="AS1117" s="420">
        <f>INDEX(MO_Common_QEndDate,0,COLUMN())-INDEX(MO_Common_FPDays,0,COLUMN())+1</f>
        <v>44013</v>
      </c>
      <c r="AT1117" s="420">
        <f>INDEX(MO_Common_QEndDate,0,COLUMN())-INDEX(MO_Common_FPDays,0,COLUMN())+1</f>
        <v>43739</v>
      </c>
      <c r="AU1117" s="420">
        <f>INDEX(MO_Common_QEndDate,0,COLUMN())-INDEX(MO_Common_FPDays,0,COLUMN())+1</f>
        <v>44105</v>
      </c>
      <c r="AV1117" s="420">
        <f>INDEX(MO_Common_QEndDate,0,COLUMN())-INDEX(MO_Common_FPDays,0,COLUMN())+1</f>
        <v>44197</v>
      </c>
      <c r="AW1117" s="452">
        <f>INDEX(MO_Common_QEndDate,0,COLUMN())-INDEX(MO_Common_FPDays,0,COLUMN())+1</f>
        <v>44287</v>
      </c>
      <c r="AX1117" s="420">
        <f t="shared" si="1198"/>
        <v>44378</v>
      </c>
      <c r="AY1117" s="420">
        <f t="shared" si="1198"/>
        <v>44105</v>
      </c>
      <c r="AZ1117" s="420">
        <f t="shared" ref="AZ1117:BG1117" si="1199">INDEX(MO_Common_QEndDate,0,COLUMN())-INDEX(MO_Common_FPDays,0,COLUMN())+1</f>
        <v>44470</v>
      </c>
      <c r="BA1117" s="420">
        <f t="shared" si="1199"/>
        <v>44562</v>
      </c>
      <c r="BB1117" s="420">
        <f t="shared" si="1199"/>
        <v>44652</v>
      </c>
      <c r="BC1117" s="420">
        <f t="shared" si="1199"/>
        <v>44743</v>
      </c>
      <c r="BD1117" s="420">
        <f t="shared" si="1199"/>
        <v>44470</v>
      </c>
      <c r="BE1117" s="420">
        <f t="shared" si="1199"/>
        <v>44835</v>
      </c>
      <c r="BF1117" s="420">
        <f t="shared" si="1199"/>
        <v>45200</v>
      </c>
      <c r="BG1117" s="421">
        <f t="shared" si="1199"/>
        <v>45566</v>
      </c>
      <c r="BH1117" s="728"/>
    </row>
    <row r="1118" spans="1:60" s="15" customFormat="1" x14ac:dyDescent="0.25">
      <c r="A1118" s="418" t="s">
        <v>403</v>
      </c>
      <c r="B1118" s="957"/>
      <c r="C1118" s="419" t="b">
        <f>TRUE</f>
        <v>1</v>
      </c>
      <c r="D1118" s="419" t="b">
        <f>TRUE</f>
        <v>1</v>
      </c>
      <c r="E1118" s="420" t="b">
        <f>TRUE</f>
        <v>1</v>
      </c>
      <c r="F1118" s="420" t="b">
        <f>TRUE</f>
        <v>1</v>
      </c>
      <c r="G1118" s="420" t="b">
        <f>TRUE</f>
        <v>1</v>
      </c>
      <c r="H1118" s="420" t="b">
        <f>TRUE</f>
        <v>1</v>
      </c>
      <c r="I1118" s="420" t="b">
        <f>TRUE</f>
        <v>1</v>
      </c>
      <c r="J1118" s="420" t="b">
        <f>TRUE</f>
        <v>1</v>
      </c>
      <c r="K1118" s="420" t="b">
        <f>TRUE</f>
        <v>1</v>
      </c>
      <c r="L1118" s="420" t="b">
        <f>TRUE</f>
        <v>1</v>
      </c>
      <c r="M1118" s="420" t="b">
        <f>TRUE</f>
        <v>1</v>
      </c>
      <c r="N1118" s="420" t="b">
        <f>TRUE</f>
        <v>1</v>
      </c>
      <c r="O1118" s="420" t="b">
        <f>TRUE</f>
        <v>1</v>
      </c>
      <c r="P1118" s="420" t="b">
        <f>TRUE</f>
        <v>1</v>
      </c>
      <c r="Q1118" s="420" t="b">
        <f>TRUE</f>
        <v>1</v>
      </c>
      <c r="R1118" s="420" t="b">
        <f>TRUE</f>
        <v>1</v>
      </c>
      <c r="S1118" s="420" t="b">
        <f>TRUE</f>
        <v>1</v>
      </c>
      <c r="T1118" s="420" t="b">
        <f>TRUE</f>
        <v>1</v>
      </c>
      <c r="U1118" s="420" t="b">
        <f>TRUE</f>
        <v>1</v>
      </c>
      <c r="V1118" s="420" t="b">
        <f>TRUE</f>
        <v>1</v>
      </c>
      <c r="W1118" s="420" t="b">
        <f>TRUE</f>
        <v>1</v>
      </c>
      <c r="X1118" s="420" t="b">
        <f>TRUE</f>
        <v>1</v>
      </c>
      <c r="Y1118" s="420" t="b">
        <f>TRUE</f>
        <v>1</v>
      </c>
      <c r="Z1118" s="420" t="b">
        <f>TRUE</f>
        <v>1</v>
      </c>
      <c r="AA1118" s="420" t="b">
        <f>TRUE</f>
        <v>1</v>
      </c>
      <c r="AB1118" s="420" t="b">
        <f>TRUE</f>
        <v>1</v>
      </c>
      <c r="AC1118" s="420" t="b">
        <f>TRUE</f>
        <v>1</v>
      </c>
      <c r="AD1118" s="420" t="b">
        <f>TRUE</f>
        <v>1</v>
      </c>
      <c r="AE1118" s="420" t="b">
        <f>TRUE</f>
        <v>1</v>
      </c>
      <c r="AF1118" s="420" t="b">
        <f>TRUE</f>
        <v>1</v>
      </c>
      <c r="AG1118" s="420" t="b">
        <f>TRUE</f>
        <v>1</v>
      </c>
      <c r="AH1118" s="420" t="b">
        <f>TRUE</f>
        <v>1</v>
      </c>
      <c r="AI1118" s="420" t="b">
        <f>TRUE</f>
        <v>1</v>
      </c>
      <c r="AJ1118" s="420" t="b">
        <f>TRUE</f>
        <v>1</v>
      </c>
      <c r="AK1118" s="420" t="b">
        <f>TRUE</f>
        <v>1</v>
      </c>
      <c r="AL1118" s="420" t="b">
        <f>TRUE</f>
        <v>1</v>
      </c>
      <c r="AM1118" s="420" t="b">
        <f>TRUE</f>
        <v>1</v>
      </c>
      <c r="AN1118" s="420" t="b">
        <f>TRUE</f>
        <v>1</v>
      </c>
      <c r="AO1118" s="420" t="b">
        <f>TRUE</f>
        <v>1</v>
      </c>
      <c r="AP1118" s="420" t="b">
        <f>TRUE</f>
        <v>1</v>
      </c>
      <c r="AQ1118" s="420" t="b">
        <f>TRUE</f>
        <v>1</v>
      </c>
      <c r="AR1118" s="420" t="b">
        <f>TRUE</f>
        <v>1</v>
      </c>
      <c r="AS1118" s="420" t="b">
        <f>TRUE</f>
        <v>1</v>
      </c>
      <c r="AT1118" s="420" t="b">
        <f>TRUE</f>
        <v>1</v>
      </c>
      <c r="AU1118" s="420" t="b">
        <f>TRUE</f>
        <v>1</v>
      </c>
      <c r="AV1118" s="420" t="b">
        <f>TRUE</f>
        <v>1</v>
      </c>
      <c r="AW1118" s="452" t="b">
        <f>TRUE</f>
        <v>1</v>
      </c>
      <c r="AX1118" s="420" t="b">
        <f>FALSE</f>
        <v>0</v>
      </c>
      <c r="AY1118" s="420" t="b">
        <f>FALSE</f>
        <v>0</v>
      </c>
      <c r="AZ1118" s="420" t="b">
        <f>FALSE</f>
        <v>0</v>
      </c>
      <c r="BA1118" s="420" t="b">
        <f>FALSE</f>
        <v>0</v>
      </c>
      <c r="BB1118" s="420" t="b">
        <f>FALSE</f>
        <v>0</v>
      </c>
      <c r="BC1118" s="420" t="b">
        <f>FALSE</f>
        <v>0</v>
      </c>
      <c r="BD1118" s="420" t="b">
        <f>FALSE</f>
        <v>0</v>
      </c>
      <c r="BE1118" s="420" t="b">
        <f>FALSE</f>
        <v>0</v>
      </c>
      <c r="BF1118" s="420" t="b">
        <f>FALSE</f>
        <v>0</v>
      </c>
      <c r="BG1118" s="421" t="b">
        <f>FALSE</f>
        <v>0</v>
      </c>
      <c r="BH1118" s="728"/>
    </row>
    <row r="1119" spans="1:60" s="427" customFormat="1" x14ac:dyDescent="0.25">
      <c r="A1119" s="422" t="str">
        <f ca="1">"Stock High: "&amp;IF(OR(MO.RealTimeStockPriceToggle=FALSE,VLOOKUP(MO.DataSourceName,MO_SPT_StockHigh_Sources,COLUMN()+2,FALSE)="N/A"),"Real-Time Off Source",MO.DataSourceName)</f>
        <v>Stock High: Real-Time Off Source</v>
      </c>
      <c r="B1119" s="423"/>
      <c r="C1119" s="424">
        <f t="shared" ref="C1119:AH1119" ca="1" si="1200">IF(OR(MO.RealTimeStockPriceToggle=FALSE,VLOOKUP(MO.DataSourceName,MO_SPT_StockHigh_Sources,COLUMN(),FALSE)="N/A"),VLOOKUP("Real-Time Off Source",MO_SPT_StockHigh_Sources,COLUMN(),FALSE),VLOOKUP(MO.DataSourceName,MO_SPT_StockHigh_Sources,COLUMN(),FALSE))</f>
        <v>32.950000000000003</v>
      </c>
      <c r="D1119" s="424">
        <f t="shared" ca="1" si="1200"/>
        <v>37.979999999999997</v>
      </c>
      <c r="E1119" s="423">
        <f t="shared" ca="1" si="1200"/>
        <v>37.979999999999997</v>
      </c>
      <c r="F1119" s="423">
        <f t="shared" ca="1" si="1200"/>
        <v>53.4</v>
      </c>
      <c r="G1119" s="423">
        <f t="shared" ca="1" si="1200"/>
        <v>53.15</v>
      </c>
      <c r="H1119" s="423">
        <f t="shared" ca="1" si="1200"/>
        <v>57.82</v>
      </c>
      <c r="I1119" s="423">
        <f t="shared" ca="1" si="1200"/>
        <v>67.89</v>
      </c>
      <c r="J1119" s="423">
        <f t="shared" ca="1" si="1200"/>
        <v>67.650000000000006</v>
      </c>
      <c r="K1119" s="423">
        <f t="shared" ca="1" si="1200"/>
        <v>67.89</v>
      </c>
      <c r="L1119" s="423">
        <f t="shared" ca="1" si="1200"/>
        <v>74.78</v>
      </c>
      <c r="M1119" s="423">
        <f t="shared" ca="1" si="1200"/>
        <v>83.65</v>
      </c>
      <c r="N1119" s="423">
        <f t="shared" ca="1" si="1200"/>
        <v>85.86</v>
      </c>
      <c r="O1119" s="423">
        <f t="shared" ca="1" si="1200"/>
        <v>91.2</v>
      </c>
      <c r="P1119" s="423">
        <f t="shared" ca="1" si="1200"/>
        <v>91.2</v>
      </c>
      <c r="Q1119" s="423">
        <f t="shared" ca="1" si="1200"/>
        <v>95.31</v>
      </c>
      <c r="R1119" s="423">
        <f t="shared" ca="1" si="1200"/>
        <v>108.94</v>
      </c>
      <c r="S1119" s="423">
        <f t="shared" ca="1" si="1200"/>
        <v>115.28</v>
      </c>
      <c r="T1119" s="423">
        <f t="shared" ca="1" si="1200"/>
        <v>122.08</v>
      </c>
      <c r="U1119" s="423">
        <f t="shared" ca="1" si="1200"/>
        <v>122.08</v>
      </c>
      <c r="V1119" s="423">
        <f t="shared" ca="1" si="1200"/>
        <v>120.65</v>
      </c>
      <c r="W1119" s="423">
        <f t="shared" ca="1" si="1200"/>
        <v>103.43</v>
      </c>
      <c r="X1119" s="423">
        <f t="shared" ca="1" si="1200"/>
        <v>106.75</v>
      </c>
      <c r="Y1119" s="423">
        <f t="shared" ca="1" si="1200"/>
        <v>100.8</v>
      </c>
      <c r="Z1119" s="423">
        <f t="shared" ca="1" si="1200"/>
        <v>120.65</v>
      </c>
      <c r="AA1119" s="423">
        <f t="shared" ca="1" si="1200"/>
        <v>106.26</v>
      </c>
      <c r="AB1119" s="423">
        <f t="shared" ca="1" si="1200"/>
        <v>113.71</v>
      </c>
      <c r="AC1119" s="423">
        <f t="shared" ca="1" si="1200"/>
        <v>116.1</v>
      </c>
      <c r="AD1119" s="423">
        <f t="shared" ca="1" si="1200"/>
        <v>110.83</v>
      </c>
      <c r="AE1119" s="423">
        <f t="shared" ca="1" si="1200"/>
        <v>116.1</v>
      </c>
      <c r="AF1119" s="423">
        <f t="shared" ca="1" si="1200"/>
        <v>110.0647</v>
      </c>
      <c r="AG1119" s="423">
        <f t="shared" ca="1" si="1200"/>
        <v>110.7144</v>
      </c>
      <c r="AH1119" s="423">
        <f t="shared" ca="1" si="1200"/>
        <v>107.15089999999999</v>
      </c>
      <c r="AI1119" s="423">
        <f t="shared" ref="AI1119:AY1119" ca="1" si="1201">IF(OR(MO.RealTimeStockPriceToggle=FALSE,VLOOKUP(MO.DataSourceName,MO_SPT_StockHigh_Sources,COLUMN(),FALSE)="N/A"),VLOOKUP("Real-Time Off Source",MO_SPT_StockHigh_Sources,COLUMN(),FALSE),VLOOKUP(MO.DataSourceName,MO_SPT_StockHigh_Sources,COLUMN(),FALSE))</f>
        <v>116.0399</v>
      </c>
      <c r="AJ1119" s="423">
        <f t="shared" ca="1" si="1201"/>
        <v>116.0399</v>
      </c>
      <c r="AK1119" s="423">
        <f t="shared" ca="1" si="1201"/>
        <v>117.98480000000001</v>
      </c>
      <c r="AL1119" s="423">
        <f t="shared" ca="1" si="1201"/>
        <v>115.25</v>
      </c>
      <c r="AM1119" s="423">
        <f t="shared" ca="1" si="1201"/>
        <v>142.02000000000001</v>
      </c>
      <c r="AN1119" s="423">
        <f t="shared" ca="1" si="1201"/>
        <v>146.38999999999999</v>
      </c>
      <c r="AO1119" s="423">
        <f t="shared" ca="1" si="1201"/>
        <v>146.38999999999999</v>
      </c>
      <c r="AP1119" s="423">
        <f t="shared" ca="1" si="1201"/>
        <v>151.63999999999999</v>
      </c>
      <c r="AQ1119" s="423">
        <f t="shared" ca="1" si="1201"/>
        <v>148.19999999999999</v>
      </c>
      <c r="AR1119" s="423">
        <f t="shared" ca="1" si="1201"/>
        <v>127.28</v>
      </c>
      <c r="AS1119" s="423">
        <f ca="1">IF(OR(MO.RealTimeStockPriceToggle=FALSE,VLOOKUP(MO.DataSourceName,MO_SPT_StockHigh_Sources,COLUMN(),FALSE)="N/A"),VLOOKUP("Real-Time Off Source",MO_SPT_StockHigh_Sources,COLUMN(),FALSE),VLOOKUP(MO.DataSourceName,MO_SPT_StockHigh_Sources,COLUMN(),FALSE))</f>
        <v>135.54</v>
      </c>
      <c r="AT1119" s="423">
        <f ca="1">IF(OR(MO.RealTimeStockPriceToggle=FALSE,VLOOKUP(MO.DataSourceName,MO_SPT_StockHigh_Sources,COLUMN(),FALSE)="N/A"),VLOOKUP("Real-Time Off Source",MO_SPT_StockHigh_Sources,COLUMN(),FALSE),VLOOKUP(MO.DataSourceName,MO_SPT_StockHigh_Sources,COLUMN(),FALSE))</f>
        <v>151.63999999999999</v>
      </c>
      <c r="AU1119" s="423">
        <f ca="1">IF(OR(MO.RealTimeStockPriceToggle=FALSE,VLOOKUP(MO.DataSourceName,MO_SPT_StockHigh_Sources,COLUMN(),FALSE)="N/A"),VLOOKUP("Real-Time Off Source",MO_SPT_StockHigh_Sources,COLUMN(),FALSE),VLOOKUP(MO.DataSourceName,MO_SPT_StockHigh_Sources,COLUMN(),FALSE))</f>
        <v>181.18</v>
      </c>
      <c r="AV1119" s="423">
        <f ca="1">IF(OR(MO.RealTimeStockPriceToggle=FALSE,VLOOKUP(MO.DataSourceName,MO_SPT_StockHigh_Sources,COLUMN(),FALSE)="N/A"),VLOOKUP("Real-Time Off Source",MO_SPT_StockHigh_Sources,COLUMN(),FALSE),VLOOKUP(MO.DataSourceName,MO_SPT_StockHigh_Sources,COLUMN(),FALSE))</f>
        <v>201.91</v>
      </c>
      <c r="AW1119" s="453">
        <f ca="1">IF(OR(MO.RealTimeStockPriceToggle=FALSE,VLOOKUP(MO.DataSourceName,MO_SPT_StockHigh_Sources,COLUMN(),FALSE)="N/A"),VLOOKUP("Real-Time Off Source",MO_SPT_StockHigh_Sources,COLUMN(),FALSE),VLOOKUP(MO.DataSourceName,MO_SPT_StockHigh_Sources,COLUMN(),FALSE))</f>
        <v>189.73</v>
      </c>
      <c r="AX1119" s="423">
        <f t="shared" ca="1" si="1201"/>
        <v>0</v>
      </c>
      <c r="AY1119" s="423">
        <f t="shared" ca="1" si="1201"/>
        <v>0</v>
      </c>
      <c r="AZ1119" s="423">
        <f t="shared" ref="AZ1119:BG1119" ca="1" si="1202">IF(OR(MO.RealTimeStockPriceToggle=FALSE,VLOOKUP(MO.DataSourceName,MO_SPT_StockHigh_Sources,COLUMN(),FALSE)="N/A"),VLOOKUP("Real-Time Off Source",MO_SPT_StockHigh_Sources,COLUMN(),FALSE),VLOOKUP(MO.DataSourceName,MO_SPT_StockHigh_Sources,COLUMN(),FALSE))</f>
        <v>0</v>
      </c>
      <c r="BA1119" s="423">
        <f t="shared" ca="1" si="1202"/>
        <v>0</v>
      </c>
      <c r="BB1119" s="423">
        <f t="shared" ca="1" si="1202"/>
        <v>0</v>
      </c>
      <c r="BC1119" s="423">
        <f t="shared" ca="1" si="1202"/>
        <v>0</v>
      </c>
      <c r="BD1119" s="423">
        <f t="shared" ca="1" si="1202"/>
        <v>0</v>
      </c>
      <c r="BE1119" s="423">
        <f t="shared" ca="1" si="1202"/>
        <v>0</v>
      </c>
      <c r="BF1119" s="423">
        <f t="shared" ca="1" si="1202"/>
        <v>0</v>
      </c>
      <c r="BG1119" s="425">
        <f t="shared" ca="1" si="1202"/>
        <v>0</v>
      </c>
      <c r="BH1119" s="426"/>
    </row>
    <row r="1120" spans="1:60" s="427" customFormat="1" hidden="1" outlineLevel="1" x14ac:dyDescent="0.25">
      <c r="A1120" s="428" t="s">
        <v>404</v>
      </c>
      <c r="B1120" s="423"/>
      <c r="C1120" s="424">
        <v>32.950000000000003</v>
      </c>
      <c r="D1120" s="424">
        <v>37.979999999999997</v>
      </c>
      <c r="E1120" s="423">
        <v>37.979999999999997</v>
      </c>
      <c r="F1120" s="423">
        <v>53.4</v>
      </c>
      <c r="G1120" s="423">
        <v>53.15</v>
      </c>
      <c r="H1120" s="423">
        <v>57.82</v>
      </c>
      <c r="I1120" s="423">
        <v>67.89</v>
      </c>
      <c r="J1120" s="423">
        <v>67.650000000000006</v>
      </c>
      <c r="K1120" s="423">
        <v>67.89</v>
      </c>
      <c r="L1120" s="423">
        <v>74.78</v>
      </c>
      <c r="M1120" s="423">
        <v>83.65</v>
      </c>
      <c r="N1120" s="423">
        <v>85.86</v>
      </c>
      <c r="O1120" s="423">
        <v>91.2</v>
      </c>
      <c r="P1120" s="423">
        <v>91.2</v>
      </c>
      <c r="Q1120" s="423">
        <v>95.31</v>
      </c>
      <c r="R1120" s="423">
        <v>108.94</v>
      </c>
      <c r="S1120" s="423">
        <v>115.28</v>
      </c>
      <c r="T1120" s="423">
        <v>122.08</v>
      </c>
      <c r="U1120" s="423">
        <v>122.08</v>
      </c>
      <c r="V1120" s="423">
        <v>120.65</v>
      </c>
      <c r="W1120" s="423">
        <v>103.43</v>
      </c>
      <c r="X1120" s="423">
        <v>106.75</v>
      </c>
      <c r="Y1120" s="423">
        <v>100.8</v>
      </c>
      <c r="Z1120" s="423">
        <v>120.65</v>
      </c>
      <c r="AA1120" s="423">
        <v>106.26</v>
      </c>
      <c r="AB1120" s="423">
        <v>113.71</v>
      </c>
      <c r="AC1120" s="423">
        <v>116.1</v>
      </c>
      <c r="AD1120" s="423">
        <v>110.83</v>
      </c>
      <c r="AE1120" s="423">
        <v>116.1</v>
      </c>
      <c r="AF1120" s="423">
        <v>110.0647</v>
      </c>
      <c r="AG1120" s="423">
        <v>110.7144</v>
      </c>
      <c r="AH1120" s="423">
        <v>107.15089999999999</v>
      </c>
      <c r="AI1120" s="423">
        <v>116.0399</v>
      </c>
      <c r="AJ1120" s="423">
        <v>116.0399</v>
      </c>
      <c r="AK1120" s="423">
        <v>117.98480000000001</v>
      </c>
      <c r="AL1120" s="423">
        <v>115.25</v>
      </c>
      <c r="AM1120" s="423">
        <v>142.02000000000001</v>
      </c>
      <c r="AN1120" s="423">
        <v>146.38999999999999</v>
      </c>
      <c r="AO1120" s="423">
        <v>146.38999999999999</v>
      </c>
      <c r="AP1120" s="423">
        <v>151.63999999999999</v>
      </c>
      <c r="AQ1120" s="423">
        <v>148.19999999999999</v>
      </c>
      <c r="AR1120" s="423">
        <v>127.28</v>
      </c>
      <c r="AS1120" s="423">
        <v>135.54</v>
      </c>
      <c r="AT1120" s="423">
        <v>151.63999999999999</v>
      </c>
      <c r="AU1120" s="423">
        <v>181.18</v>
      </c>
      <c r="AV1120" s="423">
        <v>201.91</v>
      </c>
      <c r="AW1120" s="453">
        <v>189.73</v>
      </c>
      <c r="AX1120" s="423"/>
      <c r="AY1120" s="423"/>
      <c r="AZ1120" s="423"/>
      <c r="BA1120" s="423"/>
      <c r="BB1120" s="423"/>
      <c r="BC1120" s="423"/>
      <c r="BD1120" s="423"/>
      <c r="BE1120" s="423"/>
      <c r="BF1120" s="423"/>
      <c r="BG1120" s="425"/>
      <c r="BH1120" s="426"/>
    </row>
    <row r="1121" spans="1:60" s="427" customFormat="1" hidden="1" outlineLevel="1" x14ac:dyDescent="0.25">
      <c r="A1121" s="428" t="s">
        <v>7</v>
      </c>
      <c r="B1121" s="423"/>
      <c r="C1121" s="424" t="str">
        <f ca="1">IFERROR(BDP(MO.Ticker.Bloomberg&amp;" Equity","INTERVAL_HIGH","MARKET_DATA_OVERRIDE=PX_LAST","START_DATE_OVERRIDE",TEXT(INDEX(MO_SNA_FPStartDate,0,COLUMN()),"YYYYMMDD"),"END_DATE_OVERRIDE",TEXT(INDEX(MO_Common_QEndDate,0,COLUMN()),"YYYYMMDD")),"N/A")</f>
        <v>N/A</v>
      </c>
      <c r="D1121" s="424" t="str">
        <f ca="1">IFERROR(BDP(MO.Ticker.Bloomberg&amp;" Equity","INTERVAL_HIGH","MARKET_DATA_OVERRIDE=PX_LAST","START_DATE_OVERRIDE",TEXT(INDEX(MO_SNA_FPStartDate,0,COLUMN()),"YYYYMMDD"),"END_DATE_OVERRIDE",TEXT(INDEX(MO_Common_QEndDate,0,COLUMN()),"YYYYMMDD")),"N/A")</f>
        <v>N/A</v>
      </c>
      <c r="E1121" s="423" t="str">
        <f ca="1">IFERROR(BDP(MO.Ticker.Bloomberg&amp;" Equity","INTERVAL_HIGH","MARKET_DATA_OVERRIDE=PX_LAST","START_DATE_OVERRIDE",TEXT(INDEX(MO_SNA_FPStartDate,0,COLUMN()),"YYYYMMDD"),"END_DATE_OVERRIDE",TEXT(INDEX(MO_Common_QEndDate,0,COLUMN()),"YYYYMMDD")),"N/A")</f>
        <v>N/A</v>
      </c>
      <c r="F1121" s="423" t="str">
        <f ca="1">IFERROR(BDP(MO.Ticker.Bloomberg&amp;" Equity","INTERVAL_HIGH","MARKET_DATA_OVERRIDE=PX_LAST","START_DATE_OVERRIDE",TEXT(INDEX(MO_SNA_FPStartDate,0,COLUMN()),"YYYYMMDD"),"END_DATE_OVERRIDE",TEXT(INDEX(MO_Common_QEndDate,0,COLUMN()),"YYYYMMDD")),"N/A")</f>
        <v>N/A</v>
      </c>
      <c r="G1121" s="423" t="str">
        <f ca="1">IFERROR(BDP(MO.Ticker.Bloomberg&amp;" Equity","INTERVAL_HIGH","MARKET_DATA_OVERRIDE=PX_LAST","START_DATE_OVERRIDE",TEXT(INDEX(MO_SNA_FPStartDate,0,COLUMN()),"YYYYMMDD"),"END_DATE_OVERRIDE",TEXT(INDEX(MO_Common_QEndDate,0,COLUMN()),"YYYYMMDD")),"N/A")</f>
        <v>N/A</v>
      </c>
      <c r="H1121" s="423" t="str">
        <f ca="1">IFERROR(BDP(MO.Ticker.Bloomberg&amp;" Equity","INTERVAL_HIGH","MARKET_DATA_OVERRIDE=PX_LAST","START_DATE_OVERRIDE",TEXT(INDEX(MO_SNA_FPStartDate,0,COLUMN()),"YYYYMMDD"),"END_DATE_OVERRIDE",TEXT(INDEX(MO_Common_QEndDate,0,COLUMN()),"YYYYMMDD")),"N/A")</f>
        <v>N/A</v>
      </c>
      <c r="I1121" s="423" t="str">
        <f ca="1">IFERROR(BDP(MO.Ticker.Bloomberg&amp;" Equity","INTERVAL_HIGH","MARKET_DATA_OVERRIDE=PX_LAST","START_DATE_OVERRIDE",TEXT(INDEX(MO_SNA_FPStartDate,0,COLUMN()),"YYYYMMDD"),"END_DATE_OVERRIDE",TEXT(INDEX(MO_Common_QEndDate,0,COLUMN()),"YYYYMMDD")),"N/A")</f>
        <v>N/A</v>
      </c>
      <c r="J1121" s="423" t="str">
        <f ca="1">IFERROR(BDP(MO.Ticker.Bloomberg&amp;" Equity","INTERVAL_HIGH","MARKET_DATA_OVERRIDE=PX_LAST","START_DATE_OVERRIDE",TEXT(INDEX(MO_SNA_FPStartDate,0,COLUMN()),"YYYYMMDD"),"END_DATE_OVERRIDE",TEXT(INDEX(MO_Common_QEndDate,0,COLUMN()),"YYYYMMDD")),"N/A")</f>
        <v>N/A</v>
      </c>
      <c r="K1121" s="423" t="str">
        <f ca="1">IFERROR(BDP(MO.Ticker.Bloomberg&amp;" Equity","INTERVAL_HIGH","MARKET_DATA_OVERRIDE=PX_LAST","START_DATE_OVERRIDE",TEXT(INDEX(MO_SNA_FPStartDate,0,COLUMN()),"YYYYMMDD"),"END_DATE_OVERRIDE",TEXT(INDEX(MO_Common_QEndDate,0,COLUMN()),"YYYYMMDD")),"N/A")</f>
        <v>N/A</v>
      </c>
      <c r="L1121" s="423" t="str">
        <f ca="1">IFERROR(BDP(MO.Ticker.Bloomberg&amp;" Equity","INTERVAL_HIGH","MARKET_DATA_OVERRIDE=PX_LAST","START_DATE_OVERRIDE",TEXT(INDEX(MO_SNA_FPStartDate,0,COLUMN()),"YYYYMMDD"),"END_DATE_OVERRIDE",TEXT(INDEX(MO_Common_QEndDate,0,COLUMN()),"YYYYMMDD")),"N/A")</f>
        <v>N/A</v>
      </c>
      <c r="M1121" s="423" t="str">
        <f ca="1">IFERROR(BDP(MO.Ticker.Bloomberg&amp;" Equity","INTERVAL_HIGH","MARKET_DATA_OVERRIDE=PX_LAST","START_DATE_OVERRIDE",TEXT(INDEX(MO_SNA_FPStartDate,0,COLUMN()),"YYYYMMDD"),"END_DATE_OVERRIDE",TEXT(INDEX(MO_Common_QEndDate,0,COLUMN()),"YYYYMMDD")),"N/A")</f>
        <v>N/A</v>
      </c>
      <c r="N1121" s="423" t="str">
        <f ca="1">IFERROR(BDP(MO.Ticker.Bloomberg&amp;" Equity","INTERVAL_HIGH","MARKET_DATA_OVERRIDE=PX_LAST","START_DATE_OVERRIDE",TEXT(INDEX(MO_SNA_FPStartDate,0,COLUMN()),"YYYYMMDD"),"END_DATE_OVERRIDE",TEXT(INDEX(MO_Common_QEndDate,0,COLUMN()),"YYYYMMDD")),"N/A")</f>
        <v>N/A</v>
      </c>
      <c r="O1121" s="423" t="str">
        <f ca="1">IFERROR(BDP(MO.Ticker.Bloomberg&amp;" Equity","INTERVAL_HIGH","MARKET_DATA_OVERRIDE=PX_LAST","START_DATE_OVERRIDE",TEXT(INDEX(MO_SNA_FPStartDate,0,COLUMN()),"YYYYMMDD"),"END_DATE_OVERRIDE",TEXT(INDEX(MO_Common_QEndDate,0,COLUMN()),"YYYYMMDD")),"N/A")</f>
        <v>N/A</v>
      </c>
      <c r="P1121" s="423" t="str">
        <f ca="1">IFERROR(BDP(MO.Ticker.Bloomberg&amp;" Equity","INTERVAL_HIGH","MARKET_DATA_OVERRIDE=PX_LAST","START_DATE_OVERRIDE",TEXT(INDEX(MO_SNA_FPStartDate,0,COLUMN()),"YYYYMMDD"),"END_DATE_OVERRIDE",TEXT(INDEX(MO_Common_QEndDate,0,COLUMN()),"YYYYMMDD")),"N/A")</f>
        <v>N/A</v>
      </c>
      <c r="Q1121" s="423" t="str">
        <f ca="1">IFERROR(BDP(MO.Ticker.Bloomberg&amp;" Equity","INTERVAL_HIGH","MARKET_DATA_OVERRIDE=PX_LAST","START_DATE_OVERRIDE",TEXT(INDEX(MO_SNA_FPStartDate,0,COLUMN()),"YYYYMMDD"),"END_DATE_OVERRIDE",TEXT(INDEX(MO_Common_QEndDate,0,COLUMN()),"YYYYMMDD")),"N/A")</f>
        <v>N/A</v>
      </c>
      <c r="R1121" s="423" t="str">
        <f ca="1">IFERROR(BDP(MO.Ticker.Bloomberg&amp;" Equity","INTERVAL_HIGH","MARKET_DATA_OVERRIDE=PX_LAST","START_DATE_OVERRIDE",TEXT(INDEX(MO_SNA_FPStartDate,0,COLUMN()),"YYYYMMDD"),"END_DATE_OVERRIDE",TEXT(INDEX(MO_Common_QEndDate,0,COLUMN()),"YYYYMMDD")),"N/A")</f>
        <v>N/A</v>
      </c>
      <c r="S1121" s="423" t="str">
        <f ca="1">IFERROR(BDP(MO.Ticker.Bloomberg&amp;" Equity","INTERVAL_HIGH","MARKET_DATA_OVERRIDE=PX_LAST","START_DATE_OVERRIDE",TEXT(INDEX(MO_SNA_FPStartDate,0,COLUMN()),"YYYYMMDD"),"END_DATE_OVERRIDE",TEXT(INDEX(MO_Common_QEndDate,0,COLUMN()),"YYYYMMDD")),"N/A")</f>
        <v>N/A</v>
      </c>
      <c r="T1121" s="423" t="str">
        <f ca="1">IFERROR(BDP(MO.Ticker.Bloomberg&amp;" Equity","INTERVAL_HIGH","MARKET_DATA_OVERRIDE=PX_LAST","START_DATE_OVERRIDE",TEXT(INDEX(MO_SNA_FPStartDate,0,COLUMN()),"YYYYMMDD"),"END_DATE_OVERRIDE",TEXT(INDEX(MO_Common_QEndDate,0,COLUMN()),"YYYYMMDD")),"N/A")</f>
        <v>N/A</v>
      </c>
      <c r="U1121" s="423" t="str">
        <f ca="1">IFERROR(BDP(MO.Ticker.Bloomberg&amp;" Equity","INTERVAL_HIGH","MARKET_DATA_OVERRIDE=PX_LAST","START_DATE_OVERRIDE",TEXT(INDEX(MO_SNA_FPStartDate,0,COLUMN()),"YYYYMMDD"),"END_DATE_OVERRIDE",TEXT(INDEX(MO_Common_QEndDate,0,COLUMN()),"YYYYMMDD")),"N/A")</f>
        <v>N/A</v>
      </c>
      <c r="V1121" s="423" t="str">
        <f ca="1">IFERROR(BDP(MO.Ticker.Bloomberg&amp;" Equity","INTERVAL_HIGH","MARKET_DATA_OVERRIDE=PX_LAST","START_DATE_OVERRIDE",TEXT(INDEX(MO_SNA_FPStartDate,0,COLUMN()),"YYYYMMDD"),"END_DATE_OVERRIDE",TEXT(INDEX(MO_Common_QEndDate,0,COLUMN()),"YYYYMMDD")),"N/A")</f>
        <v>N/A</v>
      </c>
      <c r="W1121" s="423" t="str">
        <f ca="1">IFERROR(BDP(MO.Ticker.Bloomberg&amp;" Equity","INTERVAL_HIGH","MARKET_DATA_OVERRIDE=PX_LAST","START_DATE_OVERRIDE",TEXT(INDEX(MO_SNA_FPStartDate,0,COLUMN()),"YYYYMMDD"),"END_DATE_OVERRIDE",TEXT(INDEX(MO_Common_QEndDate,0,COLUMN()),"YYYYMMDD")),"N/A")</f>
        <v>N/A</v>
      </c>
      <c r="X1121" s="423" t="str">
        <f ca="1">IFERROR(BDP(MO.Ticker.Bloomberg&amp;" Equity","INTERVAL_HIGH","MARKET_DATA_OVERRIDE=PX_LAST","START_DATE_OVERRIDE",TEXT(INDEX(MO_SNA_FPStartDate,0,COLUMN()),"YYYYMMDD"),"END_DATE_OVERRIDE",TEXT(INDEX(MO_Common_QEndDate,0,COLUMN()),"YYYYMMDD")),"N/A")</f>
        <v>N/A</v>
      </c>
      <c r="Y1121" s="423" t="str">
        <f ca="1">IFERROR(BDP(MO.Ticker.Bloomberg&amp;" Equity","INTERVAL_HIGH","MARKET_DATA_OVERRIDE=PX_LAST","START_DATE_OVERRIDE",TEXT(INDEX(MO_SNA_FPStartDate,0,COLUMN()),"YYYYMMDD"),"END_DATE_OVERRIDE",TEXT(INDEX(MO_Common_QEndDate,0,COLUMN()),"YYYYMMDD")),"N/A")</f>
        <v>N/A</v>
      </c>
      <c r="Z1121" s="423" t="str">
        <f ca="1">IFERROR(BDP(MO.Ticker.Bloomberg&amp;" Equity","INTERVAL_HIGH","MARKET_DATA_OVERRIDE=PX_LAST","START_DATE_OVERRIDE",TEXT(INDEX(MO_SNA_FPStartDate,0,COLUMN()),"YYYYMMDD"),"END_DATE_OVERRIDE",TEXT(INDEX(MO_Common_QEndDate,0,COLUMN()),"YYYYMMDD")),"N/A")</f>
        <v>N/A</v>
      </c>
      <c r="AA1121" s="423" t="str">
        <f ca="1">IFERROR(BDP(MO.Ticker.Bloomberg&amp;" Equity","INTERVAL_HIGH","MARKET_DATA_OVERRIDE=PX_LAST","START_DATE_OVERRIDE",TEXT(INDEX(MO_SNA_FPStartDate,0,COLUMN()),"YYYYMMDD"),"END_DATE_OVERRIDE",TEXT(INDEX(MO_Common_QEndDate,0,COLUMN()),"YYYYMMDD")),"N/A")</f>
        <v>N/A</v>
      </c>
      <c r="AB1121" s="423" t="str">
        <f ca="1">IFERROR(BDP(MO.Ticker.Bloomberg&amp;" Equity","INTERVAL_HIGH","MARKET_DATA_OVERRIDE=PX_LAST","START_DATE_OVERRIDE",TEXT(INDEX(MO_SNA_FPStartDate,0,COLUMN()),"YYYYMMDD"),"END_DATE_OVERRIDE",TEXT(INDEX(MO_Common_QEndDate,0,COLUMN()),"YYYYMMDD")),"N/A")</f>
        <v>N/A</v>
      </c>
      <c r="AC1121" s="423" t="str">
        <f ca="1">IFERROR(BDP(MO.Ticker.Bloomberg&amp;" Equity","INTERVAL_HIGH","MARKET_DATA_OVERRIDE=PX_LAST","START_DATE_OVERRIDE",TEXT(INDEX(MO_SNA_FPStartDate,0,COLUMN()),"YYYYMMDD"),"END_DATE_OVERRIDE",TEXT(INDEX(MO_Common_QEndDate,0,COLUMN()),"YYYYMMDD")),"N/A")</f>
        <v>N/A</v>
      </c>
      <c r="AD1121" s="423" t="str">
        <f ca="1">IFERROR(BDP(MO.Ticker.Bloomberg&amp;" Equity","INTERVAL_HIGH","MARKET_DATA_OVERRIDE=PX_LAST","START_DATE_OVERRIDE",TEXT(INDEX(MO_SNA_FPStartDate,0,COLUMN()),"YYYYMMDD"),"END_DATE_OVERRIDE",TEXT(INDEX(MO_Common_QEndDate,0,COLUMN()),"YYYYMMDD")),"N/A")</f>
        <v>N/A</v>
      </c>
      <c r="AE1121" s="423" t="str">
        <f ca="1">IFERROR(BDP(MO.Ticker.Bloomberg&amp;" Equity","INTERVAL_HIGH","MARKET_DATA_OVERRIDE=PX_LAST","START_DATE_OVERRIDE",TEXT(INDEX(MO_SNA_FPStartDate,0,COLUMN()),"YYYYMMDD"),"END_DATE_OVERRIDE",TEXT(INDEX(MO_Common_QEndDate,0,COLUMN()),"YYYYMMDD")),"N/A")</f>
        <v>N/A</v>
      </c>
      <c r="AF1121" s="423" t="str">
        <f ca="1">IFERROR(BDP(MO.Ticker.Bloomberg&amp;" Equity","INTERVAL_HIGH","MARKET_DATA_OVERRIDE=PX_LAST","START_DATE_OVERRIDE",TEXT(INDEX(MO_SNA_FPStartDate,0,COLUMN()),"YYYYMMDD"),"END_DATE_OVERRIDE",TEXT(INDEX(MO_Common_QEndDate,0,COLUMN()),"YYYYMMDD")),"N/A")</f>
        <v>N/A</v>
      </c>
      <c r="AG1121" s="423" t="str">
        <f ca="1">IFERROR(BDP(MO.Ticker.Bloomberg&amp;" Equity","INTERVAL_HIGH","MARKET_DATA_OVERRIDE=PX_LAST","START_DATE_OVERRIDE",TEXT(INDEX(MO_SNA_FPStartDate,0,COLUMN()),"YYYYMMDD"),"END_DATE_OVERRIDE",TEXT(INDEX(MO_Common_QEndDate,0,COLUMN()),"YYYYMMDD")),"N/A")</f>
        <v>N/A</v>
      </c>
      <c r="AH1121" s="423" t="str">
        <f ca="1">IFERROR(BDP(MO.Ticker.Bloomberg&amp;" Equity","INTERVAL_HIGH","MARKET_DATA_OVERRIDE=PX_LAST","START_DATE_OVERRIDE",TEXT(INDEX(MO_SNA_FPStartDate,0,COLUMN()),"YYYYMMDD"),"END_DATE_OVERRIDE",TEXT(INDEX(MO_Common_QEndDate,0,COLUMN()),"YYYYMMDD")),"N/A")</f>
        <v>N/A</v>
      </c>
      <c r="AI1121" s="423" t="str">
        <f ca="1">IFERROR(BDP(MO.Ticker.Bloomberg&amp;" Equity","INTERVAL_HIGH","MARKET_DATA_OVERRIDE=PX_LAST","START_DATE_OVERRIDE",TEXT(INDEX(MO_SNA_FPStartDate,0,COLUMN()),"YYYYMMDD"),"END_DATE_OVERRIDE",TEXT(INDEX(MO_Common_QEndDate,0,COLUMN()),"YYYYMMDD")),"N/A")</f>
        <v>N/A</v>
      </c>
      <c r="AJ1121" s="423" t="str">
        <f ca="1">IFERROR(BDP(MO.Ticker.Bloomberg&amp;" Equity","INTERVAL_HIGH","MARKET_DATA_OVERRIDE=PX_LAST","START_DATE_OVERRIDE",TEXT(INDEX(MO_SNA_FPStartDate,0,COLUMN()),"YYYYMMDD"),"END_DATE_OVERRIDE",TEXT(INDEX(MO_Common_QEndDate,0,COLUMN()),"YYYYMMDD")),"N/A")</f>
        <v>N/A</v>
      </c>
      <c r="AK1121" s="423" t="str">
        <f ca="1">IFERROR(BDP(MO.Ticker.Bloomberg&amp;" Equity","INTERVAL_HIGH","MARKET_DATA_OVERRIDE=PX_LAST","START_DATE_OVERRIDE",TEXT(INDEX(MO_SNA_FPStartDate,0,COLUMN()),"YYYYMMDD"),"END_DATE_OVERRIDE",TEXT(INDEX(MO_Common_QEndDate,0,COLUMN()),"YYYYMMDD")),"N/A")</f>
        <v>N/A</v>
      </c>
      <c r="AL1121" s="423" t="str">
        <f ca="1">IFERROR(BDP(MO.Ticker.Bloomberg&amp;" Equity","INTERVAL_HIGH","MARKET_DATA_OVERRIDE=PX_LAST","START_DATE_OVERRIDE",TEXT(INDEX(MO_SNA_FPStartDate,0,COLUMN()),"YYYYMMDD"),"END_DATE_OVERRIDE",TEXT(INDEX(MO_Common_QEndDate,0,COLUMN()),"YYYYMMDD")),"N/A")</f>
        <v>N/A</v>
      </c>
      <c r="AM1121" s="423" t="str">
        <f ca="1">IFERROR(BDP(MO.Ticker.Bloomberg&amp;" Equity","INTERVAL_HIGH","MARKET_DATA_OVERRIDE=PX_LAST","START_DATE_OVERRIDE",TEXT(INDEX(MO_SNA_FPStartDate,0,COLUMN()),"YYYYMMDD"),"END_DATE_OVERRIDE",TEXT(INDEX(MO_Common_QEndDate,0,COLUMN()),"YYYYMMDD")),"N/A")</f>
        <v>N/A</v>
      </c>
      <c r="AN1121" s="423" t="str">
        <f ca="1">IFERROR(BDP(MO.Ticker.Bloomberg&amp;" Equity","INTERVAL_HIGH","MARKET_DATA_OVERRIDE=PX_LAST","START_DATE_OVERRIDE",TEXT(INDEX(MO_SNA_FPStartDate,0,COLUMN()),"YYYYMMDD"),"END_DATE_OVERRIDE",TEXT(INDEX(MO_Common_QEndDate,0,COLUMN()),"YYYYMMDD")),"N/A")</f>
        <v>N/A</v>
      </c>
      <c r="AO1121" s="423" t="str">
        <f ca="1">IFERROR(BDP(MO.Ticker.Bloomberg&amp;" Equity","INTERVAL_HIGH","MARKET_DATA_OVERRIDE=PX_LAST","START_DATE_OVERRIDE",TEXT(INDEX(MO_SNA_FPStartDate,0,COLUMN()),"YYYYMMDD"),"END_DATE_OVERRIDE",TEXT(INDEX(MO_Common_QEndDate,0,COLUMN()),"YYYYMMDD")),"N/A")</f>
        <v>N/A</v>
      </c>
      <c r="AP1121" s="423" t="str">
        <f ca="1">IFERROR(BDP(MO.Ticker.Bloomberg&amp;" Equity","INTERVAL_HIGH","MARKET_DATA_OVERRIDE=PX_LAST","START_DATE_OVERRIDE",TEXT(INDEX(MO_SNA_FPStartDate,0,COLUMN()),"YYYYMMDD"),"END_DATE_OVERRIDE",TEXT(INDEX(MO_Common_QEndDate,0,COLUMN()),"YYYYMMDD")),"N/A")</f>
        <v>N/A</v>
      </c>
      <c r="AQ1121" s="423" t="str">
        <f ca="1">IFERROR(BDP(MO.Ticker.Bloomberg&amp;" Equity","INTERVAL_HIGH","MARKET_DATA_OVERRIDE=PX_LAST","START_DATE_OVERRIDE",TEXT(INDEX(MO_SNA_FPStartDate,0,COLUMN()),"YYYYMMDD"),"END_DATE_OVERRIDE",TEXT(INDEX(MO_Common_QEndDate,0,COLUMN()),"YYYYMMDD")),"N/A")</f>
        <v>N/A</v>
      </c>
      <c r="AR1121" s="423" t="str">
        <f ca="1">IFERROR(BDP(MO.Ticker.Bloomberg&amp;" Equity","INTERVAL_HIGH","MARKET_DATA_OVERRIDE=PX_LAST","START_DATE_OVERRIDE",TEXT(INDEX(MO_SNA_FPStartDate,0,COLUMN()),"YYYYMMDD"),"END_DATE_OVERRIDE",TEXT(INDEX(MO_Common_QEndDate,0,COLUMN()),"YYYYMMDD")),"N/A")</f>
        <v>N/A</v>
      </c>
      <c r="AS1121" s="423" t="str">
        <f ca="1">IFERROR(BDP(MO.Ticker.Bloomberg&amp;" Equity","INTERVAL_HIGH","MARKET_DATA_OVERRIDE=PX_LAST","START_DATE_OVERRIDE",TEXT(INDEX(MO_SNA_FPStartDate,0,COLUMN()),"YYYYMMDD"),"END_DATE_OVERRIDE",TEXT(INDEX(MO_Common_QEndDate,0,COLUMN()),"YYYYMMDD")),"N/A")</f>
        <v>N/A</v>
      </c>
      <c r="AT1121" s="423" t="str">
        <f ca="1">IFERROR(BDP(MO.Ticker.Bloomberg&amp;" Equity","INTERVAL_HIGH","MARKET_DATA_OVERRIDE=PX_LAST","START_DATE_OVERRIDE",TEXT(INDEX(MO_SNA_FPStartDate,0,COLUMN()),"YYYYMMDD"),"END_DATE_OVERRIDE",TEXT(INDEX(MO_Common_QEndDate,0,COLUMN()),"YYYYMMDD")),"N/A")</f>
        <v>N/A</v>
      </c>
      <c r="AU1121" s="423" t="str">
        <f ca="1">IFERROR(BDP(MO.Ticker.Bloomberg&amp;" Equity","INTERVAL_HIGH","MARKET_DATA_OVERRIDE=PX_LAST","START_DATE_OVERRIDE",TEXT(INDEX(MO_SNA_FPStartDate,0,COLUMN()),"YYYYMMDD"),"END_DATE_OVERRIDE",TEXT(INDEX(MO_Common_QEndDate,0,COLUMN()),"YYYYMMDD")),"N/A")</f>
        <v>N/A</v>
      </c>
      <c r="AV1121" s="423" t="str">
        <f ca="1">IFERROR(BDP(MO.Ticker.Bloomberg&amp;" Equity","INTERVAL_HIGH","MARKET_DATA_OVERRIDE=PX_LAST","START_DATE_OVERRIDE",TEXT(INDEX(MO_SNA_FPStartDate,0,COLUMN()),"YYYYMMDD"),"END_DATE_OVERRIDE",TEXT(INDEX(MO_Common_QEndDate,0,COLUMN()),"YYYYMMDD")),"N/A")</f>
        <v>N/A</v>
      </c>
      <c r="AW1121" s="453" t="str">
        <f ca="1">IFERROR(BDP(MO.Ticker.Bloomberg&amp;" Equity","INTERVAL_HIGH","MARKET_DATA_OVERRIDE=PX_LAST","START_DATE_OVERRIDE",TEXT(INDEX(MO_SNA_FPStartDate,0,COLUMN()),"YYYYMMDD"),"END_DATE_OVERRIDE",TEXT(INDEX(MO_Common_QEndDate,0,COLUMN()),"YYYYMMDD")),"N/A")</f>
        <v>N/A</v>
      </c>
      <c r="AX1121" s="423" t="str">
        <f ca="1">IFERROR(BDP(MO.Ticker.Bloomberg&amp;" Equity","INTERVAL_HIGH","MARKET_DATA_OVERRIDE=PX_LAST","START_DATE_OVERRIDE",TEXT(INDEX(MO_SNA_FPStartDate,0,COLUMN()),"YYYYMMDD"),"END_DATE_OVERRIDE",TEXT(INDEX(MO_Common_QEndDate,0,COLUMN()),"YYYYMMDD")),"N/A")</f>
        <v>N/A</v>
      </c>
      <c r="AY1121" s="423" t="str">
        <f ca="1">IFERROR(BDP(MO.Ticker.Bloomberg&amp;" Equity","INTERVAL_HIGH","MARKET_DATA_OVERRIDE=PX_LAST","START_DATE_OVERRIDE",TEXT(INDEX(MO_SNA_FPStartDate,0,COLUMN()),"YYYYMMDD"),"END_DATE_OVERRIDE",TEXT(INDEX(MO_Common_QEndDate,0,COLUMN()),"YYYYMMDD")),"N/A")</f>
        <v>N/A</v>
      </c>
      <c r="AZ1121" s="423" t="str">
        <f ca="1">IFERROR(BDP(MO.Ticker.Bloomberg&amp;" Equity","INTERVAL_HIGH","MARKET_DATA_OVERRIDE=PX_LAST","START_DATE_OVERRIDE",TEXT(INDEX(MO_SNA_FPStartDate,0,COLUMN()),"YYYYMMDD"),"END_DATE_OVERRIDE",TEXT(INDEX(MO_Common_QEndDate,0,COLUMN()),"YYYYMMDD")),"N/A")</f>
        <v>N/A</v>
      </c>
      <c r="BA1121" s="423" t="str">
        <f ca="1">IFERROR(BDP(MO.Ticker.Bloomberg&amp;" Equity","INTERVAL_HIGH","MARKET_DATA_OVERRIDE=PX_LAST","START_DATE_OVERRIDE",TEXT(INDEX(MO_SNA_FPStartDate,0,COLUMN()),"YYYYMMDD"),"END_DATE_OVERRIDE",TEXT(INDEX(MO_Common_QEndDate,0,COLUMN()),"YYYYMMDD")),"N/A")</f>
        <v>N/A</v>
      </c>
      <c r="BB1121" s="423" t="str">
        <f ca="1">IFERROR(BDP(MO.Ticker.Bloomberg&amp;" Equity","INTERVAL_HIGH","MARKET_DATA_OVERRIDE=PX_LAST","START_DATE_OVERRIDE",TEXT(INDEX(MO_SNA_FPStartDate,0,COLUMN()),"YYYYMMDD"),"END_DATE_OVERRIDE",TEXT(INDEX(MO_Common_QEndDate,0,COLUMN()),"YYYYMMDD")),"N/A")</f>
        <v>N/A</v>
      </c>
      <c r="BC1121" s="423" t="str">
        <f ca="1">IFERROR(BDP(MO.Ticker.Bloomberg&amp;" Equity","INTERVAL_HIGH","MARKET_DATA_OVERRIDE=PX_LAST","START_DATE_OVERRIDE",TEXT(INDEX(MO_SNA_FPStartDate,0,COLUMN()),"YYYYMMDD"),"END_DATE_OVERRIDE",TEXT(INDEX(MO_Common_QEndDate,0,COLUMN()),"YYYYMMDD")),"N/A")</f>
        <v>N/A</v>
      </c>
      <c r="BD1121" s="423" t="str">
        <f ca="1">IFERROR(BDP(MO.Ticker.Bloomberg&amp;" Equity","INTERVAL_HIGH","MARKET_DATA_OVERRIDE=PX_LAST","START_DATE_OVERRIDE",TEXT(INDEX(MO_SNA_FPStartDate,0,COLUMN()),"YYYYMMDD"),"END_DATE_OVERRIDE",TEXT(INDEX(MO_Common_QEndDate,0,COLUMN()),"YYYYMMDD")),"N/A")</f>
        <v>N/A</v>
      </c>
      <c r="BE1121" s="423" t="str">
        <f ca="1">IFERROR(BDP(MO.Ticker.Bloomberg&amp;" Equity","INTERVAL_HIGH","MARKET_DATA_OVERRIDE=PX_LAST","START_DATE_OVERRIDE",TEXT(INDEX(MO_SNA_FPStartDate,0,COLUMN()),"YYYYMMDD"),"END_DATE_OVERRIDE",TEXT(INDEX(MO_Common_QEndDate,0,COLUMN()),"YYYYMMDD")),"N/A")</f>
        <v>N/A</v>
      </c>
      <c r="BF1121" s="423" t="str">
        <f ca="1">IFERROR(BDP(MO.Ticker.Bloomberg&amp;" Equity","INTERVAL_HIGH","MARKET_DATA_OVERRIDE=PX_LAST","START_DATE_OVERRIDE",TEXT(INDEX(MO_SNA_FPStartDate,0,COLUMN()),"YYYYMMDD"),"END_DATE_OVERRIDE",TEXT(INDEX(MO_Common_QEndDate,0,COLUMN()),"YYYYMMDD")),"N/A")</f>
        <v>N/A</v>
      </c>
      <c r="BG1121" s="425" t="str">
        <f ca="1">IFERROR(BDP(MO.Ticker.Bloomberg&amp;" Equity","INTERVAL_HIGH","MARKET_DATA_OVERRIDE=PX_LAST","START_DATE_OVERRIDE",TEXT(INDEX(MO_SNA_FPStartDate,0,COLUMN()),"YYYYMMDD"),"END_DATE_OVERRIDE",TEXT(INDEX(MO_Common_QEndDate,0,COLUMN()),"YYYYMMDD")),"N/A")</f>
        <v>N/A</v>
      </c>
      <c r="BH1121" s="426"/>
    </row>
    <row r="1122" spans="1:60" s="427" customFormat="1" hidden="1" outlineLevel="1" x14ac:dyDescent="0.25">
      <c r="A1122" s="428" t="s">
        <v>405</v>
      </c>
      <c r="B1122" s="423"/>
      <c r="C1122" s="424" t="str">
        <f ca="1">IFERROR(CIQHI(MO.Ticker.CapIQ,"IQ_LASTSALEPRICE",INDEX(MO_SNA_FPStartDate,0,COLUMN()),INDEX(MO_Common_QEndDate,0,COLUMN())),"N/A")</f>
        <v>N/A</v>
      </c>
      <c r="D1122" s="424" t="str">
        <f ca="1">IFERROR(CIQHI(MO.Ticker.CapIQ,"IQ_LASTSALEPRICE",INDEX(MO_SNA_FPStartDate,0,COLUMN()),INDEX(MO_Common_QEndDate,0,COLUMN())),"N/A")</f>
        <v>N/A</v>
      </c>
      <c r="E1122" s="423" t="str">
        <f ca="1">IFERROR(CIQHI(MO.Ticker.CapIQ,"IQ_LASTSALEPRICE",INDEX(MO_SNA_FPStartDate,0,COLUMN()),INDEX(MO_Common_QEndDate,0,COLUMN())),"N/A")</f>
        <v>N/A</v>
      </c>
      <c r="F1122" s="423" t="str">
        <f ca="1">IFERROR(CIQHI(MO.Ticker.CapIQ,"IQ_LASTSALEPRICE",INDEX(MO_SNA_FPStartDate,0,COLUMN()),INDEX(MO_Common_QEndDate,0,COLUMN())),"N/A")</f>
        <v>N/A</v>
      </c>
      <c r="G1122" s="423" t="str">
        <f ca="1">IFERROR(CIQHI(MO.Ticker.CapIQ,"IQ_LASTSALEPRICE",INDEX(MO_SNA_FPStartDate,0,COLUMN()),INDEX(MO_Common_QEndDate,0,COLUMN())),"N/A")</f>
        <v>N/A</v>
      </c>
      <c r="H1122" s="423" t="str">
        <f ca="1">IFERROR(CIQHI(MO.Ticker.CapIQ,"IQ_LASTSALEPRICE",INDEX(MO_SNA_FPStartDate,0,COLUMN()),INDEX(MO_Common_QEndDate,0,COLUMN())),"N/A")</f>
        <v>N/A</v>
      </c>
      <c r="I1122" s="423" t="str">
        <f ca="1">IFERROR(CIQHI(MO.Ticker.CapIQ,"IQ_LASTSALEPRICE",INDEX(MO_SNA_FPStartDate,0,COLUMN()),INDEX(MO_Common_QEndDate,0,COLUMN())),"N/A")</f>
        <v>N/A</v>
      </c>
      <c r="J1122" s="423" t="str">
        <f ca="1">IFERROR(CIQHI(MO.Ticker.CapIQ,"IQ_LASTSALEPRICE",INDEX(MO_SNA_FPStartDate,0,COLUMN()),INDEX(MO_Common_QEndDate,0,COLUMN())),"N/A")</f>
        <v>N/A</v>
      </c>
      <c r="K1122" s="423" t="str">
        <f ca="1">IFERROR(CIQHI(MO.Ticker.CapIQ,"IQ_LASTSALEPRICE",INDEX(MO_SNA_FPStartDate,0,COLUMN()),INDEX(MO_Common_QEndDate,0,COLUMN())),"N/A")</f>
        <v>N/A</v>
      </c>
      <c r="L1122" s="423" t="str">
        <f ca="1">IFERROR(CIQHI(MO.Ticker.CapIQ,"IQ_LASTSALEPRICE",INDEX(MO_SNA_FPStartDate,0,COLUMN()),INDEX(MO_Common_QEndDate,0,COLUMN())),"N/A")</f>
        <v>N/A</v>
      </c>
      <c r="M1122" s="423" t="str">
        <f ca="1">IFERROR(CIQHI(MO.Ticker.CapIQ,"IQ_LASTSALEPRICE",INDEX(MO_SNA_FPStartDate,0,COLUMN()),INDEX(MO_Common_QEndDate,0,COLUMN())),"N/A")</f>
        <v>N/A</v>
      </c>
      <c r="N1122" s="423" t="str">
        <f ca="1">IFERROR(CIQHI(MO.Ticker.CapIQ,"IQ_LASTSALEPRICE",INDEX(MO_SNA_FPStartDate,0,COLUMN()),INDEX(MO_Common_QEndDate,0,COLUMN())),"N/A")</f>
        <v>N/A</v>
      </c>
      <c r="O1122" s="423" t="str">
        <f ca="1">IFERROR(CIQHI(MO.Ticker.CapIQ,"IQ_LASTSALEPRICE",INDEX(MO_SNA_FPStartDate,0,COLUMN()),INDEX(MO_Common_QEndDate,0,COLUMN())),"N/A")</f>
        <v>N/A</v>
      </c>
      <c r="P1122" s="423" t="str">
        <f ca="1">IFERROR(CIQHI(MO.Ticker.CapIQ,"IQ_LASTSALEPRICE",INDEX(MO_SNA_FPStartDate,0,COLUMN()),INDEX(MO_Common_QEndDate,0,COLUMN())),"N/A")</f>
        <v>N/A</v>
      </c>
      <c r="Q1122" s="423" t="str">
        <f ca="1">IFERROR(CIQHI(MO.Ticker.CapIQ,"IQ_LASTSALEPRICE",INDEX(MO_SNA_FPStartDate,0,COLUMN()),INDEX(MO_Common_QEndDate,0,COLUMN())),"N/A")</f>
        <v>N/A</v>
      </c>
      <c r="R1122" s="423" t="str">
        <f ca="1">IFERROR(CIQHI(MO.Ticker.CapIQ,"IQ_LASTSALEPRICE",INDEX(MO_SNA_FPStartDate,0,COLUMN()),INDEX(MO_Common_QEndDate,0,COLUMN())),"N/A")</f>
        <v>N/A</v>
      </c>
      <c r="S1122" s="423" t="str">
        <f ca="1">IFERROR(CIQHI(MO.Ticker.CapIQ,"IQ_LASTSALEPRICE",INDEX(MO_SNA_FPStartDate,0,COLUMN()),INDEX(MO_Common_QEndDate,0,COLUMN())),"N/A")</f>
        <v>N/A</v>
      </c>
      <c r="T1122" s="423" t="str">
        <f ca="1">IFERROR(CIQHI(MO.Ticker.CapIQ,"IQ_LASTSALEPRICE",INDEX(MO_SNA_FPStartDate,0,COLUMN()),INDEX(MO_Common_QEndDate,0,COLUMN())),"N/A")</f>
        <v>N/A</v>
      </c>
      <c r="U1122" s="423" t="str">
        <f ca="1">IFERROR(CIQHI(MO.Ticker.CapIQ,"IQ_LASTSALEPRICE",INDEX(MO_SNA_FPStartDate,0,COLUMN()),INDEX(MO_Common_QEndDate,0,COLUMN())),"N/A")</f>
        <v>N/A</v>
      </c>
      <c r="V1122" s="423" t="str">
        <f ca="1">IFERROR(CIQHI(MO.Ticker.CapIQ,"IQ_LASTSALEPRICE",INDEX(MO_SNA_FPStartDate,0,COLUMN()),INDEX(MO_Common_QEndDate,0,COLUMN())),"N/A")</f>
        <v>N/A</v>
      </c>
      <c r="W1122" s="423" t="str">
        <f ca="1">IFERROR(CIQHI(MO.Ticker.CapIQ,"IQ_LASTSALEPRICE",INDEX(MO_SNA_FPStartDate,0,COLUMN()),INDEX(MO_Common_QEndDate,0,COLUMN())),"N/A")</f>
        <v>N/A</v>
      </c>
      <c r="X1122" s="423" t="str">
        <f ca="1">IFERROR(CIQHI(MO.Ticker.CapIQ,"IQ_LASTSALEPRICE",INDEX(MO_SNA_FPStartDate,0,COLUMN()),INDEX(MO_Common_QEndDate,0,COLUMN())),"N/A")</f>
        <v>N/A</v>
      </c>
      <c r="Y1122" s="423" t="str">
        <f ca="1">IFERROR(CIQHI(MO.Ticker.CapIQ,"IQ_LASTSALEPRICE",INDEX(MO_SNA_FPStartDate,0,COLUMN()),INDEX(MO_Common_QEndDate,0,COLUMN())),"N/A")</f>
        <v>N/A</v>
      </c>
      <c r="Z1122" s="423" t="str">
        <f ca="1">IFERROR(CIQHI(MO.Ticker.CapIQ,"IQ_LASTSALEPRICE",INDEX(MO_SNA_FPStartDate,0,COLUMN()),INDEX(MO_Common_QEndDate,0,COLUMN())),"N/A")</f>
        <v>N/A</v>
      </c>
      <c r="AA1122" s="423" t="str">
        <f ca="1">IFERROR(CIQHI(MO.Ticker.CapIQ,"IQ_LASTSALEPRICE",INDEX(MO_SNA_FPStartDate,0,COLUMN()),INDEX(MO_Common_QEndDate,0,COLUMN())),"N/A")</f>
        <v>N/A</v>
      </c>
      <c r="AB1122" s="423" t="str">
        <f ca="1">IFERROR(CIQHI(MO.Ticker.CapIQ,"IQ_LASTSALEPRICE",INDEX(MO_SNA_FPStartDate,0,COLUMN()),INDEX(MO_Common_QEndDate,0,COLUMN())),"N/A")</f>
        <v>N/A</v>
      </c>
      <c r="AC1122" s="423" t="str">
        <f ca="1">IFERROR(CIQHI(MO.Ticker.CapIQ,"IQ_LASTSALEPRICE",INDEX(MO_SNA_FPStartDate,0,COLUMN()),INDEX(MO_Common_QEndDate,0,COLUMN())),"N/A")</f>
        <v>N/A</v>
      </c>
      <c r="AD1122" s="423" t="str">
        <f ca="1">IFERROR(CIQHI(MO.Ticker.CapIQ,"IQ_LASTSALEPRICE",INDEX(MO_SNA_FPStartDate,0,COLUMN()),INDEX(MO_Common_QEndDate,0,COLUMN())),"N/A")</f>
        <v>N/A</v>
      </c>
      <c r="AE1122" s="423" t="str">
        <f ca="1">IFERROR(CIQHI(MO.Ticker.CapIQ,"IQ_LASTSALEPRICE",INDEX(MO_SNA_FPStartDate,0,COLUMN()),INDEX(MO_Common_QEndDate,0,COLUMN())),"N/A")</f>
        <v>N/A</v>
      </c>
      <c r="AF1122" s="423" t="str">
        <f ca="1">IFERROR(CIQHI(MO.Ticker.CapIQ,"IQ_LASTSALEPRICE",INDEX(MO_SNA_FPStartDate,0,COLUMN()),INDEX(MO_Common_QEndDate,0,COLUMN())),"N/A")</f>
        <v>N/A</v>
      </c>
      <c r="AG1122" s="423" t="str">
        <f ca="1">IFERROR(CIQHI(MO.Ticker.CapIQ,"IQ_LASTSALEPRICE",INDEX(MO_SNA_FPStartDate,0,COLUMN()),INDEX(MO_Common_QEndDate,0,COLUMN())),"N/A")</f>
        <v>N/A</v>
      </c>
      <c r="AH1122" s="423" t="str">
        <f ca="1">IFERROR(CIQHI(MO.Ticker.CapIQ,"IQ_LASTSALEPRICE",INDEX(MO_SNA_FPStartDate,0,COLUMN()),INDEX(MO_Common_QEndDate,0,COLUMN())),"N/A")</f>
        <v>N/A</v>
      </c>
      <c r="AI1122" s="423" t="str">
        <f ca="1">IFERROR(CIQHI(MO.Ticker.CapIQ,"IQ_LASTSALEPRICE",INDEX(MO_SNA_FPStartDate,0,COLUMN()),INDEX(MO_Common_QEndDate,0,COLUMN())),"N/A")</f>
        <v>N/A</v>
      </c>
      <c r="AJ1122" s="423" t="str">
        <f ca="1">IFERROR(CIQHI(MO.Ticker.CapIQ,"IQ_LASTSALEPRICE",INDEX(MO_SNA_FPStartDate,0,COLUMN()),INDEX(MO_Common_QEndDate,0,COLUMN())),"N/A")</f>
        <v>N/A</v>
      </c>
      <c r="AK1122" s="423" t="str">
        <f ca="1">IFERROR(CIQHI(MO.Ticker.CapIQ,"IQ_LASTSALEPRICE",INDEX(MO_SNA_FPStartDate,0,COLUMN()),INDEX(MO_Common_QEndDate,0,COLUMN())),"N/A")</f>
        <v>N/A</v>
      </c>
      <c r="AL1122" s="423" t="str">
        <f ca="1">IFERROR(CIQHI(MO.Ticker.CapIQ,"IQ_LASTSALEPRICE",INDEX(MO_SNA_FPStartDate,0,COLUMN()),INDEX(MO_Common_QEndDate,0,COLUMN())),"N/A")</f>
        <v>N/A</v>
      </c>
      <c r="AM1122" s="423" t="str">
        <f ca="1">IFERROR(CIQHI(MO.Ticker.CapIQ,"IQ_LASTSALEPRICE",INDEX(MO_SNA_FPStartDate,0,COLUMN()),INDEX(MO_Common_QEndDate,0,COLUMN())),"N/A")</f>
        <v>N/A</v>
      </c>
      <c r="AN1122" s="423" t="str">
        <f ca="1">IFERROR(CIQHI(MO.Ticker.CapIQ,"IQ_LASTSALEPRICE",INDEX(MO_SNA_FPStartDate,0,COLUMN()),INDEX(MO_Common_QEndDate,0,COLUMN())),"N/A")</f>
        <v>N/A</v>
      </c>
      <c r="AO1122" s="423" t="str">
        <f ca="1">IFERROR(CIQHI(MO.Ticker.CapIQ,"IQ_LASTSALEPRICE",INDEX(MO_SNA_FPStartDate,0,COLUMN()),INDEX(MO_Common_QEndDate,0,COLUMN())),"N/A")</f>
        <v>N/A</v>
      </c>
      <c r="AP1122" s="423" t="str">
        <f ca="1">IFERROR(CIQHI(MO.Ticker.CapIQ,"IQ_LASTSALEPRICE",INDEX(MO_SNA_FPStartDate,0,COLUMN()),INDEX(MO_Common_QEndDate,0,COLUMN())),"N/A")</f>
        <v>N/A</v>
      </c>
      <c r="AQ1122" s="423" t="str">
        <f ca="1">IFERROR(CIQHI(MO.Ticker.CapIQ,"IQ_LASTSALEPRICE",INDEX(MO_SNA_FPStartDate,0,COLUMN()),INDEX(MO_Common_QEndDate,0,COLUMN())),"N/A")</f>
        <v>N/A</v>
      </c>
      <c r="AR1122" s="423" t="str">
        <f ca="1">IFERROR(CIQHI(MO.Ticker.CapIQ,"IQ_LASTSALEPRICE",INDEX(MO_SNA_FPStartDate,0,COLUMN()),INDEX(MO_Common_QEndDate,0,COLUMN())),"N/A")</f>
        <v>N/A</v>
      </c>
      <c r="AS1122" s="423" t="str">
        <f ca="1">IFERROR(CIQHI(MO.Ticker.CapIQ,"IQ_LASTSALEPRICE",INDEX(MO_SNA_FPStartDate,0,COLUMN()),INDEX(MO_Common_QEndDate,0,COLUMN())),"N/A")</f>
        <v>N/A</v>
      </c>
      <c r="AT1122" s="423" t="str">
        <f ca="1">IFERROR(CIQHI(MO.Ticker.CapIQ,"IQ_LASTSALEPRICE",INDEX(MO_SNA_FPStartDate,0,COLUMN()),INDEX(MO_Common_QEndDate,0,COLUMN())),"N/A")</f>
        <v>N/A</v>
      </c>
      <c r="AU1122" s="423" t="str">
        <f ca="1">IFERROR(CIQHI(MO.Ticker.CapIQ,"IQ_LASTSALEPRICE",INDEX(MO_SNA_FPStartDate,0,COLUMN()),INDEX(MO_Common_QEndDate,0,COLUMN())),"N/A")</f>
        <v>N/A</v>
      </c>
      <c r="AV1122" s="423" t="str">
        <f ca="1">IFERROR(CIQHI(MO.Ticker.CapIQ,"IQ_LASTSALEPRICE",INDEX(MO_SNA_FPStartDate,0,COLUMN()),INDEX(MO_Common_QEndDate,0,COLUMN())),"N/A")</f>
        <v>N/A</v>
      </c>
      <c r="AW1122" s="453" t="str">
        <f ca="1">IFERROR(CIQHI(MO.Ticker.CapIQ,"IQ_LASTSALEPRICE",INDEX(MO_SNA_FPStartDate,0,COLUMN()),INDEX(MO_Common_QEndDate,0,COLUMN())),"N/A")</f>
        <v>N/A</v>
      </c>
      <c r="AX1122" s="423" t="str">
        <f ca="1">IFERROR(CIQHI(MO.Ticker.CapIQ,"IQ_LASTSALEPRICE",INDEX(MO_SNA_FPStartDate,0,COLUMN()),INDEX(MO_Common_QEndDate,0,COLUMN())),"N/A")</f>
        <v>N/A</v>
      </c>
      <c r="AY1122" s="423" t="str">
        <f ca="1">IFERROR(CIQHI(MO.Ticker.CapIQ,"IQ_LASTSALEPRICE",INDEX(MO_SNA_FPStartDate,0,COLUMN()),INDEX(MO_Common_QEndDate,0,COLUMN())),"N/A")</f>
        <v>N/A</v>
      </c>
      <c r="AZ1122" s="423" t="str">
        <f ca="1">IFERROR(CIQHI(MO.Ticker.CapIQ,"IQ_LASTSALEPRICE",INDEX(MO_SNA_FPStartDate,0,COLUMN()),INDEX(MO_Common_QEndDate,0,COLUMN())),"N/A")</f>
        <v>N/A</v>
      </c>
      <c r="BA1122" s="423" t="str">
        <f ca="1">IFERROR(CIQHI(MO.Ticker.CapIQ,"IQ_LASTSALEPRICE",INDEX(MO_SNA_FPStartDate,0,COLUMN()),INDEX(MO_Common_QEndDate,0,COLUMN())),"N/A")</f>
        <v>N/A</v>
      </c>
      <c r="BB1122" s="423" t="str">
        <f ca="1">IFERROR(CIQHI(MO.Ticker.CapIQ,"IQ_LASTSALEPRICE",INDEX(MO_SNA_FPStartDate,0,COLUMN()),INDEX(MO_Common_QEndDate,0,COLUMN())),"N/A")</f>
        <v>N/A</v>
      </c>
      <c r="BC1122" s="423" t="str">
        <f ca="1">IFERROR(CIQHI(MO.Ticker.CapIQ,"IQ_LASTSALEPRICE",INDEX(MO_SNA_FPStartDate,0,COLUMN()),INDEX(MO_Common_QEndDate,0,COLUMN())),"N/A")</f>
        <v>N/A</v>
      </c>
      <c r="BD1122" s="423" t="str">
        <f ca="1">IFERROR(CIQHI(MO.Ticker.CapIQ,"IQ_LASTSALEPRICE",INDEX(MO_SNA_FPStartDate,0,COLUMN()),INDEX(MO_Common_QEndDate,0,COLUMN())),"N/A")</f>
        <v>N/A</v>
      </c>
      <c r="BE1122" s="423" t="str">
        <f ca="1">IFERROR(CIQHI(MO.Ticker.CapIQ,"IQ_LASTSALEPRICE",INDEX(MO_SNA_FPStartDate,0,COLUMN()),INDEX(MO_Common_QEndDate,0,COLUMN())),"N/A")</f>
        <v>N/A</v>
      </c>
      <c r="BF1122" s="423" t="str">
        <f ca="1">IFERROR(CIQHI(MO.Ticker.CapIQ,"IQ_LASTSALEPRICE",INDEX(MO_SNA_FPStartDate,0,COLUMN()),INDEX(MO_Common_QEndDate,0,COLUMN())),"N/A")</f>
        <v>N/A</v>
      </c>
      <c r="BG1122" s="425" t="str">
        <f ca="1">IFERROR(CIQHI(MO.Ticker.CapIQ,"IQ_LASTSALEPRICE",INDEX(MO_SNA_FPStartDate,0,COLUMN()),INDEX(MO_Common_QEndDate,0,COLUMN())),"N/A")</f>
        <v>N/A</v>
      </c>
      <c r="BH1122" s="426"/>
    </row>
    <row r="1123" spans="1:60" s="427" customFormat="1" hidden="1" outlineLevel="1" x14ac:dyDescent="0.25">
      <c r="A1123" s="428" t="s">
        <v>406</v>
      </c>
      <c r="B1123" s="423"/>
      <c r="C1123" s="424" t="str">
        <f ca="1">IFERROR(FDS(MO.Ticker.FactSet,"P_PRICE_HIGH"&amp;"("&amp;INDEX(MO_SNA_FPStartDate,0,COLUMN())&amp;","&amp;INDEX(MO_Common_QEndDate,0,COLUMN())&amp;",,,,""PRICE"",""CLOSE"")"),"N/A")</f>
        <v>N/A</v>
      </c>
      <c r="D1123" s="424" t="str">
        <f ca="1">IFERROR(FDS(MO.Ticker.FactSet,"P_PRICE_HIGH"&amp;"("&amp;INDEX(MO_SNA_FPStartDate,0,COLUMN())&amp;","&amp;INDEX(MO_Common_QEndDate,0,COLUMN())&amp;",,,,""PRICE"",""CLOSE"")"),"N/A")</f>
        <v>N/A</v>
      </c>
      <c r="E1123" s="423" t="str">
        <f ca="1">IFERROR(FDS(MO.Ticker.FactSet,"P_PRICE_HIGH"&amp;"("&amp;INDEX(MO_SNA_FPStartDate,0,COLUMN())&amp;","&amp;INDEX(MO_Common_QEndDate,0,COLUMN())&amp;",,,,""PRICE"",""CLOSE"")"),"N/A")</f>
        <v>N/A</v>
      </c>
      <c r="F1123" s="423" t="str">
        <f ca="1">IFERROR(FDS(MO.Ticker.FactSet,"P_PRICE_HIGH"&amp;"("&amp;INDEX(MO_SNA_FPStartDate,0,COLUMN())&amp;","&amp;INDEX(MO_Common_QEndDate,0,COLUMN())&amp;",,,,""PRICE"",""CLOSE"")"),"N/A")</f>
        <v>N/A</v>
      </c>
      <c r="G1123" s="423" t="str">
        <f ca="1">IFERROR(FDS(MO.Ticker.FactSet,"P_PRICE_HIGH"&amp;"("&amp;INDEX(MO_SNA_FPStartDate,0,COLUMN())&amp;","&amp;INDEX(MO_Common_QEndDate,0,COLUMN())&amp;",,,,""PRICE"",""CLOSE"")"),"N/A")</f>
        <v>N/A</v>
      </c>
      <c r="H1123" s="423" t="str">
        <f ca="1">IFERROR(FDS(MO.Ticker.FactSet,"P_PRICE_HIGH"&amp;"("&amp;INDEX(MO_SNA_FPStartDate,0,COLUMN())&amp;","&amp;INDEX(MO_Common_QEndDate,0,COLUMN())&amp;",,,,""PRICE"",""CLOSE"")"),"N/A")</f>
        <v>N/A</v>
      </c>
      <c r="I1123" s="423" t="str">
        <f ca="1">IFERROR(FDS(MO.Ticker.FactSet,"P_PRICE_HIGH"&amp;"("&amp;INDEX(MO_SNA_FPStartDate,0,COLUMN())&amp;","&amp;INDEX(MO_Common_QEndDate,0,COLUMN())&amp;",,,,""PRICE"",""CLOSE"")"),"N/A")</f>
        <v>N/A</v>
      </c>
      <c r="J1123" s="423" t="str">
        <f ca="1">IFERROR(FDS(MO.Ticker.FactSet,"P_PRICE_HIGH"&amp;"("&amp;INDEX(MO_SNA_FPStartDate,0,COLUMN())&amp;","&amp;INDEX(MO_Common_QEndDate,0,COLUMN())&amp;",,,,""PRICE"",""CLOSE"")"),"N/A")</f>
        <v>N/A</v>
      </c>
      <c r="K1123" s="423" t="str">
        <f ca="1">IFERROR(FDS(MO.Ticker.FactSet,"P_PRICE_HIGH"&amp;"("&amp;INDEX(MO_SNA_FPStartDate,0,COLUMN())&amp;","&amp;INDEX(MO_Common_QEndDate,0,COLUMN())&amp;",,,,""PRICE"",""CLOSE"")"),"N/A")</f>
        <v>N/A</v>
      </c>
      <c r="L1123" s="423" t="str">
        <f ca="1">IFERROR(FDS(MO.Ticker.FactSet,"P_PRICE_HIGH"&amp;"("&amp;INDEX(MO_SNA_FPStartDate,0,COLUMN())&amp;","&amp;INDEX(MO_Common_QEndDate,0,COLUMN())&amp;",,,,""PRICE"",""CLOSE"")"),"N/A")</f>
        <v>N/A</v>
      </c>
      <c r="M1123" s="423" t="str">
        <f ca="1">IFERROR(FDS(MO.Ticker.FactSet,"P_PRICE_HIGH"&amp;"("&amp;INDEX(MO_SNA_FPStartDate,0,COLUMN())&amp;","&amp;INDEX(MO_Common_QEndDate,0,COLUMN())&amp;",,,,""PRICE"",""CLOSE"")"),"N/A")</f>
        <v>N/A</v>
      </c>
      <c r="N1123" s="423" t="str">
        <f ca="1">IFERROR(FDS(MO.Ticker.FactSet,"P_PRICE_HIGH"&amp;"("&amp;INDEX(MO_SNA_FPStartDate,0,COLUMN())&amp;","&amp;INDEX(MO_Common_QEndDate,0,COLUMN())&amp;",,,,""PRICE"",""CLOSE"")"),"N/A")</f>
        <v>N/A</v>
      </c>
      <c r="O1123" s="423" t="str">
        <f ca="1">IFERROR(FDS(MO.Ticker.FactSet,"P_PRICE_HIGH"&amp;"("&amp;INDEX(MO_SNA_FPStartDate,0,COLUMN())&amp;","&amp;INDEX(MO_Common_QEndDate,0,COLUMN())&amp;",,,,""PRICE"",""CLOSE"")"),"N/A")</f>
        <v>N/A</v>
      </c>
      <c r="P1123" s="423" t="str">
        <f ca="1">IFERROR(FDS(MO.Ticker.FactSet,"P_PRICE_HIGH"&amp;"("&amp;INDEX(MO_SNA_FPStartDate,0,COLUMN())&amp;","&amp;INDEX(MO_Common_QEndDate,0,COLUMN())&amp;",,,,""PRICE"",""CLOSE"")"),"N/A")</f>
        <v>N/A</v>
      </c>
      <c r="Q1123" s="423" t="str">
        <f ca="1">IFERROR(FDS(MO.Ticker.FactSet,"P_PRICE_HIGH"&amp;"("&amp;INDEX(MO_SNA_FPStartDate,0,COLUMN())&amp;","&amp;INDEX(MO_Common_QEndDate,0,COLUMN())&amp;",,,,""PRICE"",""CLOSE"")"),"N/A")</f>
        <v>N/A</v>
      </c>
      <c r="R1123" s="423" t="str">
        <f ca="1">IFERROR(FDS(MO.Ticker.FactSet,"P_PRICE_HIGH"&amp;"("&amp;INDEX(MO_SNA_FPStartDate,0,COLUMN())&amp;","&amp;INDEX(MO_Common_QEndDate,0,COLUMN())&amp;",,,,""PRICE"",""CLOSE"")"),"N/A")</f>
        <v>N/A</v>
      </c>
      <c r="S1123" s="423" t="str">
        <f ca="1">IFERROR(FDS(MO.Ticker.FactSet,"P_PRICE_HIGH"&amp;"("&amp;INDEX(MO_SNA_FPStartDate,0,COLUMN())&amp;","&amp;INDEX(MO_Common_QEndDate,0,COLUMN())&amp;",,,,""PRICE"",""CLOSE"")"),"N/A")</f>
        <v>N/A</v>
      </c>
      <c r="T1123" s="423" t="str">
        <f ca="1">IFERROR(FDS(MO.Ticker.FactSet,"P_PRICE_HIGH"&amp;"("&amp;INDEX(MO_SNA_FPStartDate,0,COLUMN())&amp;","&amp;INDEX(MO_Common_QEndDate,0,COLUMN())&amp;",,,,""PRICE"",""CLOSE"")"),"N/A")</f>
        <v>N/A</v>
      </c>
      <c r="U1123" s="423" t="str">
        <f ca="1">IFERROR(FDS(MO.Ticker.FactSet,"P_PRICE_HIGH"&amp;"("&amp;INDEX(MO_SNA_FPStartDate,0,COLUMN())&amp;","&amp;INDEX(MO_Common_QEndDate,0,COLUMN())&amp;",,,,""PRICE"",""CLOSE"")"),"N/A")</f>
        <v>N/A</v>
      </c>
      <c r="V1123" s="423" t="str">
        <f ca="1">IFERROR(FDS(MO.Ticker.FactSet,"P_PRICE_HIGH"&amp;"("&amp;INDEX(MO_SNA_FPStartDate,0,COLUMN())&amp;","&amp;INDEX(MO_Common_QEndDate,0,COLUMN())&amp;",,,,""PRICE"",""CLOSE"")"),"N/A")</f>
        <v>N/A</v>
      </c>
      <c r="W1123" s="423" t="str">
        <f ca="1">IFERROR(FDS(MO.Ticker.FactSet,"P_PRICE_HIGH"&amp;"("&amp;INDEX(MO_SNA_FPStartDate,0,COLUMN())&amp;","&amp;INDEX(MO_Common_QEndDate,0,COLUMN())&amp;",,,,""PRICE"",""CLOSE"")"),"N/A")</f>
        <v>N/A</v>
      </c>
      <c r="X1123" s="423" t="str">
        <f ca="1">IFERROR(FDS(MO.Ticker.FactSet,"P_PRICE_HIGH"&amp;"("&amp;INDEX(MO_SNA_FPStartDate,0,COLUMN())&amp;","&amp;INDEX(MO_Common_QEndDate,0,COLUMN())&amp;",,,,""PRICE"",""CLOSE"")"),"N/A")</f>
        <v>N/A</v>
      </c>
      <c r="Y1123" s="423" t="str">
        <f ca="1">IFERROR(FDS(MO.Ticker.FactSet,"P_PRICE_HIGH"&amp;"("&amp;INDEX(MO_SNA_FPStartDate,0,COLUMN())&amp;","&amp;INDEX(MO_Common_QEndDate,0,COLUMN())&amp;",,,,""PRICE"",""CLOSE"")"),"N/A")</f>
        <v>N/A</v>
      </c>
      <c r="Z1123" s="423" t="str">
        <f ca="1">IFERROR(FDS(MO.Ticker.FactSet,"P_PRICE_HIGH"&amp;"("&amp;INDEX(MO_SNA_FPStartDate,0,COLUMN())&amp;","&amp;INDEX(MO_Common_QEndDate,0,COLUMN())&amp;",,,,""PRICE"",""CLOSE"")"),"N/A")</f>
        <v>N/A</v>
      </c>
      <c r="AA1123" s="423" t="str">
        <f ca="1">IFERROR(FDS(MO.Ticker.FactSet,"P_PRICE_HIGH"&amp;"("&amp;INDEX(MO_SNA_FPStartDate,0,COLUMN())&amp;","&amp;INDEX(MO_Common_QEndDate,0,COLUMN())&amp;",,,,""PRICE"",""CLOSE"")"),"N/A")</f>
        <v>N/A</v>
      </c>
      <c r="AB1123" s="423" t="str">
        <f ca="1">IFERROR(FDS(MO.Ticker.FactSet,"P_PRICE_HIGH"&amp;"("&amp;INDEX(MO_SNA_FPStartDate,0,COLUMN())&amp;","&amp;INDEX(MO_Common_QEndDate,0,COLUMN())&amp;",,,,""PRICE"",""CLOSE"")"),"N/A")</f>
        <v>N/A</v>
      </c>
      <c r="AC1123" s="423" t="str">
        <f ca="1">IFERROR(FDS(MO.Ticker.FactSet,"P_PRICE_HIGH"&amp;"("&amp;INDEX(MO_SNA_FPStartDate,0,COLUMN())&amp;","&amp;INDEX(MO_Common_QEndDate,0,COLUMN())&amp;",,,,""PRICE"",""CLOSE"")"),"N/A")</f>
        <v>N/A</v>
      </c>
      <c r="AD1123" s="423" t="str">
        <f ca="1">IFERROR(FDS(MO.Ticker.FactSet,"P_PRICE_HIGH"&amp;"("&amp;INDEX(MO_SNA_FPStartDate,0,COLUMN())&amp;","&amp;INDEX(MO_Common_QEndDate,0,COLUMN())&amp;",,,,""PRICE"",""CLOSE"")"),"N/A")</f>
        <v>N/A</v>
      </c>
      <c r="AE1123" s="423" t="str">
        <f ca="1">IFERROR(FDS(MO.Ticker.FactSet,"P_PRICE_HIGH"&amp;"("&amp;INDEX(MO_SNA_FPStartDate,0,COLUMN())&amp;","&amp;INDEX(MO_Common_QEndDate,0,COLUMN())&amp;",,,,""PRICE"",""CLOSE"")"),"N/A")</f>
        <v>N/A</v>
      </c>
      <c r="AF1123" s="423" t="str">
        <f ca="1">IFERROR(FDS(MO.Ticker.FactSet,"P_PRICE_HIGH"&amp;"("&amp;INDEX(MO_SNA_FPStartDate,0,COLUMN())&amp;","&amp;INDEX(MO_Common_QEndDate,0,COLUMN())&amp;",,,,""PRICE"",""CLOSE"")"),"N/A")</f>
        <v>N/A</v>
      </c>
      <c r="AG1123" s="423" t="str">
        <f ca="1">IFERROR(FDS(MO.Ticker.FactSet,"P_PRICE_HIGH"&amp;"("&amp;INDEX(MO_SNA_FPStartDate,0,COLUMN())&amp;","&amp;INDEX(MO_Common_QEndDate,0,COLUMN())&amp;",,,,""PRICE"",""CLOSE"")"),"N/A")</f>
        <v>N/A</v>
      </c>
      <c r="AH1123" s="423" t="str">
        <f ca="1">IFERROR(FDS(MO.Ticker.FactSet,"P_PRICE_HIGH"&amp;"("&amp;INDEX(MO_SNA_FPStartDate,0,COLUMN())&amp;","&amp;INDEX(MO_Common_QEndDate,0,COLUMN())&amp;",,,,""PRICE"",""CLOSE"")"),"N/A")</f>
        <v>N/A</v>
      </c>
      <c r="AI1123" s="423" t="str">
        <f ca="1">IFERROR(FDS(MO.Ticker.FactSet,"P_PRICE_HIGH"&amp;"("&amp;INDEX(MO_SNA_FPStartDate,0,COLUMN())&amp;","&amp;INDEX(MO_Common_QEndDate,0,COLUMN())&amp;",,,,""PRICE"",""CLOSE"")"),"N/A")</f>
        <v>N/A</v>
      </c>
      <c r="AJ1123" s="423" t="str">
        <f ca="1">IFERROR(FDS(MO.Ticker.FactSet,"P_PRICE_HIGH"&amp;"("&amp;INDEX(MO_SNA_FPStartDate,0,COLUMN())&amp;","&amp;INDEX(MO_Common_QEndDate,0,COLUMN())&amp;",,,,""PRICE"",""CLOSE"")"),"N/A")</f>
        <v>N/A</v>
      </c>
      <c r="AK1123" s="423" t="str">
        <f ca="1">IFERROR(FDS(MO.Ticker.FactSet,"P_PRICE_HIGH"&amp;"("&amp;INDEX(MO_SNA_FPStartDate,0,COLUMN())&amp;","&amp;INDEX(MO_Common_QEndDate,0,COLUMN())&amp;",,,,""PRICE"",""CLOSE"")"),"N/A")</f>
        <v>N/A</v>
      </c>
      <c r="AL1123" s="423" t="str">
        <f ca="1">IFERROR(FDS(MO.Ticker.FactSet,"P_PRICE_HIGH"&amp;"("&amp;INDEX(MO_SNA_FPStartDate,0,COLUMN())&amp;","&amp;INDEX(MO_Common_QEndDate,0,COLUMN())&amp;",,,,""PRICE"",""CLOSE"")"),"N/A")</f>
        <v>N/A</v>
      </c>
      <c r="AM1123" s="423" t="str">
        <f ca="1">IFERROR(FDS(MO.Ticker.FactSet,"P_PRICE_HIGH"&amp;"("&amp;INDEX(MO_SNA_FPStartDate,0,COLUMN())&amp;","&amp;INDEX(MO_Common_QEndDate,0,COLUMN())&amp;",,,,""PRICE"",""CLOSE"")"),"N/A")</f>
        <v>N/A</v>
      </c>
      <c r="AN1123" s="423" t="str">
        <f ca="1">IFERROR(FDS(MO.Ticker.FactSet,"P_PRICE_HIGH"&amp;"("&amp;INDEX(MO_SNA_FPStartDate,0,COLUMN())&amp;","&amp;INDEX(MO_Common_QEndDate,0,COLUMN())&amp;",,,,""PRICE"",""CLOSE"")"),"N/A")</f>
        <v>N/A</v>
      </c>
      <c r="AO1123" s="423" t="str">
        <f ca="1">IFERROR(FDS(MO.Ticker.FactSet,"P_PRICE_HIGH"&amp;"("&amp;INDEX(MO_SNA_FPStartDate,0,COLUMN())&amp;","&amp;INDEX(MO_Common_QEndDate,0,COLUMN())&amp;",,,,""PRICE"",""CLOSE"")"),"N/A")</f>
        <v>N/A</v>
      </c>
      <c r="AP1123" s="423" t="str">
        <f ca="1">IFERROR(FDS(MO.Ticker.FactSet,"P_PRICE_HIGH"&amp;"("&amp;INDEX(MO_SNA_FPStartDate,0,COLUMN())&amp;","&amp;INDEX(MO_Common_QEndDate,0,COLUMN())&amp;",,,,""PRICE"",""CLOSE"")"),"N/A")</f>
        <v>N/A</v>
      </c>
      <c r="AQ1123" s="423" t="str">
        <f ca="1">IFERROR(FDS(MO.Ticker.FactSet,"P_PRICE_HIGH"&amp;"("&amp;INDEX(MO_SNA_FPStartDate,0,COLUMN())&amp;","&amp;INDEX(MO_Common_QEndDate,0,COLUMN())&amp;",,,,""PRICE"",""CLOSE"")"),"N/A")</f>
        <v>N/A</v>
      </c>
      <c r="AR1123" s="423" t="str">
        <f ca="1">IFERROR(FDS(MO.Ticker.FactSet,"P_PRICE_HIGH"&amp;"("&amp;INDEX(MO_SNA_FPStartDate,0,COLUMN())&amp;","&amp;INDEX(MO_Common_QEndDate,0,COLUMN())&amp;",,,,""PRICE"",""CLOSE"")"),"N/A")</f>
        <v>N/A</v>
      </c>
      <c r="AS1123" s="423" t="str">
        <f ca="1">IFERROR(FDS(MO.Ticker.FactSet,"P_PRICE_HIGH"&amp;"("&amp;INDEX(MO_SNA_FPStartDate,0,COLUMN())&amp;","&amp;INDEX(MO_Common_QEndDate,0,COLUMN())&amp;",,,,""PRICE"",""CLOSE"")"),"N/A")</f>
        <v>N/A</v>
      </c>
      <c r="AT1123" s="423" t="str">
        <f ca="1">IFERROR(FDS(MO.Ticker.FactSet,"P_PRICE_HIGH"&amp;"("&amp;INDEX(MO_SNA_FPStartDate,0,COLUMN())&amp;","&amp;INDEX(MO_Common_QEndDate,0,COLUMN())&amp;",,,,""PRICE"",""CLOSE"")"),"N/A")</f>
        <v>N/A</v>
      </c>
      <c r="AU1123" s="423" t="str">
        <f ca="1">IFERROR(FDS(MO.Ticker.FactSet,"P_PRICE_HIGH"&amp;"("&amp;INDEX(MO_SNA_FPStartDate,0,COLUMN())&amp;","&amp;INDEX(MO_Common_QEndDate,0,COLUMN())&amp;",,,,""PRICE"",""CLOSE"")"),"N/A")</f>
        <v>N/A</v>
      </c>
      <c r="AV1123" s="423" t="str">
        <f ca="1">IFERROR(FDS(MO.Ticker.FactSet,"P_PRICE_HIGH"&amp;"("&amp;INDEX(MO_SNA_FPStartDate,0,COLUMN())&amp;","&amp;INDEX(MO_Common_QEndDate,0,COLUMN())&amp;",,,,""PRICE"",""CLOSE"")"),"N/A")</f>
        <v>N/A</v>
      </c>
      <c r="AW1123" s="453" t="str">
        <f ca="1">IFERROR(FDS(MO.Ticker.FactSet,"P_PRICE_HIGH"&amp;"("&amp;INDEX(MO_SNA_FPStartDate,0,COLUMN())&amp;","&amp;INDEX(MO_Common_QEndDate,0,COLUMN())&amp;",,,,""PRICE"",""CLOSE"")"),"N/A")</f>
        <v>N/A</v>
      </c>
      <c r="AX1123" s="423" t="str">
        <f ca="1">IFERROR(FDS(MO.Ticker.FactSet,"P_PRICE_HIGH"&amp;"("&amp;INDEX(MO_SNA_FPStartDate,0,COLUMN())&amp;","&amp;INDEX(MO_Common_QEndDate,0,COLUMN())&amp;",,,,""PRICE"",""CLOSE"")"),"N/A")</f>
        <v>N/A</v>
      </c>
      <c r="AY1123" s="423" t="str">
        <f ca="1">IFERROR(FDS(MO.Ticker.FactSet,"P_PRICE_HIGH"&amp;"("&amp;INDEX(MO_SNA_FPStartDate,0,COLUMN())&amp;","&amp;INDEX(MO_Common_QEndDate,0,COLUMN())&amp;",,,,""PRICE"",""CLOSE"")"),"N/A")</f>
        <v>N/A</v>
      </c>
      <c r="AZ1123" s="423" t="str">
        <f ca="1">IFERROR(FDS(MO.Ticker.FactSet,"P_PRICE_HIGH"&amp;"("&amp;INDEX(MO_SNA_FPStartDate,0,COLUMN())&amp;","&amp;INDEX(MO_Common_QEndDate,0,COLUMN())&amp;",,,,""PRICE"",""CLOSE"")"),"N/A")</f>
        <v>N/A</v>
      </c>
      <c r="BA1123" s="423" t="str">
        <f ca="1">IFERROR(FDS(MO.Ticker.FactSet,"P_PRICE_HIGH"&amp;"("&amp;INDEX(MO_SNA_FPStartDate,0,COLUMN())&amp;","&amp;INDEX(MO_Common_QEndDate,0,COLUMN())&amp;",,,,""PRICE"",""CLOSE"")"),"N/A")</f>
        <v>N/A</v>
      </c>
      <c r="BB1123" s="423" t="str">
        <f ca="1">IFERROR(FDS(MO.Ticker.FactSet,"P_PRICE_HIGH"&amp;"("&amp;INDEX(MO_SNA_FPStartDate,0,COLUMN())&amp;","&amp;INDEX(MO_Common_QEndDate,0,COLUMN())&amp;",,,,""PRICE"",""CLOSE"")"),"N/A")</f>
        <v>N/A</v>
      </c>
      <c r="BC1123" s="423" t="str">
        <f ca="1">IFERROR(FDS(MO.Ticker.FactSet,"P_PRICE_HIGH"&amp;"("&amp;INDEX(MO_SNA_FPStartDate,0,COLUMN())&amp;","&amp;INDEX(MO_Common_QEndDate,0,COLUMN())&amp;",,,,""PRICE"",""CLOSE"")"),"N/A")</f>
        <v>N/A</v>
      </c>
      <c r="BD1123" s="423" t="str">
        <f ca="1">IFERROR(FDS(MO.Ticker.FactSet,"P_PRICE_HIGH"&amp;"("&amp;INDEX(MO_SNA_FPStartDate,0,COLUMN())&amp;","&amp;INDEX(MO_Common_QEndDate,0,COLUMN())&amp;",,,,""PRICE"",""CLOSE"")"),"N/A")</f>
        <v>N/A</v>
      </c>
      <c r="BE1123" s="423" t="str">
        <f ca="1">IFERROR(FDS(MO.Ticker.FactSet,"P_PRICE_HIGH"&amp;"("&amp;INDEX(MO_SNA_FPStartDate,0,COLUMN())&amp;","&amp;INDEX(MO_Common_QEndDate,0,COLUMN())&amp;",,,,""PRICE"",""CLOSE"")"),"N/A")</f>
        <v>N/A</v>
      </c>
      <c r="BF1123" s="423" t="str">
        <f ca="1">IFERROR(FDS(MO.Ticker.FactSet,"P_PRICE_HIGH"&amp;"("&amp;INDEX(MO_SNA_FPStartDate,0,COLUMN())&amp;","&amp;INDEX(MO_Common_QEndDate,0,COLUMN())&amp;",,,,""PRICE"",""CLOSE"")"),"N/A")</f>
        <v>N/A</v>
      </c>
      <c r="BG1123" s="425" t="str">
        <f ca="1">IFERROR(FDS(MO.Ticker.FactSet,"P_PRICE_HIGH"&amp;"("&amp;INDEX(MO_SNA_FPStartDate,0,COLUMN())&amp;","&amp;INDEX(MO_Common_QEndDate,0,COLUMN())&amp;",,,,""PRICE"",""CLOSE"")"),"N/A")</f>
        <v>N/A</v>
      </c>
      <c r="BH1123" s="426"/>
    </row>
    <row r="1124" spans="1:60" s="427" customFormat="1" hidden="1" outlineLevel="1" x14ac:dyDescent="0.25">
      <c r="A1124" s="428" t="s">
        <v>733</v>
      </c>
      <c r="B1124" s="423"/>
      <c r="C1124" s="424" t="str">
        <f>IFERROR(_xll.TR(MO.Ticker.Thomson,"MAX(TR.Pricehigh)","sdate:#1 edate:#2",,INDEX(MO_SNA_FPStartDate,0,COLUMN()),INDEX(MO_Common_QEndDate,0,COLUMN())),"N/A")</f>
        <v>Retrieving...</v>
      </c>
      <c r="D1124" s="424" t="str">
        <f>IFERROR(_xll.TR(MO.Ticker.Thomson,"MAX(TR.Pricehigh)","sdate:#1 edate:#2",,INDEX(MO_SNA_FPStartDate,0,COLUMN()),INDEX(MO_Common_QEndDate,0,COLUMN())),"N/A")</f>
        <v>Retrieving...</v>
      </c>
      <c r="E1124" s="423" t="str">
        <f>IFERROR(_xll.TR(MO.Ticker.Thomson,"MAX(TR.Pricehigh)","sdate:#1 edate:#2",,INDEX(MO_SNA_FPStartDate,0,COLUMN()),INDEX(MO_Common_QEndDate,0,COLUMN())),"N/A")</f>
        <v>Retrieving...</v>
      </c>
      <c r="F1124" s="423" t="str">
        <f>IFERROR(_xll.TR(MO.Ticker.Thomson,"MAX(TR.Pricehigh)","sdate:#1 edate:#2",,INDEX(MO_SNA_FPStartDate,0,COLUMN()),INDEX(MO_Common_QEndDate,0,COLUMN())),"N/A")</f>
        <v>Retrieving...</v>
      </c>
      <c r="G1124" s="423" t="str">
        <f>IFERROR(_xll.TR(MO.Ticker.Thomson,"MAX(TR.Pricehigh)","sdate:#1 edate:#2",,INDEX(MO_SNA_FPStartDate,0,COLUMN()),INDEX(MO_Common_QEndDate,0,COLUMN())),"N/A")</f>
        <v>Retrieving...</v>
      </c>
      <c r="H1124" s="423" t="str">
        <f>IFERROR(_xll.TR(MO.Ticker.Thomson,"MAX(TR.Pricehigh)","sdate:#1 edate:#2",,INDEX(MO_SNA_FPStartDate,0,COLUMN()),INDEX(MO_Common_QEndDate,0,COLUMN())),"N/A")</f>
        <v>Retrieving...</v>
      </c>
      <c r="I1124" s="423" t="str">
        <f>IFERROR(_xll.TR(MO.Ticker.Thomson,"MAX(TR.Pricehigh)","sdate:#1 edate:#2",,INDEX(MO_SNA_FPStartDate,0,COLUMN()),INDEX(MO_Common_QEndDate,0,COLUMN())),"N/A")</f>
        <v>Retrieving...</v>
      </c>
      <c r="J1124" s="423" t="str">
        <f>IFERROR(_xll.TR(MO.Ticker.Thomson,"MAX(TR.Pricehigh)","sdate:#1 edate:#2",,INDEX(MO_SNA_FPStartDate,0,COLUMN()),INDEX(MO_Common_QEndDate,0,COLUMN())),"N/A")</f>
        <v>Retrieving...</v>
      </c>
      <c r="K1124" s="423" t="str">
        <f>IFERROR(_xll.TR(MO.Ticker.Thomson,"MAX(TR.Pricehigh)","sdate:#1 edate:#2",,INDEX(MO_SNA_FPStartDate,0,COLUMN()),INDEX(MO_Common_QEndDate,0,COLUMN())),"N/A")</f>
        <v>Retrieving...</v>
      </c>
      <c r="L1124" s="423" t="str">
        <f>IFERROR(_xll.TR(MO.Ticker.Thomson,"MAX(TR.Pricehigh)","sdate:#1 edate:#2",,INDEX(MO_SNA_FPStartDate,0,COLUMN()),INDEX(MO_Common_QEndDate,0,COLUMN())),"N/A")</f>
        <v>Retrieving...</v>
      </c>
      <c r="M1124" s="423" t="str">
        <f>IFERROR(_xll.TR(MO.Ticker.Thomson,"MAX(TR.Pricehigh)","sdate:#1 edate:#2",,INDEX(MO_SNA_FPStartDate,0,COLUMN()),INDEX(MO_Common_QEndDate,0,COLUMN())),"N/A")</f>
        <v>Retrieving...</v>
      </c>
      <c r="N1124" s="423" t="str">
        <f>IFERROR(_xll.TR(MO.Ticker.Thomson,"MAX(TR.Pricehigh)","sdate:#1 edate:#2",,INDEX(MO_SNA_FPStartDate,0,COLUMN()),INDEX(MO_Common_QEndDate,0,COLUMN())),"N/A")</f>
        <v>Retrieving...</v>
      </c>
      <c r="O1124" s="423" t="str">
        <f>IFERROR(_xll.TR(MO.Ticker.Thomson,"MAX(TR.Pricehigh)","sdate:#1 edate:#2",,INDEX(MO_SNA_FPStartDate,0,COLUMN()),INDEX(MO_Common_QEndDate,0,COLUMN())),"N/A")</f>
        <v>Retrieving...</v>
      </c>
      <c r="P1124" s="423" t="str">
        <f>IFERROR(_xll.TR(MO.Ticker.Thomson,"MAX(TR.Pricehigh)","sdate:#1 edate:#2",,INDEX(MO_SNA_FPStartDate,0,COLUMN()),INDEX(MO_Common_QEndDate,0,COLUMN())),"N/A")</f>
        <v>Retrieving...</v>
      </c>
      <c r="Q1124" s="423" t="str">
        <f>IFERROR(_xll.TR(MO.Ticker.Thomson,"MAX(TR.Pricehigh)","sdate:#1 edate:#2",,INDEX(MO_SNA_FPStartDate,0,COLUMN()),INDEX(MO_Common_QEndDate,0,COLUMN())),"N/A")</f>
        <v>Retrieving...</v>
      </c>
      <c r="R1124" s="423" t="str">
        <f>IFERROR(_xll.TR(MO.Ticker.Thomson,"MAX(TR.Pricehigh)","sdate:#1 edate:#2",,INDEX(MO_SNA_FPStartDate,0,COLUMN()),INDEX(MO_Common_QEndDate,0,COLUMN())),"N/A")</f>
        <v>Retrieving...</v>
      </c>
      <c r="S1124" s="423" t="str">
        <f>IFERROR(_xll.TR(MO.Ticker.Thomson,"MAX(TR.Pricehigh)","sdate:#1 edate:#2",,INDEX(MO_SNA_FPStartDate,0,COLUMN()),INDEX(MO_Common_QEndDate,0,COLUMN())),"N/A")</f>
        <v>Retrieving...</v>
      </c>
      <c r="T1124" s="423" t="str">
        <f>IFERROR(_xll.TR(MO.Ticker.Thomson,"MAX(TR.Pricehigh)","sdate:#1 edate:#2",,INDEX(MO_SNA_FPStartDate,0,COLUMN()),INDEX(MO_Common_QEndDate,0,COLUMN())),"N/A")</f>
        <v>Retrieving...</v>
      </c>
      <c r="U1124" s="423" t="str">
        <f>IFERROR(_xll.TR(MO.Ticker.Thomson,"MAX(TR.Pricehigh)","sdate:#1 edate:#2",,INDEX(MO_SNA_FPStartDate,0,COLUMN()),INDEX(MO_Common_QEndDate,0,COLUMN())),"N/A")</f>
        <v>Retrieving...</v>
      </c>
      <c r="V1124" s="423" t="str">
        <f>IFERROR(_xll.TR(MO.Ticker.Thomson,"MAX(TR.Pricehigh)","sdate:#1 edate:#2",,INDEX(MO_SNA_FPStartDate,0,COLUMN()),INDEX(MO_Common_QEndDate,0,COLUMN())),"N/A")</f>
        <v>Retrieving...</v>
      </c>
      <c r="W1124" s="423" t="str">
        <f>IFERROR(_xll.TR(MO.Ticker.Thomson,"MAX(TR.Pricehigh)","sdate:#1 edate:#2",,INDEX(MO_SNA_FPStartDate,0,COLUMN()),INDEX(MO_Common_QEndDate,0,COLUMN())),"N/A")</f>
        <v>Retrieving...</v>
      </c>
      <c r="X1124" s="423" t="str">
        <f>IFERROR(_xll.TR(MO.Ticker.Thomson,"MAX(TR.Pricehigh)","sdate:#1 edate:#2",,INDEX(MO_SNA_FPStartDate,0,COLUMN()),INDEX(MO_Common_QEndDate,0,COLUMN())),"N/A")</f>
        <v>Retrieving...</v>
      </c>
      <c r="Y1124" s="423" t="str">
        <f>IFERROR(_xll.TR(MO.Ticker.Thomson,"MAX(TR.Pricehigh)","sdate:#1 edate:#2",,INDEX(MO_SNA_FPStartDate,0,COLUMN()),INDEX(MO_Common_QEndDate,0,COLUMN())),"N/A")</f>
        <v>Retrieving...</v>
      </c>
      <c r="Z1124" s="423" t="str">
        <f>IFERROR(_xll.TR(MO.Ticker.Thomson,"MAX(TR.Pricehigh)","sdate:#1 edate:#2",,INDEX(MO_SNA_FPStartDate,0,COLUMN()),INDEX(MO_Common_QEndDate,0,COLUMN())),"N/A")</f>
        <v>Retrieving...</v>
      </c>
      <c r="AA1124" s="423" t="str">
        <f>IFERROR(_xll.TR(MO.Ticker.Thomson,"MAX(TR.Pricehigh)","sdate:#1 edate:#2",,INDEX(MO_SNA_FPStartDate,0,COLUMN()),INDEX(MO_Common_QEndDate,0,COLUMN())),"N/A")</f>
        <v>Retrieving...</v>
      </c>
      <c r="AB1124" s="423" t="str">
        <f>IFERROR(_xll.TR(MO.Ticker.Thomson,"MAX(TR.Pricehigh)","sdate:#1 edate:#2",,INDEX(MO_SNA_FPStartDate,0,COLUMN()),INDEX(MO_Common_QEndDate,0,COLUMN())),"N/A")</f>
        <v>Retrieving...</v>
      </c>
      <c r="AC1124" s="423" t="str">
        <f>IFERROR(_xll.TR(MO.Ticker.Thomson,"MAX(TR.Pricehigh)","sdate:#1 edate:#2",,INDEX(MO_SNA_FPStartDate,0,COLUMN()),INDEX(MO_Common_QEndDate,0,COLUMN())),"N/A")</f>
        <v>Retrieving...</v>
      </c>
      <c r="AD1124" s="423" t="str">
        <f>IFERROR(_xll.TR(MO.Ticker.Thomson,"MAX(TR.Pricehigh)","sdate:#1 edate:#2",,INDEX(MO_SNA_FPStartDate,0,COLUMN()),INDEX(MO_Common_QEndDate,0,COLUMN())),"N/A")</f>
        <v>Retrieving...</v>
      </c>
      <c r="AE1124" s="423" t="str">
        <f>IFERROR(_xll.TR(MO.Ticker.Thomson,"MAX(TR.Pricehigh)","sdate:#1 edate:#2",,INDEX(MO_SNA_FPStartDate,0,COLUMN()),INDEX(MO_Common_QEndDate,0,COLUMN())),"N/A")</f>
        <v>Retrieving...</v>
      </c>
      <c r="AF1124" s="423" t="str">
        <f>IFERROR(_xll.TR(MO.Ticker.Thomson,"MAX(TR.Pricehigh)","sdate:#1 edate:#2",,INDEX(MO_SNA_FPStartDate,0,COLUMN()),INDEX(MO_Common_QEndDate,0,COLUMN())),"N/A")</f>
        <v>Retrieving...</v>
      </c>
      <c r="AG1124" s="423" t="str">
        <f>IFERROR(_xll.TR(MO.Ticker.Thomson,"MAX(TR.Pricehigh)","sdate:#1 edate:#2",,INDEX(MO_SNA_FPStartDate,0,COLUMN()),INDEX(MO_Common_QEndDate,0,COLUMN())),"N/A")</f>
        <v>Retrieving...</v>
      </c>
      <c r="AH1124" s="423" t="str">
        <f>IFERROR(_xll.TR(MO.Ticker.Thomson,"MAX(TR.Pricehigh)","sdate:#1 edate:#2",,INDEX(MO_SNA_FPStartDate,0,COLUMN()),INDEX(MO_Common_QEndDate,0,COLUMN())),"N/A")</f>
        <v>Retrieving...</v>
      </c>
      <c r="AI1124" s="423" t="str">
        <f>IFERROR(_xll.TR(MO.Ticker.Thomson,"MAX(TR.Pricehigh)","sdate:#1 edate:#2",,INDEX(MO_SNA_FPStartDate,0,COLUMN()),INDEX(MO_Common_QEndDate,0,COLUMN())),"N/A")</f>
        <v>Retrieving...</v>
      </c>
      <c r="AJ1124" s="423" t="str">
        <f>IFERROR(_xll.TR(MO.Ticker.Thomson,"MAX(TR.Pricehigh)","sdate:#1 edate:#2",,INDEX(MO_SNA_FPStartDate,0,COLUMN()),INDEX(MO_Common_QEndDate,0,COLUMN())),"N/A")</f>
        <v>Retrieving...</v>
      </c>
      <c r="AK1124" s="423" t="str">
        <f>IFERROR(_xll.TR(MO.Ticker.Thomson,"MAX(TR.Pricehigh)","sdate:#1 edate:#2",,INDEX(MO_SNA_FPStartDate,0,COLUMN()),INDEX(MO_Common_QEndDate,0,COLUMN())),"N/A")</f>
        <v>Retrieving...</v>
      </c>
      <c r="AL1124" s="423" t="str">
        <f>IFERROR(_xll.TR(MO.Ticker.Thomson,"MAX(TR.Pricehigh)","sdate:#1 edate:#2",,INDEX(MO_SNA_FPStartDate,0,COLUMN()),INDEX(MO_Common_QEndDate,0,COLUMN())),"N/A")</f>
        <v>Retrieving...</v>
      </c>
      <c r="AM1124" s="423" t="str">
        <f>IFERROR(_xll.TR(MO.Ticker.Thomson,"MAX(TR.Pricehigh)","sdate:#1 edate:#2",,INDEX(MO_SNA_FPStartDate,0,COLUMN()),INDEX(MO_Common_QEndDate,0,COLUMN())),"N/A")</f>
        <v>Retrieving...</v>
      </c>
      <c r="AN1124" s="423" t="str">
        <f>IFERROR(_xll.TR(MO.Ticker.Thomson,"MAX(TR.Pricehigh)","sdate:#1 edate:#2",,INDEX(MO_SNA_FPStartDate,0,COLUMN()),INDEX(MO_Common_QEndDate,0,COLUMN())),"N/A")</f>
        <v>Retrieving...</v>
      </c>
      <c r="AO1124" s="423" t="str">
        <f>IFERROR(_xll.TR(MO.Ticker.Thomson,"MAX(TR.Pricehigh)","sdate:#1 edate:#2",,INDEX(MO_SNA_FPStartDate,0,COLUMN()),INDEX(MO_Common_QEndDate,0,COLUMN())),"N/A")</f>
        <v>Retrieving...</v>
      </c>
      <c r="AP1124" s="423" t="str">
        <f>IFERROR(_xll.TR(MO.Ticker.Thomson,"MAX(TR.Pricehigh)","sdate:#1 edate:#2",,INDEX(MO_SNA_FPStartDate,0,COLUMN()),INDEX(MO_Common_QEndDate,0,COLUMN())),"N/A")</f>
        <v>Retrieving...</v>
      </c>
      <c r="AQ1124" s="423" t="str">
        <f>IFERROR(_xll.TR(MO.Ticker.Thomson,"MAX(TR.Pricehigh)","sdate:#1 edate:#2",,INDEX(MO_SNA_FPStartDate,0,COLUMN()),INDEX(MO_Common_QEndDate,0,COLUMN())),"N/A")</f>
        <v>Retrieving...</v>
      </c>
      <c r="AR1124" s="423" t="str">
        <f>IFERROR(_xll.TR(MO.Ticker.Thomson,"MAX(TR.Pricehigh)","sdate:#1 edate:#2",,INDEX(MO_SNA_FPStartDate,0,COLUMN()),INDEX(MO_Common_QEndDate,0,COLUMN())),"N/A")</f>
        <v>Retrieving...</v>
      </c>
      <c r="AS1124" s="423" t="str">
        <f>IFERROR(_xll.TR(MO.Ticker.Thomson,"MAX(TR.Pricehigh)","sdate:#1 edate:#2",,INDEX(MO_SNA_FPStartDate,0,COLUMN()),INDEX(MO_Common_QEndDate,0,COLUMN())),"N/A")</f>
        <v>Retrieving...</v>
      </c>
      <c r="AT1124" s="423" t="str">
        <f>IFERROR(_xll.TR(MO.Ticker.Thomson,"MAX(TR.Pricehigh)","sdate:#1 edate:#2",,INDEX(MO_SNA_FPStartDate,0,COLUMN()),INDEX(MO_Common_QEndDate,0,COLUMN())),"N/A")</f>
        <v>Retrieving...</v>
      </c>
      <c r="AU1124" s="423" t="str">
        <f>IFERROR(_xll.TR(MO.Ticker.Thomson,"MAX(TR.Pricehigh)","sdate:#1 edate:#2",,INDEX(MO_SNA_FPStartDate,0,COLUMN()),INDEX(MO_Common_QEndDate,0,COLUMN())),"N/A")</f>
        <v>Retrieving...</v>
      </c>
      <c r="AV1124" s="423" t="str">
        <f>IFERROR(_xll.TR(MO.Ticker.Thomson,"MAX(TR.Pricehigh)","sdate:#1 edate:#2",,INDEX(MO_SNA_FPStartDate,0,COLUMN()),INDEX(MO_Common_QEndDate,0,COLUMN())),"N/A")</f>
        <v>Retrieving...</v>
      </c>
      <c r="AW1124" s="453" t="str">
        <f>IFERROR(_xll.TR(MO.Ticker.Thomson,"MAX(TR.Pricehigh)","sdate:#1 edate:#2",,INDEX(MO_SNA_FPStartDate,0,COLUMN()),INDEX(MO_Common_QEndDate,0,COLUMN())),"N/A")</f>
        <v>Retrieving...</v>
      </c>
      <c r="AX1124" s="423" t="str">
        <f>IFERROR(_xll.TR(MO.Ticker.Thomson,"MAX(TR.Pricehigh)","sdate:#1 edate:#2",,INDEX(MO_SNA_FPStartDate,0,COLUMN()),INDEX(MO_Common_QEndDate,0,COLUMN())),"N/A")</f>
        <v>Retrieving...</v>
      </c>
      <c r="AY1124" s="423" t="str">
        <f>IFERROR(_xll.TR(MO.Ticker.Thomson,"MAX(TR.Pricehigh)","sdate:#1 edate:#2",,INDEX(MO_SNA_FPStartDate,0,COLUMN()),INDEX(MO_Common_QEndDate,0,COLUMN())),"N/A")</f>
        <v>Retrieving...</v>
      </c>
      <c r="AZ1124" s="423" t="str">
        <f>IFERROR(_xll.TR(MO.Ticker.Thomson,"MAX(TR.Pricehigh)","sdate:#1 edate:#2",,INDEX(MO_SNA_FPStartDate,0,COLUMN()),INDEX(MO_Common_QEndDate,0,COLUMN())),"N/A")</f>
        <v>Retrieving...</v>
      </c>
      <c r="BA1124" s="423" t="str">
        <f>IFERROR(_xll.TR(MO.Ticker.Thomson,"MAX(TR.Pricehigh)","sdate:#1 edate:#2",,INDEX(MO_SNA_FPStartDate,0,COLUMN()),INDEX(MO_Common_QEndDate,0,COLUMN())),"N/A")</f>
        <v>Retrieving...</v>
      </c>
      <c r="BB1124" s="423" t="str">
        <f>IFERROR(_xll.TR(MO.Ticker.Thomson,"MAX(TR.Pricehigh)","sdate:#1 edate:#2",,INDEX(MO_SNA_FPStartDate,0,COLUMN()),INDEX(MO_Common_QEndDate,0,COLUMN())),"N/A")</f>
        <v>Retrieving...</v>
      </c>
      <c r="BC1124" s="423" t="str">
        <f>IFERROR(_xll.TR(MO.Ticker.Thomson,"MAX(TR.Pricehigh)","sdate:#1 edate:#2",,INDEX(MO_SNA_FPStartDate,0,COLUMN()),INDEX(MO_Common_QEndDate,0,COLUMN())),"N/A")</f>
        <v>Retrieving...</v>
      </c>
      <c r="BD1124" s="423" t="str">
        <f>IFERROR(_xll.TR(MO.Ticker.Thomson,"MAX(TR.Pricehigh)","sdate:#1 edate:#2",,INDEX(MO_SNA_FPStartDate,0,COLUMN()),INDEX(MO_Common_QEndDate,0,COLUMN())),"N/A")</f>
        <v>Retrieving...</v>
      </c>
      <c r="BE1124" s="423" t="str">
        <f>IFERROR(_xll.TR(MO.Ticker.Thomson,"MAX(TR.Pricehigh)","sdate:#1 edate:#2",,INDEX(MO_SNA_FPStartDate,0,COLUMN()),INDEX(MO_Common_QEndDate,0,COLUMN())),"N/A")</f>
        <v>Retrieving...</v>
      </c>
      <c r="BF1124" s="423" t="str">
        <f>IFERROR(_xll.TR(MO.Ticker.Thomson,"MAX(TR.Pricehigh)","sdate:#1 edate:#2",,INDEX(MO_SNA_FPStartDate,0,COLUMN()),INDEX(MO_Common_QEndDate,0,COLUMN())),"N/A")</f>
        <v>Retrieving...</v>
      </c>
      <c r="BG1124" s="425" t="str">
        <f>IFERROR(_xll.TR(MO.Ticker.Thomson,"MAX(TR.Pricehigh)","sdate:#1 edate:#2",,INDEX(MO_SNA_FPStartDate,0,COLUMN()),INDEX(MO_Common_QEndDate,0,COLUMN())),"N/A")</f>
        <v>Retrieving...</v>
      </c>
      <c r="BH1124" s="426"/>
    </row>
    <row r="1125" spans="1:60" s="15" customFormat="1" hidden="1" outlineLevel="1" x14ac:dyDescent="0.25">
      <c r="A1125" s="273"/>
      <c r="B1125" s="957"/>
      <c r="C1125" s="187"/>
      <c r="D1125" s="187"/>
      <c r="E1125" s="957"/>
      <c r="F1125" s="957"/>
      <c r="G1125" s="957"/>
      <c r="H1125" s="957"/>
      <c r="I1125" s="957"/>
      <c r="J1125" s="957"/>
      <c r="K1125" s="957"/>
      <c r="L1125" s="957"/>
      <c r="M1125" s="957"/>
      <c r="N1125" s="957"/>
      <c r="O1125" s="957"/>
      <c r="P1125" s="957"/>
      <c r="Q1125" s="957"/>
      <c r="R1125" s="957"/>
      <c r="S1125" s="957"/>
      <c r="T1125" s="957"/>
      <c r="U1125" s="957"/>
      <c r="V1125" s="957"/>
      <c r="W1125" s="957"/>
      <c r="X1125" s="957"/>
      <c r="Y1125" s="957"/>
      <c r="Z1125" s="957"/>
      <c r="AA1125" s="957"/>
      <c r="AB1125" s="957"/>
      <c r="AC1125" s="957"/>
      <c r="AD1125" s="957"/>
      <c r="AE1125" s="957"/>
      <c r="AF1125" s="957"/>
      <c r="AG1125" s="957"/>
      <c r="AH1125" s="957"/>
      <c r="AI1125" s="957"/>
      <c r="AJ1125" s="957"/>
      <c r="AK1125" s="957"/>
      <c r="AL1125" s="957"/>
      <c r="AM1125" s="957"/>
      <c r="AN1125" s="957"/>
      <c r="AO1125" s="957"/>
      <c r="AP1125" s="957"/>
      <c r="AQ1125" s="957"/>
      <c r="AR1125" s="957"/>
      <c r="AS1125" s="957"/>
      <c r="AT1125" s="957"/>
      <c r="AU1125" s="957"/>
      <c r="AV1125" s="957"/>
      <c r="AW1125" s="958"/>
      <c r="AX1125" s="957"/>
      <c r="AY1125" s="957"/>
      <c r="AZ1125" s="957"/>
      <c r="BA1125" s="957"/>
      <c r="BB1125" s="957"/>
      <c r="BC1125" s="957"/>
      <c r="BD1125" s="957"/>
      <c r="BE1125" s="957"/>
      <c r="BF1125" s="957"/>
      <c r="BG1125" s="271"/>
      <c r="BH1125" s="728"/>
    </row>
    <row r="1126" spans="1:60" s="427" customFormat="1" collapsed="1" x14ac:dyDescent="0.25">
      <c r="A1126" s="422" t="str">
        <f ca="1">"Stock Low: "&amp;IF(OR(MO.RealTimeStockPriceToggle=FALSE,VLOOKUP(MO.DataSourceName,MO_SPT_StockLow_Sources,COLUMN()+2,FALSE)="N/A"),"Real-Time Off Source",MO.DataSourceName)</f>
        <v>Stock Low: Real-Time Off Source</v>
      </c>
      <c r="B1126" s="423"/>
      <c r="C1126" s="424">
        <f t="shared" ref="C1126:AH1126" ca="1" si="1203">IF(OR(MO.RealTimeStockPriceToggle=FALSE,VLOOKUP(MO.DataSourceName,MO_SPT_StockLow_Sources,COLUMN(),FALSE)="N/A"),VLOOKUP("Real-Time Off Source",MO_SPT_StockLow_Sources,COLUMN(),FALSE),VLOOKUP(MO.DataSourceName,MO_SPT_StockLow_Sources,COLUMN(),FALSE))</f>
        <v>15.14</v>
      </c>
      <c r="D1126" s="424">
        <f t="shared" ca="1" si="1203"/>
        <v>27</v>
      </c>
      <c r="E1126" s="423">
        <f t="shared" ca="1" si="1203"/>
        <v>27</v>
      </c>
      <c r="F1126" s="423">
        <f t="shared" ca="1" si="1203"/>
        <v>28.19</v>
      </c>
      <c r="G1126" s="423">
        <f t="shared" ca="1" si="1203"/>
        <v>46.53</v>
      </c>
      <c r="H1126" s="423">
        <f t="shared" ca="1" si="1203"/>
        <v>48.8</v>
      </c>
      <c r="I1126" s="423">
        <f t="shared" ca="1" si="1203"/>
        <v>56.15</v>
      </c>
      <c r="J1126" s="423">
        <f t="shared" ca="1" si="1203"/>
        <v>60.41</v>
      </c>
      <c r="K1126" s="423">
        <f t="shared" ca="1" si="1203"/>
        <v>46.53</v>
      </c>
      <c r="L1126" s="423">
        <f t="shared" ca="1" si="1203"/>
        <v>63.1</v>
      </c>
      <c r="M1126" s="423">
        <f t="shared" ca="1" si="1203"/>
        <v>69.849999999999994</v>
      </c>
      <c r="N1126" s="423">
        <f t="shared" ca="1" si="1203"/>
        <v>76.31</v>
      </c>
      <c r="O1126" s="423">
        <f t="shared" ca="1" si="1203"/>
        <v>84.87</v>
      </c>
      <c r="P1126" s="423">
        <f t="shared" ca="1" si="1203"/>
        <v>63.1</v>
      </c>
      <c r="Q1126" s="423">
        <f t="shared" ca="1" si="1203"/>
        <v>78.540000000000006</v>
      </c>
      <c r="R1126" s="423">
        <f t="shared" ca="1" si="1203"/>
        <v>90.06</v>
      </c>
      <c r="S1126" s="423">
        <f t="shared" ca="1" si="1203"/>
        <v>104.25</v>
      </c>
      <c r="T1126" s="423">
        <f t="shared" ca="1" si="1203"/>
        <v>90</v>
      </c>
      <c r="U1126" s="423">
        <f t="shared" ca="1" si="1203"/>
        <v>78.540000000000006</v>
      </c>
      <c r="V1126" s="423">
        <f t="shared" ca="1" si="1203"/>
        <v>102.61</v>
      </c>
      <c r="W1126" s="423">
        <f t="shared" ca="1" si="1203"/>
        <v>86.25</v>
      </c>
      <c r="X1126" s="423">
        <f t="shared" ca="1" si="1203"/>
        <v>94</v>
      </c>
      <c r="Y1126" s="423">
        <f t="shared" ca="1" si="1203"/>
        <v>91.9</v>
      </c>
      <c r="Z1126" s="423">
        <f t="shared" ca="1" si="1203"/>
        <v>86.25</v>
      </c>
      <c r="AA1126" s="423">
        <f t="shared" ca="1" si="1203"/>
        <v>90.32</v>
      </c>
      <c r="AB1126" s="423">
        <f t="shared" ca="1" si="1203"/>
        <v>105.21</v>
      </c>
      <c r="AC1126" s="423">
        <f t="shared" ca="1" si="1203"/>
        <v>103.17</v>
      </c>
      <c r="AD1126" s="423">
        <f t="shared" ca="1" si="1203"/>
        <v>96.2</v>
      </c>
      <c r="AE1126" s="423">
        <f t="shared" ca="1" si="1203"/>
        <v>90.32</v>
      </c>
      <c r="AF1126" s="423">
        <f t="shared" ca="1" si="1203"/>
        <v>94.655500000000004</v>
      </c>
      <c r="AG1126" s="423">
        <f t="shared" ca="1" si="1203"/>
        <v>97.001800000000003</v>
      </c>
      <c r="AH1126" s="423">
        <f t="shared" ca="1" si="1203"/>
        <v>97.12</v>
      </c>
      <c r="AI1126" s="423">
        <f t="shared" ref="AI1126:AY1126" ca="1" si="1204">IF(OR(MO.RealTimeStockPriceToggle=FALSE,VLOOKUP(MO.DataSourceName,MO_SPT_StockLow_Sources,COLUMN(),FALSE)="N/A"),VLOOKUP("Real-Time Off Source",MO_SPT_StockLow_Sources,COLUMN(),FALSE),VLOOKUP(MO.DataSourceName,MO_SPT_StockLow_Sources,COLUMN(),FALSE))</f>
        <v>102.416</v>
      </c>
      <c r="AJ1126" s="423">
        <f t="shared" ca="1" si="1204"/>
        <v>94.655500000000004</v>
      </c>
      <c r="AK1126" s="423">
        <f t="shared" ca="1" si="1204"/>
        <v>100.35</v>
      </c>
      <c r="AL1126" s="423">
        <f t="shared" ca="1" si="1204"/>
        <v>106.33</v>
      </c>
      <c r="AM1126" s="423">
        <f t="shared" ca="1" si="1204"/>
        <v>111.96</v>
      </c>
      <c r="AN1126" s="423">
        <f t="shared" ca="1" si="1204"/>
        <v>129.96</v>
      </c>
      <c r="AO1126" s="423">
        <f t="shared" ca="1" si="1204"/>
        <v>100.35</v>
      </c>
      <c r="AP1126" s="423">
        <f t="shared" ca="1" si="1204"/>
        <v>128.15</v>
      </c>
      <c r="AQ1126" s="423">
        <f t="shared" ca="1" si="1204"/>
        <v>85.76</v>
      </c>
      <c r="AR1126" s="423">
        <f t="shared" ca="1" si="1204"/>
        <v>93.88</v>
      </c>
      <c r="AS1126" s="423">
        <f ca="1">IF(OR(MO.RealTimeStockPriceToggle=FALSE,VLOOKUP(MO.DataSourceName,MO_SPT_StockLow_Sources,COLUMN(),FALSE)="N/A"),VLOOKUP("Real-Time Off Source",MO_SPT_StockLow_Sources,COLUMN(),FALSE),VLOOKUP(MO.DataSourceName,MO_SPT_StockLow_Sources,COLUMN(),FALSE))</f>
        <v>112.18</v>
      </c>
      <c r="AT1126" s="423">
        <f ca="1">IF(OR(MO.RealTimeStockPriceToggle=FALSE,VLOOKUP(MO.DataSourceName,MO_SPT_StockLow_Sources,COLUMN(),FALSE)="N/A"),VLOOKUP("Real-Time Off Source",MO_SPT_StockLow_Sources,COLUMN(),FALSE),VLOOKUP(MO.DataSourceName,MO_SPT_StockLow_Sources,COLUMN(),FALSE))</f>
        <v>85.76</v>
      </c>
      <c r="AU1126" s="423">
        <f ca="1">IF(OR(MO.RealTimeStockPriceToggle=FALSE,VLOOKUP(MO.DataSourceName,MO_SPT_StockLow_Sources,COLUMN(),FALSE)="N/A"),VLOOKUP("Real-Time Off Source",MO_SPT_StockLow_Sources,COLUMN(),FALSE),VLOOKUP(MO.DataSourceName,MO_SPT_StockLow_Sources,COLUMN(),FALSE))</f>
        <v>118.47</v>
      </c>
      <c r="AV1126" s="423">
        <f ca="1">IF(OR(MO.RealTimeStockPriceToggle=FALSE,VLOOKUP(MO.DataSourceName,MO_SPT_StockLow_Sources,COLUMN(),FALSE)="N/A"),VLOOKUP("Real-Time Off Source",MO_SPT_StockLow_Sources,COLUMN(),FALSE),VLOOKUP(MO.DataSourceName,MO_SPT_StockLow_Sources,COLUMN(),FALSE))</f>
        <v>163.03</v>
      </c>
      <c r="AW1126" s="453">
        <f ca="1">IF(OR(MO.RealTimeStockPriceToggle=FALSE,VLOOKUP(MO.DataSourceName,MO_SPT_StockLow_Sources,COLUMN(),FALSE)="N/A"),VLOOKUP("Real-Time Off Source",MO_SPT_StockLow_Sources,COLUMN(),FALSE),VLOOKUP(MO.DataSourceName,MO_SPT_StockLow_Sources,COLUMN(),FALSE))</f>
        <v>169.27</v>
      </c>
      <c r="AX1126" s="423">
        <f t="shared" ca="1" si="1204"/>
        <v>0</v>
      </c>
      <c r="AY1126" s="423">
        <f t="shared" ca="1" si="1204"/>
        <v>0</v>
      </c>
      <c r="AZ1126" s="423">
        <f t="shared" ref="AZ1126:BG1126" ca="1" si="1205">IF(OR(MO.RealTimeStockPriceToggle=FALSE,VLOOKUP(MO.DataSourceName,MO_SPT_StockLow_Sources,COLUMN(),FALSE)="N/A"),VLOOKUP("Real-Time Off Source",MO_SPT_StockLow_Sources,COLUMN(),FALSE),VLOOKUP(MO.DataSourceName,MO_SPT_StockLow_Sources,COLUMN(),FALSE))</f>
        <v>0</v>
      </c>
      <c r="BA1126" s="423">
        <f t="shared" ca="1" si="1205"/>
        <v>0</v>
      </c>
      <c r="BB1126" s="423">
        <f t="shared" ca="1" si="1205"/>
        <v>0</v>
      </c>
      <c r="BC1126" s="423">
        <f t="shared" ca="1" si="1205"/>
        <v>0</v>
      </c>
      <c r="BD1126" s="423">
        <f t="shared" ca="1" si="1205"/>
        <v>0</v>
      </c>
      <c r="BE1126" s="423">
        <f t="shared" ca="1" si="1205"/>
        <v>0</v>
      </c>
      <c r="BF1126" s="423">
        <f t="shared" ca="1" si="1205"/>
        <v>0</v>
      </c>
      <c r="BG1126" s="425">
        <f t="shared" ca="1" si="1205"/>
        <v>0</v>
      </c>
      <c r="BH1126" s="426"/>
    </row>
    <row r="1127" spans="1:60" s="427" customFormat="1" hidden="1" outlineLevel="1" x14ac:dyDescent="0.25">
      <c r="A1127" s="428" t="s">
        <v>404</v>
      </c>
      <c r="B1127" s="423"/>
      <c r="C1127" s="424">
        <v>15.14</v>
      </c>
      <c r="D1127" s="424">
        <v>27</v>
      </c>
      <c r="E1127" s="423">
        <v>27</v>
      </c>
      <c r="F1127" s="423">
        <v>28.19</v>
      </c>
      <c r="G1127" s="423">
        <v>46.53</v>
      </c>
      <c r="H1127" s="423">
        <v>48.8</v>
      </c>
      <c r="I1127" s="423">
        <v>56.15</v>
      </c>
      <c r="J1127" s="423">
        <v>60.41</v>
      </c>
      <c r="K1127" s="423">
        <v>46.53</v>
      </c>
      <c r="L1127" s="423">
        <v>63.1</v>
      </c>
      <c r="M1127" s="423">
        <v>69.849999999999994</v>
      </c>
      <c r="N1127" s="423">
        <v>76.31</v>
      </c>
      <c r="O1127" s="423">
        <v>84.87</v>
      </c>
      <c r="P1127" s="423">
        <v>63.1</v>
      </c>
      <c r="Q1127" s="423">
        <v>78.540000000000006</v>
      </c>
      <c r="R1127" s="423">
        <v>90.06</v>
      </c>
      <c r="S1127" s="423">
        <v>104.25</v>
      </c>
      <c r="T1127" s="423">
        <v>90</v>
      </c>
      <c r="U1127" s="423">
        <v>78.540000000000006</v>
      </c>
      <c r="V1127" s="423">
        <v>102.61</v>
      </c>
      <c r="W1127" s="423">
        <v>86.25</v>
      </c>
      <c r="X1127" s="423">
        <v>94</v>
      </c>
      <c r="Y1127" s="423">
        <v>91.9</v>
      </c>
      <c r="Z1127" s="423">
        <v>86.25</v>
      </c>
      <c r="AA1127" s="423">
        <v>90.32</v>
      </c>
      <c r="AB1127" s="423">
        <v>105.21</v>
      </c>
      <c r="AC1127" s="423">
        <v>103.17</v>
      </c>
      <c r="AD1127" s="423">
        <v>96.2</v>
      </c>
      <c r="AE1127" s="423">
        <v>90.32</v>
      </c>
      <c r="AF1127" s="423">
        <v>94.655500000000004</v>
      </c>
      <c r="AG1127" s="423">
        <v>97.001800000000003</v>
      </c>
      <c r="AH1127" s="423">
        <v>97.12</v>
      </c>
      <c r="AI1127" s="423">
        <v>102.416</v>
      </c>
      <c r="AJ1127" s="423">
        <v>94.655500000000004</v>
      </c>
      <c r="AK1127" s="423">
        <v>100.35</v>
      </c>
      <c r="AL1127" s="423">
        <v>106.33</v>
      </c>
      <c r="AM1127" s="423">
        <v>111.96</v>
      </c>
      <c r="AN1127" s="423">
        <v>129.96</v>
      </c>
      <c r="AO1127" s="423">
        <v>100.35</v>
      </c>
      <c r="AP1127" s="423">
        <v>128.15</v>
      </c>
      <c r="AQ1127" s="423">
        <v>85.76</v>
      </c>
      <c r="AR1127" s="423">
        <v>93.88</v>
      </c>
      <c r="AS1127" s="423">
        <v>112.18</v>
      </c>
      <c r="AT1127" s="423">
        <v>85.76</v>
      </c>
      <c r="AU1127" s="423">
        <v>118.47</v>
      </c>
      <c r="AV1127" s="423">
        <v>163.03</v>
      </c>
      <c r="AW1127" s="453">
        <v>169.27</v>
      </c>
      <c r="AX1127" s="423"/>
      <c r="AY1127" s="423"/>
      <c r="AZ1127" s="423"/>
      <c r="BA1127" s="423"/>
      <c r="BB1127" s="423"/>
      <c r="BC1127" s="423"/>
      <c r="BD1127" s="423"/>
      <c r="BE1127" s="423"/>
      <c r="BF1127" s="423"/>
      <c r="BG1127" s="425"/>
      <c r="BH1127" s="426"/>
    </row>
    <row r="1128" spans="1:60" s="427" customFormat="1" hidden="1" outlineLevel="1" x14ac:dyDescent="0.25">
      <c r="A1128" s="428" t="s">
        <v>7</v>
      </c>
      <c r="B1128" s="423"/>
      <c r="C1128" s="424" t="str">
        <f ca="1">IFERROR(BDP(MO.Ticker.Bloomberg&amp;" Equity","INTERVAL_LOW","MARKET_DATA_OVERRIDE=PX_LAST","START_DATE_OVERRIDE",TEXT(INDEX(MO_SNA_FPStartDate,0,COLUMN()),"YYYYMMDD"),"END_DATE_OVERRIDE",TEXT(INDEX(MO_Common_QEndDate,0,COLUMN()),"YYYYMMDD")),"N/A")</f>
        <v>N/A</v>
      </c>
      <c r="D1128" s="424" t="str">
        <f ca="1">IFERROR(BDP(MO.Ticker.Bloomberg&amp;" Equity","INTERVAL_LOW","MARKET_DATA_OVERRIDE=PX_LAST","START_DATE_OVERRIDE",TEXT(INDEX(MO_SNA_FPStartDate,0,COLUMN()),"YYYYMMDD"),"END_DATE_OVERRIDE",TEXT(INDEX(MO_Common_QEndDate,0,COLUMN()),"YYYYMMDD")),"N/A")</f>
        <v>N/A</v>
      </c>
      <c r="E1128" s="423" t="str">
        <f ca="1">IFERROR(BDP(MO.Ticker.Bloomberg&amp;" Equity","INTERVAL_LOW","MARKET_DATA_OVERRIDE=PX_LAST","START_DATE_OVERRIDE",TEXT(INDEX(MO_SNA_FPStartDate,0,COLUMN()),"YYYYMMDD"),"END_DATE_OVERRIDE",TEXT(INDEX(MO_Common_QEndDate,0,COLUMN()),"YYYYMMDD")),"N/A")</f>
        <v>N/A</v>
      </c>
      <c r="F1128" s="423" t="str">
        <f ca="1">IFERROR(BDP(MO.Ticker.Bloomberg&amp;" Equity","INTERVAL_LOW","MARKET_DATA_OVERRIDE=PX_LAST","START_DATE_OVERRIDE",TEXT(INDEX(MO_SNA_FPStartDate,0,COLUMN()),"YYYYMMDD"),"END_DATE_OVERRIDE",TEXT(INDEX(MO_Common_QEndDate,0,COLUMN()),"YYYYMMDD")),"N/A")</f>
        <v>N/A</v>
      </c>
      <c r="G1128" s="423" t="str">
        <f ca="1">IFERROR(BDP(MO.Ticker.Bloomberg&amp;" Equity","INTERVAL_LOW","MARKET_DATA_OVERRIDE=PX_LAST","START_DATE_OVERRIDE",TEXT(INDEX(MO_SNA_FPStartDate,0,COLUMN()),"YYYYMMDD"),"END_DATE_OVERRIDE",TEXT(INDEX(MO_Common_QEndDate,0,COLUMN()),"YYYYMMDD")),"N/A")</f>
        <v>N/A</v>
      </c>
      <c r="H1128" s="423" t="str">
        <f ca="1">IFERROR(BDP(MO.Ticker.Bloomberg&amp;" Equity","INTERVAL_LOW","MARKET_DATA_OVERRIDE=PX_LAST","START_DATE_OVERRIDE",TEXT(INDEX(MO_SNA_FPStartDate,0,COLUMN()),"YYYYMMDD"),"END_DATE_OVERRIDE",TEXT(INDEX(MO_Common_QEndDate,0,COLUMN()),"YYYYMMDD")),"N/A")</f>
        <v>N/A</v>
      </c>
      <c r="I1128" s="423" t="str">
        <f ca="1">IFERROR(BDP(MO.Ticker.Bloomberg&amp;" Equity","INTERVAL_LOW","MARKET_DATA_OVERRIDE=PX_LAST","START_DATE_OVERRIDE",TEXT(INDEX(MO_SNA_FPStartDate,0,COLUMN()),"YYYYMMDD"),"END_DATE_OVERRIDE",TEXT(INDEX(MO_Common_QEndDate,0,COLUMN()),"YYYYMMDD")),"N/A")</f>
        <v>N/A</v>
      </c>
      <c r="J1128" s="423" t="str">
        <f ca="1">IFERROR(BDP(MO.Ticker.Bloomberg&amp;" Equity","INTERVAL_LOW","MARKET_DATA_OVERRIDE=PX_LAST","START_DATE_OVERRIDE",TEXT(INDEX(MO_SNA_FPStartDate,0,COLUMN()),"YYYYMMDD"),"END_DATE_OVERRIDE",TEXT(INDEX(MO_Common_QEndDate,0,COLUMN()),"YYYYMMDD")),"N/A")</f>
        <v>N/A</v>
      </c>
      <c r="K1128" s="423" t="str">
        <f ca="1">IFERROR(BDP(MO.Ticker.Bloomberg&amp;" Equity","INTERVAL_LOW","MARKET_DATA_OVERRIDE=PX_LAST","START_DATE_OVERRIDE",TEXT(INDEX(MO_SNA_FPStartDate,0,COLUMN()),"YYYYMMDD"),"END_DATE_OVERRIDE",TEXT(INDEX(MO_Common_QEndDate,0,COLUMN()),"YYYYMMDD")),"N/A")</f>
        <v>N/A</v>
      </c>
      <c r="L1128" s="423" t="str">
        <f ca="1">IFERROR(BDP(MO.Ticker.Bloomberg&amp;" Equity","INTERVAL_LOW","MARKET_DATA_OVERRIDE=PX_LAST","START_DATE_OVERRIDE",TEXT(INDEX(MO_SNA_FPStartDate,0,COLUMN()),"YYYYMMDD"),"END_DATE_OVERRIDE",TEXT(INDEX(MO_Common_QEndDate,0,COLUMN()),"YYYYMMDD")),"N/A")</f>
        <v>N/A</v>
      </c>
      <c r="M1128" s="423" t="str">
        <f ca="1">IFERROR(BDP(MO.Ticker.Bloomberg&amp;" Equity","INTERVAL_LOW","MARKET_DATA_OVERRIDE=PX_LAST","START_DATE_OVERRIDE",TEXT(INDEX(MO_SNA_FPStartDate,0,COLUMN()),"YYYYMMDD"),"END_DATE_OVERRIDE",TEXT(INDEX(MO_Common_QEndDate,0,COLUMN()),"YYYYMMDD")),"N/A")</f>
        <v>N/A</v>
      </c>
      <c r="N1128" s="423" t="str">
        <f ca="1">IFERROR(BDP(MO.Ticker.Bloomberg&amp;" Equity","INTERVAL_LOW","MARKET_DATA_OVERRIDE=PX_LAST","START_DATE_OVERRIDE",TEXT(INDEX(MO_SNA_FPStartDate,0,COLUMN()),"YYYYMMDD"),"END_DATE_OVERRIDE",TEXT(INDEX(MO_Common_QEndDate,0,COLUMN()),"YYYYMMDD")),"N/A")</f>
        <v>N/A</v>
      </c>
      <c r="O1128" s="423" t="str">
        <f ca="1">IFERROR(BDP(MO.Ticker.Bloomberg&amp;" Equity","INTERVAL_LOW","MARKET_DATA_OVERRIDE=PX_LAST","START_DATE_OVERRIDE",TEXT(INDEX(MO_SNA_FPStartDate,0,COLUMN()),"YYYYMMDD"),"END_DATE_OVERRIDE",TEXT(INDEX(MO_Common_QEndDate,0,COLUMN()),"YYYYMMDD")),"N/A")</f>
        <v>N/A</v>
      </c>
      <c r="P1128" s="423" t="str">
        <f ca="1">IFERROR(BDP(MO.Ticker.Bloomberg&amp;" Equity","INTERVAL_LOW","MARKET_DATA_OVERRIDE=PX_LAST","START_DATE_OVERRIDE",TEXT(INDEX(MO_SNA_FPStartDate,0,COLUMN()),"YYYYMMDD"),"END_DATE_OVERRIDE",TEXT(INDEX(MO_Common_QEndDate,0,COLUMN()),"YYYYMMDD")),"N/A")</f>
        <v>N/A</v>
      </c>
      <c r="Q1128" s="423" t="str">
        <f ca="1">IFERROR(BDP(MO.Ticker.Bloomberg&amp;" Equity","INTERVAL_LOW","MARKET_DATA_OVERRIDE=PX_LAST","START_DATE_OVERRIDE",TEXT(INDEX(MO_SNA_FPStartDate,0,COLUMN()),"YYYYMMDD"),"END_DATE_OVERRIDE",TEXT(INDEX(MO_Common_QEndDate,0,COLUMN()),"YYYYMMDD")),"N/A")</f>
        <v>N/A</v>
      </c>
      <c r="R1128" s="423" t="str">
        <f ca="1">IFERROR(BDP(MO.Ticker.Bloomberg&amp;" Equity","INTERVAL_LOW","MARKET_DATA_OVERRIDE=PX_LAST","START_DATE_OVERRIDE",TEXT(INDEX(MO_SNA_FPStartDate,0,COLUMN()),"YYYYMMDD"),"END_DATE_OVERRIDE",TEXT(INDEX(MO_Common_QEndDate,0,COLUMN()),"YYYYMMDD")),"N/A")</f>
        <v>N/A</v>
      </c>
      <c r="S1128" s="423" t="str">
        <f ca="1">IFERROR(BDP(MO.Ticker.Bloomberg&amp;" Equity","INTERVAL_LOW","MARKET_DATA_OVERRIDE=PX_LAST","START_DATE_OVERRIDE",TEXT(INDEX(MO_SNA_FPStartDate,0,COLUMN()),"YYYYMMDD"),"END_DATE_OVERRIDE",TEXT(INDEX(MO_Common_QEndDate,0,COLUMN()),"YYYYMMDD")),"N/A")</f>
        <v>N/A</v>
      </c>
      <c r="T1128" s="423" t="str">
        <f ca="1">IFERROR(BDP(MO.Ticker.Bloomberg&amp;" Equity","INTERVAL_LOW","MARKET_DATA_OVERRIDE=PX_LAST","START_DATE_OVERRIDE",TEXT(INDEX(MO_SNA_FPStartDate,0,COLUMN()),"YYYYMMDD"),"END_DATE_OVERRIDE",TEXT(INDEX(MO_Common_QEndDate,0,COLUMN()),"YYYYMMDD")),"N/A")</f>
        <v>N/A</v>
      </c>
      <c r="U1128" s="423" t="str">
        <f ca="1">IFERROR(BDP(MO.Ticker.Bloomberg&amp;" Equity","INTERVAL_LOW","MARKET_DATA_OVERRIDE=PX_LAST","START_DATE_OVERRIDE",TEXT(INDEX(MO_SNA_FPStartDate,0,COLUMN()),"YYYYMMDD"),"END_DATE_OVERRIDE",TEXT(INDEX(MO_Common_QEndDate,0,COLUMN()),"YYYYMMDD")),"N/A")</f>
        <v>N/A</v>
      </c>
      <c r="V1128" s="423" t="str">
        <f ca="1">IFERROR(BDP(MO.Ticker.Bloomberg&amp;" Equity","INTERVAL_LOW","MARKET_DATA_OVERRIDE=PX_LAST","START_DATE_OVERRIDE",TEXT(INDEX(MO_SNA_FPStartDate,0,COLUMN()),"YYYYMMDD"),"END_DATE_OVERRIDE",TEXT(INDEX(MO_Common_QEndDate,0,COLUMN()),"YYYYMMDD")),"N/A")</f>
        <v>N/A</v>
      </c>
      <c r="W1128" s="423" t="str">
        <f ca="1">IFERROR(BDP(MO.Ticker.Bloomberg&amp;" Equity","INTERVAL_LOW","MARKET_DATA_OVERRIDE=PX_LAST","START_DATE_OVERRIDE",TEXT(INDEX(MO_SNA_FPStartDate,0,COLUMN()),"YYYYMMDD"),"END_DATE_OVERRIDE",TEXT(INDEX(MO_Common_QEndDate,0,COLUMN()),"YYYYMMDD")),"N/A")</f>
        <v>N/A</v>
      </c>
      <c r="X1128" s="423" t="str">
        <f ca="1">IFERROR(BDP(MO.Ticker.Bloomberg&amp;" Equity","INTERVAL_LOW","MARKET_DATA_OVERRIDE=PX_LAST","START_DATE_OVERRIDE",TEXT(INDEX(MO_SNA_FPStartDate,0,COLUMN()),"YYYYMMDD"),"END_DATE_OVERRIDE",TEXT(INDEX(MO_Common_QEndDate,0,COLUMN()),"YYYYMMDD")),"N/A")</f>
        <v>N/A</v>
      </c>
      <c r="Y1128" s="423" t="str">
        <f ca="1">IFERROR(BDP(MO.Ticker.Bloomberg&amp;" Equity","INTERVAL_LOW","MARKET_DATA_OVERRIDE=PX_LAST","START_DATE_OVERRIDE",TEXT(INDEX(MO_SNA_FPStartDate,0,COLUMN()),"YYYYMMDD"),"END_DATE_OVERRIDE",TEXT(INDEX(MO_Common_QEndDate,0,COLUMN()),"YYYYMMDD")),"N/A")</f>
        <v>N/A</v>
      </c>
      <c r="Z1128" s="423" t="str">
        <f ca="1">IFERROR(BDP(MO.Ticker.Bloomberg&amp;" Equity","INTERVAL_LOW","MARKET_DATA_OVERRIDE=PX_LAST","START_DATE_OVERRIDE",TEXT(INDEX(MO_SNA_FPStartDate,0,COLUMN()),"YYYYMMDD"),"END_DATE_OVERRIDE",TEXT(INDEX(MO_Common_QEndDate,0,COLUMN()),"YYYYMMDD")),"N/A")</f>
        <v>N/A</v>
      </c>
      <c r="AA1128" s="423" t="str">
        <f ca="1">IFERROR(BDP(MO.Ticker.Bloomberg&amp;" Equity","INTERVAL_LOW","MARKET_DATA_OVERRIDE=PX_LAST","START_DATE_OVERRIDE",TEXT(INDEX(MO_SNA_FPStartDate,0,COLUMN()),"YYYYMMDD"),"END_DATE_OVERRIDE",TEXT(INDEX(MO_Common_QEndDate,0,COLUMN()),"YYYYMMDD")),"N/A")</f>
        <v>N/A</v>
      </c>
      <c r="AB1128" s="423" t="str">
        <f ca="1">IFERROR(BDP(MO.Ticker.Bloomberg&amp;" Equity","INTERVAL_LOW","MARKET_DATA_OVERRIDE=PX_LAST","START_DATE_OVERRIDE",TEXT(INDEX(MO_SNA_FPStartDate,0,COLUMN()),"YYYYMMDD"),"END_DATE_OVERRIDE",TEXT(INDEX(MO_Common_QEndDate,0,COLUMN()),"YYYYMMDD")),"N/A")</f>
        <v>N/A</v>
      </c>
      <c r="AC1128" s="423" t="str">
        <f ca="1">IFERROR(BDP(MO.Ticker.Bloomberg&amp;" Equity","INTERVAL_LOW","MARKET_DATA_OVERRIDE=PX_LAST","START_DATE_OVERRIDE",TEXT(INDEX(MO_SNA_FPStartDate,0,COLUMN()),"YYYYMMDD"),"END_DATE_OVERRIDE",TEXT(INDEX(MO_Common_QEndDate,0,COLUMN()),"YYYYMMDD")),"N/A")</f>
        <v>N/A</v>
      </c>
      <c r="AD1128" s="423" t="str">
        <f ca="1">IFERROR(BDP(MO.Ticker.Bloomberg&amp;" Equity","INTERVAL_LOW","MARKET_DATA_OVERRIDE=PX_LAST","START_DATE_OVERRIDE",TEXT(INDEX(MO_SNA_FPStartDate,0,COLUMN()),"YYYYMMDD"),"END_DATE_OVERRIDE",TEXT(INDEX(MO_Common_QEndDate,0,COLUMN()),"YYYYMMDD")),"N/A")</f>
        <v>N/A</v>
      </c>
      <c r="AE1128" s="423" t="str">
        <f ca="1">IFERROR(BDP(MO.Ticker.Bloomberg&amp;" Equity","INTERVAL_LOW","MARKET_DATA_OVERRIDE=PX_LAST","START_DATE_OVERRIDE",TEXT(INDEX(MO_SNA_FPStartDate,0,COLUMN()),"YYYYMMDD"),"END_DATE_OVERRIDE",TEXT(INDEX(MO_Common_QEndDate,0,COLUMN()),"YYYYMMDD")),"N/A")</f>
        <v>N/A</v>
      </c>
      <c r="AF1128" s="423" t="str">
        <f ca="1">IFERROR(BDP(MO.Ticker.Bloomberg&amp;" Equity","INTERVAL_LOW","MARKET_DATA_OVERRIDE=PX_LAST","START_DATE_OVERRIDE",TEXT(INDEX(MO_SNA_FPStartDate,0,COLUMN()),"YYYYMMDD"),"END_DATE_OVERRIDE",TEXT(INDEX(MO_Common_QEndDate,0,COLUMN()),"YYYYMMDD")),"N/A")</f>
        <v>N/A</v>
      </c>
      <c r="AG1128" s="423" t="str">
        <f ca="1">IFERROR(BDP(MO.Ticker.Bloomberg&amp;" Equity","INTERVAL_LOW","MARKET_DATA_OVERRIDE=PX_LAST","START_DATE_OVERRIDE",TEXT(INDEX(MO_SNA_FPStartDate,0,COLUMN()),"YYYYMMDD"),"END_DATE_OVERRIDE",TEXT(INDEX(MO_Common_QEndDate,0,COLUMN()),"YYYYMMDD")),"N/A")</f>
        <v>N/A</v>
      </c>
      <c r="AH1128" s="423" t="str">
        <f ca="1">IFERROR(BDP(MO.Ticker.Bloomberg&amp;" Equity","INTERVAL_LOW","MARKET_DATA_OVERRIDE=PX_LAST","START_DATE_OVERRIDE",TEXT(INDEX(MO_SNA_FPStartDate,0,COLUMN()),"YYYYMMDD"),"END_DATE_OVERRIDE",TEXT(INDEX(MO_Common_QEndDate,0,COLUMN()),"YYYYMMDD")),"N/A")</f>
        <v>N/A</v>
      </c>
      <c r="AI1128" s="423" t="str">
        <f ca="1">IFERROR(BDP(MO.Ticker.Bloomberg&amp;" Equity","INTERVAL_LOW","MARKET_DATA_OVERRIDE=PX_LAST","START_DATE_OVERRIDE",TEXT(INDEX(MO_SNA_FPStartDate,0,COLUMN()),"YYYYMMDD"),"END_DATE_OVERRIDE",TEXT(INDEX(MO_Common_QEndDate,0,COLUMN()),"YYYYMMDD")),"N/A")</f>
        <v>N/A</v>
      </c>
      <c r="AJ1128" s="423" t="str">
        <f ca="1">IFERROR(BDP(MO.Ticker.Bloomberg&amp;" Equity","INTERVAL_LOW","MARKET_DATA_OVERRIDE=PX_LAST","START_DATE_OVERRIDE",TEXT(INDEX(MO_SNA_FPStartDate,0,COLUMN()),"YYYYMMDD"),"END_DATE_OVERRIDE",TEXT(INDEX(MO_Common_QEndDate,0,COLUMN()),"YYYYMMDD")),"N/A")</f>
        <v>N/A</v>
      </c>
      <c r="AK1128" s="423" t="str">
        <f ca="1">IFERROR(BDP(MO.Ticker.Bloomberg&amp;" Equity","INTERVAL_LOW","MARKET_DATA_OVERRIDE=PX_LAST","START_DATE_OVERRIDE",TEXT(INDEX(MO_SNA_FPStartDate,0,COLUMN()),"YYYYMMDD"),"END_DATE_OVERRIDE",TEXT(INDEX(MO_Common_QEndDate,0,COLUMN()),"YYYYMMDD")),"N/A")</f>
        <v>N/A</v>
      </c>
      <c r="AL1128" s="423" t="str">
        <f ca="1">IFERROR(BDP(MO.Ticker.Bloomberg&amp;" Equity","INTERVAL_LOW","MARKET_DATA_OVERRIDE=PX_LAST","START_DATE_OVERRIDE",TEXT(INDEX(MO_SNA_FPStartDate,0,COLUMN()),"YYYYMMDD"),"END_DATE_OVERRIDE",TEXT(INDEX(MO_Common_QEndDate,0,COLUMN()),"YYYYMMDD")),"N/A")</f>
        <v>N/A</v>
      </c>
      <c r="AM1128" s="423" t="str">
        <f ca="1">IFERROR(BDP(MO.Ticker.Bloomberg&amp;" Equity","INTERVAL_LOW","MARKET_DATA_OVERRIDE=PX_LAST","START_DATE_OVERRIDE",TEXT(INDEX(MO_SNA_FPStartDate,0,COLUMN()),"YYYYMMDD"),"END_DATE_OVERRIDE",TEXT(INDEX(MO_Common_QEndDate,0,COLUMN()),"YYYYMMDD")),"N/A")</f>
        <v>N/A</v>
      </c>
      <c r="AN1128" s="423" t="str">
        <f ca="1">IFERROR(BDP(MO.Ticker.Bloomberg&amp;" Equity","INTERVAL_LOW","MARKET_DATA_OVERRIDE=PX_LAST","START_DATE_OVERRIDE",TEXT(INDEX(MO_SNA_FPStartDate,0,COLUMN()),"YYYYMMDD"),"END_DATE_OVERRIDE",TEXT(INDEX(MO_Common_QEndDate,0,COLUMN()),"YYYYMMDD")),"N/A")</f>
        <v>N/A</v>
      </c>
      <c r="AO1128" s="423" t="str">
        <f ca="1">IFERROR(BDP(MO.Ticker.Bloomberg&amp;" Equity","INTERVAL_LOW","MARKET_DATA_OVERRIDE=PX_LAST","START_DATE_OVERRIDE",TEXT(INDEX(MO_SNA_FPStartDate,0,COLUMN()),"YYYYMMDD"),"END_DATE_OVERRIDE",TEXT(INDEX(MO_Common_QEndDate,0,COLUMN()),"YYYYMMDD")),"N/A")</f>
        <v>N/A</v>
      </c>
      <c r="AP1128" s="423" t="str">
        <f ca="1">IFERROR(BDP(MO.Ticker.Bloomberg&amp;" Equity","INTERVAL_LOW","MARKET_DATA_OVERRIDE=PX_LAST","START_DATE_OVERRIDE",TEXT(INDEX(MO_SNA_FPStartDate,0,COLUMN()),"YYYYMMDD"),"END_DATE_OVERRIDE",TEXT(INDEX(MO_Common_QEndDate,0,COLUMN()),"YYYYMMDD")),"N/A")</f>
        <v>N/A</v>
      </c>
      <c r="AQ1128" s="423" t="str">
        <f ca="1">IFERROR(BDP(MO.Ticker.Bloomberg&amp;" Equity","INTERVAL_LOW","MARKET_DATA_OVERRIDE=PX_LAST","START_DATE_OVERRIDE",TEXT(INDEX(MO_SNA_FPStartDate,0,COLUMN()),"YYYYMMDD"),"END_DATE_OVERRIDE",TEXT(INDEX(MO_Common_QEndDate,0,COLUMN()),"YYYYMMDD")),"N/A")</f>
        <v>N/A</v>
      </c>
      <c r="AR1128" s="423" t="str">
        <f ca="1">IFERROR(BDP(MO.Ticker.Bloomberg&amp;" Equity","INTERVAL_LOW","MARKET_DATA_OVERRIDE=PX_LAST","START_DATE_OVERRIDE",TEXT(INDEX(MO_SNA_FPStartDate,0,COLUMN()),"YYYYMMDD"),"END_DATE_OVERRIDE",TEXT(INDEX(MO_Common_QEndDate,0,COLUMN()),"YYYYMMDD")),"N/A")</f>
        <v>N/A</v>
      </c>
      <c r="AS1128" s="423" t="str">
        <f ca="1">IFERROR(BDP(MO.Ticker.Bloomberg&amp;" Equity","INTERVAL_LOW","MARKET_DATA_OVERRIDE=PX_LAST","START_DATE_OVERRIDE",TEXT(INDEX(MO_SNA_FPStartDate,0,COLUMN()),"YYYYMMDD"),"END_DATE_OVERRIDE",TEXT(INDEX(MO_Common_QEndDate,0,COLUMN()),"YYYYMMDD")),"N/A")</f>
        <v>N/A</v>
      </c>
      <c r="AT1128" s="423" t="str">
        <f ca="1">IFERROR(BDP(MO.Ticker.Bloomberg&amp;" Equity","INTERVAL_LOW","MARKET_DATA_OVERRIDE=PX_LAST","START_DATE_OVERRIDE",TEXT(INDEX(MO_SNA_FPStartDate,0,COLUMN()),"YYYYMMDD"),"END_DATE_OVERRIDE",TEXT(INDEX(MO_Common_QEndDate,0,COLUMN()),"YYYYMMDD")),"N/A")</f>
        <v>N/A</v>
      </c>
      <c r="AU1128" s="423" t="str">
        <f ca="1">IFERROR(BDP(MO.Ticker.Bloomberg&amp;" Equity","INTERVAL_LOW","MARKET_DATA_OVERRIDE=PX_LAST","START_DATE_OVERRIDE",TEXT(INDEX(MO_SNA_FPStartDate,0,COLUMN()),"YYYYMMDD"),"END_DATE_OVERRIDE",TEXT(INDEX(MO_Common_QEndDate,0,COLUMN()),"YYYYMMDD")),"N/A")</f>
        <v>N/A</v>
      </c>
      <c r="AV1128" s="423" t="str">
        <f ca="1">IFERROR(BDP(MO.Ticker.Bloomberg&amp;" Equity","INTERVAL_LOW","MARKET_DATA_OVERRIDE=PX_LAST","START_DATE_OVERRIDE",TEXT(INDEX(MO_SNA_FPStartDate,0,COLUMN()),"YYYYMMDD"),"END_DATE_OVERRIDE",TEXT(INDEX(MO_Common_QEndDate,0,COLUMN()),"YYYYMMDD")),"N/A")</f>
        <v>N/A</v>
      </c>
      <c r="AW1128" s="453" t="str">
        <f ca="1">IFERROR(BDP(MO.Ticker.Bloomberg&amp;" Equity","INTERVAL_LOW","MARKET_DATA_OVERRIDE=PX_LAST","START_DATE_OVERRIDE",TEXT(INDEX(MO_SNA_FPStartDate,0,COLUMN()),"YYYYMMDD"),"END_DATE_OVERRIDE",TEXT(INDEX(MO_Common_QEndDate,0,COLUMN()),"YYYYMMDD")),"N/A")</f>
        <v>N/A</v>
      </c>
      <c r="AX1128" s="423" t="str">
        <f ca="1">IFERROR(BDP(MO.Ticker.Bloomberg&amp;" Equity","INTERVAL_LOW","MARKET_DATA_OVERRIDE=PX_LAST","START_DATE_OVERRIDE",TEXT(INDEX(MO_SNA_FPStartDate,0,COLUMN()),"YYYYMMDD"),"END_DATE_OVERRIDE",TEXT(INDEX(MO_Common_QEndDate,0,COLUMN()),"YYYYMMDD")),"N/A")</f>
        <v>N/A</v>
      </c>
      <c r="AY1128" s="423" t="str">
        <f ca="1">IFERROR(BDP(MO.Ticker.Bloomberg&amp;" Equity","INTERVAL_LOW","MARKET_DATA_OVERRIDE=PX_LAST","START_DATE_OVERRIDE",TEXT(INDEX(MO_SNA_FPStartDate,0,COLUMN()),"YYYYMMDD"),"END_DATE_OVERRIDE",TEXT(INDEX(MO_Common_QEndDate,0,COLUMN()),"YYYYMMDD")),"N/A")</f>
        <v>N/A</v>
      </c>
      <c r="AZ1128" s="423" t="str">
        <f ca="1">IFERROR(BDP(MO.Ticker.Bloomberg&amp;" Equity","INTERVAL_LOW","MARKET_DATA_OVERRIDE=PX_LAST","START_DATE_OVERRIDE",TEXT(INDEX(MO_SNA_FPStartDate,0,COLUMN()),"YYYYMMDD"),"END_DATE_OVERRIDE",TEXT(INDEX(MO_Common_QEndDate,0,COLUMN()),"YYYYMMDD")),"N/A")</f>
        <v>N/A</v>
      </c>
      <c r="BA1128" s="423" t="str">
        <f ca="1">IFERROR(BDP(MO.Ticker.Bloomberg&amp;" Equity","INTERVAL_LOW","MARKET_DATA_OVERRIDE=PX_LAST","START_DATE_OVERRIDE",TEXT(INDEX(MO_SNA_FPStartDate,0,COLUMN()),"YYYYMMDD"),"END_DATE_OVERRIDE",TEXT(INDEX(MO_Common_QEndDate,0,COLUMN()),"YYYYMMDD")),"N/A")</f>
        <v>N/A</v>
      </c>
      <c r="BB1128" s="423" t="str">
        <f ca="1">IFERROR(BDP(MO.Ticker.Bloomberg&amp;" Equity","INTERVAL_LOW","MARKET_DATA_OVERRIDE=PX_LAST","START_DATE_OVERRIDE",TEXT(INDEX(MO_SNA_FPStartDate,0,COLUMN()),"YYYYMMDD"),"END_DATE_OVERRIDE",TEXT(INDEX(MO_Common_QEndDate,0,COLUMN()),"YYYYMMDD")),"N/A")</f>
        <v>N/A</v>
      </c>
      <c r="BC1128" s="423" t="str">
        <f ca="1">IFERROR(BDP(MO.Ticker.Bloomberg&amp;" Equity","INTERVAL_LOW","MARKET_DATA_OVERRIDE=PX_LAST","START_DATE_OVERRIDE",TEXT(INDEX(MO_SNA_FPStartDate,0,COLUMN()),"YYYYMMDD"),"END_DATE_OVERRIDE",TEXT(INDEX(MO_Common_QEndDate,0,COLUMN()),"YYYYMMDD")),"N/A")</f>
        <v>N/A</v>
      </c>
      <c r="BD1128" s="423" t="str">
        <f ca="1">IFERROR(BDP(MO.Ticker.Bloomberg&amp;" Equity","INTERVAL_LOW","MARKET_DATA_OVERRIDE=PX_LAST","START_DATE_OVERRIDE",TEXT(INDEX(MO_SNA_FPStartDate,0,COLUMN()),"YYYYMMDD"),"END_DATE_OVERRIDE",TEXT(INDEX(MO_Common_QEndDate,0,COLUMN()),"YYYYMMDD")),"N/A")</f>
        <v>N/A</v>
      </c>
      <c r="BE1128" s="423" t="str">
        <f ca="1">IFERROR(BDP(MO.Ticker.Bloomberg&amp;" Equity","INTERVAL_LOW","MARKET_DATA_OVERRIDE=PX_LAST","START_DATE_OVERRIDE",TEXT(INDEX(MO_SNA_FPStartDate,0,COLUMN()),"YYYYMMDD"),"END_DATE_OVERRIDE",TEXT(INDEX(MO_Common_QEndDate,0,COLUMN()),"YYYYMMDD")),"N/A")</f>
        <v>N/A</v>
      </c>
      <c r="BF1128" s="423" t="str">
        <f ca="1">IFERROR(BDP(MO.Ticker.Bloomberg&amp;" Equity","INTERVAL_LOW","MARKET_DATA_OVERRIDE=PX_LAST","START_DATE_OVERRIDE",TEXT(INDEX(MO_SNA_FPStartDate,0,COLUMN()),"YYYYMMDD"),"END_DATE_OVERRIDE",TEXT(INDEX(MO_Common_QEndDate,0,COLUMN()),"YYYYMMDD")),"N/A")</f>
        <v>N/A</v>
      </c>
      <c r="BG1128" s="425" t="str">
        <f ca="1">IFERROR(BDP(MO.Ticker.Bloomberg&amp;" Equity","INTERVAL_LOW","MARKET_DATA_OVERRIDE=PX_LAST","START_DATE_OVERRIDE",TEXT(INDEX(MO_SNA_FPStartDate,0,COLUMN()),"YYYYMMDD"),"END_DATE_OVERRIDE",TEXT(INDEX(MO_Common_QEndDate,0,COLUMN()),"YYYYMMDD")),"N/A")</f>
        <v>N/A</v>
      </c>
      <c r="BH1128" s="426"/>
    </row>
    <row r="1129" spans="1:60" s="427" customFormat="1" hidden="1" outlineLevel="1" x14ac:dyDescent="0.25">
      <c r="A1129" s="428" t="s">
        <v>405</v>
      </c>
      <c r="B1129" s="423"/>
      <c r="C1129" s="424" t="str">
        <f ca="1">IFERROR(CIQLO(MO.Ticker.CapIQ,"IQ_LASTSALEPRICE",INDEX(MO_SNA_FPStartDate,0,COLUMN()),INDEX(MO_Common_QEndDate,0,COLUMN())),"N/A")</f>
        <v>N/A</v>
      </c>
      <c r="D1129" s="424" t="str">
        <f ca="1">IFERROR(CIQLO(MO.Ticker.CapIQ,"IQ_LASTSALEPRICE",INDEX(MO_SNA_FPStartDate,0,COLUMN()),INDEX(MO_Common_QEndDate,0,COLUMN())),"N/A")</f>
        <v>N/A</v>
      </c>
      <c r="E1129" s="423" t="str">
        <f ca="1">IFERROR(CIQLO(MO.Ticker.CapIQ,"IQ_LASTSALEPRICE",INDEX(MO_SNA_FPStartDate,0,COLUMN()),INDEX(MO_Common_QEndDate,0,COLUMN())),"N/A")</f>
        <v>N/A</v>
      </c>
      <c r="F1129" s="423" t="str">
        <f ca="1">IFERROR(CIQLO(MO.Ticker.CapIQ,"IQ_LASTSALEPRICE",INDEX(MO_SNA_FPStartDate,0,COLUMN()),INDEX(MO_Common_QEndDate,0,COLUMN())),"N/A")</f>
        <v>N/A</v>
      </c>
      <c r="G1129" s="423" t="str">
        <f ca="1">IFERROR(CIQLO(MO.Ticker.CapIQ,"IQ_LASTSALEPRICE",INDEX(MO_SNA_FPStartDate,0,COLUMN()),INDEX(MO_Common_QEndDate,0,COLUMN())),"N/A")</f>
        <v>N/A</v>
      </c>
      <c r="H1129" s="423" t="str">
        <f ca="1">IFERROR(CIQLO(MO.Ticker.CapIQ,"IQ_LASTSALEPRICE",INDEX(MO_SNA_FPStartDate,0,COLUMN()),INDEX(MO_Common_QEndDate,0,COLUMN())),"N/A")</f>
        <v>N/A</v>
      </c>
      <c r="I1129" s="423" t="str">
        <f ca="1">IFERROR(CIQLO(MO.Ticker.CapIQ,"IQ_LASTSALEPRICE",INDEX(MO_SNA_FPStartDate,0,COLUMN()),INDEX(MO_Common_QEndDate,0,COLUMN())),"N/A")</f>
        <v>N/A</v>
      </c>
      <c r="J1129" s="423" t="str">
        <f ca="1">IFERROR(CIQLO(MO.Ticker.CapIQ,"IQ_LASTSALEPRICE",INDEX(MO_SNA_FPStartDate,0,COLUMN()),INDEX(MO_Common_QEndDate,0,COLUMN())),"N/A")</f>
        <v>N/A</v>
      </c>
      <c r="K1129" s="423" t="str">
        <f ca="1">IFERROR(CIQLO(MO.Ticker.CapIQ,"IQ_LASTSALEPRICE",INDEX(MO_SNA_FPStartDate,0,COLUMN()),INDEX(MO_Common_QEndDate,0,COLUMN())),"N/A")</f>
        <v>N/A</v>
      </c>
      <c r="L1129" s="423" t="str">
        <f ca="1">IFERROR(CIQLO(MO.Ticker.CapIQ,"IQ_LASTSALEPRICE",INDEX(MO_SNA_FPStartDate,0,COLUMN()),INDEX(MO_Common_QEndDate,0,COLUMN())),"N/A")</f>
        <v>N/A</v>
      </c>
      <c r="M1129" s="423" t="str">
        <f ca="1">IFERROR(CIQLO(MO.Ticker.CapIQ,"IQ_LASTSALEPRICE",INDEX(MO_SNA_FPStartDate,0,COLUMN()),INDEX(MO_Common_QEndDate,0,COLUMN())),"N/A")</f>
        <v>N/A</v>
      </c>
      <c r="N1129" s="423" t="str">
        <f ca="1">IFERROR(CIQLO(MO.Ticker.CapIQ,"IQ_LASTSALEPRICE",INDEX(MO_SNA_FPStartDate,0,COLUMN()),INDEX(MO_Common_QEndDate,0,COLUMN())),"N/A")</f>
        <v>N/A</v>
      </c>
      <c r="O1129" s="423" t="str">
        <f ca="1">IFERROR(CIQLO(MO.Ticker.CapIQ,"IQ_LASTSALEPRICE",INDEX(MO_SNA_FPStartDate,0,COLUMN()),INDEX(MO_Common_QEndDate,0,COLUMN())),"N/A")</f>
        <v>N/A</v>
      </c>
      <c r="P1129" s="423" t="str">
        <f ca="1">IFERROR(CIQLO(MO.Ticker.CapIQ,"IQ_LASTSALEPRICE",INDEX(MO_SNA_FPStartDate,0,COLUMN()),INDEX(MO_Common_QEndDate,0,COLUMN())),"N/A")</f>
        <v>N/A</v>
      </c>
      <c r="Q1129" s="423" t="str">
        <f ca="1">IFERROR(CIQLO(MO.Ticker.CapIQ,"IQ_LASTSALEPRICE",INDEX(MO_SNA_FPStartDate,0,COLUMN()),INDEX(MO_Common_QEndDate,0,COLUMN())),"N/A")</f>
        <v>N/A</v>
      </c>
      <c r="R1129" s="423" t="str">
        <f ca="1">IFERROR(CIQLO(MO.Ticker.CapIQ,"IQ_LASTSALEPRICE",INDEX(MO_SNA_FPStartDate,0,COLUMN()),INDEX(MO_Common_QEndDate,0,COLUMN())),"N/A")</f>
        <v>N/A</v>
      </c>
      <c r="S1129" s="423" t="str">
        <f ca="1">IFERROR(CIQLO(MO.Ticker.CapIQ,"IQ_LASTSALEPRICE",INDEX(MO_SNA_FPStartDate,0,COLUMN()),INDEX(MO_Common_QEndDate,0,COLUMN())),"N/A")</f>
        <v>N/A</v>
      </c>
      <c r="T1129" s="423" t="str">
        <f ca="1">IFERROR(CIQLO(MO.Ticker.CapIQ,"IQ_LASTSALEPRICE",INDEX(MO_SNA_FPStartDate,0,COLUMN()),INDEX(MO_Common_QEndDate,0,COLUMN())),"N/A")</f>
        <v>N/A</v>
      </c>
      <c r="U1129" s="423" t="str">
        <f ca="1">IFERROR(CIQLO(MO.Ticker.CapIQ,"IQ_LASTSALEPRICE",INDEX(MO_SNA_FPStartDate,0,COLUMN()),INDEX(MO_Common_QEndDate,0,COLUMN())),"N/A")</f>
        <v>N/A</v>
      </c>
      <c r="V1129" s="423" t="str">
        <f ca="1">IFERROR(CIQLO(MO.Ticker.CapIQ,"IQ_LASTSALEPRICE",INDEX(MO_SNA_FPStartDate,0,COLUMN()),INDEX(MO_Common_QEndDate,0,COLUMN())),"N/A")</f>
        <v>N/A</v>
      </c>
      <c r="W1129" s="423" t="str">
        <f ca="1">IFERROR(CIQLO(MO.Ticker.CapIQ,"IQ_LASTSALEPRICE",INDEX(MO_SNA_FPStartDate,0,COLUMN()),INDEX(MO_Common_QEndDate,0,COLUMN())),"N/A")</f>
        <v>N/A</v>
      </c>
      <c r="X1129" s="423" t="str">
        <f ca="1">IFERROR(CIQLO(MO.Ticker.CapIQ,"IQ_LASTSALEPRICE",INDEX(MO_SNA_FPStartDate,0,COLUMN()),INDEX(MO_Common_QEndDate,0,COLUMN())),"N/A")</f>
        <v>N/A</v>
      </c>
      <c r="Y1129" s="423" t="str">
        <f ca="1">IFERROR(CIQLO(MO.Ticker.CapIQ,"IQ_LASTSALEPRICE",INDEX(MO_SNA_FPStartDate,0,COLUMN()),INDEX(MO_Common_QEndDate,0,COLUMN())),"N/A")</f>
        <v>N/A</v>
      </c>
      <c r="Z1129" s="423" t="str">
        <f ca="1">IFERROR(CIQLO(MO.Ticker.CapIQ,"IQ_LASTSALEPRICE",INDEX(MO_SNA_FPStartDate,0,COLUMN()),INDEX(MO_Common_QEndDate,0,COLUMN())),"N/A")</f>
        <v>N/A</v>
      </c>
      <c r="AA1129" s="423" t="str">
        <f ca="1">IFERROR(CIQLO(MO.Ticker.CapIQ,"IQ_LASTSALEPRICE",INDEX(MO_SNA_FPStartDate,0,COLUMN()),INDEX(MO_Common_QEndDate,0,COLUMN())),"N/A")</f>
        <v>N/A</v>
      </c>
      <c r="AB1129" s="423" t="str">
        <f ca="1">IFERROR(CIQLO(MO.Ticker.CapIQ,"IQ_LASTSALEPRICE",INDEX(MO_SNA_FPStartDate,0,COLUMN()),INDEX(MO_Common_QEndDate,0,COLUMN())),"N/A")</f>
        <v>N/A</v>
      </c>
      <c r="AC1129" s="423" t="str">
        <f ca="1">IFERROR(CIQLO(MO.Ticker.CapIQ,"IQ_LASTSALEPRICE",INDEX(MO_SNA_FPStartDate,0,COLUMN()),INDEX(MO_Common_QEndDate,0,COLUMN())),"N/A")</f>
        <v>N/A</v>
      </c>
      <c r="AD1129" s="423" t="str">
        <f ca="1">IFERROR(CIQLO(MO.Ticker.CapIQ,"IQ_LASTSALEPRICE",INDEX(MO_SNA_FPStartDate,0,COLUMN()),INDEX(MO_Common_QEndDate,0,COLUMN())),"N/A")</f>
        <v>N/A</v>
      </c>
      <c r="AE1129" s="423" t="str">
        <f ca="1">IFERROR(CIQLO(MO.Ticker.CapIQ,"IQ_LASTSALEPRICE",INDEX(MO_SNA_FPStartDate,0,COLUMN()),INDEX(MO_Common_QEndDate,0,COLUMN())),"N/A")</f>
        <v>N/A</v>
      </c>
      <c r="AF1129" s="423" t="str">
        <f ca="1">IFERROR(CIQLO(MO.Ticker.CapIQ,"IQ_LASTSALEPRICE",INDEX(MO_SNA_FPStartDate,0,COLUMN()),INDEX(MO_Common_QEndDate,0,COLUMN())),"N/A")</f>
        <v>N/A</v>
      </c>
      <c r="AG1129" s="423" t="str">
        <f ca="1">IFERROR(CIQLO(MO.Ticker.CapIQ,"IQ_LASTSALEPRICE",INDEX(MO_SNA_FPStartDate,0,COLUMN()),INDEX(MO_Common_QEndDate,0,COLUMN())),"N/A")</f>
        <v>N/A</v>
      </c>
      <c r="AH1129" s="423" t="str">
        <f ca="1">IFERROR(CIQLO(MO.Ticker.CapIQ,"IQ_LASTSALEPRICE",INDEX(MO_SNA_FPStartDate,0,COLUMN()),INDEX(MO_Common_QEndDate,0,COLUMN())),"N/A")</f>
        <v>N/A</v>
      </c>
      <c r="AI1129" s="423" t="str">
        <f ca="1">IFERROR(CIQLO(MO.Ticker.CapIQ,"IQ_LASTSALEPRICE",INDEX(MO_SNA_FPStartDate,0,COLUMN()),INDEX(MO_Common_QEndDate,0,COLUMN())),"N/A")</f>
        <v>N/A</v>
      </c>
      <c r="AJ1129" s="423" t="str">
        <f ca="1">IFERROR(CIQLO(MO.Ticker.CapIQ,"IQ_LASTSALEPRICE",INDEX(MO_SNA_FPStartDate,0,COLUMN()),INDEX(MO_Common_QEndDate,0,COLUMN())),"N/A")</f>
        <v>N/A</v>
      </c>
      <c r="AK1129" s="423" t="str">
        <f ca="1">IFERROR(CIQLO(MO.Ticker.CapIQ,"IQ_LASTSALEPRICE",INDEX(MO_SNA_FPStartDate,0,COLUMN()),INDEX(MO_Common_QEndDate,0,COLUMN())),"N/A")</f>
        <v>N/A</v>
      </c>
      <c r="AL1129" s="423" t="str">
        <f ca="1">IFERROR(CIQLO(MO.Ticker.CapIQ,"IQ_LASTSALEPRICE",INDEX(MO_SNA_FPStartDate,0,COLUMN()),INDEX(MO_Common_QEndDate,0,COLUMN())),"N/A")</f>
        <v>N/A</v>
      </c>
      <c r="AM1129" s="423" t="str">
        <f ca="1">IFERROR(CIQLO(MO.Ticker.CapIQ,"IQ_LASTSALEPRICE",INDEX(MO_SNA_FPStartDate,0,COLUMN()),INDEX(MO_Common_QEndDate,0,COLUMN())),"N/A")</f>
        <v>N/A</v>
      </c>
      <c r="AN1129" s="423" t="str">
        <f ca="1">IFERROR(CIQLO(MO.Ticker.CapIQ,"IQ_LASTSALEPRICE",INDEX(MO_SNA_FPStartDate,0,COLUMN()),INDEX(MO_Common_QEndDate,0,COLUMN())),"N/A")</f>
        <v>N/A</v>
      </c>
      <c r="AO1129" s="423" t="str">
        <f ca="1">IFERROR(CIQLO(MO.Ticker.CapIQ,"IQ_LASTSALEPRICE",INDEX(MO_SNA_FPStartDate,0,COLUMN()),INDEX(MO_Common_QEndDate,0,COLUMN())),"N/A")</f>
        <v>N/A</v>
      </c>
      <c r="AP1129" s="423" t="str">
        <f ca="1">IFERROR(CIQLO(MO.Ticker.CapIQ,"IQ_LASTSALEPRICE",INDEX(MO_SNA_FPStartDate,0,COLUMN()),INDEX(MO_Common_QEndDate,0,COLUMN())),"N/A")</f>
        <v>N/A</v>
      </c>
      <c r="AQ1129" s="423" t="str">
        <f ca="1">IFERROR(CIQLO(MO.Ticker.CapIQ,"IQ_LASTSALEPRICE",INDEX(MO_SNA_FPStartDate,0,COLUMN()),INDEX(MO_Common_QEndDate,0,COLUMN())),"N/A")</f>
        <v>N/A</v>
      </c>
      <c r="AR1129" s="423" t="str">
        <f ca="1">IFERROR(CIQLO(MO.Ticker.CapIQ,"IQ_LASTSALEPRICE",INDEX(MO_SNA_FPStartDate,0,COLUMN()),INDEX(MO_Common_QEndDate,0,COLUMN())),"N/A")</f>
        <v>N/A</v>
      </c>
      <c r="AS1129" s="423" t="str">
        <f ca="1">IFERROR(CIQLO(MO.Ticker.CapIQ,"IQ_LASTSALEPRICE",INDEX(MO_SNA_FPStartDate,0,COLUMN()),INDEX(MO_Common_QEndDate,0,COLUMN())),"N/A")</f>
        <v>N/A</v>
      </c>
      <c r="AT1129" s="423" t="str">
        <f ca="1">IFERROR(CIQLO(MO.Ticker.CapIQ,"IQ_LASTSALEPRICE",INDEX(MO_SNA_FPStartDate,0,COLUMN()),INDEX(MO_Common_QEndDate,0,COLUMN())),"N/A")</f>
        <v>N/A</v>
      </c>
      <c r="AU1129" s="423" t="str">
        <f ca="1">IFERROR(CIQLO(MO.Ticker.CapIQ,"IQ_LASTSALEPRICE",INDEX(MO_SNA_FPStartDate,0,COLUMN()),INDEX(MO_Common_QEndDate,0,COLUMN())),"N/A")</f>
        <v>N/A</v>
      </c>
      <c r="AV1129" s="423" t="str">
        <f ca="1">IFERROR(CIQLO(MO.Ticker.CapIQ,"IQ_LASTSALEPRICE",INDEX(MO_SNA_FPStartDate,0,COLUMN()),INDEX(MO_Common_QEndDate,0,COLUMN())),"N/A")</f>
        <v>N/A</v>
      </c>
      <c r="AW1129" s="453" t="str">
        <f ca="1">IFERROR(CIQLO(MO.Ticker.CapIQ,"IQ_LASTSALEPRICE",INDEX(MO_SNA_FPStartDate,0,COLUMN()),INDEX(MO_Common_QEndDate,0,COLUMN())),"N/A")</f>
        <v>N/A</v>
      </c>
      <c r="AX1129" s="423" t="str">
        <f ca="1">IFERROR(CIQLO(MO.Ticker.CapIQ,"IQ_LASTSALEPRICE",INDEX(MO_SNA_FPStartDate,0,COLUMN()),INDEX(MO_Common_QEndDate,0,COLUMN())),"N/A")</f>
        <v>N/A</v>
      </c>
      <c r="AY1129" s="423" t="str">
        <f ca="1">IFERROR(CIQLO(MO.Ticker.CapIQ,"IQ_LASTSALEPRICE",INDEX(MO_SNA_FPStartDate,0,COLUMN()),INDEX(MO_Common_QEndDate,0,COLUMN())),"N/A")</f>
        <v>N/A</v>
      </c>
      <c r="AZ1129" s="423" t="str">
        <f ca="1">IFERROR(CIQLO(MO.Ticker.CapIQ,"IQ_LASTSALEPRICE",INDEX(MO_SNA_FPStartDate,0,COLUMN()),INDEX(MO_Common_QEndDate,0,COLUMN())),"N/A")</f>
        <v>N/A</v>
      </c>
      <c r="BA1129" s="423" t="str">
        <f ca="1">IFERROR(CIQLO(MO.Ticker.CapIQ,"IQ_LASTSALEPRICE",INDEX(MO_SNA_FPStartDate,0,COLUMN()),INDEX(MO_Common_QEndDate,0,COLUMN())),"N/A")</f>
        <v>N/A</v>
      </c>
      <c r="BB1129" s="423" t="str">
        <f ca="1">IFERROR(CIQLO(MO.Ticker.CapIQ,"IQ_LASTSALEPRICE",INDEX(MO_SNA_FPStartDate,0,COLUMN()),INDEX(MO_Common_QEndDate,0,COLUMN())),"N/A")</f>
        <v>N/A</v>
      </c>
      <c r="BC1129" s="423" t="str">
        <f ca="1">IFERROR(CIQLO(MO.Ticker.CapIQ,"IQ_LASTSALEPRICE",INDEX(MO_SNA_FPStartDate,0,COLUMN()),INDEX(MO_Common_QEndDate,0,COLUMN())),"N/A")</f>
        <v>N/A</v>
      </c>
      <c r="BD1129" s="423" t="str">
        <f ca="1">IFERROR(CIQLO(MO.Ticker.CapIQ,"IQ_LASTSALEPRICE",INDEX(MO_SNA_FPStartDate,0,COLUMN()),INDEX(MO_Common_QEndDate,0,COLUMN())),"N/A")</f>
        <v>N/A</v>
      </c>
      <c r="BE1129" s="423" t="str">
        <f ca="1">IFERROR(CIQLO(MO.Ticker.CapIQ,"IQ_LASTSALEPRICE",INDEX(MO_SNA_FPStartDate,0,COLUMN()),INDEX(MO_Common_QEndDate,0,COLUMN())),"N/A")</f>
        <v>N/A</v>
      </c>
      <c r="BF1129" s="423" t="str">
        <f ca="1">IFERROR(CIQLO(MO.Ticker.CapIQ,"IQ_LASTSALEPRICE",INDEX(MO_SNA_FPStartDate,0,COLUMN()),INDEX(MO_Common_QEndDate,0,COLUMN())),"N/A")</f>
        <v>N/A</v>
      </c>
      <c r="BG1129" s="425" t="str">
        <f ca="1">IFERROR(CIQLO(MO.Ticker.CapIQ,"IQ_LASTSALEPRICE",INDEX(MO_SNA_FPStartDate,0,COLUMN()),INDEX(MO_Common_QEndDate,0,COLUMN())),"N/A")</f>
        <v>N/A</v>
      </c>
      <c r="BH1129" s="426"/>
    </row>
    <row r="1130" spans="1:60" s="427" customFormat="1" hidden="1" outlineLevel="1" x14ac:dyDescent="0.25">
      <c r="A1130" s="428" t="s">
        <v>406</v>
      </c>
      <c r="B1130" s="423"/>
      <c r="C1130" s="424" t="str">
        <f ca="1">IFERROR(FDS(MO.Ticker.FactSet,"P_PRICE_LOW"&amp;"("&amp;INDEX(MO_SNA_FPStartDate,0,COLUMN())&amp;","&amp;INDEX(MO_Common_QEndDate,0,COLUMN())&amp;",,,,""PRICE"",""CLOSE"")"),"N/A")</f>
        <v>N/A</v>
      </c>
      <c r="D1130" s="424" t="str">
        <f ca="1">IFERROR(FDS(MO.Ticker.FactSet,"P_PRICE_LOW"&amp;"("&amp;INDEX(MO_SNA_FPStartDate,0,COLUMN())&amp;","&amp;INDEX(MO_Common_QEndDate,0,COLUMN())&amp;",,,,""PRICE"",""CLOSE"")"),"N/A")</f>
        <v>N/A</v>
      </c>
      <c r="E1130" s="423" t="str">
        <f ca="1">IFERROR(FDS(MO.Ticker.FactSet,"P_PRICE_LOW"&amp;"("&amp;INDEX(MO_SNA_FPStartDate,0,COLUMN())&amp;","&amp;INDEX(MO_Common_QEndDate,0,COLUMN())&amp;",,,,""PRICE"",""CLOSE"")"),"N/A")</f>
        <v>N/A</v>
      </c>
      <c r="F1130" s="423" t="str">
        <f ca="1">IFERROR(FDS(MO.Ticker.FactSet,"P_PRICE_LOW"&amp;"("&amp;INDEX(MO_SNA_FPStartDate,0,COLUMN())&amp;","&amp;INDEX(MO_Common_QEndDate,0,COLUMN())&amp;",,,,""PRICE"",""CLOSE"")"),"N/A")</f>
        <v>N/A</v>
      </c>
      <c r="G1130" s="423" t="str">
        <f ca="1">IFERROR(FDS(MO.Ticker.FactSet,"P_PRICE_LOW"&amp;"("&amp;INDEX(MO_SNA_FPStartDate,0,COLUMN())&amp;","&amp;INDEX(MO_Common_QEndDate,0,COLUMN())&amp;",,,,""PRICE"",""CLOSE"")"),"N/A")</f>
        <v>N/A</v>
      </c>
      <c r="H1130" s="423" t="str">
        <f ca="1">IFERROR(FDS(MO.Ticker.FactSet,"P_PRICE_LOW"&amp;"("&amp;INDEX(MO_SNA_FPStartDate,0,COLUMN())&amp;","&amp;INDEX(MO_Common_QEndDate,0,COLUMN())&amp;",,,,""PRICE"",""CLOSE"")"),"N/A")</f>
        <v>N/A</v>
      </c>
      <c r="I1130" s="423" t="str">
        <f ca="1">IFERROR(FDS(MO.Ticker.FactSet,"P_PRICE_LOW"&amp;"("&amp;INDEX(MO_SNA_FPStartDate,0,COLUMN())&amp;","&amp;INDEX(MO_Common_QEndDate,0,COLUMN())&amp;",,,,""PRICE"",""CLOSE"")"),"N/A")</f>
        <v>N/A</v>
      </c>
      <c r="J1130" s="423" t="str">
        <f ca="1">IFERROR(FDS(MO.Ticker.FactSet,"P_PRICE_LOW"&amp;"("&amp;INDEX(MO_SNA_FPStartDate,0,COLUMN())&amp;","&amp;INDEX(MO_Common_QEndDate,0,COLUMN())&amp;",,,,""PRICE"",""CLOSE"")"),"N/A")</f>
        <v>N/A</v>
      </c>
      <c r="K1130" s="423" t="str">
        <f ca="1">IFERROR(FDS(MO.Ticker.FactSet,"P_PRICE_LOW"&amp;"("&amp;INDEX(MO_SNA_FPStartDate,0,COLUMN())&amp;","&amp;INDEX(MO_Common_QEndDate,0,COLUMN())&amp;",,,,""PRICE"",""CLOSE"")"),"N/A")</f>
        <v>N/A</v>
      </c>
      <c r="L1130" s="423" t="str">
        <f ca="1">IFERROR(FDS(MO.Ticker.FactSet,"P_PRICE_LOW"&amp;"("&amp;INDEX(MO_SNA_FPStartDate,0,COLUMN())&amp;","&amp;INDEX(MO_Common_QEndDate,0,COLUMN())&amp;",,,,""PRICE"",""CLOSE"")"),"N/A")</f>
        <v>N/A</v>
      </c>
      <c r="M1130" s="423" t="str">
        <f ca="1">IFERROR(FDS(MO.Ticker.FactSet,"P_PRICE_LOW"&amp;"("&amp;INDEX(MO_SNA_FPStartDate,0,COLUMN())&amp;","&amp;INDEX(MO_Common_QEndDate,0,COLUMN())&amp;",,,,""PRICE"",""CLOSE"")"),"N/A")</f>
        <v>N/A</v>
      </c>
      <c r="N1130" s="423" t="str">
        <f ca="1">IFERROR(FDS(MO.Ticker.FactSet,"P_PRICE_LOW"&amp;"("&amp;INDEX(MO_SNA_FPStartDate,0,COLUMN())&amp;","&amp;INDEX(MO_Common_QEndDate,0,COLUMN())&amp;",,,,""PRICE"",""CLOSE"")"),"N/A")</f>
        <v>N/A</v>
      </c>
      <c r="O1130" s="423" t="str">
        <f ca="1">IFERROR(FDS(MO.Ticker.FactSet,"P_PRICE_LOW"&amp;"("&amp;INDEX(MO_SNA_FPStartDate,0,COLUMN())&amp;","&amp;INDEX(MO_Common_QEndDate,0,COLUMN())&amp;",,,,""PRICE"",""CLOSE"")"),"N/A")</f>
        <v>N/A</v>
      </c>
      <c r="P1130" s="423" t="str">
        <f ca="1">IFERROR(FDS(MO.Ticker.FactSet,"P_PRICE_LOW"&amp;"("&amp;INDEX(MO_SNA_FPStartDate,0,COLUMN())&amp;","&amp;INDEX(MO_Common_QEndDate,0,COLUMN())&amp;",,,,""PRICE"",""CLOSE"")"),"N/A")</f>
        <v>N/A</v>
      </c>
      <c r="Q1130" s="423" t="str">
        <f ca="1">IFERROR(FDS(MO.Ticker.FactSet,"P_PRICE_LOW"&amp;"("&amp;INDEX(MO_SNA_FPStartDate,0,COLUMN())&amp;","&amp;INDEX(MO_Common_QEndDate,0,COLUMN())&amp;",,,,""PRICE"",""CLOSE"")"),"N/A")</f>
        <v>N/A</v>
      </c>
      <c r="R1130" s="423" t="str">
        <f ca="1">IFERROR(FDS(MO.Ticker.FactSet,"P_PRICE_LOW"&amp;"("&amp;INDEX(MO_SNA_FPStartDate,0,COLUMN())&amp;","&amp;INDEX(MO_Common_QEndDate,0,COLUMN())&amp;",,,,""PRICE"",""CLOSE"")"),"N/A")</f>
        <v>N/A</v>
      </c>
      <c r="S1130" s="423" t="str">
        <f ca="1">IFERROR(FDS(MO.Ticker.FactSet,"P_PRICE_LOW"&amp;"("&amp;INDEX(MO_SNA_FPStartDate,0,COLUMN())&amp;","&amp;INDEX(MO_Common_QEndDate,0,COLUMN())&amp;",,,,""PRICE"",""CLOSE"")"),"N/A")</f>
        <v>N/A</v>
      </c>
      <c r="T1130" s="423" t="str">
        <f ca="1">IFERROR(FDS(MO.Ticker.FactSet,"P_PRICE_LOW"&amp;"("&amp;INDEX(MO_SNA_FPStartDate,0,COLUMN())&amp;","&amp;INDEX(MO_Common_QEndDate,0,COLUMN())&amp;",,,,""PRICE"",""CLOSE"")"),"N/A")</f>
        <v>N/A</v>
      </c>
      <c r="U1130" s="423" t="str">
        <f ca="1">IFERROR(FDS(MO.Ticker.FactSet,"P_PRICE_LOW"&amp;"("&amp;INDEX(MO_SNA_FPStartDate,0,COLUMN())&amp;","&amp;INDEX(MO_Common_QEndDate,0,COLUMN())&amp;",,,,""PRICE"",""CLOSE"")"),"N/A")</f>
        <v>N/A</v>
      </c>
      <c r="V1130" s="423" t="str">
        <f ca="1">IFERROR(FDS(MO.Ticker.FactSet,"P_PRICE_LOW"&amp;"("&amp;INDEX(MO_SNA_FPStartDate,0,COLUMN())&amp;","&amp;INDEX(MO_Common_QEndDate,0,COLUMN())&amp;",,,,""PRICE"",""CLOSE"")"),"N/A")</f>
        <v>N/A</v>
      </c>
      <c r="W1130" s="423" t="str">
        <f ca="1">IFERROR(FDS(MO.Ticker.FactSet,"P_PRICE_LOW"&amp;"("&amp;INDEX(MO_SNA_FPStartDate,0,COLUMN())&amp;","&amp;INDEX(MO_Common_QEndDate,0,COLUMN())&amp;",,,,""PRICE"",""CLOSE"")"),"N/A")</f>
        <v>N/A</v>
      </c>
      <c r="X1130" s="423" t="str">
        <f ca="1">IFERROR(FDS(MO.Ticker.FactSet,"P_PRICE_LOW"&amp;"("&amp;INDEX(MO_SNA_FPStartDate,0,COLUMN())&amp;","&amp;INDEX(MO_Common_QEndDate,0,COLUMN())&amp;",,,,""PRICE"",""CLOSE"")"),"N/A")</f>
        <v>N/A</v>
      </c>
      <c r="Y1130" s="423" t="str">
        <f ca="1">IFERROR(FDS(MO.Ticker.FactSet,"P_PRICE_LOW"&amp;"("&amp;INDEX(MO_SNA_FPStartDate,0,COLUMN())&amp;","&amp;INDEX(MO_Common_QEndDate,0,COLUMN())&amp;",,,,""PRICE"",""CLOSE"")"),"N/A")</f>
        <v>N/A</v>
      </c>
      <c r="Z1130" s="423" t="str">
        <f ca="1">IFERROR(FDS(MO.Ticker.FactSet,"P_PRICE_LOW"&amp;"("&amp;INDEX(MO_SNA_FPStartDate,0,COLUMN())&amp;","&amp;INDEX(MO_Common_QEndDate,0,COLUMN())&amp;",,,,""PRICE"",""CLOSE"")"),"N/A")</f>
        <v>N/A</v>
      </c>
      <c r="AA1130" s="423" t="str">
        <f ca="1">IFERROR(FDS(MO.Ticker.FactSet,"P_PRICE_LOW"&amp;"("&amp;INDEX(MO_SNA_FPStartDate,0,COLUMN())&amp;","&amp;INDEX(MO_Common_QEndDate,0,COLUMN())&amp;",,,,""PRICE"",""CLOSE"")"),"N/A")</f>
        <v>N/A</v>
      </c>
      <c r="AB1130" s="423" t="str">
        <f ca="1">IFERROR(FDS(MO.Ticker.FactSet,"P_PRICE_LOW"&amp;"("&amp;INDEX(MO_SNA_FPStartDate,0,COLUMN())&amp;","&amp;INDEX(MO_Common_QEndDate,0,COLUMN())&amp;",,,,""PRICE"",""CLOSE"")"),"N/A")</f>
        <v>N/A</v>
      </c>
      <c r="AC1130" s="423" t="str">
        <f ca="1">IFERROR(FDS(MO.Ticker.FactSet,"P_PRICE_LOW"&amp;"("&amp;INDEX(MO_SNA_FPStartDate,0,COLUMN())&amp;","&amp;INDEX(MO_Common_QEndDate,0,COLUMN())&amp;",,,,""PRICE"",""CLOSE"")"),"N/A")</f>
        <v>N/A</v>
      </c>
      <c r="AD1130" s="423" t="str">
        <f ca="1">IFERROR(FDS(MO.Ticker.FactSet,"P_PRICE_LOW"&amp;"("&amp;INDEX(MO_SNA_FPStartDate,0,COLUMN())&amp;","&amp;INDEX(MO_Common_QEndDate,0,COLUMN())&amp;",,,,""PRICE"",""CLOSE"")"),"N/A")</f>
        <v>N/A</v>
      </c>
      <c r="AE1130" s="423" t="str">
        <f ca="1">IFERROR(FDS(MO.Ticker.FactSet,"P_PRICE_LOW"&amp;"("&amp;INDEX(MO_SNA_FPStartDate,0,COLUMN())&amp;","&amp;INDEX(MO_Common_QEndDate,0,COLUMN())&amp;",,,,""PRICE"",""CLOSE"")"),"N/A")</f>
        <v>N/A</v>
      </c>
      <c r="AF1130" s="423" t="str">
        <f ca="1">IFERROR(FDS(MO.Ticker.FactSet,"P_PRICE_LOW"&amp;"("&amp;INDEX(MO_SNA_FPStartDate,0,COLUMN())&amp;","&amp;INDEX(MO_Common_QEndDate,0,COLUMN())&amp;",,,,""PRICE"",""CLOSE"")"),"N/A")</f>
        <v>N/A</v>
      </c>
      <c r="AG1130" s="423" t="str">
        <f ca="1">IFERROR(FDS(MO.Ticker.FactSet,"P_PRICE_LOW"&amp;"("&amp;INDEX(MO_SNA_FPStartDate,0,COLUMN())&amp;","&amp;INDEX(MO_Common_QEndDate,0,COLUMN())&amp;",,,,""PRICE"",""CLOSE"")"),"N/A")</f>
        <v>N/A</v>
      </c>
      <c r="AH1130" s="423" t="str">
        <f ca="1">IFERROR(FDS(MO.Ticker.FactSet,"P_PRICE_LOW"&amp;"("&amp;INDEX(MO_SNA_FPStartDate,0,COLUMN())&amp;","&amp;INDEX(MO_Common_QEndDate,0,COLUMN())&amp;",,,,""PRICE"",""CLOSE"")"),"N/A")</f>
        <v>N/A</v>
      </c>
      <c r="AI1130" s="423" t="str">
        <f ca="1">IFERROR(FDS(MO.Ticker.FactSet,"P_PRICE_LOW"&amp;"("&amp;INDEX(MO_SNA_FPStartDate,0,COLUMN())&amp;","&amp;INDEX(MO_Common_QEndDate,0,COLUMN())&amp;",,,,""PRICE"",""CLOSE"")"),"N/A")</f>
        <v>N/A</v>
      </c>
      <c r="AJ1130" s="423" t="str">
        <f ca="1">IFERROR(FDS(MO.Ticker.FactSet,"P_PRICE_LOW"&amp;"("&amp;INDEX(MO_SNA_FPStartDate,0,COLUMN())&amp;","&amp;INDEX(MO_Common_QEndDate,0,COLUMN())&amp;",,,,""PRICE"",""CLOSE"")"),"N/A")</f>
        <v>N/A</v>
      </c>
      <c r="AK1130" s="423" t="str">
        <f ca="1">IFERROR(FDS(MO.Ticker.FactSet,"P_PRICE_LOW"&amp;"("&amp;INDEX(MO_SNA_FPStartDate,0,COLUMN())&amp;","&amp;INDEX(MO_Common_QEndDate,0,COLUMN())&amp;",,,,""PRICE"",""CLOSE"")"),"N/A")</f>
        <v>N/A</v>
      </c>
      <c r="AL1130" s="423" t="str">
        <f ca="1">IFERROR(FDS(MO.Ticker.FactSet,"P_PRICE_LOW"&amp;"("&amp;INDEX(MO_SNA_FPStartDate,0,COLUMN())&amp;","&amp;INDEX(MO_Common_QEndDate,0,COLUMN())&amp;",,,,""PRICE"",""CLOSE"")"),"N/A")</f>
        <v>N/A</v>
      </c>
      <c r="AM1130" s="423" t="str">
        <f ca="1">IFERROR(FDS(MO.Ticker.FactSet,"P_PRICE_LOW"&amp;"("&amp;INDEX(MO_SNA_FPStartDate,0,COLUMN())&amp;","&amp;INDEX(MO_Common_QEndDate,0,COLUMN())&amp;",,,,""PRICE"",""CLOSE"")"),"N/A")</f>
        <v>N/A</v>
      </c>
      <c r="AN1130" s="423" t="str">
        <f ca="1">IFERROR(FDS(MO.Ticker.FactSet,"P_PRICE_LOW"&amp;"("&amp;INDEX(MO_SNA_FPStartDate,0,COLUMN())&amp;","&amp;INDEX(MO_Common_QEndDate,0,COLUMN())&amp;",,,,""PRICE"",""CLOSE"")"),"N/A")</f>
        <v>N/A</v>
      </c>
      <c r="AO1130" s="423" t="str">
        <f ca="1">IFERROR(FDS(MO.Ticker.FactSet,"P_PRICE_LOW"&amp;"("&amp;INDEX(MO_SNA_FPStartDate,0,COLUMN())&amp;","&amp;INDEX(MO_Common_QEndDate,0,COLUMN())&amp;",,,,""PRICE"",""CLOSE"")"),"N/A")</f>
        <v>N/A</v>
      </c>
      <c r="AP1130" s="423" t="str">
        <f ca="1">IFERROR(FDS(MO.Ticker.FactSet,"P_PRICE_LOW"&amp;"("&amp;INDEX(MO_SNA_FPStartDate,0,COLUMN())&amp;","&amp;INDEX(MO_Common_QEndDate,0,COLUMN())&amp;",,,,""PRICE"",""CLOSE"")"),"N/A")</f>
        <v>N/A</v>
      </c>
      <c r="AQ1130" s="423" t="str">
        <f ca="1">IFERROR(FDS(MO.Ticker.FactSet,"P_PRICE_LOW"&amp;"("&amp;INDEX(MO_SNA_FPStartDate,0,COLUMN())&amp;","&amp;INDEX(MO_Common_QEndDate,0,COLUMN())&amp;",,,,""PRICE"",""CLOSE"")"),"N/A")</f>
        <v>N/A</v>
      </c>
      <c r="AR1130" s="423" t="str">
        <f ca="1">IFERROR(FDS(MO.Ticker.FactSet,"P_PRICE_LOW"&amp;"("&amp;INDEX(MO_SNA_FPStartDate,0,COLUMN())&amp;","&amp;INDEX(MO_Common_QEndDate,0,COLUMN())&amp;",,,,""PRICE"",""CLOSE"")"),"N/A")</f>
        <v>N/A</v>
      </c>
      <c r="AS1130" s="423" t="str">
        <f ca="1">IFERROR(FDS(MO.Ticker.FactSet,"P_PRICE_LOW"&amp;"("&amp;INDEX(MO_SNA_FPStartDate,0,COLUMN())&amp;","&amp;INDEX(MO_Common_QEndDate,0,COLUMN())&amp;",,,,""PRICE"",""CLOSE"")"),"N/A")</f>
        <v>N/A</v>
      </c>
      <c r="AT1130" s="423" t="str">
        <f ca="1">IFERROR(FDS(MO.Ticker.FactSet,"P_PRICE_LOW"&amp;"("&amp;INDEX(MO_SNA_FPStartDate,0,COLUMN())&amp;","&amp;INDEX(MO_Common_QEndDate,0,COLUMN())&amp;",,,,""PRICE"",""CLOSE"")"),"N/A")</f>
        <v>N/A</v>
      </c>
      <c r="AU1130" s="423" t="str">
        <f ca="1">IFERROR(FDS(MO.Ticker.FactSet,"P_PRICE_LOW"&amp;"("&amp;INDEX(MO_SNA_FPStartDate,0,COLUMN())&amp;","&amp;INDEX(MO_Common_QEndDate,0,COLUMN())&amp;",,,,""PRICE"",""CLOSE"")"),"N/A")</f>
        <v>N/A</v>
      </c>
      <c r="AV1130" s="423" t="str">
        <f ca="1">IFERROR(FDS(MO.Ticker.FactSet,"P_PRICE_LOW"&amp;"("&amp;INDEX(MO_SNA_FPStartDate,0,COLUMN())&amp;","&amp;INDEX(MO_Common_QEndDate,0,COLUMN())&amp;",,,,""PRICE"",""CLOSE"")"),"N/A")</f>
        <v>N/A</v>
      </c>
      <c r="AW1130" s="453" t="str">
        <f ca="1">IFERROR(FDS(MO.Ticker.FactSet,"P_PRICE_LOW"&amp;"("&amp;INDEX(MO_SNA_FPStartDate,0,COLUMN())&amp;","&amp;INDEX(MO_Common_QEndDate,0,COLUMN())&amp;",,,,""PRICE"",""CLOSE"")"),"N/A")</f>
        <v>N/A</v>
      </c>
      <c r="AX1130" s="423" t="str">
        <f ca="1">IFERROR(FDS(MO.Ticker.FactSet,"P_PRICE_LOW"&amp;"("&amp;INDEX(MO_SNA_FPStartDate,0,COLUMN())&amp;","&amp;INDEX(MO_Common_QEndDate,0,COLUMN())&amp;",,,,""PRICE"",""CLOSE"")"),"N/A")</f>
        <v>N/A</v>
      </c>
      <c r="AY1130" s="423" t="str">
        <f ca="1">IFERROR(FDS(MO.Ticker.FactSet,"P_PRICE_LOW"&amp;"("&amp;INDEX(MO_SNA_FPStartDate,0,COLUMN())&amp;","&amp;INDEX(MO_Common_QEndDate,0,COLUMN())&amp;",,,,""PRICE"",""CLOSE"")"),"N/A")</f>
        <v>N/A</v>
      </c>
      <c r="AZ1130" s="423" t="str">
        <f ca="1">IFERROR(FDS(MO.Ticker.FactSet,"P_PRICE_LOW"&amp;"("&amp;INDEX(MO_SNA_FPStartDate,0,COLUMN())&amp;","&amp;INDEX(MO_Common_QEndDate,0,COLUMN())&amp;",,,,""PRICE"",""CLOSE"")"),"N/A")</f>
        <v>N/A</v>
      </c>
      <c r="BA1130" s="423" t="str">
        <f ca="1">IFERROR(FDS(MO.Ticker.FactSet,"P_PRICE_LOW"&amp;"("&amp;INDEX(MO_SNA_FPStartDate,0,COLUMN())&amp;","&amp;INDEX(MO_Common_QEndDate,0,COLUMN())&amp;",,,,""PRICE"",""CLOSE"")"),"N/A")</f>
        <v>N/A</v>
      </c>
      <c r="BB1130" s="423" t="str">
        <f ca="1">IFERROR(FDS(MO.Ticker.FactSet,"P_PRICE_LOW"&amp;"("&amp;INDEX(MO_SNA_FPStartDate,0,COLUMN())&amp;","&amp;INDEX(MO_Common_QEndDate,0,COLUMN())&amp;",,,,""PRICE"",""CLOSE"")"),"N/A")</f>
        <v>N/A</v>
      </c>
      <c r="BC1130" s="423" t="str">
        <f ca="1">IFERROR(FDS(MO.Ticker.FactSet,"P_PRICE_LOW"&amp;"("&amp;INDEX(MO_SNA_FPStartDate,0,COLUMN())&amp;","&amp;INDEX(MO_Common_QEndDate,0,COLUMN())&amp;",,,,""PRICE"",""CLOSE"")"),"N/A")</f>
        <v>N/A</v>
      </c>
      <c r="BD1130" s="423" t="str">
        <f ca="1">IFERROR(FDS(MO.Ticker.FactSet,"P_PRICE_LOW"&amp;"("&amp;INDEX(MO_SNA_FPStartDate,0,COLUMN())&amp;","&amp;INDEX(MO_Common_QEndDate,0,COLUMN())&amp;",,,,""PRICE"",""CLOSE"")"),"N/A")</f>
        <v>N/A</v>
      </c>
      <c r="BE1130" s="423" t="str">
        <f ca="1">IFERROR(FDS(MO.Ticker.FactSet,"P_PRICE_LOW"&amp;"("&amp;INDEX(MO_SNA_FPStartDate,0,COLUMN())&amp;","&amp;INDEX(MO_Common_QEndDate,0,COLUMN())&amp;",,,,""PRICE"",""CLOSE"")"),"N/A")</f>
        <v>N/A</v>
      </c>
      <c r="BF1130" s="423" t="str">
        <f ca="1">IFERROR(FDS(MO.Ticker.FactSet,"P_PRICE_LOW"&amp;"("&amp;INDEX(MO_SNA_FPStartDate,0,COLUMN())&amp;","&amp;INDEX(MO_Common_QEndDate,0,COLUMN())&amp;",,,,""PRICE"",""CLOSE"")"),"N/A")</f>
        <v>N/A</v>
      </c>
      <c r="BG1130" s="425" t="str">
        <f ca="1">IFERROR(FDS(MO.Ticker.FactSet,"P_PRICE_LOW"&amp;"("&amp;INDEX(MO_SNA_FPStartDate,0,COLUMN())&amp;","&amp;INDEX(MO_Common_QEndDate,0,COLUMN())&amp;",,,,""PRICE"",""CLOSE"")"),"N/A")</f>
        <v>N/A</v>
      </c>
      <c r="BH1130" s="426"/>
    </row>
    <row r="1131" spans="1:60" s="427" customFormat="1" hidden="1" outlineLevel="1" x14ac:dyDescent="0.25">
      <c r="A1131" s="428" t="s">
        <v>733</v>
      </c>
      <c r="B1131" s="423"/>
      <c r="C1131" s="424" t="str">
        <f>IFERROR(_xll.TR(MO.Ticker.Thomson,"Min(TR.PriceLow)","sdate:#1 edate:#2",,INDEX(MO_SNA_FPStartDate,0,COLUMN()),INDEX(MO_Common_QEndDate,0,COLUMN())),"N/A")</f>
        <v>Retrieving...</v>
      </c>
      <c r="D1131" s="424" t="str">
        <f>IFERROR(_xll.TR(MO.Ticker.Thomson,"Min(TR.PriceLow)","sdate:#1 edate:#2",,INDEX(MO_SNA_FPStartDate,0,COLUMN()),INDEX(MO_Common_QEndDate,0,COLUMN())),"N/A")</f>
        <v>Retrieving...</v>
      </c>
      <c r="E1131" s="423" t="str">
        <f>IFERROR(_xll.TR(MO.Ticker.Thomson,"Min(TR.PriceLow)","sdate:#1 edate:#2",,INDEX(MO_SNA_FPStartDate,0,COLUMN()),INDEX(MO_Common_QEndDate,0,COLUMN())),"N/A")</f>
        <v>Retrieving...</v>
      </c>
      <c r="F1131" s="423" t="str">
        <f>IFERROR(_xll.TR(MO.Ticker.Thomson,"Min(TR.PriceLow)","sdate:#1 edate:#2",,INDEX(MO_SNA_FPStartDate,0,COLUMN()),INDEX(MO_Common_QEndDate,0,COLUMN())),"N/A")</f>
        <v>Retrieving...</v>
      </c>
      <c r="G1131" s="423" t="str">
        <f>IFERROR(_xll.TR(MO.Ticker.Thomson,"Min(TR.PriceLow)","sdate:#1 edate:#2",,INDEX(MO_SNA_FPStartDate,0,COLUMN()),INDEX(MO_Common_QEndDate,0,COLUMN())),"N/A")</f>
        <v>Retrieving...</v>
      </c>
      <c r="H1131" s="423" t="str">
        <f>IFERROR(_xll.TR(MO.Ticker.Thomson,"Min(TR.PriceLow)","sdate:#1 edate:#2",,INDEX(MO_SNA_FPStartDate,0,COLUMN()),INDEX(MO_Common_QEndDate,0,COLUMN())),"N/A")</f>
        <v>Retrieving...</v>
      </c>
      <c r="I1131" s="423" t="str">
        <f>IFERROR(_xll.TR(MO.Ticker.Thomson,"Min(TR.PriceLow)","sdate:#1 edate:#2",,INDEX(MO_SNA_FPStartDate,0,COLUMN()),INDEX(MO_Common_QEndDate,0,COLUMN())),"N/A")</f>
        <v>Retrieving...</v>
      </c>
      <c r="J1131" s="423" t="str">
        <f>IFERROR(_xll.TR(MO.Ticker.Thomson,"Min(TR.PriceLow)","sdate:#1 edate:#2",,INDEX(MO_SNA_FPStartDate,0,COLUMN()),INDEX(MO_Common_QEndDate,0,COLUMN())),"N/A")</f>
        <v>Retrieving...</v>
      </c>
      <c r="K1131" s="423" t="str">
        <f>IFERROR(_xll.TR(MO.Ticker.Thomson,"Min(TR.PriceLow)","sdate:#1 edate:#2",,INDEX(MO_SNA_FPStartDate,0,COLUMN()),INDEX(MO_Common_QEndDate,0,COLUMN())),"N/A")</f>
        <v>Retrieving...</v>
      </c>
      <c r="L1131" s="423" t="str">
        <f>IFERROR(_xll.TR(MO.Ticker.Thomson,"Min(TR.PriceLow)","sdate:#1 edate:#2",,INDEX(MO_SNA_FPStartDate,0,COLUMN()),INDEX(MO_Common_QEndDate,0,COLUMN())),"N/A")</f>
        <v>Retrieving...</v>
      </c>
      <c r="M1131" s="423" t="str">
        <f>IFERROR(_xll.TR(MO.Ticker.Thomson,"Min(TR.PriceLow)","sdate:#1 edate:#2",,INDEX(MO_SNA_FPStartDate,0,COLUMN()),INDEX(MO_Common_QEndDate,0,COLUMN())),"N/A")</f>
        <v>Retrieving...</v>
      </c>
      <c r="N1131" s="423" t="str">
        <f>IFERROR(_xll.TR(MO.Ticker.Thomson,"Min(TR.PriceLow)","sdate:#1 edate:#2",,INDEX(MO_SNA_FPStartDate,0,COLUMN()),INDEX(MO_Common_QEndDate,0,COLUMN())),"N/A")</f>
        <v>Retrieving...</v>
      </c>
      <c r="O1131" s="423" t="str">
        <f>IFERROR(_xll.TR(MO.Ticker.Thomson,"Min(TR.PriceLow)","sdate:#1 edate:#2",,INDEX(MO_SNA_FPStartDate,0,COLUMN()),INDEX(MO_Common_QEndDate,0,COLUMN())),"N/A")</f>
        <v>Retrieving...</v>
      </c>
      <c r="P1131" s="423" t="str">
        <f>IFERROR(_xll.TR(MO.Ticker.Thomson,"Min(TR.PriceLow)","sdate:#1 edate:#2",,INDEX(MO_SNA_FPStartDate,0,COLUMN()),INDEX(MO_Common_QEndDate,0,COLUMN())),"N/A")</f>
        <v>Retrieving...</v>
      </c>
      <c r="Q1131" s="423" t="str">
        <f>IFERROR(_xll.TR(MO.Ticker.Thomson,"Min(TR.PriceLow)","sdate:#1 edate:#2",,INDEX(MO_SNA_FPStartDate,0,COLUMN()),INDEX(MO_Common_QEndDate,0,COLUMN())),"N/A")</f>
        <v>Retrieving...</v>
      </c>
      <c r="R1131" s="423" t="str">
        <f>IFERROR(_xll.TR(MO.Ticker.Thomson,"Min(TR.PriceLow)","sdate:#1 edate:#2",,INDEX(MO_SNA_FPStartDate,0,COLUMN()),INDEX(MO_Common_QEndDate,0,COLUMN())),"N/A")</f>
        <v>Retrieving...</v>
      </c>
      <c r="S1131" s="423" t="str">
        <f>IFERROR(_xll.TR(MO.Ticker.Thomson,"Min(TR.PriceLow)","sdate:#1 edate:#2",,INDEX(MO_SNA_FPStartDate,0,COLUMN()),INDEX(MO_Common_QEndDate,0,COLUMN())),"N/A")</f>
        <v>Retrieving...</v>
      </c>
      <c r="T1131" s="423" t="str">
        <f>IFERROR(_xll.TR(MO.Ticker.Thomson,"Min(TR.PriceLow)","sdate:#1 edate:#2",,INDEX(MO_SNA_FPStartDate,0,COLUMN()),INDEX(MO_Common_QEndDate,0,COLUMN())),"N/A")</f>
        <v>Retrieving...</v>
      </c>
      <c r="U1131" s="423" t="str">
        <f>IFERROR(_xll.TR(MO.Ticker.Thomson,"Min(TR.PriceLow)","sdate:#1 edate:#2",,INDEX(MO_SNA_FPStartDate,0,COLUMN()),INDEX(MO_Common_QEndDate,0,COLUMN())),"N/A")</f>
        <v>Retrieving...</v>
      </c>
      <c r="V1131" s="423" t="str">
        <f>IFERROR(_xll.TR(MO.Ticker.Thomson,"Min(TR.PriceLow)","sdate:#1 edate:#2",,INDEX(MO_SNA_FPStartDate,0,COLUMN()),INDEX(MO_Common_QEndDate,0,COLUMN())),"N/A")</f>
        <v>Retrieving...</v>
      </c>
      <c r="W1131" s="423" t="str">
        <f>IFERROR(_xll.TR(MO.Ticker.Thomson,"Min(TR.PriceLow)","sdate:#1 edate:#2",,INDEX(MO_SNA_FPStartDate,0,COLUMN()),INDEX(MO_Common_QEndDate,0,COLUMN())),"N/A")</f>
        <v>Retrieving...</v>
      </c>
      <c r="X1131" s="423" t="str">
        <f>IFERROR(_xll.TR(MO.Ticker.Thomson,"Min(TR.PriceLow)","sdate:#1 edate:#2",,INDEX(MO_SNA_FPStartDate,0,COLUMN()),INDEX(MO_Common_QEndDate,0,COLUMN())),"N/A")</f>
        <v>Retrieving...</v>
      </c>
      <c r="Y1131" s="423" t="str">
        <f>IFERROR(_xll.TR(MO.Ticker.Thomson,"Min(TR.PriceLow)","sdate:#1 edate:#2",,INDEX(MO_SNA_FPStartDate,0,COLUMN()),INDEX(MO_Common_QEndDate,0,COLUMN())),"N/A")</f>
        <v>Retrieving...</v>
      </c>
      <c r="Z1131" s="423" t="str">
        <f>IFERROR(_xll.TR(MO.Ticker.Thomson,"Min(TR.PriceLow)","sdate:#1 edate:#2",,INDEX(MO_SNA_FPStartDate,0,COLUMN()),INDEX(MO_Common_QEndDate,0,COLUMN())),"N/A")</f>
        <v>Retrieving...</v>
      </c>
      <c r="AA1131" s="423" t="str">
        <f>IFERROR(_xll.TR(MO.Ticker.Thomson,"Min(TR.PriceLow)","sdate:#1 edate:#2",,INDEX(MO_SNA_FPStartDate,0,COLUMN()),INDEX(MO_Common_QEndDate,0,COLUMN())),"N/A")</f>
        <v>Retrieving...</v>
      </c>
      <c r="AB1131" s="423" t="str">
        <f>IFERROR(_xll.TR(MO.Ticker.Thomson,"Min(TR.PriceLow)","sdate:#1 edate:#2",,INDEX(MO_SNA_FPStartDate,0,COLUMN()),INDEX(MO_Common_QEndDate,0,COLUMN())),"N/A")</f>
        <v>Retrieving...</v>
      </c>
      <c r="AC1131" s="423" t="str">
        <f>IFERROR(_xll.TR(MO.Ticker.Thomson,"Min(TR.PriceLow)","sdate:#1 edate:#2",,INDEX(MO_SNA_FPStartDate,0,COLUMN()),INDEX(MO_Common_QEndDate,0,COLUMN())),"N/A")</f>
        <v>Retrieving...</v>
      </c>
      <c r="AD1131" s="423" t="str">
        <f>IFERROR(_xll.TR(MO.Ticker.Thomson,"Min(TR.PriceLow)","sdate:#1 edate:#2",,INDEX(MO_SNA_FPStartDate,0,COLUMN()),INDEX(MO_Common_QEndDate,0,COLUMN())),"N/A")</f>
        <v>Retrieving...</v>
      </c>
      <c r="AE1131" s="423" t="str">
        <f>IFERROR(_xll.TR(MO.Ticker.Thomson,"Min(TR.PriceLow)","sdate:#1 edate:#2",,INDEX(MO_SNA_FPStartDate,0,COLUMN()),INDEX(MO_Common_QEndDate,0,COLUMN())),"N/A")</f>
        <v>Retrieving...</v>
      </c>
      <c r="AF1131" s="423" t="str">
        <f>IFERROR(_xll.TR(MO.Ticker.Thomson,"Min(TR.PriceLow)","sdate:#1 edate:#2",,INDEX(MO_SNA_FPStartDate,0,COLUMN()),INDEX(MO_Common_QEndDate,0,COLUMN())),"N/A")</f>
        <v>Retrieving...</v>
      </c>
      <c r="AG1131" s="423" t="str">
        <f>IFERROR(_xll.TR(MO.Ticker.Thomson,"Min(TR.PriceLow)","sdate:#1 edate:#2",,INDEX(MO_SNA_FPStartDate,0,COLUMN()),INDEX(MO_Common_QEndDate,0,COLUMN())),"N/A")</f>
        <v>Retrieving...</v>
      </c>
      <c r="AH1131" s="423" t="str">
        <f>IFERROR(_xll.TR(MO.Ticker.Thomson,"Min(TR.PriceLow)","sdate:#1 edate:#2",,INDEX(MO_SNA_FPStartDate,0,COLUMN()),INDEX(MO_Common_QEndDate,0,COLUMN())),"N/A")</f>
        <v>Retrieving...</v>
      </c>
      <c r="AI1131" s="423" t="str">
        <f>IFERROR(_xll.TR(MO.Ticker.Thomson,"Min(TR.PriceLow)","sdate:#1 edate:#2",,INDEX(MO_SNA_FPStartDate,0,COLUMN()),INDEX(MO_Common_QEndDate,0,COLUMN())),"N/A")</f>
        <v>Retrieving...</v>
      </c>
      <c r="AJ1131" s="423" t="str">
        <f>IFERROR(_xll.TR(MO.Ticker.Thomson,"Min(TR.PriceLow)","sdate:#1 edate:#2",,INDEX(MO_SNA_FPStartDate,0,COLUMN()),INDEX(MO_Common_QEndDate,0,COLUMN())),"N/A")</f>
        <v>Retrieving...</v>
      </c>
      <c r="AK1131" s="423" t="str">
        <f>IFERROR(_xll.TR(MO.Ticker.Thomson,"Min(TR.PriceLow)","sdate:#1 edate:#2",,INDEX(MO_SNA_FPStartDate,0,COLUMN()),INDEX(MO_Common_QEndDate,0,COLUMN())),"N/A")</f>
        <v>Retrieving...</v>
      </c>
      <c r="AL1131" s="423" t="str">
        <f>IFERROR(_xll.TR(MO.Ticker.Thomson,"Min(TR.PriceLow)","sdate:#1 edate:#2",,INDEX(MO_SNA_FPStartDate,0,COLUMN()),INDEX(MO_Common_QEndDate,0,COLUMN())),"N/A")</f>
        <v>Retrieving...</v>
      </c>
      <c r="AM1131" s="423" t="str">
        <f>IFERROR(_xll.TR(MO.Ticker.Thomson,"Min(TR.PriceLow)","sdate:#1 edate:#2",,INDEX(MO_SNA_FPStartDate,0,COLUMN()),INDEX(MO_Common_QEndDate,0,COLUMN())),"N/A")</f>
        <v>Retrieving...</v>
      </c>
      <c r="AN1131" s="423" t="str">
        <f>IFERROR(_xll.TR(MO.Ticker.Thomson,"Min(TR.PriceLow)","sdate:#1 edate:#2",,INDEX(MO_SNA_FPStartDate,0,COLUMN()),INDEX(MO_Common_QEndDate,0,COLUMN())),"N/A")</f>
        <v>Retrieving...</v>
      </c>
      <c r="AO1131" s="423" t="str">
        <f>IFERROR(_xll.TR(MO.Ticker.Thomson,"Min(TR.PriceLow)","sdate:#1 edate:#2",,INDEX(MO_SNA_FPStartDate,0,COLUMN()),INDEX(MO_Common_QEndDate,0,COLUMN())),"N/A")</f>
        <v>Retrieving...</v>
      </c>
      <c r="AP1131" s="423" t="str">
        <f>IFERROR(_xll.TR(MO.Ticker.Thomson,"Min(TR.PriceLow)","sdate:#1 edate:#2",,INDEX(MO_SNA_FPStartDate,0,COLUMN()),INDEX(MO_Common_QEndDate,0,COLUMN())),"N/A")</f>
        <v>Retrieving...</v>
      </c>
      <c r="AQ1131" s="423" t="str">
        <f>IFERROR(_xll.TR(MO.Ticker.Thomson,"Min(TR.PriceLow)","sdate:#1 edate:#2",,INDEX(MO_SNA_FPStartDate,0,COLUMN()),INDEX(MO_Common_QEndDate,0,COLUMN())),"N/A")</f>
        <v>Retrieving...</v>
      </c>
      <c r="AR1131" s="423" t="str">
        <f>IFERROR(_xll.TR(MO.Ticker.Thomson,"Min(TR.PriceLow)","sdate:#1 edate:#2",,INDEX(MO_SNA_FPStartDate,0,COLUMN()),INDEX(MO_Common_QEndDate,0,COLUMN())),"N/A")</f>
        <v>Retrieving...</v>
      </c>
      <c r="AS1131" s="423" t="str">
        <f>IFERROR(_xll.TR(MO.Ticker.Thomson,"Min(TR.PriceLow)","sdate:#1 edate:#2",,INDEX(MO_SNA_FPStartDate,0,COLUMN()),INDEX(MO_Common_QEndDate,0,COLUMN())),"N/A")</f>
        <v>Retrieving...</v>
      </c>
      <c r="AT1131" s="423" t="str">
        <f>IFERROR(_xll.TR(MO.Ticker.Thomson,"Min(TR.PriceLow)","sdate:#1 edate:#2",,INDEX(MO_SNA_FPStartDate,0,COLUMN()),INDEX(MO_Common_QEndDate,0,COLUMN())),"N/A")</f>
        <v>Retrieving...</v>
      </c>
      <c r="AU1131" s="423" t="str">
        <f>IFERROR(_xll.TR(MO.Ticker.Thomson,"Min(TR.PriceLow)","sdate:#1 edate:#2",,INDEX(MO_SNA_FPStartDate,0,COLUMN()),INDEX(MO_Common_QEndDate,0,COLUMN())),"N/A")</f>
        <v>Retrieving...</v>
      </c>
      <c r="AV1131" s="423" t="str">
        <f>IFERROR(_xll.TR(MO.Ticker.Thomson,"Min(TR.PriceLow)","sdate:#1 edate:#2",,INDEX(MO_SNA_FPStartDate,0,COLUMN()),INDEX(MO_Common_QEndDate,0,COLUMN())),"N/A")</f>
        <v>Retrieving...</v>
      </c>
      <c r="AW1131" s="453" t="str">
        <f>IFERROR(_xll.TR(MO.Ticker.Thomson,"Min(TR.PriceLow)","sdate:#1 edate:#2",,INDEX(MO_SNA_FPStartDate,0,COLUMN()),INDEX(MO_Common_QEndDate,0,COLUMN())),"N/A")</f>
        <v>Retrieving...</v>
      </c>
      <c r="AX1131" s="423" t="str">
        <f>IFERROR(_xll.TR(MO.Ticker.Thomson,"Min(TR.PriceLow)","sdate:#1 edate:#2",,INDEX(MO_SNA_FPStartDate,0,COLUMN()),INDEX(MO_Common_QEndDate,0,COLUMN())),"N/A")</f>
        <v>Retrieving...</v>
      </c>
      <c r="AY1131" s="423" t="str">
        <f>IFERROR(_xll.TR(MO.Ticker.Thomson,"Min(TR.PriceLow)","sdate:#1 edate:#2",,INDEX(MO_SNA_FPStartDate,0,COLUMN()),INDEX(MO_Common_QEndDate,0,COLUMN())),"N/A")</f>
        <v>Retrieving...</v>
      </c>
      <c r="AZ1131" s="423" t="str">
        <f>IFERROR(_xll.TR(MO.Ticker.Thomson,"Min(TR.PriceLow)","sdate:#1 edate:#2",,INDEX(MO_SNA_FPStartDate,0,COLUMN()),INDEX(MO_Common_QEndDate,0,COLUMN())),"N/A")</f>
        <v>Retrieving...</v>
      </c>
      <c r="BA1131" s="423" t="str">
        <f>IFERROR(_xll.TR(MO.Ticker.Thomson,"Min(TR.PriceLow)","sdate:#1 edate:#2",,INDEX(MO_SNA_FPStartDate,0,COLUMN()),INDEX(MO_Common_QEndDate,0,COLUMN())),"N/A")</f>
        <v>Retrieving...</v>
      </c>
      <c r="BB1131" s="423" t="str">
        <f>IFERROR(_xll.TR(MO.Ticker.Thomson,"Min(TR.PriceLow)","sdate:#1 edate:#2",,INDEX(MO_SNA_FPStartDate,0,COLUMN()),INDEX(MO_Common_QEndDate,0,COLUMN())),"N/A")</f>
        <v>Retrieving...</v>
      </c>
      <c r="BC1131" s="423" t="str">
        <f>IFERROR(_xll.TR(MO.Ticker.Thomson,"Min(TR.PriceLow)","sdate:#1 edate:#2",,INDEX(MO_SNA_FPStartDate,0,COLUMN()),INDEX(MO_Common_QEndDate,0,COLUMN())),"N/A")</f>
        <v>Retrieving...</v>
      </c>
      <c r="BD1131" s="423" t="str">
        <f>IFERROR(_xll.TR(MO.Ticker.Thomson,"Min(TR.PriceLow)","sdate:#1 edate:#2",,INDEX(MO_SNA_FPStartDate,0,COLUMN()),INDEX(MO_Common_QEndDate,0,COLUMN())),"N/A")</f>
        <v>Retrieving...</v>
      </c>
      <c r="BE1131" s="423" t="str">
        <f>IFERROR(_xll.TR(MO.Ticker.Thomson,"Min(TR.PriceLow)","sdate:#1 edate:#2",,INDEX(MO_SNA_FPStartDate,0,COLUMN()),INDEX(MO_Common_QEndDate,0,COLUMN())),"N/A")</f>
        <v>Retrieving...</v>
      </c>
      <c r="BF1131" s="423" t="str">
        <f>IFERROR(_xll.TR(MO.Ticker.Thomson,"Min(TR.PriceLow)","sdate:#1 edate:#2",,INDEX(MO_SNA_FPStartDate,0,COLUMN()),INDEX(MO_Common_QEndDate,0,COLUMN())),"N/A")</f>
        <v>Retrieving...</v>
      </c>
      <c r="BG1131" s="425" t="str">
        <f>IFERROR(_xll.TR(MO.Ticker.Thomson,"Min(TR.PriceLow)","sdate:#1 edate:#2",,INDEX(MO_SNA_FPStartDate,0,COLUMN()),INDEX(MO_Common_QEndDate,0,COLUMN())),"N/A")</f>
        <v>Retrieving...</v>
      </c>
      <c r="BH1131" s="426"/>
    </row>
    <row r="1132" spans="1:60" s="15" customFormat="1" hidden="1" outlineLevel="1" x14ac:dyDescent="0.25">
      <c r="A1132" s="273"/>
      <c r="B1132" s="957"/>
      <c r="C1132" s="187"/>
      <c r="D1132" s="187"/>
      <c r="E1132" s="957"/>
      <c r="F1132" s="957"/>
      <c r="G1132" s="957"/>
      <c r="H1132" s="957"/>
      <c r="I1132" s="957"/>
      <c r="J1132" s="957"/>
      <c r="K1132" s="957"/>
      <c r="L1132" s="957"/>
      <c r="M1132" s="957"/>
      <c r="N1132" s="957"/>
      <c r="O1132" s="957"/>
      <c r="P1132" s="957"/>
      <c r="Q1132" s="957"/>
      <c r="R1132" s="957"/>
      <c r="S1132" s="957"/>
      <c r="T1132" s="957"/>
      <c r="U1132" s="957"/>
      <c r="V1132" s="957"/>
      <c r="W1132" s="957"/>
      <c r="X1132" s="957"/>
      <c r="Y1132" s="957"/>
      <c r="Z1132" s="957"/>
      <c r="AA1132" s="957"/>
      <c r="AB1132" s="957"/>
      <c r="AC1132" s="957"/>
      <c r="AD1132" s="957"/>
      <c r="AE1132" s="957"/>
      <c r="AF1132" s="957"/>
      <c r="AG1132" s="957"/>
      <c r="AH1132" s="957"/>
      <c r="AI1132" s="957"/>
      <c r="AJ1132" s="957"/>
      <c r="AK1132" s="957"/>
      <c r="AL1132" s="957"/>
      <c r="AM1132" s="957"/>
      <c r="AN1132" s="957"/>
      <c r="AO1132" s="957"/>
      <c r="AP1132" s="957"/>
      <c r="AQ1132" s="957"/>
      <c r="AR1132" s="957"/>
      <c r="AS1132" s="957"/>
      <c r="AT1132" s="957"/>
      <c r="AU1132" s="957"/>
      <c r="AV1132" s="957"/>
      <c r="AW1132" s="958"/>
      <c r="AX1132" s="957"/>
      <c r="AY1132" s="957"/>
      <c r="AZ1132" s="957"/>
      <c r="BA1132" s="957"/>
      <c r="BB1132" s="957"/>
      <c r="BC1132" s="957"/>
      <c r="BD1132" s="957"/>
      <c r="BE1132" s="957"/>
      <c r="BF1132" s="957"/>
      <c r="BG1132" s="271"/>
      <c r="BH1132" s="728"/>
    </row>
    <row r="1133" spans="1:60" s="427" customFormat="1" collapsed="1" x14ac:dyDescent="0.25">
      <c r="A1133" s="422" t="str">
        <f ca="1">"Stock Average: "&amp;IF(OR(MO.RealTimeStockPriceToggle=FALSE,VLOOKUP(MO.DataSourceName,MO_SPT_StockAverage_Sources,COLUMN()+2,FALSE)="N/A"),"Real-Time Off Source",MO.DataSourceName)</f>
        <v>Stock Average: Real-Time Off Source</v>
      </c>
      <c r="B1133" s="423"/>
      <c r="C1133" s="424">
        <f t="shared" ref="C1133:AH1133" ca="1" si="1206">IF(OR(MO.RealTimeStockPriceToggle=FALSE,VLOOKUP(MO.DataSourceName,MO_SPT_StockAverage_Sources,COLUMN(),FALSE)="N/A"),VLOOKUP("Real-Time Off Source",MO_SPT_StockAverage_Sources,COLUMN(),FALSE),VLOOKUP(MO.DataSourceName,MO_SPT_StockAverage_Sources,COLUMN(),FALSE))</f>
        <v>23.26</v>
      </c>
      <c r="D1133" s="424">
        <f t="shared" ca="1" si="1206"/>
        <v>32.443750000000001</v>
      </c>
      <c r="E1133" s="423">
        <f t="shared" ca="1" si="1206"/>
        <v>32.443750000000001</v>
      </c>
      <c r="F1133" s="423">
        <f t="shared" ca="1" si="1206"/>
        <v>42.313749999999999</v>
      </c>
      <c r="G1133" s="423">
        <f t="shared" ca="1" si="1206"/>
        <v>49.84</v>
      </c>
      <c r="H1133" s="423">
        <f t="shared" ca="1" si="1206"/>
        <v>53.31</v>
      </c>
      <c r="I1133" s="423">
        <f t="shared" ca="1" si="1206"/>
        <v>62.02</v>
      </c>
      <c r="J1133" s="423">
        <f t="shared" ca="1" si="1206"/>
        <v>64.03</v>
      </c>
      <c r="K1133" s="423">
        <f t="shared" ca="1" si="1206"/>
        <v>57.3</v>
      </c>
      <c r="L1133" s="423">
        <f t="shared" ca="1" si="1206"/>
        <v>68.94</v>
      </c>
      <c r="M1133" s="423">
        <f t="shared" ca="1" si="1206"/>
        <v>76.75</v>
      </c>
      <c r="N1133" s="423">
        <f t="shared" ca="1" si="1206"/>
        <v>81.084999999999994</v>
      </c>
      <c r="O1133" s="423">
        <f t="shared" ca="1" si="1206"/>
        <v>88.034999999999997</v>
      </c>
      <c r="P1133" s="423">
        <f t="shared" ca="1" si="1206"/>
        <v>78.702500000000001</v>
      </c>
      <c r="Q1133" s="423">
        <f t="shared" ca="1" si="1206"/>
        <v>86.924999999999997</v>
      </c>
      <c r="R1133" s="423">
        <f t="shared" ca="1" si="1206"/>
        <v>99.5</v>
      </c>
      <c r="S1133" s="423">
        <f t="shared" ca="1" si="1206"/>
        <v>109.765</v>
      </c>
      <c r="T1133" s="423">
        <f t="shared" ca="1" si="1206"/>
        <v>106.04</v>
      </c>
      <c r="U1133" s="423">
        <f t="shared" ca="1" si="1206"/>
        <v>100.5575</v>
      </c>
      <c r="V1133" s="423">
        <f t="shared" ca="1" si="1206"/>
        <v>111.63</v>
      </c>
      <c r="W1133" s="423">
        <f t="shared" ca="1" si="1206"/>
        <v>94.84</v>
      </c>
      <c r="X1133" s="423">
        <f t="shared" ca="1" si="1206"/>
        <v>100.375</v>
      </c>
      <c r="Y1133" s="423">
        <f t="shared" ca="1" si="1206"/>
        <v>96.35</v>
      </c>
      <c r="Z1133" s="423">
        <f t="shared" ca="1" si="1206"/>
        <v>100.79875</v>
      </c>
      <c r="AA1133" s="423">
        <f t="shared" ca="1" si="1206"/>
        <v>98.29</v>
      </c>
      <c r="AB1133" s="423">
        <f t="shared" ca="1" si="1206"/>
        <v>109.46</v>
      </c>
      <c r="AC1133" s="423">
        <f t="shared" ca="1" si="1206"/>
        <v>109.63500000000001</v>
      </c>
      <c r="AD1133" s="423">
        <f t="shared" ca="1" si="1206"/>
        <v>103.515</v>
      </c>
      <c r="AE1133" s="423">
        <f t="shared" ca="1" si="1206"/>
        <v>105.22499999999999</v>
      </c>
      <c r="AF1133" s="423">
        <f t="shared" ca="1" si="1206"/>
        <v>100.803834920635</v>
      </c>
      <c r="AG1133" s="423">
        <f t="shared" ca="1" si="1206"/>
        <v>104.602770491803</v>
      </c>
      <c r="AH1133" s="423">
        <f t="shared" ca="1" si="1206"/>
        <v>100.66945468749999</v>
      </c>
      <c r="AI1133" s="423">
        <f t="shared" ref="AI1133:AY1133" ca="1" si="1207">IF(OR(MO.RealTimeStockPriceToggle=FALSE,VLOOKUP(MO.DataSourceName,MO_SPT_StockAverage_Sources,COLUMN(),FALSE)="N/A"),VLOOKUP("Real-Time Off Source",MO_SPT_StockAverage_Sources,COLUMN(),FALSE),VLOOKUP(MO.DataSourceName,MO_SPT_StockAverage_Sources,COLUMN(),FALSE))</f>
        <v>110.40836031745999</v>
      </c>
      <c r="AJ1133" s="423">
        <f t="shared" ca="1" si="1207"/>
        <v>104.10351553784901</v>
      </c>
      <c r="AK1133" s="423">
        <f t="shared" ca="1" si="1207"/>
        <v>113.036634920635</v>
      </c>
      <c r="AL1133" s="423">
        <f t="shared" ca="1" si="1207"/>
        <v>111.770491803279</v>
      </c>
      <c r="AM1133" s="423">
        <f t="shared" ca="1" si="1207"/>
        <v>132.621904761905</v>
      </c>
      <c r="AN1133" s="423">
        <f t="shared" ca="1" si="1207"/>
        <v>138.2746875</v>
      </c>
      <c r="AO1133" s="423">
        <f t="shared" ca="1" si="1207"/>
        <v>124.246135458167</v>
      </c>
      <c r="AP1133" s="423">
        <f t="shared" ca="1" si="1207"/>
        <v>139.57593750000001</v>
      </c>
      <c r="AQ1133" s="423">
        <f t="shared" ca="1" si="1207"/>
        <v>126.429677419355</v>
      </c>
      <c r="AR1133" s="423">
        <f t="shared" ca="1" si="1207"/>
        <v>110.398253968254</v>
      </c>
      <c r="AS1133" s="423">
        <f ca="1">IF(OR(MO.RealTimeStockPriceToggle=FALSE,VLOOKUP(MO.DataSourceName,MO_SPT_StockAverage_Sources,COLUMN(),FALSE)="N/A"),VLOOKUP("Real-Time Off Source",MO_SPT_StockAverage_Sources,COLUMN(),FALSE),VLOOKUP(MO.DataSourceName,MO_SPT_StockAverage_Sources,COLUMN(),FALSE))</f>
        <v>124.99625</v>
      </c>
      <c r="AT1133" s="423">
        <f ca="1">IF(OR(MO.RealTimeStockPriceToggle=FALSE,VLOOKUP(MO.DataSourceName,MO_SPT_StockAverage_Sources,COLUMN(),FALSE)="N/A"),VLOOKUP("Real-Time Off Source",MO_SPT_StockAverage_Sources,COLUMN(),FALSE),VLOOKUP(MO.DataSourceName,MO_SPT_StockAverage_Sources,COLUMN(),FALSE))</f>
        <v>125.400592885376</v>
      </c>
      <c r="AU1133" s="423">
        <f ca="1">IF(OR(MO.RealTimeStockPriceToggle=FALSE,VLOOKUP(MO.DataSourceName,MO_SPT_StockAverage_Sources,COLUMN(),FALSE)="N/A"),VLOOKUP("Real-Time Off Source",MO_SPT_StockAverage_Sources,COLUMN(),FALSE),VLOOKUP(MO.DataSourceName,MO_SPT_StockAverage_Sources,COLUMN(),FALSE))</f>
        <v>143.5340625</v>
      </c>
      <c r="AV1133" s="423">
        <f ca="1">IF(OR(MO.RealTimeStockPriceToggle=FALSE,VLOOKUP(MO.DataSourceName,MO_SPT_StockAverage_Sources,COLUMN(),FALSE)="N/A"),VLOOKUP("Real-Time Off Source",MO_SPT_StockAverage_Sources,COLUMN(),FALSE),VLOOKUP(MO.DataSourceName,MO_SPT_StockAverage_Sources,COLUMN(),FALSE))</f>
        <v>184.41557377049199</v>
      </c>
      <c r="AW1133" s="453">
        <f ca="1">IF(OR(MO.RealTimeStockPriceToggle=FALSE,VLOOKUP(MO.DataSourceName,MO_SPT_StockAverage_Sources,COLUMN(),FALSE)="N/A"),VLOOKUP("Real-Time Off Source",MO_SPT_StockAverage_Sources,COLUMN(),FALSE),VLOOKUP(MO.DataSourceName,MO_SPT_StockAverage_Sources,COLUMN(),FALSE))</f>
        <v>179.84507936507899</v>
      </c>
      <c r="AX1133" s="423">
        <f t="shared" ca="1" si="1207"/>
        <v>0</v>
      </c>
      <c r="AY1133" s="423">
        <f t="shared" ca="1" si="1207"/>
        <v>0</v>
      </c>
      <c r="AZ1133" s="423">
        <f t="shared" ref="AZ1133:BG1133" ca="1" si="1208">IF(OR(MO.RealTimeStockPriceToggle=FALSE,VLOOKUP(MO.DataSourceName,MO_SPT_StockAverage_Sources,COLUMN(),FALSE)="N/A"),VLOOKUP("Real-Time Off Source",MO_SPT_StockAverage_Sources,COLUMN(),FALSE),VLOOKUP(MO.DataSourceName,MO_SPT_StockAverage_Sources,COLUMN(),FALSE))</f>
        <v>0</v>
      </c>
      <c r="BA1133" s="423">
        <f t="shared" ca="1" si="1208"/>
        <v>0</v>
      </c>
      <c r="BB1133" s="423">
        <f t="shared" ca="1" si="1208"/>
        <v>0</v>
      </c>
      <c r="BC1133" s="423">
        <f t="shared" ca="1" si="1208"/>
        <v>0</v>
      </c>
      <c r="BD1133" s="423">
        <f t="shared" ca="1" si="1208"/>
        <v>0</v>
      </c>
      <c r="BE1133" s="423">
        <f t="shared" ca="1" si="1208"/>
        <v>0</v>
      </c>
      <c r="BF1133" s="423">
        <f t="shared" ca="1" si="1208"/>
        <v>0</v>
      </c>
      <c r="BG1133" s="425">
        <f t="shared" ca="1" si="1208"/>
        <v>0</v>
      </c>
      <c r="BH1133" s="426"/>
    </row>
    <row r="1134" spans="1:60" s="427" customFormat="1" hidden="1" outlineLevel="1" x14ac:dyDescent="0.25">
      <c r="A1134" s="428" t="s">
        <v>404</v>
      </c>
      <c r="B1134" s="423"/>
      <c r="C1134" s="424">
        <v>23.26</v>
      </c>
      <c r="D1134" s="424">
        <v>32.443750000000001</v>
      </c>
      <c r="E1134" s="423">
        <v>32.443750000000001</v>
      </c>
      <c r="F1134" s="423">
        <v>42.313749999999999</v>
      </c>
      <c r="G1134" s="423">
        <v>49.84</v>
      </c>
      <c r="H1134" s="423">
        <v>53.31</v>
      </c>
      <c r="I1134" s="423">
        <v>62.02</v>
      </c>
      <c r="J1134" s="423">
        <v>64.03</v>
      </c>
      <c r="K1134" s="423">
        <v>57.3</v>
      </c>
      <c r="L1134" s="423">
        <v>68.94</v>
      </c>
      <c r="M1134" s="423">
        <v>76.75</v>
      </c>
      <c r="N1134" s="423">
        <v>81.084999999999994</v>
      </c>
      <c r="O1134" s="423">
        <v>88.034999999999997</v>
      </c>
      <c r="P1134" s="423">
        <v>78.702500000000001</v>
      </c>
      <c r="Q1134" s="423">
        <v>86.924999999999997</v>
      </c>
      <c r="R1134" s="423">
        <v>99.5</v>
      </c>
      <c r="S1134" s="423">
        <v>109.765</v>
      </c>
      <c r="T1134" s="423">
        <v>106.04</v>
      </c>
      <c r="U1134" s="423">
        <v>100.5575</v>
      </c>
      <c r="V1134" s="423">
        <v>111.63</v>
      </c>
      <c r="W1134" s="423">
        <v>94.84</v>
      </c>
      <c r="X1134" s="423">
        <v>100.375</v>
      </c>
      <c r="Y1134" s="423">
        <v>96.35</v>
      </c>
      <c r="Z1134" s="423">
        <v>100.79875</v>
      </c>
      <c r="AA1134" s="423">
        <v>98.29</v>
      </c>
      <c r="AB1134" s="423">
        <v>109.46</v>
      </c>
      <c r="AC1134" s="423">
        <v>109.63500000000001</v>
      </c>
      <c r="AD1134" s="423">
        <v>103.515</v>
      </c>
      <c r="AE1134" s="423">
        <v>105.22499999999999</v>
      </c>
      <c r="AF1134" s="423">
        <v>100.803834920635</v>
      </c>
      <c r="AG1134" s="423">
        <v>104.602770491803</v>
      </c>
      <c r="AH1134" s="423">
        <v>100.66945468749999</v>
      </c>
      <c r="AI1134" s="423">
        <v>110.40836031745999</v>
      </c>
      <c r="AJ1134" s="423">
        <v>104.10351553784901</v>
      </c>
      <c r="AK1134" s="423">
        <v>113.036634920635</v>
      </c>
      <c r="AL1134" s="423">
        <v>111.770491803279</v>
      </c>
      <c r="AM1134" s="423">
        <v>132.621904761905</v>
      </c>
      <c r="AN1134" s="423">
        <v>138.2746875</v>
      </c>
      <c r="AO1134" s="423">
        <v>124.246135458167</v>
      </c>
      <c r="AP1134" s="423">
        <v>139.57593750000001</v>
      </c>
      <c r="AQ1134" s="423">
        <v>126.429677419355</v>
      </c>
      <c r="AR1134" s="423">
        <v>110.398253968254</v>
      </c>
      <c r="AS1134" s="423">
        <v>124.99625</v>
      </c>
      <c r="AT1134" s="423">
        <v>125.400592885376</v>
      </c>
      <c r="AU1134" s="423">
        <v>143.5340625</v>
      </c>
      <c r="AV1134" s="423">
        <v>184.41557377049199</v>
      </c>
      <c r="AW1134" s="453">
        <v>179.84507936507899</v>
      </c>
      <c r="AX1134" s="423"/>
      <c r="AY1134" s="423"/>
      <c r="AZ1134" s="423"/>
      <c r="BA1134" s="423"/>
      <c r="BB1134" s="423"/>
      <c r="BC1134" s="423"/>
      <c r="BD1134" s="423"/>
      <c r="BE1134" s="423"/>
      <c r="BF1134" s="423"/>
      <c r="BG1134" s="425"/>
      <c r="BH1134" s="426"/>
    </row>
    <row r="1135" spans="1:60" s="427" customFormat="1" hidden="1" outlineLevel="1" x14ac:dyDescent="0.25">
      <c r="A1135" s="428" t="s">
        <v>7</v>
      </c>
      <c r="B1135" s="423"/>
      <c r="C1135" s="424" t="str">
        <f ca="1">IFERROR(BDP(MO.Ticker.Bloomberg&amp;" Equity","INTERVAL_AVG","MARKET_DATA_OVERRIDE=PX_LAST","START_DATE_OVERRIDE",TEXT(INDEX(MO_SNA_FPStartDate,0,COLUMN()),"YYYYMMDD"),"END_DATE_OVERRIDE",TEXT(INDEX(MO_Common_QEndDate,0,COLUMN()),"YYYYMMDD")),"N/A")</f>
        <v>N/A</v>
      </c>
      <c r="D1135" s="424" t="str">
        <f ca="1">IFERROR(BDP(MO.Ticker.Bloomberg&amp;" Equity","INTERVAL_AVG","MARKET_DATA_OVERRIDE=PX_LAST","START_DATE_OVERRIDE",TEXT(INDEX(MO_SNA_FPStartDate,0,COLUMN()),"YYYYMMDD"),"END_DATE_OVERRIDE",TEXT(INDEX(MO_Common_QEndDate,0,COLUMN()),"YYYYMMDD")),"N/A")</f>
        <v>N/A</v>
      </c>
      <c r="E1135" s="423" t="str">
        <f ca="1">IFERROR(BDP(MO.Ticker.Bloomberg&amp;" Equity","INTERVAL_AVG","MARKET_DATA_OVERRIDE=PX_LAST","START_DATE_OVERRIDE",TEXT(INDEX(MO_SNA_FPStartDate,0,COLUMN()),"YYYYMMDD"),"END_DATE_OVERRIDE",TEXT(INDEX(MO_Common_QEndDate,0,COLUMN()),"YYYYMMDD")),"N/A")</f>
        <v>N/A</v>
      </c>
      <c r="F1135" s="423" t="str">
        <f ca="1">IFERROR(BDP(MO.Ticker.Bloomberg&amp;" Equity","INTERVAL_AVG","MARKET_DATA_OVERRIDE=PX_LAST","START_DATE_OVERRIDE",TEXT(INDEX(MO_SNA_FPStartDate,0,COLUMN()),"YYYYMMDD"),"END_DATE_OVERRIDE",TEXT(INDEX(MO_Common_QEndDate,0,COLUMN()),"YYYYMMDD")),"N/A")</f>
        <v>N/A</v>
      </c>
      <c r="G1135" s="423" t="str">
        <f ca="1">IFERROR(BDP(MO.Ticker.Bloomberg&amp;" Equity","INTERVAL_AVG","MARKET_DATA_OVERRIDE=PX_LAST","START_DATE_OVERRIDE",TEXT(INDEX(MO_SNA_FPStartDate,0,COLUMN()),"YYYYMMDD"),"END_DATE_OVERRIDE",TEXT(INDEX(MO_Common_QEndDate,0,COLUMN()),"YYYYMMDD")),"N/A")</f>
        <v>N/A</v>
      </c>
      <c r="H1135" s="423" t="str">
        <f ca="1">IFERROR(BDP(MO.Ticker.Bloomberg&amp;" Equity","INTERVAL_AVG","MARKET_DATA_OVERRIDE=PX_LAST","START_DATE_OVERRIDE",TEXT(INDEX(MO_SNA_FPStartDate,0,COLUMN()),"YYYYMMDD"),"END_DATE_OVERRIDE",TEXT(INDEX(MO_Common_QEndDate,0,COLUMN()),"YYYYMMDD")),"N/A")</f>
        <v>N/A</v>
      </c>
      <c r="I1135" s="423" t="str">
        <f ca="1">IFERROR(BDP(MO.Ticker.Bloomberg&amp;" Equity","INTERVAL_AVG","MARKET_DATA_OVERRIDE=PX_LAST","START_DATE_OVERRIDE",TEXT(INDEX(MO_SNA_FPStartDate,0,COLUMN()),"YYYYMMDD"),"END_DATE_OVERRIDE",TEXT(INDEX(MO_Common_QEndDate,0,COLUMN()),"YYYYMMDD")),"N/A")</f>
        <v>N/A</v>
      </c>
      <c r="J1135" s="423" t="str">
        <f ca="1">IFERROR(BDP(MO.Ticker.Bloomberg&amp;" Equity","INTERVAL_AVG","MARKET_DATA_OVERRIDE=PX_LAST","START_DATE_OVERRIDE",TEXT(INDEX(MO_SNA_FPStartDate,0,COLUMN()),"YYYYMMDD"),"END_DATE_OVERRIDE",TEXT(INDEX(MO_Common_QEndDate,0,COLUMN()),"YYYYMMDD")),"N/A")</f>
        <v>N/A</v>
      </c>
      <c r="K1135" s="423" t="str">
        <f ca="1">IFERROR(BDP(MO.Ticker.Bloomberg&amp;" Equity","INTERVAL_AVG","MARKET_DATA_OVERRIDE=PX_LAST","START_DATE_OVERRIDE",TEXT(INDEX(MO_SNA_FPStartDate,0,COLUMN()),"YYYYMMDD"),"END_DATE_OVERRIDE",TEXT(INDEX(MO_Common_QEndDate,0,COLUMN()),"YYYYMMDD")),"N/A")</f>
        <v>N/A</v>
      </c>
      <c r="L1135" s="423" t="str">
        <f ca="1">IFERROR(BDP(MO.Ticker.Bloomberg&amp;" Equity","INTERVAL_AVG","MARKET_DATA_OVERRIDE=PX_LAST","START_DATE_OVERRIDE",TEXT(INDEX(MO_SNA_FPStartDate,0,COLUMN()),"YYYYMMDD"),"END_DATE_OVERRIDE",TEXT(INDEX(MO_Common_QEndDate,0,COLUMN()),"YYYYMMDD")),"N/A")</f>
        <v>N/A</v>
      </c>
      <c r="M1135" s="423" t="str">
        <f ca="1">IFERROR(BDP(MO.Ticker.Bloomberg&amp;" Equity","INTERVAL_AVG","MARKET_DATA_OVERRIDE=PX_LAST","START_DATE_OVERRIDE",TEXT(INDEX(MO_SNA_FPStartDate,0,COLUMN()),"YYYYMMDD"),"END_DATE_OVERRIDE",TEXT(INDEX(MO_Common_QEndDate,0,COLUMN()),"YYYYMMDD")),"N/A")</f>
        <v>N/A</v>
      </c>
      <c r="N1135" s="423" t="str">
        <f ca="1">IFERROR(BDP(MO.Ticker.Bloomberg&amp;" Equity","INTERVAL_AVG","MARKET_DATA_OVERRIDE=PX_LAST","START_DATE_OVERRIDE",TEXT(INDEX(MO_SNA_FPStartDate,0,COLUMN()),"YYYYMMDD"),"END_DATE_OVERRIDE",TEXT(INDEX(MO_Common_QEndDate,0,COLUMN()),"YYYYMMDD")),"N/A")</f>
        <v>N/A</v>
      </c>
      <c r="O1135" s="423" t="str">
        <f ca="1">IFERROR(BDP(MO.Ticker.Bloomberg&amp;" Equity","INTERVAL_AVG","MARKET_DATA_OVERRIDE=PX_LAST","START_DATE_OVERRIDE",TEXT(INDEX(MO_SNA_FPStartDate,0,COLUMN()),"YYYYMMDD"),"END_DATE_OVERRIDE",TEXT(INDEX(MO_Common_QEndDate,0,COLUMN()),"YYYYMMDD")),"N/A")</f>
        <v>N/A</v>
      </c>
      <c r="P1135" s="423" t="str">
        <f ca="1">IFERROR(BDP(MO.Ticker.Bloomberg&amp;" Equity","INTERVAL_AVG","MARKET_DATA_OVERRIDE=PX_LAST","START_DATE_OVERRIDE",TEXT(INDEX(MO_SNA_FPStartDate,0,COLUMN()),"YYYYMMDD"),"END_DATE_OVERRIDE",TEXT(INDEX(MO_Common_QEndDate,0,COLUMN()),"YYYYMMDD")),"N/A")</f>
        <v>N/A</v>
      </c>
      <c r="Q1135" s="423" t="str">
        <f ca="1">IFERROR(BDP(MO.Ticker.Bloomberg&amp;" Equity","INTERVAL_AVG","MARKET_DATA_OVERRIDE=PX_LAST","START_DATE_OVERRIDE",TEXT(INDEX(MO_SNA_FPStartDate,0,COLUMN()),"YYYYMMDD"),"END_DATE_OVERRIDE",TEXT(INDEX(MO_Common_QEndDate,0,COLUMN()),"YYYYMMDD")),"N/A")</f>
        <v>N/A</v>
      </c>
      <c r="R1135" s="423" t="str">
        <f ca="1">IFERROR(BDP(MO.Ticker.Bloomberg&amp;" Equity","INTERVAL_AVG","MARKET_DATA_OVERRIDE=PX_LAST","START_DATE_OVERRIDE",TEXT(INDEX(MO_SNA_FPStartDate,0,COLUMN()),"YYYYMMDD"),"END_DATE_OVERRIDE",TEXT(INDEX(MO_Common_QEndDate,0,COLUMN()),"YYYYMMDD")),"N/A")</f>
        <v>N/A</v>
      </c>
      <c r="S1135" s="423" t="str">
        <f ca="1">IFERROR(BDP(MO.Ticker.Bloomberg&amp;" Equity","INTERVAL_AVG","MARKET_DATA_OVERRIDE=PX_LAST","START_DATE_OVERRIDE",TEXT(INDEX(MO_SNA_FPStartDate,0,COLUMN()),"YYYYMMDD"),"END_DATE_OVERRIDE",TEXT(INDEX(MO_Common_QEndDate,0,COLUMN()),"YYYYMMDD")),"N/A")</f>
        <v>N/A</v>
      </c>
      <c r="T1135" s="423" t="str">
        <f ca="1">IFERROR(BDP(MO.Ticker.Bloomberg&amp;" Equity","INTERVAL_AVG","MARKET_DATA_OVERRIDE=PX_LAST","START_DATE_OVERRIDE",TEXT(INDEX(MO_SNA_FPStartDate,0,COLUMN()),"YYYYMMDD"),"END_DATE_OVERRIDE",TEXT(INDEX(MO_Common_QEndDate,0,COLUMN()),"YYYYMMDD")),"N/A")</f>
        <v>N/A</v>
      </c>
      <c r="U1135" s="423" t="str">
        <f ca="1">IFERROR(BDP(MO.Ticker.Bloomberg&amp;" Equity","INTERVAL_AVG","MARKET_DATA_OVERRIDE=PX_LAST","START_DATE_OVERRIDE",TEXT(INDEX(MO_SNA_FPStartDate,0,COLUMN()),"YYYYMMDD"),"END_DATE_OVERRIDE",TEXT(INDEX(MO_Common_QEndDate,0,COLUMN()),"YYYYMMDD")),"N/A")</f>
        <v>N/A</v>
      </c>
      <c r="V1135" s="423" t="str">
        <f ca="1">IFERROR(BDP(MO.Ticker.Bloomberg&amp;" Equity","INTERVAL_AVG","MARKET_DATA_OVERRIDE=PX_LAST","START_DATE_OVERRIDE",TEXT(INDEX(MO_SNA_FPStartDate,0,COLUMN()),"YYYYMMDD"),"END_DATE_OVERRIDE",TEXT(INDEX(MO_Common_QEndDate,0,COLUMN()),"YYYYMMDD")),"N/A")</f>
        <v>N/A</v>
      </c>
      <c r="W1135" s="423" t="str">
        <f ca="1">IFERROR(BDP(MO.Ticker.Bloomberg&amp;" Equity","INTERVAL_AVG","MARKET_DATA_OVERRIDE=PX_LAST","START_DATE_OVERRIDE",TEXT(INDEX(MO_SNA_FPStartDate,0,COLUMN()),"YYYYMMDD"),"END_DATE_OVERRIDE",TEXT(INDEX(MO_Common_QEndDate,0,COLUMN()),"YYYYMMDD")),"N/A")</f>
        <v>N/A</v>
      </c>
      <c r="X1135" s="423" t="str">
        <f ca="1">IFERROR(BDP(MO.Ticker.Bloomberg&amp;" Equity","INTERVAL_AVG","MARKET_DATA_OVERRIDE=PX_LAST","START_DATE_OVERRIDE",TEXT(INDEX(MO_SNA_FPStartDate,0,COLUMN()),"YYYYMMDD"),"END_DATE_OVERRIDE",TEXT(INDEX(MO_Common_QEndDate,0,COLUMN()),"YYYYMMDD")),"N/A")</f>
        <v>N/A</v>
      </c>
      <c r="Y1135" s="423" t="str">
        <f ca="1">IFERROR(BDP(MO.Ticker.Bloomberg&amp;" Equity","INTERVAL_AVG","MARKET_DATA_OVERRIDE=PX_LAST","START_DATE_OVERRIDE",TEXT(INDEX(MO_SNA_FPStartDate,0,COLUMN()),"YYYYMMDD"),"END_DATE_OVERRIDE",TEXT(INDEX(MO_Common_QEndDate,0,COLUMN()),"YYYYMMDD")),"N/A")</f>
        <v>N/A</v>
      </c>
      <c r="Z1135" s="423" t="str">
        <f ca="1">IFERROR(BDP(MO.Ticker.Bloomberg&amp;" Equity","INTERVAL_AVG","MARKET_DATA_OVERRIDE=PX_LAST","START_DATE_OVERRIDE",TEXT(INDEX(MO_SNA_FPStartDate,0,COLUMN()),"YYYYMMDD"),"END_DATE_OVERRIDE",TEXT(INDEX(MO_Common_QEndDate,0,COLUMN()),"YYYYMMDD")),"N/A")</f>
        <v>N/A</v>
      </c>
      <c r="AA1135" s="423" t="str">
        <f ca="1">IFERROR(BDP(MO.Ticker.Bloomberg&amp;" Equity","INTERVAL_AVG","MARKET_DATA_OVERRIDE=PX_LAST","START_DATE_OVERRIDE",TEXT(INDEX(MO_SNA_FPStartDate,0,COLUMN()),"YYYYMMDD"),"END_DATE_OVERRIDE",TEXT(INDEX(MO_Common_QEndDate,0,COLUMN()),"YYYYMMDD")),"N/A")</f>
        <v>N/A</v>
      </c>
      <c r="AB1135" s="423" t="str">
        <f ca="1">IFERROR(BDP(MO.Ticker.Bloomberg&amp;" Equity","INTERVAL_AVG","MARKET_DATA_OVERRIDE=PX_LAST","START_DATE_OVERRIDE",TEXT(INDEX(MO_SNA_FPStartDate,0,COLUMN()),"YYYYMMDD"),"END_DATE_OVERRIDE",TEXT(INDEX(MO_Common_QEndDate,0,COLUMN()),"YYYYMMDD")),"N/A")</f>
        <v>N/A</v>
      </c>
      <c r="AC1135" s="423" t="str">
        <f ca="1">IFERROR(BDP(MO.Ticker.Bloomberg&amp;" Equity","INTERVAL_AVG","MARKET_DATA_OVERRIDE=PX_LAST","START_DATE_OVERRIDE",TEXT(INDEX(MO_SNA_FPStartDate,0,COLUMN()),"YYYYMMDD"),"END_DATE_OVERRIDE",TEXT(INDEX(MO_Common_QEndDate,0,COLUMN()),"YYYYMMDD")),"N/A")</f>
        <v>N/A</v>
      </c>
      <c r="AD1135" s="423" t="str">
        <f ca="1">IFERROR(BDP(MO.Ticker.Bloomberg&amp;" Equity","INTERVAL_AVG","MARKET_DATA_OVERRIDE=PX_LAST","START_DATE_OVERRIDE",TEXT(INDEX(MO_SNA_FPStartDate,0,COLUMN()),"YYYYMMDD"),"END_DATE_OVERRIDE",TEXT(INDEX(MO_Common_QEndDate,0,COLUMN()),"YYYYMMDD")),"N/A")</f>
        <v>N/A</v>
      </c>
      <c r="AE1135" s="423" t="str">
        <f ca="1">IFERROR(BDP(MO.Ticker.Bloomberg&amp;" Equity","INTERVAL_AVG","MARKET_DATA_OVERRIDE=PX_LAST","START_DATE_OVERRIDE",TEXT(INDEX(MO_SNA_FPStartDate,0,COLUMN()),"YYYYMMDD"),"END_DATE_OVERRIDE",TEXT(INDEX(MO_Common_QEndDate,0,COLUMN()),"YYYYMMDD")),"N/A")</f>
        <v>N/A</v>
      </c>
      <c r="AF1135" s="423" t="str">
        <f ca="1">IFERROR(BDP(MO.Ticker.Bloomberg&amp;" Equity","INTERVAL_AVG","MARKET_DATA_OVERRIDE=PX_LAST","START_DATE_OVERRIDE",TEXT(INDEX(MO_SNA_FPStartDate,0,COLUMN()),"YYYYMMDD"),"END_DATE_OVERRIDE",TEXT(INDEX(MO_Common_QEndDate,0,COLUMN()),"YYYYMMDD")),"N/A")</f>
        <v>N/A</v>
      </c>
      <c r="AG1135" s="423" t="str">
        <f ca="1">IFERROR(BDP(MO.Ticker.Bloomberg&amp;" Equity","INTERVAL_AVG","MARKET_DATA_OVERRIDE=PX_LAST","START_DATE_OVERRIDE",TEXT(INDEX(MO_SNA_FPStartDate,0,COLUMN()),"YYYYMMDD"),"END_DATE_OVERRIDE",TEXT(INDEX(MO_Common_QEndDate,0,COLUMN()),"YYYYMMDD")),"N/A")</f>
        <v>N/A</v>
      </c>
      <c r="AH1135" s="423" t="str">
        <f ca="1">IFERROR(BDP(MO.Ticker.Bloomberg&amp;" Equity","INTERVAL_AVG","MARKET_DATA_OVERRIDE=PX_LAST","START_DATE_OVERRIDE",TEXT(INDEX(MO_SNA_FPStartDate,0,COLUMN()),"YYYYMMDD"),"END_DATE_OVERRIDE",TEXT(INDEX(MO_Common_QEndDate,0,COLUMN()),"YYYYMMDD")),"N/A")</f>
        <v>N/A</v>
      </c>
      <c r="AI1135" s="423" t="str">
        <f ca="1">IFERROR(BDP(MO.Ticker.Bloomberg&amp;" Equity","INTERVAL_AVG","MARKET_DATA_OVERRIDE=PX_LAST","START_DATE_OVERRIDE",TEXT(INDEX(MO_SNA_FPStartDate,0,COLUMN()),"YYYYMMDD"),"END_DATE_OVERRIDE",TEXT(INDEX(MO_Common_QEndDate,0,COLUMN()),"YYYYMMDD")),"N/A")</f>
        <v>N/A</v>
      </c>
      <c r="AJ1135" s="423" t="str">
        <f ca="1">IFERROR(BDP(MO.Ticker.Bloomberg&amp;" Equity","INTERVAL_AVG","MARKET_DATA_OVERRIDE=PX_LAST","START_DATE_OVERRIDE",TEXT(INDEX(MO_SNA_FPStartDate,0,COLUMN()),"YYYYMMDD"),"END_DATE_OVERRIDE",TEXT(INDEX(MO_Common_QEndDate,0,COLUMN()),"YYYYMMDD")),"N/A")</f>
        <v>N/A</v>
      </c>
      <c r="AK1135" s="423" t="str">
        <f ca="1">IFERROR(BDP(MO.Ticker.Bloomberg&amp;" Equity","INTERVAL_AVG","MARKET_DATA_OVERRIDE=PX_LAST","START_DATE_OVERRIDE",TEXT(INDEX(MO_SNA_FPStartDate,0,COLUMN()),"YYYYMMDD"),"END_DATE_OVERRIDE",TEXT(INDEX(MO_Common_QEndDate,0,COLUMN()),"YYYYMMDD")),"N/A")</f>
        <v>N/A</v>
      </c>
      <c r="AL1135" s="423" t="str">
        <f ca="1">IFERROR(BDP(MO.Ticker.Bloomberg&amp;" Equity","INTERVAL_AVG","MARKET_DATA_OVERRIDE=PX_LAST","START_DATE_OVERRIDE",TEXT(INDEX(MO_SNA_FPStartDate,0,COLUMN()),"YYYYMMDD"),"END_DATE_OVERRIDE",TEXT(INDEX(MO_Common_QEndDate,0,COLUMN()),"YYYYMMDD")),"N/A")</f>
        <v>N/A</v>
      </c>
      <c r="AM1135" s="423" t="str">
        <f ca="1">IFERROR(BDP(MO.Ticker.Bloomberg&amp;" Equity","INTERVAL_AVG","MARKET_DATA_OVERRIDE=PX_LAST","START_DATE_OVERRIDE",TEXT(INDEX(MO_SNA_FPStartDate,0,COLUMN()),"YYYYMMDD"),"END_DATE_OVERRIDE",TEXT(INDEX(MO_Common_QEndDate,0,COLUMN()),"YYYYMMDD")),"N/A")</f>
        <v>N/A</v>
      </c>
      <c r="AN1135" s="423" t="str">
        <f ca="1">IFERROR(BDP(MO.Ticker.Bloomberg&amp;" Equity","INTERVAL_AVG","MARKET_DATA_OVERRIDE=PX_LAST","START_DATE_OVERRIDE",TEXT(INDEX(MO_SNA_FPStartDate,0,COLUMN()),"YYYYMMDD"),"END_DATE_OVERRIDE",TEXT(INDEX(MO_Common_QEndDate,0,COLUMN()),"YYYYMMDD")),"N/A")</f>
        <v>N/A</v>
      </c>
      <c r="AO1135" s="423" t="str">
        <f ca="1">IFERROR(BDP(MO.Ticker.Bloomberg&amp;" Equity","INTERVAL_AVG","MARKET_DATA_OVERRIDE=PX_LAST","START_DATE_OVERRIDE",TEXT(INDEX(MO_SNA_FPStartDate,0,COLUMN()),"YYYYMMDD"),"END_DATE_OVERRIDE",TEXT(INDEX(MO_Common_QEndDate,0,COLUMN()),"YYYYMMDD")),"N/A")</f>
        <v>N/A</v>
      </c>
      <c r="AP1135" s="423" t="str">
        <f ca="1">IFERROR(BDP(MO.Ticker.Bloomberg&amp;" Equity","INTERVAL_AVG","MARKET_DATA_OVERRIDE=PX_LAST","START_DATE_OVERRIDE",TEXT(INDEX(MO_SNA_FPStartDate,0,COLUMN()),"YYYYMMDD"),"END_DATE_OVERRIDE",TEXT(INDEX(MO_Common_QEndDate,0,COLUMN()),"YYYYMMDD")),"N/A")</f>
        <v>N/A</v>
      </c>
      <c r="AQ1135" s="423" t="str">
        <f ca="1">IFERROR(BDP(MO.Ticker.Bloomberg&amp;" Equity","INTERVAL_AVG","MARKET_DATA_OVERRIDE=PX_LAST","START_DATE_OVERRIDE",TEXT(INDEX(MO_SNA_FPStartDate,0,COLUMN()),"YYYYMMDD"),"END_DATE_OVERRIDE",TEXT(INDEX(MO_Common_QEndDate,0,COLUMN()),"YYYYMMDD")),"N/A")</f>
        <v>N/A</v>
      </c>
      <c r="AR1135" s="423" t="str">
        <f ca="1">IFERROR(BDP(MO.Ticker.Bloomberg&amp;" Equity","INTERVAL_AVG","MARKET_DATA_OVERRIDE=PX_LAST","START_DATE_OVERRIDE",TEXT(INDEX(MO_SNA_FPStartDate,0,COLUMN()),"YYYYMMDD"),"END_DATE_OVERRIDE",TEXT(INDEX(MO_Common_QEndDate,0,COLUMN()),"YYYYMMDD")),"N/A")</f>
        <v>N/A</v>
      </c>
      <c r="AS1135" s="423" t="str">
        <f ca="1">IFERROR(BDP(MO.Ticker.Bloomberg&amp;" Equity","INTERVAL_AVG","MARKET_DATA_OVERRIDE=PX_LAST","START_DATE_OVERRIDE",TEXT(INDEX(MO_SNA_FPStartDate,0,COLUMN()),"YYYYMMDD"),"END_DATE_OVERRIDE",TEXT(INDEX(MO_Common_QEndDate,0,COLUMN()),"YYYYMMDD")),"N/A")</f>
        <v>N/A</v>
      </c>
      <c r="AT1135" s="423" t="str">
        <f ca="1">IFERROR(BDP(MO.Ticker.Bloomberg&amp;" Equity","INTERVAL_AVG","MARKET_DATA_OVERRIDE=PX_LAST","START_DATE_OVERRIDE",TEXT(INDEX(MO_SNA_FPStartDate,0,COLUMN()),"YYYYMMDD"),"END_DATE_OVERRIDE",TEXT(INDEX(MO_Common_QEndDate,0,COLUMN()),"YYYYMMDD")),"N/A")</f>
        <v>N/A</v>
      </c>
      <c r="AU1135" s="423" t="str">
        <f ca="1">IFERROR(BDP(MO.Ticker.Bloomberg&amp;" Equity","INTERVAL_AVG","MARKET_DATA_OVERRIDE=PX_LAST","START_DATE_OVERRIDE",TEXT(INDEX(MO_SNA_FPStartDate,0,COLUMN()),"YYYYMMDD"),"END_DATE_OVERRIDE",TEXT(INDEX(MO_Common_QEndDate,0,COLUMN()),"YYYYMMDD")),"N/A")</f>
        <v>N/A</v>
      </c>
      <c r="AV1135" s="423" t="str">
        <f ca="1">IFERROR(BDP(MO.Ticker.Bloomberg&amp;" Equity","INTERVAL_AVG","MARKET_DATA_OVERRIDE=PX_LAST","START_DATE_OVERRIDE",TEXT(INDEX(MO_SNA_FPStartDate,0,COLUMN()),"YYYYMMDD"),"END_DATE_OVERRIDE",TEXT(INDEX(MO_Common_QEndDate,0,COLUMN()),"YYYYMMDD")),"N/A")</f>
        <v>N/A</v>
      </c>
      <c r="AW1135" s="453" t="str">
        <f ca="1">IFERROR(BDP(MO.Ticker.Bloomberg&amp;" Equity","INTERVAL_AVG","MARKET_DATA_OVERRIDE=PX_LAST","START_DATE_OVERRIDE",TEXT(INDEX(MO_SNA_FPStartDate,0,COLUMN()),"YYYYMMDD"),"END_DATE_OVERRIDE",TEXT(INDEX(MO_Common_QEndDate,0,COLUMN()),"YYYYMMDD")),"N/A")</f>
        <v>N/A</v>
      </c>
      <c r="AX1135" s="423" t="str">
        <f ca="1">IFERROR(BDP(MO.Ticker.Bloomberg&amp;" Equity","INTERVAL_AVG","MARKET_DATA_OVERRIDE=PX_LAST","START_DATE_OVERRIDE",TEXT(INDEX(MO_SNA_FPStartDate,0,COLUMN()),"YYYYMMDD"),"END_DATE_OVERRIDE",TEXT(INDEX(MO_Common_QEndDate,0,COLUMN()),"YYYYMMDD")),"N/A")</f>
        <v>N/A</v>
      </c>
      <c r="AY1135" s="423" t="str">
        <f ca="1">IFERROR(BDP(MO.Ticker.Bloomberg&amp;" Equity","INTERVAL_AVG","MARKET_DATA_OVERRIDE=PX_LAST","START_DATE_OVERRIDE",TEXT(INDEX(MO_SNA_FPStartDate,0,COLUMN()),"YYYYMMDD"),"END_DATE_OVERRIDE",TEXT(INDEX(MO_Common_QEndDate,0,COLUMN()),"YYYYMMDD")),"N/A")</f>
        <v>N/A</v>
      </c>
      <c r="AZ1135" s="423" t="str">
        <f ca="1">IFERROR(BDP(MO.Ticker.Bloomberg&amp;" Equity","INTERVAL_AVG","MARKET_DATA_OVERRIDE=PX_LAST","START_DATE_OVERRIDE",TEXT(INDEX(MO_SNA_FPStartDate,0,COLUMN()),"YYYYMMDD"),"END_DATE_OVERRIDE",TEXT(INDEX(MO_Common_QEndDate,0,COLUMN()),"YYYYMMDD")),"N/A")</f>
        <v>N/A</v>
      </c>
      <c r="BA1135" s="423" t="str">
        <f ca="1">IFERROR(BDP(MO.Ticker.Bloomberg&amp;" Equity","INTERVAL_AVG","MARKET_DATA_OVERRIDE=PX_LAST","START_DATE_OVERRIDE",TEXT(INDEX(MO_SNA_FPStartDate,0,COLUMN()),"YYYYMMDD"),"END_DATE_OVERRIDE",TEXT(INDEX(MO_Common_QEndDate,0,COLUMN()),"YYYYMMDD")),"N/A")</f>
        <v>N/A</v>
      </c>
      <c r="BB1135" s="423" t="str">
        <f ca="1">IFERROR(BDP(MO.Ticker.Bloomberg&amp;" Equity","INTERVAL_AVG","MARKET_DATA_OVERRIDE=PX_LAST","START_DATE_OVERRIDE",TEXT(INDEX(MO_SNA_FPStartDate,0,COLUMN()),"YYYYMMDD"),"END_DATE_OVERRIDE",TEXT(INDEX(MO_Common_QEndDate,0,COLUMN()),"YYYYMMDD")),"N/A")</f>
        <v>N/A</v>
      </c>
      <c r="BC1135" s="423" t="str">
        <f ca="1">IFERROR(BDP(MO.Ticker.Bloomberg&amp;" Equity","INTERVAL_AVG","MARKET_DATA_OVERRIDE=PX_LAST","START_DATE_OVERRIDE",TEXT(INDEX(MO_SNA_FPStartDate,0,COLUMN()),"YYYYMMDD"),"END_DATE_OVERRIDE",TEXT(INDEX(MO_Common_QEndDate,0,COLUMN()),"YYYYMMDD")),"N/A")</f>
        <v>N/A</v>
      </c>
      <c r="BD1135" s="423" t="str">
        <f ca="1">IFERROR(BDP(MO.Ticker.Bloomberg&amp;" Equity","INTERVAL_AVG","MARKET_DATA_OVERRIDE=PX_LAST","START_DATE_OVERRIDE",TEXT(INDEX(MO_SNA_FPStartDate,0,COLUMN()),"YYYYMMDD"),"END_DATE_OVERRIDE",TEXT(INDEX(MO_Common_QEndDate,0,COLUMN()),"YYYYMMDD")),"N/A")</f>
        <v>N/A</v>
      </c>
      <c r="BE1135" s="423" t="str">
        <f ca="1">IFERROR(BDP(MO.Ticker.Bloomberg&amp;" Equity","INTERVAL_AVG","MARKET_DATA_OVERRIDE=PX_LAST","START_DATE_OVERRIDE",TEXT(INDEX(MO_SNA_FPStartDate,0,COLUMN()),"YYYYMMDD"),"END_DATE_OVERRIDE",TEXT(INDEX(MO_Common_QEndDate,0,COLUMN()),"YYYYMMDD")),"N/A")</f>
        <v>N/A</v>
      </c>
      <c r="BF1135" s="423" t="str">
        <f ca="1">IFERROR(BDP(MO.Ticker.Bloomberg&amp;" Equity","INTERVAL_AVG","MARKET_DATA_OVERRIDE=PX_LAST","START_DATE_OVERRIDE",TEXT(INDEX(MO_SNA_FPStartDate,0,COLUMN()),"YYYYMMDD"),"END_DATE_OVERRIDE",TEXT(INDEX(MO_Common_QEndDate,0,COLUMN()),"YYYYMMDD")),"N/A")</f>
        <v>N/A</v>
      </c>
      <c r="BG1135" s="425" t="str">
        <f ca="1">IFERROR(BDP(MO.Ticker.Bloomberg&amp;" Equity","INTERVAL_AVG","MARKET_DATA_OVERRIDE=PX_LAST","START_DATE_OVERRIDE",TEXT(INDEX(MO_SNA_FPStartDate,0,COLUMN()),"YYYYMMDD"),"END_DATE_OVERRIDE",TEXT(INDEX(MO_Common_QEndDate,0,COLUMN()),"YYYYMMDD")),"N/A")</f>
        <v>N/A</v>
      </c>
      <c r="BH1135" s="426"/>
    </row>
    <row r="1136" spans="1:60" s="427" customFormat="1" hidden="1" outlineLevel="1" x14ac:dyDescent="0.25">
      <c r="A1136" s="428" t="s">
        <v>405</v>
      </c>
      <c r="B1136" s="423"/>
      <c r="C1136" s="424" t="str">
        <f ca="1">IFERROR(CIQAVG(MO.Ticker.CapIQ,"IQ_LASTSALEPRICE",INDEX(MO_SNA_FPStartDate,0,COLUMN()),INDEX(MO_Common_QEndDate,0,COLUMN())),"N/A")</f>
        <v>N/A</v>
      </c>
      <c r="D1136" s="424" t="str">
        <f ca="1">IFERROR(CIQAVG(MO.Ticker.CapIQ,"IQ_LASTSALEPRICE",INDEX(MO_SNA_FPStartDate,0,COLUMN()),INDEX(MO_Common_QEndDate,0,COLUMN())),"N/A")</f>
        <v>N/A</v>
      </c>
      <c r="E1136" s="423" t="str">
        <f ca="1">IFERROR(CIQAVG(MO.Ticker.CapIQ,"IQ_LASTSALEPRICE",INDEX(MO_SNA_FPStartDate,0,COLUMN()),INDEX(MO_Common_QEndDate,0,COLUMN())),"N/A")</f>
        <v>N/A</v>
      </c>
      <c r="F1136" s="423" t="str">
        <f ca="1">IFERROR(CIQAVG(MO.Ticker.CapIQ,"IQ_LASTSALEPRICE",INDEX(MO_SNA_FPStartDate,0,COLUMN()),INDEX(MO_Common_QEndDate,0,COLUMN())),"N/A")</f>
        <v>N/A</v>
      </c>
      <c r="G1136" s="423" t="str">
        <f ca="1">IFERROR(CIQAVG(MO.Ticker.CapIQ,"IQ_LASTSALEPRICE",INDEX(MO_SNA_FPStartDate,0,COLUMN()),INDEX(MO_Common_QEndDate,0,COLUMN())),"N/A")</f>
        <v>N/A</v>
      </c>
      <c r="H1136" s="423" t="str">
        <f ca="1">IFERROR(CIQAVG(MO.Ticker.CapIQ,"IQ_LASTSALEPRICE",INDEX(MO_SNA_FPStartDate,0,COLUMN()),INDEX(MO_Common_QEndDate,0,COLUMN())),"N/A")</f>
        <v>N/A</v>
      </c>
      <c r="I1136" s="423" t="str">
        <f ca="1">IFERROR(CIQAVG(MO.Ticker.CapIQ,"IQ_LASTSALEPRICE",INDEX(MO_SNA_FPStartDate,0,COLUMN()),INDEX(MO_Common_QEndDate,0,COLUMN())),"N/A")</f>
        <v>N/A</v>
      </c>
      <c r="J1136" s="423" t="str">
        <f ca="1">IFERROR(CIQAVG(MO.Ticker.CapIQ,"IQ_LASTSALEPRICE",INDEX(MO_SNA_FPStartDate,0,COLUMN()),INDEX(MO_Common_QEndDate,0,COLUMN())),"N/A")</f>
        <v>N/A</v>
      </c>
      <c r="K1136" s="423" t="str">
        <f ca="1">IFERROR(CIQAVG(MO.Ticker.CapIQ,"IQ_LASTSALEPRICE",INDEX(MO_SNA_FPStartDate,0,COLUMN()),INDEX(MO_Common_QEndDate,0,COLUMN())),"N/A")</f>
        <v>N/A</v>
      </c>
      <c r="L1136" s="423" t="str">
        <f ca="1">IFERROR(CIQAVG(MO.Ticker.CapIQ,"IQ_LASTSALEPRICE",INDEX(MO_SNA_FPStartDate,0,COLUMN()),INDEX(MO_Common_QEndDate,0,COLUMN())),"N/A")</f>
        <v>N/A</v>
      </c>
      <c r="M1136" s="423" t="str">
        <f ca="1">IFERROR(CIQAVG(MO.Ticker.CapIQ,"IQ_LASTSALEPRICE",INDEX(MO_SNA_FPStartDate,0,COLUMN()),INDEX(MO_Common_QEndDate,0,COLUMN())),"N/A")</f>
        <v>N/A</v>
      </c>
      <c r="N1136" s="423" t="str">
        <f ca="1">IFERROR(CIQAVG(MO.Ticker.CapIQ,"IQ_LASTSALEPRICE",INDEX(MO_SNA_FPStartDate,0,COLUMN()),INDEX(MO_Common_QEndDate,0,COLUMN())),"N/A")</f>
        <v>N/A</v>
      </c>
      <c r="O1136" s="423" t="str">
        <f ca="1">IFERROR(CIQAVG(MO.Ticker.CapIQ,"IQ_LASTSALEPRICE",INDEX(MO_SNA_FPStartDate,0,COLUMN()),INDEX(MO_Common_QEndDate,0,COLUMN())),"N/A")</f>
        <v>N/A</v>
      </c>
      <c r="P1136" s="423" t="str">
        <f ca="1">IFERROR(CIQAVG(MO.Ticker.CapIQ,"IQ_LASTSALEPRICE",INDEX(MO_SNA_FPStartDate,0,COLUMN()),INDEX(MO_Common_QEndDate,0,COLUMN())),"N/A")</f>
        <v>N/A</v>
      </c>
      <c r="Q1136" s="423" t="str">
        <f ca="1">IFERROR(CIQAVG(MO.Ticker.CapIQ,"IQ_LASTSALEPRICE",INDEX(MO_SNA_FPStartDate,0,COLUMN()),INDEX(MO_Common_QEndDate,0,COLUMN())),"N/A")</f>
        <v>N/A</v>
      </c>
      <c r="R1136" s="423" t="str">
        <f ca="1">IFERROR(CIQAVG(MO.Ticker.CapIQ,"IQ_LASTSALEPRICE",INDEX(MO_SNA_FPStartDate,0,COLUMN()),INDEX(MO_Common_QEndDate,0,COLUMN())),"N/A")</f>
        <v>N/A</v>
      </c>
      <c r="S1136" s="423" t="str">
        <f ca="1">IFERROR(CIQAVG(MO.Ticker.CapIQ,"IQ_LASTSALEPRICE",INDEX(MO_SNA_FPStartDate,0,COLUMN()),INDEX(MO_Common_QEndDate,0,COLUMN())),"N/A")</f>
        <v>N/A</v>
      </c>
      <c r="T1136" s="423" t="str">
        <f ca="1">IFERROR(CIQAVG(MO.Ticker.CapIQ,"IQ_LASTSALEPRICE",INDEX(MO_SNA_FPStartDate,0,COLUMN()),INDEX(MO_Common_QEndDate,0,COLUMN())),"N/A")</f>
        <v>N/A</v>
      </c>
      <c r="U1136" s="423" t="str">
        <f ca="1">IFERROR(CIQAVG(MO.Ticker.CapIQ,"IQ_LASTSALEPRICE",INDEX(MO_SNA_FPStartDate,0,COLUMN()),INDEX(MO_Common_QEndDate,0,COLUMN())),"N/A")</f>
        <v>N/A</v>
      </c>
      <c r="V1136" s="423" t="str">
        <f ca="1">IFERROR(CIQAVG(MO.Ticker.CapIQ,"IQ_LASTSALEPRICE",INDEX(MO_SNA_FPStartDate,0,COLUMN()),INDEX(MO_Common_QEndDate,0,COLUMN())),"N/A")</f>
        <v>N/A</v>
      </c>
      <c r="W1136" s="423" t="str">
        <f ca="1">IFERROR(CIQAVG(MO.Ticker.CapIQ,"IQ_LASTSALEPRICE",INDEX(MO_SNA_FPStartDate,0,COLUMN()),INDEX(MO_Common_QEndDate,0,COLUMN())),"N/A")</f>
        <v>N/A</v>
      </c>
      <c r="X1136" s="423" t="str">
        <f ca="1">IFERROR(CIQAVG(MO.Ticker.CapIQ,"IQ_LASTSALEPRICE",INDEX(MO_SNA_FPStartDate,0,COLUMN()),INDEX(MO_Common_QEndDate,0,COLUMN())),"N/A")</f>
        <v>N/A</v>
      </c>
      <c r="Y1136" s="423" t="str">
        <f ca="1">IFERROR(CIQAVG(MO.Ticker.CapIQ,"IQ_LASTSALEPRICE",INDEX(MO_SNA_FPStartDate,0,COLUMN()),INDEX(MO_Common_QEndDate,0,COLUMN())),"N/A")</f>
        <v>N/A</v>
      </c>
      <c r="Z1136" s="423" t="str">
        <f ca="1">IFERROR(CIQAVG(MO.Ticker.CapIQ,"IQ_LASTSALEPRICE",INDEX(MO_SNA_FPStartDate,0,COLUMN()),INDEX(MO_Common_QEndDate,0,COLUMN())),"N/A")</f>
        <v>N/A</v>
      </c>
      <c r="AA1136" s="423" t="str">
        <f ca="1">IFERROR(CIQAVG(MO.Ticker.CapIQ,"IQ_LASTSALEPRICE",INDEX(MO_SNA_FPStartDate,0,COLUMN()),INDEX(MO_Common_QEndDate,0,COLUMN())),"N/A")</f>
        <v>N/A</v>
      </c>
      <c r="AB1136" s="423" t="str">
        <f ca="1">IFERROR(CIQAVG(MO.Ticker.CapIQ,"IQ_LASTSALEPRICE",INDEX(MO_SNA_FPStartDate,0,COLUMN()),INDEX(MO_Common_QEndDate,0,COLUMN())),"N/A")</f>
        <v>N/A</v>
      </c>
      <c r="AC1136" s="423" t="str">
        <f ca="1">IFERROR(CIQAVG(MO.Ticker.CapIQ,"IQ_LASTSALEPRICE",INDEX(MO_SNA_FPStartDate,0,COLUMN()),INDEX(MO_Common_QEndDate,0,COLUMN())),"N/A")</f>
        <v>N/A</v>
      </c>
      <c r="AD1136" s="423" t="str">
        <f ca="1">IFERROR(CIQAVG(MO.Ticker.CapIQ,"IQ_LASTSALEPRICE",INDEX(MO_SNA_FPStartDate,0,COLUMN()),INDEX(MO_Common_QEndDate,0,COLUMN())),"N/A")</f>
        <v>N/A</v>
      </c>
      <c r="AE1136" s="423" t="str">
        <f ca="1">IFERROR(CIQAVG(MO.Ticker.CapIQ,"IQ_LASTSALEPRICE",INDEX(MO_SNA_FPStartDate,0,COLUMN()),INDEX(MO_Common_QEndDate,0,COLUMN())),"N/A")</f>
        <v>N/A</v>
      </c>
      <c r="AF1136" s="423" t="str">
        <f ca="1">IFERROR(CIQAVG(MO.Ticker.CapIQ,"IQ_LASTSALEPRICE",INDEX(MO_SNA_FPStartDate,0,COLUMN()),INDEX(MO_Common_QEndDate,0,COLUMN())),"N/A")</f>
        <v>N/A</v>
      </c>
      <c r="AG1136" s="423" t="str">
        <f ca="1">IFERROR(CIQAVG(MO.Ticker.CapIQ,"IQ_LASTSALEPRICE",INDEX(MO_SNA_FPStartDate,0,COLUMN()),INDEX(MO_Common_QEndDate,0,COLUMN())),"N/A")</f>
        <v>N/A</v>
      </c>
      <c r="AH1136" s="423" t="str">
        <f ca="1">IFERROR(CIQAVG(MO.Ticker.CapIQ,"IQ_LASTSALEPRICE",INDEX(MO_SNA_FPStartDate,0,COLUMN()),INDEX(MO_Common_QEndDate,0,COLUMN())),"N/A")</f>
        <v>N/A</v>
      </c>
      <c r="AI1136" s="423" t="str">
        <f ca="1">IFERROR(CIQAVG(MO.Ticker.CapIQ,"IQ_LASTSALEPRICE",INDEX(MO_SNA_FPStartDate,0,COLUMN()),INDEX(MO_Common_QEndDate,0,COLUMN())),"N/A")</f>
        <v>N/A</v>
      </c>
      <c r="AJ1136" s="423" t="str">
        <f ca="1">IFERROR(CIQAVG(MO.Ticker.CapIQ,"IQ_LASTSALEPRICE",INDEX(MO_SNA_FPStartDate,0,COLUMN()),INDEX(MO_Common_QEndDate,0,COLUMN())),"N/A")</f>
        <v>N/A</v>
      </c>
      <c r="AK1136" s="423" t="str">
        <f ca="1">IFERROR(CIQAVG(MO.Ticker.CapIQ,"IQ_LASTSALEPRICE",INDEX(MO_SNA_FPStartDate,0,COLUMN()),INDEX(MO_Common_QEndDate,0,COLUMN())),"N/A")</f>
        <v>N/A</v>
      </c>
      <c r="AL1136" s="423" t="str">
        <f ca="1">IFERROR(CIQAVG(MO.Ticker.CapIQ,"IQ_LASTSALEPRICE",INDEX(MO_SNA_FPStartDate,0,COLUMN()),INDEX(MO_Common_QEndDate,0,COLUMN())),"N/A")</f>
        <v>N/A</v>
      </c>
      <c r="AM1136" s="423" t="str">
        <f ca="1">IFERROR(CIQAVG(MO.Ticker.CapIQ,"IQ_LASTSALEPRICE",INDEX(MO_SNA_FPStartDate,0,COLUMN()),INDEX(MO_Common_QEndDate,0,COLUMN())),"N/A")</f>
        <v>N/A</v>
      </c>
      <c r="AN1136" s="423" t="str">
        <f ca="1">IFERROR(CIQAVG(MO.Ticker.CapIQ,"IQ_LASTSALEPRICE",INDEX(MO_SNA_FPStartDate,0,COLUMN()),INDEX(MO_Common_QEndDate,0,COLUMN())),"N/A")</f>
        <v>N/A</v>
      </c>
      <c r="AO1136" s="423" t="str">
        <f ca="1">IFERROR(CIQAVG(MO.Ticker.CapIQ,"IQ_LASTSALEPRICE",INDEX(MO_SNA_FPStartDate,0,COLUMN()),INDEX(MO_Common_QEndDate,0,COLUMN())),"N/A")</f>
        <v>N/A</v>
      </c>
      <c r="AP1136" s="423" t="str">
        <f ca="1">IFERROR(CIQAVG(MO.Ticker.CapIQ,"IQ_LASTSALEPRICE",INDEX(MO_SNA_FPStartDate,0,COLUMN()),INDEX(MO_Common_QEndDate,0,COLUMN())),"N/A")</f>
        <v>N/A</v>
      </c>
      <c r="AQ1136" s="423" t="str">
        <f ca="1">IFERROR(CIQAVG(MO.Ticker.CapIQ,"IQ_LASTSALEPRICE",INDEX(MO_SNA_FPStartDate,0,COLUMN()),INDEX(MO_Common_QEndDate,0,COLUMN())),"N/A")</f>
        <v>N/A</v>
      </c>
      <c r="AR1136" s="423" t="str">
        <f ca="1">IFERROR(CIQAVG(MO.Ticker.CapIQ,"IQ_LASTSALEPRICE",INDEX(MO_SNA_FPStartDate,0,COLUMN()),INDEX(MO_Common_QEndDate,0,COLUMN())),"N/A")</f>
        <v>N/A</v>
      </c>
      <c r="AS1136" s="423" t="str">
        <f ca="1">IFERROR(CIQAVG(MO.Ticker.CapIQ,"IQ_LASTSALEPRICE",INDEX(MO_SNA_FPStartDate,0,COLUMN()),INDEX(MO_Common_QEndDate,0,COLUMN())),"N/A")</f>
        <v>N/A</v>
      </c>
      <c r="AT1136" s="423" t="str">
        <f ca="1">IFERROR(CIQAVG(MO.Ticker.CapIQ,"IQ_LASTSALEPRICE",INDEX(MO_SNA_FPStartDate,0,COLUMN()),INDEX(MO_Common_QEndDate,0,COLUMN())),"N/A")</f>
        <v>N/A</v>
      </c>
      <c r="AU1136" s="423" t="str">
        <f ca="1">IFERROR(CIQAVG(MO.Ticker.CapIQ,"IQ_LASTSALEPRICE",INDEX(MO_SNA_FPStartDate,0,COLUMN()),INDEX(MO_Common_QEndDate,0,COLUMN())),"N/A")</f>
        <v>N/A</v>
      </c>
      <c r="AV1136" s="423" t="str">
        <f ca="1">IFERROR(CIQAVG(MO.Ticker.CapIQ,"IQ_LASTSALEPRICE",INDEX(MO_SNA_FPStartDate,0,COLUMN()),INDEX(MO_Common_QEndDate,0,COLUMN())),"N/A")</f>
        <v>N/A</v>
      </c>
      <c r="AW1136" s="453" t="str">
        <f ca="1">IFERROR(CIQAVG(MO.Ticker.CapIQ,"IQ_LASTSALEPRICE",INDEX(MO_SNA_FPStartDate,0,COLUMN()),INDEX(MO_Common_QEndDate,0,COLUMN())),"N/A")</f>
        <v>N/A</v>
      </c>
      <c r="AX1136" s="423" t="str">
        <f ca="1">IFERROR(CIQAVG(MO.Ticker.CapIQ,"IQ_LASTSALEPRICE",INDEX(MO_SNA_FPStartDate,0,COLUMN()),INDEX(MO_Common_QEndDate,0,COLUMN())),"N/A")</f>
        <v>N/A</v>
      </c>
      <c r="AY1136" s="423" t="str">
        <f ca="1">IFERROR(CIQAVG(MO.Ticker.CapIQ,"IQ_LASTSALEPRICE",INDEX(MO_SNA_FPStartDate,0,COLUMN()),INDEX(MO_Common_QEndDate,0,COLUMN())),"N/A")</f>
        <v>N/A</v>
      </c>
      <c r="AZ1136" s="423" t="str">
        <f ca="1">IFERROR(CIQAVG(MO.Ticker.CapIQ,"IQ_LASTSALEPRICE",INDEX(MO_SNA_FPStartDate,0,COLUMN()),INDEX(MO_Common_QEndDate,0,COLUMN())),"N/A")</f>
        <v>N/A</v>
      </c>
      <c r="BA1136" s="423" t="str">
        <f ca="1">IFERROR(CIQAVG(MO.Ticker.CapIQ,"IQ_LASTSALEPRICE",INDEX(MO_SNA_FPStartDate,0,COLUMN()),INDEX(MO_Common_QEndDate,0,COLUMN())),"N/A")</f>
        <v>N/A</v>
      </c>
      <c r="BB1136" s="423" t="str">
        <f ca="1">IFERROR(CIQAVG(MO.Ticker.CapIQ,"IQ_LASTSALEPRICE",INDEX(MO_SNA_FPStartDate,0,COLUMN()),INDEX(MO_Common_QEndDate,0,COLUMN())),"N/A")</f>
        <v>N/A</v>
      </c>
      <c r="BC1136" s="423" t="str">
        <f ca="1">IFERROR(CIQAVG(MO.Ticker.CapIQ,"IQ_LASTSALEPRICE",INDEX(MO_SNA_FPStartDate,0,COLUMN()),INDEX(MO_Common_QEndDate,0,COLUMN())),"N/A")</f>
        <v>N/A</v>
      </c>
      <c r="BD1136" s="423" t="str">
        <f ca="1">IFERROR(CIQAVG(MO.Ticker.CapIQ,"IQ_LASTSALEPRICE",INDEX(MO_SNA_FPStartDate,0,COLUMN()),INDEX(MO_Common_QEndDate,0,COLUMN())),"N/A")</f>
        <v>N/A</v>
      </c>
      <c r="BE1136" s="423" t="str">
        <f ca="1">IFERROR(CIQAVG(MO.Ticker.CapIQ,"IQ_LASTSALEPRICE",INDEX(MO_SNA_FPStartDate,0,COLUMN()),INDEX(MO_Common_QEndDate,0,COLUMN())),"N/A")</f>
        <v>N/A</v>
      </c>
      <c r="BF1136" s="423" t="str">
        <f ca="1">IFERROR(CIQAVG(MO.Ticker.CapIQ,"IQ_LASTSALEPRICE",INDEX(MO_SNA_FPStartDate,0,COLUMN()),INDEX(MO_Common_QEndDate,0,COLUMN())),"N/A")</f>
        <v>N/A</v>
      </c>
      <c r="BG1136" s="425" t="str">
        <f ca="1">IFERROR(CIQAVG(MO.Ticker.CapIQ,"IQ_LASTSALEPRICE",INDEX(MO_SNA_FPStartDate,0,COLUMN()),INDEX(MO_Common_QEndDate,0,COLUMN())),"N/A")</f>
        <v>N/A</v>
      </c>
      <c r="BH1136" s="426"/>
    </row>
    <row r="1137" spans="1:60" s="427" customFormat="1" hidden="1" outlineLevel="1" x14ac:dyDescent="0.25">
      <c r="A1137" s="428" t="s">
        <v>406</v>
      </c>
      <c r="B1137" s="423"/>
      <c r="C1137" s="424" t="str">
        <f ca="1">IFERROR(FDS(MO.Ticker.FactSet,"P_PRICE_AVG"&amp;"("&amp;INDEX(MO_SNA_FPStartDate,0,COLUMN())&amp;","&amp;INDEX(MO_Common_QEndDate,0,COLUMN())&amp;",,,,""PRICE"",""CLOSE"")"),"N/A")</f>
        <v>N/A</v>
      </c>
      <c r="D1137" s="424" t="str">
        <f ca="1">IFERROR(FDS(MO.Ticker.FactSet,"P_PRICE_AVG"&amp;"("&amp;INDEX(MO_SNA_FPStartDate,0,COLUMN())&amp;","&amp;INDEX(MO_Common_QEndDate,0,COLUMN())&amp;",,,,""PRICE"",""CLOSE"")"),"N/A")</f>
        <v>N/A</v>
      </c>
      <c r="E1137" s="423" t="str">
        <f ca="1">IFERROR(FDS(MO.Ticker.FactSet,"P_PRICE_AVG"&amp;"("&amp;INDEX(MO_SNA_FPStartDate,0,COLUMN())&amp;","&amp;INDEX(MO_Common_QEndDate,0,COLUMN())&amp;",,,,""PRICE"",""CLOSE"")"),"N/A")</f>
        <v>N/A</v>
      </c>
      <c r="F1137" s="423" t="str">
        <f ca="1">IFERROR(FDS(MO.Ticker.FactSet,"P_PRICE_AVG"&amp;"("&amp;INDEX(MO_SNA_FPStartDate,0,COLUMN())&amp;","&amp;INDEX(MO_Common_QEndDate,0,COLUMN())&amp;",,,,""PRICE"",""CLOSE"")"),"N/A")</f>
        <v>N/A</v>
      </c>
      <c r="G1137" s="423" t="str">
        <f ca="1">IFERROR(FDS(MO.Ticker.FactSet,"P_PRICE_AVG"&amp;"("&amp;INDEX(MO_SNA_FPStartDate,0,COLUMN())&amp;","&amp;INDEX(MO_Common_QEndDate,0,COLUMN())&amp;",,,,""PRICE"",""CLOSE"")"),"N/A")</f>
        <v>N/A</v>
      </c>
      <c r="H1137" s="423" t="str">
        <f ca="1">IFERROR(FDS(MO.Ticker.FactSet,"P_PRICE_AVG"&amp;"("&amp;INDEX(MO_SNA_FPStartDate,0,COLUMN())&amp;","&amp;INDEX(MO_Common_QEndDate,0,COLUMN())&amp;",,,,""PRICE"",""CLOSE"")"),"N/A")</f>
        <v>N/A</v>
      </c>
      <c r="I1137" s="423" t="str">
        <f ca="1">IFERROR(FDS(MO.Ticker.FactSet,"P_PRICE_AVG"&amp;"("&amp;INDEX(MO_SNA_FPStartDate,0,COLUMN())&amp;","&amp;INDEX(MO_Common_QEndDate,0,COLUMN())&amp;",,,,""PRICE"",""CLOSE"")"),"N/A")</f>
        <v>N/A</v>
      </c>
      <c r="J1137" s="423" t="str">
        <f ca="1">IFERROR(FDS(MO.Ticker.FactSet,"P_PRICE_AVG"&amp;"("&amp;INDEX(MO_SNA_FPStartDate,0,COLUMN())&amp;","&amp;INDEX(MO_Common_QEndDate,0,COLUMN())&amp;",,,,""PRICE"",""CLOSE"")"),"N/A")</f>
        <v>N/A</v>
      </c>
      <c r="K1137" s="423" t="str">
        <f ca="1">IFERROR(FDS(MO.Ticker.FactSet,"P_PRICE_AVG"&amp;"("&amp;INDEX(MO_SNA_FPStartDate,0,COLUMN())&amp;","&amp;INDEX(MO_Common_QEndDate,0,COLUMN())&amp;",,,,""PRICE"",""CLOSE"")"),"N/A")</f>
        <v>N/A</v>
      </c>
      <c r="L1137" s="423" t="str">
        <f ca="1">IFERROR(FDS(MO.Ticker.FactSet,"P_PRICE_AVG"&amp;"("&amp;INDEX(MO_SNA_FPStartDate,0,COLUMN())&amp;","&amp;INDEX(MO_Common_QEndDate,0,COLUMN())&amp;",,,,""PRICE"",""CLOSE"")"),"N/A")</f>
        <v>N/A</v>
      </c>
      <c r="M1137" s="423" t="str">
        <f ca="1">IFERROR(FDS(MO.Ticker.FactSet,"P_PRICE_AVG"&amp;"("&amp;INDEX(MO_SNA_FPStartDate,0,COLUMN())&amp;","&amp;INDEX(MO_Common_QEndDate,0,COLUMN())&amp;",,,,""PRICE"",""CLOSE"")"),"N/A")</f>
        <v>N/A</v>
      </c>
      <c r="N1137" s="423" t="str">
        <f ca="1">IFERROR(FDS(MO.Ticker.FactSet,"P_PRICE_AVG"&amp;"("&amp;INDEX(MO_SNA_FPStartDate,0,COLUMN())&amp;","&amp;INDEX(MO_Common_QEndDate,0,COLUMN())&amp;",,,,""PRICE"",""CLOSE"")"),"N/A")</f>
        <v>N/A</v>
      </c>
      <c r="O1137" s="423" t="str">
        <f ca="1">IFERROR(FDS(MO.Ticker.FactSet,"P_PRICE_AVG"&amp;"("&amp;INDEX(MO_SNA_FPStartDate,0,COLUMN())&amp;","&amp;INDEX(MO_Common_QEndDate,0,COLUMN())&amp;",,,,""PRICE"",""CLOSE"")"),"N/A")</f>
        <v>N/A</v>
      </c>
      <c r="P1137" s="423" t="str">
        <f ca="1">IFERROR(FDS(MO.Ticker.FactSet,"P_PRICE_AVG"&amp;"("&amp;INDEX(MO_SNA_FPStartDate,0,COLUMN())&amp;","&amp;INDEX(MO_Common_QEndDate,0,COLUMN())&amp;",,,,""PRICE"",""CLOSE"")"),"N/A")</f>
        <v>N/A</v>
      </c>
      <c r="Q1137" s="423" t="str">
        <f ca="1">IFERROR(FDS(MO.Ticker.FactSet,"P_PRICE_AVG"&amp;"("&amp;INDEX(MO_SNA_FPStartDate,0,COLUMN())&amp;","&amp;INDEX(MO_Common_QEndDate,0,COLUMN())&amp;",,,,""PRICE"",""CLOSE"")"),"N/A")</f>
        <v>N/A</v>
      </c>
      <c r="R1137" s="423" t="str">
        <f ca="1">IFERROR(FDS(MO.Ticker.FactSet,"P_PRICE_AVG"&amp;"("&amp;INDEX(MO_SNA_FPStartDate,0,COLUMN())&amp;","&amp;INDEX(MO_Common_QEndDate,0,COLUMN())&amp;",,,,""PRICE"",""CLOSE"")"),"N/A")</f>
        <v>N/A</v>
      </c>
      <c r="S1137" s="423" t="str">
        <f ca="1">IFERROR(FDS(MO.Ticker.FactSet,"P_PRICE_AVG"&amp;"("&amp;INDEX(MO_SNA_FPStartDate,0,COLUMN())&amp;","&amp;INDEX(MO_Common_QEndDate,0,COLUMN())&amp;",,,,""PRICE"",""CLOSE"")"),"N/A")</f>
        <v>N/A</v>
      </c>
      <c r="T1137" s="423" t="str">
        <f ca="1">IFERROR(FDS(MO.Ticker.FactSet,"P_PRICE_AVG"&amp;"("&amp;INDEX(MO_SNA_FPStartDate,0,COLUMN())&amp;","&amp;INDEX(MO_Common_QEndDate,0,COLUMN())&amp;",,,,""PRICE"",""CLOSE"")"),"N/A")</f>
        <v>N/A</v>
      </c>
      <c r="U1137" s="423" t="str">
        <f ca="1">IFERROR(FDS(MO.Ticker.FactSet,"P_PRICE_AVG"&amp;"("&amp;INDEX(MO_SNA_FPStartDate,0,COLUMN())&amp;","&amp;INDEX(MO_Common_QEndDate,0,COLUMN())&amp;",,,,""PRICE"",""CLOSE"")"),"N/A")</f>
        <v>N/A</v>
      </c>
      <c r="V1137" s="423" t="str">
        <f ca="1">IFERROR(FDS(MO.Ticker.FactSet,"P_PRICE_AVG"&amp;"("&amp;INDEX(MO_SNA_FPStartDate,0,COLUMN())&amp;","&amp;INDEX(MO_Common_QEndDate,0,COLUMN())&amp;",,,,""PRICE"",""CLOSE"")"),"N/A")</f>
        <v>N/A</v>
      </c>
      <c r="W1137" s="423" t="str">
        <f ca="1">IFERROR(FDS(MO.Ticker.FactSet,"P_PRICE_AVG"&amp;"("&amp;INDEX(MO_SNA_FPStartDate,0,COLUMN())&amp;","&amp;INDEX(MO_Common_QEndDate,0,COLUMN())&amp;",,,,""PRICE"",""CLOSE"")"),"N/A")</f>
        <v>N/A</v>
      </c>
      <c r="X1137" s="423" t="str">
        <f ca="1">IFERROR(FDS(MO.Ticker.FactSet,"P_PRICE_AVG"&amp;"("&amp;INDEX(MO_SNA_FPStartDate,0,COLUMN())&amp;","&amp;INDEX(MO_Common_QEndDate,0,COLUMN())&amp;",,,,""PRICE"",""CLOSE"")"),"N/A")</f>
        <v>N/A</v>
      </c>
      <c r="Y1137" s="423" t="str">
        <f ca="1">IFERROR(FDS(MO.Ticker.FactSet,"P_PRICE_AVG"&amp;"("&amp;INDEX(MO_SNA_FPStartDate,0,COLUMN())&amp;","&amp;INDEX(MO_Common_QEndDate,0,COLUMN())&amp;",,,,""PRICE"",""CLOSE"")"),"N/A")</f>
        <v>N/A</v>
      </c>
      <c r="Z1137" s="423" t="str">
        <f ca="1">IFERROR(FDS(MO.Ticker.FactSet,"P_PRICE_AVG"&amp;"("&amp;INDEX(MO_SNA_FPStartDate,0,COLUMN())&amp;","&amp;INDEX(MO_Common_QEndDate,0,COLUMN())&amp;",,,,""PRICE"",""CLOSE"")"),"N/A")</f>
        <v>N/A</v>
      </c>
      <c r="AA1137" s="423" t="str">
        <f ca="1">IFERROR(FDS(MO.Ticker.FactSet,"P_PRICE_AVG"&amp;"("&amp;INDEX(MO_SNA_FPStartDate,0,COLUMN())&amp;","&amp;INDEX(MO_Common_QEndDate,0,COLUMN())&amp;",,,,""PRICE"",""CLOSE"")"),"N/A")</f>
        <v>N/A</v>
      </c>
      <c r="AB1137" s="423" t="str">
        <f ca="1">IFERROR(FDS(MO.Ticker.FactSet,"P_PRICE_AVG"&amp;"("&amp;INDEX(MO_SNA_FPStartDate,0,COLUMN())&amp;","&amp;INDEX(MO_Common_QEndDate,0,COLUMN())&amp;",,,,""PRICE"",""CLOSE"")"),"N/A")</f>
        <v>N/A</v>
      </c>
      <c r="AC1137" s="423" t="str">
        <f ca="1">IFERROR(FDS(MO.Ticker.FactSet,"P_PRICE_AVG"&amp;"("&amp;INDEX(MO_SNA_FPStartDate,0,COLUMN())&amp;","&amp;INDEX(MO_Common_QEndDate,0,COLUMN())&amp;",,,,""PRICE"",""CLOSE"")"),"N/A")</f>
        <v>N/A</v>
      </c>
      <c r="AD1137" s="423" t="str">
        <f ca="1">IFERROR(FDS(MO.Ticker.FactSet,"P_PRICE_AVG"&amp;"("&amp;INDEX(MO_SNA_FPStartDate,0,COLUMN())&amp;","&amp;INDEX(MO_Common_QEndDate,0,COLUMN())&amp;",,,,""PRICE"",""CLOSE"")"),"N/A")</f>
        <v>N/A</v>
      </c>
      <c r="AE1137" s="423" t="str">
        <f ca="1">IFERROR(FDS(MO.Ticker.FactSet,"P_PRICE_AVG"&amp;"("&amp;INDEX(MO_SNA_FPStartDate,0,COLUMN())&amp;","&amp;INDEX(MO_Common_QEndDate,0,COLUMN())&amp;",,,,""PRICE"",""CLOSE"")"),"N/A")</f>
        <v>N/A</v>
      </c>
      <c r="AF1137" s="423" t="str">
        <f ca="1">IFERROR(FDS(MO.Ticker.FactSet,"P_PRICE_AVG"&amp;"("&amp;INDEX(MO_SNA_FPStartDate,0,COLUMN())&amp;","&amp;INDEX(MO_Common_QEndDate,0,COLUMN())&amp;",,,,""PRICE"",""CLOSE"")"),"N/A")</f>
        <v>N/A</v>
      </c>
      <c r="AG1137" s="423" t="str">
        <f ca="1">IFERROR(FDS(MO.Ticker.FactSet,"P_PRICE_AVG"&amp;"("&amp;INDEX(MO_SNA_FPStartDate,0,COLUMN())&amp;","&amp;INDEX(MO_Common_QEndDate,0,COLUMN())&amp;",,,,""PRICE"",""CLOSE"")"),"N/A")</f>
        <v>N/A</v>
      </c>
      <c r="AH1137" s="423" t="str">
        <f ca="1">IFERROR(FDS(MO.Ticker.FactSet,"P_PRICE_AVG"&amp;"("&amp;INDEX(MO_SNA_FPStartDate,0,COLUMN())&amp;","&amp;INDEX(MO_Common_QEndDate,0,COLUMN())&amp;",,,,""PRICE"",""CLOSE"")"),"N/A")</f>
        <v>N/A</v>
      </c>
      <c r="AI1137" s="423" t="str">
        <f ca="1">IFERROR(FDS(MO.Ticker.FactSet,"P_PRICE_AVG"&amp;"("&amp;INDEX(MO_SNA_FPStartDate,0,COLUMN())&amp;","&amp;INDEX(MO_Common_QEndDate,0,COLUMN())&amp;",,,,""PRICE"",""CLOSE"")"),"N/A")</f>
        <v>N/A</v>
      </c>
      <c r="AJ1137" s="423" t="str">
        <f ca="1">IFERROR(FDS(MO.Ticker.FactSet,"P_PRICE_AVG"&amp;"("&amp;INDEX(MO_SNA_FPStartDate,0,COLUMN())&amp;","&amp;INDEX(MO_Common_QEndDate,0,COLUMN())&amp;",,,,""PRICE"",""CLOSE"")"),"N/A")</f>
        <v>N/A</v>
      </c>
      <c r="AK1137" s="423" t="str">
        <f ca="1">IFERROR(FDS(MO.Ticker.FactSet,"P_PRICE_AVG"&amp;"("&amp;INDEX(MO_SNA_FPStartDate,0,COLUMN())&amp;","&amp;INDEX(MO_Common_QEndDate,0,COLUMN())&amp;",,,,""PRICE"",""CLOSE"")"),"N/A")</f>
        <v>N/A</v>
      </c>
      <c r="AL1137" s="423" t="str">
        <f ca="1">IFERROR(FDS(MO.Ticker.FactSet,"P_PRICE_AVG"&amp;"("&amp;INDEX(MO_SNA_FPStartDate,0,COLUMN())&amp;","&amp;INDEX(MO_Common_QEndDate,0,COLUMN())&amp;",,,,""PRICE"",""CLOSE"")"),"N/A")</f>
        <v>N/A</v>
      </c>
      <c r="AM1137" s="423" t="str">
        <f ca="1">IFERROR(FDS(MO.Ticker.FactSet,"P_PRICE_AVG"&amp;"("&amp;INDEX(MO_SNA_FPStartDate,0,COLUMN())&amp;","&amp;INDEX(MO_Common_QEndDate,0,COLUMN())&amp;",,,,""PRICE"",""CLOSE"")"),"N/A")</f>
        <v>N/A</v>
      </c>
      <c r="AN1137" s="423" t="str">
        <f ca="1">IFERROR(FDS(MO.Ticker.FactSet,"P_PRICE_AVG"&amp;"("&amp;INDEX(MO_SNA_FPStartDate,0,COLUMN())&amp;","&amp;INDEX(MO_Common_QEndDate,0,COLUMN())&amp;",,,,""PRICE"",""CLOSE"")"),"N/A")</f>
        <v>N/A</v>
      </c>
      <c r="AO1137" s="423" t="str">
        <f ca="1">IFERROR(FDS(MO.Ticker.FactSet,"P_PRICE_AVG"&amp;"("&amp;INDEX(MO_SNA_FPStartDate,0,COLUMN())&amp;","&amp;INDEX(MO_Common_QEndDate,0,COLUMN())&amp;",,,,""PRICE"",""CLOSE"")"),"N/A")</f>
        <v>N/A</v>
      </c>
      <c r="AP1137" s="423" t="str">
        <f ca="1">IFERROR(FDS(MO.Ticker.FactSet,"P_PRICE_AVG"&amp;"("&amp;INDEX(MO_SNA_FPStartDate,0,COLUMN())&amp;","&amp;INDEX(MO_Common_QEndDate,0,COLUMN())&amp;",,,,""PRICE"",""CLOSE"")"),"N/A")</f>
        <v>N/A</v>
      </c>
      <c r="AQ1137" s="423" t="str">
        <f ca="1">IFERROR(FDS(MO.Ticker.FactSet,"P_PRICE_AVG"&amp;"("&amp;INDEX(MO_SNA_FPStartDate,0,COLUMN())&amp;","&amp;INDEX(MO_Common_QEndDate,0,COLUMN())&amp;",,,,""PRICE"",""CLOSE"")"),"N/A")</f>
        <v>N/A</v>
      </c>
      <c r="AR1137" s="423" t="str">
        <f ca="1">IFERROR(FDS(MO.Ticker.FactSet,"P_PRICE_AVG"&amp;"("&amp;INDEX(MO_SNA_FPStartDate,0,COLUMN())&amp;","&amp;INDEX(MO_Common_QEndDate,0,COLUMN())&amp;",,,,""PRICE"",""CLOSE"")"),"N/A")</f>
        <v>N/A</v>
      </c>
      <c r="AS1137" s="423" t="str">
        <f ca="1">IFERROR(FDS(MO.Ticker.FactSet,"P_PRICE_AVG"&amp;"("&amp;INDEX(MO_SNA_FPStartDate,0,COLUMN())&amp;","&amp;INDEX(MO_Common_QEndDate,0,COLUMN())&amp;",,,,""PRICE"",""CLOSE"")"),"N/A")</f>
        <v>N/A</v>
      </c>
      <c r="AT1137" s="423" t="str">
        <f ca="1">IFERROR(FDS(MO.Ticker.FactSet,"P_PRICE_AVG"&amp;"("&amp;INDEX(MO_SNA_FPStartDate,0,COLUMN())&amp;","&amp;INDEX(MO_Common_QEndDate,0,COLUMN())&amp;",,,,""PRICE"",""CLOSE"")"),"N/A")</f>
        <v>N/A</v>
      </c>
      <c r="AU1137" s="423" t="str">
        <f ca="1">IFERROR(FDS(MO.Ticker.FactSet,"P_PRICE_AVG"&amp;"("&amp;INDEX(MO_SNA_FPStartDate,0,COLUMN())&amp;","&amp;INDEX(MO_Common_QEndDate,0,COLUMN())&amp;",,,,""PRICE"",""CLOSE"")"),"N/A")</f>
        <v>N/A</v>
      </c>
      <c r="AV1137" s="423" t="str">
        <f ca="1">IFERROR(FDS(MO.Ticker.FactSet,"P_PRICE_AVG"&amp;"("&amp;INDEX(MO_SNA_FPStartDate,0,COLUMN())&amp;","&amp;INDEX(MO_Common_QEndDate,0,COLUMN())&amp;",,,,""PRICE"",""CLOSE"")"),"N/A")</f>
        <v>N/A</v>
      </c>
      <c r="AW1137" s="453" t="str">
        <f ca="1">IFERROR(FDS(MO.Ticker.FactSet,"P_PRICE_AVG"&amp;"("&amp;INDEX(MO_SNA_FPStartDate,0,COLUMN())&amp;","&amp;INDEX(MO_Common_QEndDate,0,COLUMN())&amp;",,,,""PRICE"",""CLOSE"")"),"N/A")</f>
        <v>N/A</v>
      </c>
      <c r="AX1137" s="423" t="str">
        <f ca="1">IFERROR(FDS(MO.Ticker.FactSet,"P_PRICE_AVG"&amp;"("&amp;INDEX(MO_SNA_FPStartDate,0,COLUMN())&amp;","&amp;INDEX(MO_Common_QEndDate,0,COLUMN())&amp;",,,,""PRICE"",""CLOSE"")"),"N/A")</f>
        <v>N/A</v>
      </c>
      <c r="AY1137" s="423" t="str">
        <f ca="1">IFERROR(FDS(MO.Ticker.FactSet,"P_PRICE_AVG"&amp;"("&amp;INDEX(MO_SNA_FPStartDate,0,COLUMN())&amp;","&amp;INDEX(MO_Common_QEndDate,0,COLUMN())&amp;",,,,""PRICE"",""CLOSE"")"),"N/A")</f>
        <v>N/A</v>
      </c>
      <c r="AZ1137" s="423" t="str">
        <f ca="1">IFERROR(FDS(MO.Ticker.FactSet,"P_PRICE_AVG"&amp;"("&amp;INDEX(MO_SNA_FPStartDate,0,COLUMN())&amp;","&amp;INDEX(MO_Common_QEndDate,0,COLUMN())&amp;",,,,""PRICE"",""CLOSE"")"),"N/A")</f>
        <v>N/A</v>
      </c>
      <c r="BA1137" s="423" t="str">
        <f ca="1">IFERROR(FDS(MO.Ticker.FactSet,"P_PRICE_AVG"&amp;"("&amp;INDEX(MO_SNA_FPStartDate,0,COLUMN())&amp;","&amp;INDEX(MO_Common_QEndDate,0,COLUMN())&amp;",,,,""PRICE"",""CLOSE"")"),"N/A")</f>
        <v>N/A</v>
      </c>
      <c r="BB1137" s="423" t="str">
        <f ca="1">IFERROR(FDS(MO.Ticker.FactSet,"P_PRICE_AVG"&amp;"("&amp;INDEX(MO_SNA_FPStartDate,0,COLUMN())&amp;","&amp;INDEX(MO_Common_QEndDate,0,COLUMN())&amp;",,,,""PRICE"",""CLOSE"")"),"N/A")</f>
        <v>N/A</v>
      </c>
      <c r="BC1137" s="423" t="str">
        <f ca="1">IFERROR(FDS(MO.Ticker.FactSet,"P_PRICE_AVG"&amp;"("&amp;INDEX(MO_SNA_FPStartDate,0,COLUMN())&amp;","&amp;INDEX(MO_Common_QEndDate,0,COLUMN())&amp;",,,,""PRICE"",""CLOSE"")"),"N/A")</f>
        <v>N/A</v>
      </c>
      <c r="BD1137" s="423" t="str">
        <f ca="1">IFERROR(FDS(MO.Ticker.FactSet,"P_PRICE_AVG"&amp;"("&amp;INDEX(MO_SNA_FPStartDate,0,COLUMN())&amp;","&amp;INDEX(MO_Common_QEndDate,0,COLUMN())&amp;",,,,""PRICE"",""CLOSE"")"),"N/A")</f>
        <v>N/A</v>
      </c>
      <c r="BE1137" s="423" t="str">
        <f ca="1">IFERROR(FDS(MO.Ticker.FactSet,"P_PRICE_AVG"&amp;"("&amp;INDEX(MO_SNA_FPStartDate,0,COLUMN())&amp;","&amp;INDEX(MO_Common_QEndDate,0,COLUMN())&amp;",,,,""PRICE"",""CLOSE"")"),"N/A")</f>
        <v>N/A</v>
      </c>
      <c r="BF1137" s="423" t="str">
        <f ca="1">IFERROR(FDS(MO.Ticker.FactSet,"P_PRICE_AVG"&amp;"("&amp;INDEX(MO_SNA_FPStartDate,0,COLUMN())&amp;","&amp;INDEX(MO_Common_QEndDate,0,COLUMN())&amp;",,,,""PRICE"",""CLOSE"")"),"N/A")</f>
        <v>N/A</v>
      </c>
      <c r="BG1137" s="425" t="str">
        <f ca="1">IFERROR(FDS(MO.Ticker.FactSet,"P_PRICE_AVG"&amp;"("&amp;INDEX(MO_SNA_FPStartDate,0,COLUMN())&amp;","&amp;INDEX(MO_Common_QEndDate,0,COLUMN())&amp;",,,,""PRICE"",""CLOSE"")"),"N/A")</f>
        <v>N/A</v>
      </c>
      <c r="BH1137" s="426"/>
    </row>
    <row r="1138" spans="1:60" s="427" customFormat="1" hidden="1" outlineLevel="1" x14ac:dyDescent="0.25">
      <c r="A1138" s="428" t="s">
        <v>733</v>
      </c>
      <c r="B1138" s="423"/>
      <c r="C1138" s="424" t="str">
        <f>IFERROR(_xll.TR(MO.Ticker.Thomson,"AVG(TR.Priceclose)","sdate:#1 edate:#2",,INDEX(MO_SNA_FPStartDate,0,COLUMN()),INDEX(MO_Common_QEndDate,0,COLUMN())),"N/A")</f>
        <v>Retrieving...</v>
      </c>
      <c r="D1138" s="424" t="str">
        <f>IFERROR(_xll.TR(MO.Ticker.Thomson,"AVG(TR.Priceclose)","sdate:#1 edate:#2",,INDEX(MO_SNA_FPStartDate,0,COLUMN()),INDEX(MO_Common_QEndDate,0,COLUMN())),"N/A")</f>
        <v>Retrieving...</v>
      </c>
      <c r="E1138" s="423" t="str">
        <f>IFERROR(_xll.TR(MO.Ticker.Thomson,"AVG(TR.Priceclose)","sdate:#1 edate:#2",,INDEX(MO_SNA_FPStartDate,0,COLUMN()),INDEX(MO_Common_QEndDate,0,COLUMN())),"N/A")</f>
        <v>Retrieving...</v>
      </c>
      <c r="F1138" s="423" t="str">
        <f>IFERROR(_xll.TR(MO.Ticker.Thomson,"AVG(TR.Priceclose)","sdate:#1 edate:#2",,INDEX(MO_SNA_FPStartDate,0,COLUMN()),INDEX(MO_Common_QEndDate,0,COLUMN())),"N/A")</f>
        <v>Retrieving...</v>
      </c>
      <c r="G1138" s="423" t="str">
        <f>IFERROR(_xll.TR(MO.Ticker.Thomson,"AVG(TR.Priceclose)","sdate:#1 edate:#2",,INDEX(MO_SNA_FPStartDate,0,COLUMN()),INDEX(MO_Common_QEndDate,0,COLUMN())),"N/A")</f>
        <v>Retrieving...</v>
      </c>
      <c r="H1138" s="423" t="str">
        <f>IFERROR(_xll.TR(MO.Ticker.Thomson,"AVG(TR.Priceclose)","sdate:#1 edate:#2",,INDEX(MO_SNA_FPStartDate,0,COLUMN()),INDEX(MO_Common_QEndDate,0,COLUMN())),"N/A")</f>
        <v>Retrieving...</v>
      </c>
      <c r="I1138" s="423" t="str">
        <f>IFERROR(_xll.TR(MO.Ticker.Thomson,"AVG(TR.Priceclose)","sdate:#1 edate:#2",,INDEX(MO_SNA_FPStartDate,0,COLUMN()),INDEX(MO_Common_QEndDate,0,COLUMN())),"N/A")</f>
        <v>Retrieving...</v>
      </c>
      <c r="J1138" s="423" t="str">
        <f>IFERROR(_xll.TR(MO.Ticker.Thomson,"AVG(TR.Priceclose)","sdate:#1 edate:#2",,INDEX(MO_SNA_FPStartDate,0,COLUMN()),INDEX(MO_Common_QEndDate,0,COLUMN())),"N/A")</f>
        <v>Retrieving...</v>
      </c>
      <c r="K1138" s="423" t="str">
        <f>IFERROR(_xll.TR(MO.Ticker.Thomson,"AVG(TR.Priceclose)","sdate:#1 edate:#2",,INDEX(MO_SNA_FPStartDate,0,COLUMN()),INDEX(MO_Common_QEndDate,0,COLUMN())),"N/A")</f>
        <v>Retrieving...</v>
      </c>
      <c r="L1138" s="423" t="str">
        <f>IFERROR(_xll.TR(MO.Ticker.Thomson,"AVG(TR.Priceclose)","sdate:#1 edate:#2",,INDEX(MO_SNA_FPStartDate,0,COLUMN()),INDEX(MO_Common_QEndDate,0,COLUMN())),"N/A")</f>
        <v>Retrieving...</v>
      </c>
      <c r="M1138" s="423" t="str">
        <f>IFERROR(_xll.TR(MO.Ticker.Thomson,"AVG(TR.Priceclose)","sdate:#1 edate:#2",,INDEX(MO_SNA_FPStartDate,0,COLUMN()),INDEX(MO_Common_QEndDate,0,COLUMN())),"N/A")</f>
        <v>Retrieving...</v>
      </c>
      <c r="N1138" s="423" t="str">
        <f>IFERROR(_xll.TR(MO.Ticker.Thomson,"AVG(TR.Priceclose)","sdate:#1 edate:#2",,INDEX(MO_SNA_FPStartDate,0,COLUMN()),INDEX(MO_Common_QEndDate,0,COLUMN())),"N/A")</f>
        <v>Retrieving...</v>
      </c>
      <c r="O1138" s="423" t="str">
        <f>IFERROR(_xll.TR(MO.Ticker.Thomson,"AVG(TR.Priceclose)","sdate:#1 edate:#2",,INDEX(MO_SNA_FPStartDate,0,COLUMN()),INDEX(MO_Common_QEndDate,0,COLUMN())),"N/A")</f>
        <v>Retrieving...</v>
      </c>
      <c r="P1138" s="423" t="str">
        <f>IFERROR(_xll.TR(MO.Ticker.Thomson,"AVG(TR.Priceclose)","sdate:#1 edate:#2",,INDEX(MO_SNA_FPStartDate,0,COLUMN()),INDEX(MO_Common_QEndDate,0,COLUMN())),"N/A")</f>
        <v>Retrieving...</v>
      </c>
      <c r="Q1138" s="423" t="str">
        <f>IFERROR(_xll.TR(MO.Ticker.Thomson,"AVG(TR.Priceclose)","sdate:#1 edate:#2",,INDEX(MO_SNA_FPStartDate,0,COLUMN()),INDEX(MO_Common_QEndDate,0,COLUMN())),"N/A")</f>
        <v>Retrieving...</v>
      </c>
      <c r="R1138" s="423" t="str">
        <f>IFERROR(_xll.TR(MO.Ticker.Thomson,"AVG(TR.Priceclose)","sdate:#1 edate:#2",,INDEX(MO_SNA_FPStartDate,0,COLUMN()),INDEX(MO_Common_QEndDate,0,COLUMN())),"N/A")</f>
        <v>Retrieving...</v>
      </c>
      <c r="S1138" s="423" t="str">
        <f>IFERROR(_xll.TR(MO.Ticker.Thomson,"AVG(TR.Priceclose)","sdate:#1 edate:#2",,INDEX(MO_SNA_FPStartDate,0,COLUMN()),INDEX(MO_Common_QEndDate,0,COLUMN())),"N/A")</f>
        <v>Retrieving...</v>
      </c>
      <c r="T1138" s="423" t="str">
        <f>IFERROR(_xll.TR(MO.Ticker.Thomson,"AVG(TR.Priceclose)","sdate:#1 edate:#2",,INDEX(MO_SNA_FPStartDate,0,COLUMN()),INDEX(MO_Common_QEndDate,0,COLUMN())),"N/A")</f>
        <v>Retrieving...</v>
      </c>
      <c r="U1138" s="423" t="str">
        <f>IFERROR(_xll.TR(MO.Ticker.Thomson,"AVG(TR.Priceclose)","sdate:#1 edate:#2",,INDEX(MO_SNA_FPStartDate,0,COLUMN()),INDEX(MO_Common_QEndDate,0,COLUMN())),"N/A")</f>
        <v>Retrieving...</v>
      </c>
      <c r="V1138" s="423" t="str">
        <f>IFERROR(_xll.TR(MO.Ticker.Thomson,"AVG(TR.Priceclose)","sdate:#1 edate:#2",,INDEX(MO_SNA_FPStartDate,0,COLUMN()),INDEX(MO_Common_QEndDate,0,COLUMN())),"N/A")</f>
        <v>Retrieving...</v>
      </c>
      <c r="W1138" s="423" t="str">
        <f>IFERROR(_xll.TR(MO.Ticker.Thomson,"AVG(TR.Priceclose)","sdate:#1 edate:#2",,INDEX(MO_SNA_FPStartDate,0,COLUMN()),INDEX(MO_Common_QEndDate,0,COLUMN())),"N/A")</f>
        <v>Retrieving...</v>
      </c>
      <c r="X1138" s="423" t="str">
        <f>IFERROR(_xll.TR(MO.Ticker.Thomson,"AVG(TR.Priceclose)","sdate:#1 edate:#2",,INDEX(MO_SNA_FPStartDate,0,COLUMN()),INDEX(MO_Common_QEndDate,0,COLUMN())),"N/A")</f>
        <v>Retrieving...</v>
      </c>
      <c r="Y1138" s="423" t="str">
        <f>IFERROR(_xll.TR(MO.Ticker.Thomson,"AVG(TR.Priceclose)","sdate:#1 edate:#2",,INDEX(MO_SNA_FPStartDate,0,COLUMN()),INDEX(MO_Common_QEndDate,0,COLUMN())),"N/A")</f>
        <v>Retrieving...</v>
      </c>
      <c r="Z1138" s="423" t="str">
        <f>IFERROR(_xll.TR(MO.Ticker.Thomson,"AVG(TR.Priceclose)","sdate:#1 edate:#2",,INDEX(MO_SNA_FPStartDate,0,COLUMN()),INDEX(MO_Common_QEndDate,0,COLUMN())),"N/A")</f>
        <v>Retrieving...</v>
      </c>
      <c r="AA1138" s="423" t="str">
        <f>IFERROR(_xll.TR(MO.Ticker.Thomson,"AVG(TR.Priceclose)","sdate:#1 edate:#2",,INDEX(MO_SNA_FPStartDate,0,COLUMN()),INDEX(MO_Common_QEndDate,0,COLUMN())),"N/A")</f>
        <v>Retrieving...</v>
      </c>
      <c r="AB1138" s="423" t="str">
        <f>IFERROR(_xll.TR(MO.Ticker.Thomson,"AVG(TR.Priceclose)","sdate:#1 edate:#2",,INDEX(MO_SNA_FPStartDate,0,COLUMN()),INDEX(MO_Common_QEndDate,0,COLUMN())),"N/A")</f>
        <v>Retrieving...</v>
      </c>
      <c r="AC1138" s="423" t="str">
        <f>IFERROR(_xll.TR(MO.Ticker.Thomson,"AVG(TR.Priceclose)","sdate:#1 edate:#2",,INDEX(MO_SNA_FPStartDate,0,COLUMN()),INDEX(MO_Common_QEndDate,0,COLUMN())),"N/A")</f>
        <v>Retrieving...</v>
      </c>
      <c r="AD1138" s="423" t="str">
        <f>IFERROR(_xll.TR(MO.Ticker.Thomson,"AVG(TR.Priceclose)","sdate:#1 edate:#2",,INDEX(MO_SNA_FPStartDate,0,COLUMN()),INDEX(MO_Common_QEndDate,0,COLUMN())),"N/A")</f>
        <v>Retrieving...</v>
      </c>
      <c r="AE1138" s="423" t="str">
        <f>IFERROR(_xll.TR(MO.Ticker.Thomson,"AVG(TR.Priceclose)","sdate:#1 edate:#2",,INDEX(MO_SNA_FPStartDate,0,COLUMN()),INDEX(MO_Common_QEndDate,0,COLUMN())),"N/A")</f>
        <v>Retrieving...</v>
      </c>
      <c r="AF1138" s="423" t="str">
        <f>IFERROR(_xll.TR(MO.Ticker.Thomson,"AVG(TR.Priceclose)","sdate:#1 edate:#2",,INDEX(MO_SNA_FPStartDate,0,COLUMN()),INDEX(MO_Common_QEndDate,0,COLUMN())),"N/A")</f>
        <v>Retrieving...</v>
      </c>
      <c r="AG1138" s="423" t="str">
        <f>IFERROR(_xll.TR(MO.Ticker.Thomson,"AVG(TR.Priceclose)","sdate:#1 edate:#2",,INDEX(MO_SNA_FPStartDate,0,COLUMN()),INDEX(MO_Common_QEndDate,0,COLUMN())),"N/A")</f>
        <v>Retrieving...</v>
      </c>
      <c r="AH1138" s="423" t="str">
        <f>IFERROR(_xll.TR(MO.Ticker.Thomson,"AVG(TR.Priceclose)","sdate:#1 edate:#2",,INDEX(MO_SNA_FPStartDate,0,COLUMN()),INDEX(MO_Common_QEndDate,0,COLUMN())),"N/A")</f>
        <v>Retrieving...</v>
      </c>
      <c r="AI1138" s="423" t="str">
        <f>IFERROR(_xll.TR(MO.Ticker.Thomson,"AVG(TR.Priceclose)","sdate:#1 edate:#2",,INDEX(MO_SNA_FPStartDate,0,COLUMN()),INDEX(MO_Common_QEndDate,0,COLUMN())),"N/A")</f>
        <v>Retrieving...</v>
      </c>
      <c r="AJ1138" s="423" t="str">
        <f>IFERROR(_xll.TR(MO.Ticker.Thomson,"AVG(TR.Priceclose)","sdate:#1 edate:#2",,INDEX(MO_SNA_FPStartDate,0,COLUMN()),INDEX(MO_Common_QEndDate,0,COLUMN())),"N/A")</f>
        <v>Retrieving...</v>
      </c>
      <c r="AK1138" s="423" t="str">
        <f>IFERROR(_xll.TR(MO.Ticker.Thomson,"AVG(TR.Priceclose)","sdate:#1 edate:#2",,INDEX(MO_SNA_FPStartDate,0,COLUMN()),INDEX(MO_Common_QEndDate,0,COLUMN())),"N/A")</f>
        <v>Retrieving...</v>
      </c>
      <c r="AL1138" s="423" t="str">
        <f>IFERROR(_xll.TR(MO.Ticker.Thomson,"AVG(TR.Priceclose)","sdate:#1 edate:#2",,INDEX(MO_SNA_FPStartDate,0,COLUMN()),INDEX(MO_Common_QEndDate,0,COLUMN())),"N/A")</f>
        <v>Retrieving...</v>
      </c>
      <c r="AM1138" s="423" t="str">
        <f>IFERROR(_xll.TR(MO.Ticker.Thomson,"AVG(TR.Priceclose)","sdate:#1 edate:#2",,INDEX(MO_SNA_FPStartDate,0,COLUMN()),INDEX(MO_Common_QEndDate,0,COLUMN())),"N/A")</f>
        <v>Retrieving...</v>
      </c>
      <c r="AN1138" s="423" t="str">
        <f>IFERROR(_xll.TR(MO.Ticker.Thomson,"AVG(TR.Priceclose)","sdate:#1 edate:#2",,INDEX(MO_SNA_FPStartDate,0,COLUMN()),INDEX(MO_Common_QEndDate,0,COLUMN())),"N/A")</f>
        <v>Retrieving...</v>
      </c>
      <c r="AO1138" s="423" t="str">
        <f>IFERROR(_xll.TR(MO.Ticker.Thomson,"AVG(TR.Priceclose)","sdate:#1 edate:#2",,INDEX(MO_SNA_FPStartDate,0,COLUMN()),INDEX(MO_Common_QEndDate,0,COLUMN())),"N/A")</f>
        <v>Retrieving...</v>
      </c>
      <c r="AP1138" s="423" t="str">
        <f>IFERROR(_xll.TR(MO.Ticker.Thomson,"AVG(TR.Priceclose)","sdate:#1 edate:#2",,INDEX(MO_SNA_FPStartDate,0,COLUMN()),INDEX(MO_Common_QEndDate,0,COLUMN())),"N/A")</f>
        <v>Retrieving...</v>
      </c>
      <c r="AQ1138" s="423" t="str">
        <f>IFERROR(_xll.TR(MO.Ticker.Thomson,"AVG(TR.Priceclose)","sdate:#1 edate:#2",,INDEX(MO_SNA_FPStartDate,0,COLUMN()),INDEX(MO_Common_QEndDate,0,COLUMN())),"N/A")</f>
        <v>Retrieving...</v>
      </c>
      <c r="AR1138" s="423" t="str">
        <f>IFERROR(_xll.TR(MO.Ticker.Thomson,"AVG(TR.Priceclose)","sdate:#1 edate:#2",,INDEX(MO_SNA_FPStartDate,0,COLUMN()),INDEX(MO_Common_QEndDate,0,COLUMN())),"N/A")</f>
        <v>Retrieving...</v>
      </c>
      <c r="AS1138" s="423" t="str">
        <f>IFERROR(_xll.TR(MO.Ticker.Thomson,"AVG(TR.Priceclose)","sdate:#1 edate:#2",,INDEX(MO_SNA_FPStartDate,0,COLUMN()),INDEX(MO_Common_QEndDate,0,COLUMN())),"N/A")</f>
        <v>Retrieving...</v>
      </c>
      <c r="AT1138" s="423" t="str">
        <f>IFERROR(_xll.TR(MO.Ticker.Thomson,"AVG(TR.Priceclose)","sdate:#1 edate:#2",,INDEX(MO_SNA_FPStartDate,0,COLUMN()),INDEX(MO_Common_QEndDate,0,COLUMN())),"N/A")</f>
        <v>Retrieving...</v>
      </c>
      <c r="AU1138" s="423" t="str">
        <f>IFERROR(_xll.TR(MO.Ticker.Thomson,"AVG(TR.Priceclose)","sdate:#1 edate:#2",,INDEX(MO_SNA_FPStartDate,0,COLUMN()),INDEX(MO_Common_QEndDate,0,COLUMN())),"N/A")</f>
        <v>Retrieving...</v>
      </c>
      <c r="AV1138" s="423" t="str">
        <f>IFERROR(_xll.TR(MO.Ticker.Thomson,"AVG(TR.Priceclose)","sdate:#1 edate:#2",,INDEX(MO_SNA_FPStartDate,0,COLUMN()),INDEX(MO_Common_QEndDate,0,COLUMN())),"N/A")</f>
        <v>Retrieving...</v>
      </c>
      <c r="AW1138" s="453" t="str">
        <f>IFERROR(_xll.TR(MO.Ticker.Thomson,"AVG(TR.Priceclose)","sdate:#1 edate:#2",,INDEX(MO_SNA_FPStartDate,0,COLUMN()),INDEX(MO_Common_QEndDate,0,COLUMN())),"N/A")</f>
        <v>Retrieving...</v>
      </c>
      <c r="AX1138" s="423" t="str">
        <f>IFERROR(_xll.TR(MO.Ticker.Thomson,"AVG(TR.Priceclose)","sdate:#1 edate:#2",,INDEX(MO_SNA_FPStartDate,0,COLUMN()),INDEX(MO_Common_QEndDate,0,COLUMN())),"N/A")</f>
        <v>Retrieving...</v>
      </c>
      <c r="AY1138" s="423" t="str">
        <f>IFERROR(_xll.TR(MO.Ticker.Thomson,"AVG(TR.Priceclose)","sdate:#1 edate:#2",,INDEX(MO_SNA_FPStartDate,0,COLUMN()),INDEX(MO_Common_QEndDate,0,COLUMN())),"N/A")</f>
        <v>Retrieving...</v>
      </c>
      <c r="AZ1138" s="423" t="str">
        <f>IFERROR(_xll.TR(MO.Ticker.Thomson,"AVG(TR.Priceclose)","sdate:#1 edate:#2",,INDEX(MO_SNA_FPStartDate,0,COLUMN()),INDEX(MO_Common_QEndDate,0,COLUMN())),"N/A")</f>
        <v>Retrieving...</v>
      </c>
      <c r="BA1138" s="423" t="str">
        <f>IFERROR(_xll.TR(MO.Ticker.Thomson,"AVG(TR.Priceclose)","sdate:#1 edate:#2",,INDEX(MO_SNA_FPStartDate,0,COLUMN()),INDEX(MO_Common_QEndDate,0,COLUMN())),"N/A")</f>
        <v>Retrieving...</v>
      </c>
      <c r="BB1138" s="423" t="str">
        <f>IFERROR(_xll.TR(MO.Ticker.Thomson,"AVG(TR.Priceclose)","sdate:#1 edate:#2",,INDEX(MO_SNA_FPStartDate,0,COLUMN()),INDEX(MO_Common_QEndDate,0,COLUMN())),"N/A")</f>
        <v>Retrieving...</v>
      </c>
      <c r="BC1138" s="423" t="str">
        <f>IFERROR(_xll.TR(MO.Ticker.Thomson,"AVG(TR.Priceclose)","sdate:#1 edate:#2",,INDEX(MO_SNA_FPStartDate,0,COLUMN()),INDEX(MO_Common_QEndDate,0,COLUMN())),"N/A")</f>
        <v>Retrieving...</v>
      </c>
      <c r="BD1138" s="423" t="str">
        <f>IFERROR(_xll.TR(MO.Ticker.Thomson,"AVG(TR.Priceclose)","sdate:#1 edate:#2",,INDEX(MO_SNA_FPStartDate,0,COLUMN()),INDEX(MO_Common_QEndDate,0,COLUMN())),"N/A")</f>
        <v>Retrieving...</v>
      </c>
      <c r="BE1138" s="423" t="str">
        <f>IFERROR(_xll.TR(MO.Ticker.Thomson,"AVG(TR.Priceclose)","sdate:#1 edate:#2",,INDEX(MO_SNA_FPStartDate,0,COLUMN()),INDEX(MO_Common_QEndDate,0,COLUMN())),"N/A")</f>
        <v>Retrieving...</v>
      </c>
      <c r="BF1138" s="423" t="str">
        <f>IFERROR(_xll.TR(MO.Ticker.Thomson,"AVG(TR.Priceclose)","sdate:#1 edate:#2",,INDEX(MO_SNA_FPStartDate,0,COLUMN()),INDEX(MO_Common_QEndDate,0,COLUMN())),"N/A")</f>
        <v>Retrieving...</v>
      </c>
      <c r="BG1138" s="425" t="str">
        <f>IFERROR(_xll.TR(MO.Ticker.Thomson,"AVG(TR.Priceclose)","sdate:#1 edate:#2",,INDEX(MO_SNA_FPStartDate,0,COLUMN()),INDEX(MO_Common_QEndDate,0,COLUMN())),"N/A")</f>
        <v>Retrieving...</v>
      </c>
      <c r="BH1138" s="426"/>
    </row>
    <row r="1139" spans="1:60" s="15" customFormat="1" hidden="1" outlineLevel="1" x14ac:dyDescent="0.25">
      <c r="A1139" s="273"/>
      <c r="B1139" s="957"/>
      <c r="C1139" s="187"/>
      <c r="D1139" s="187"/>
      <c r="E1139" s="957"/>
      <c r="F1139" s="957"/>
      <c r="G1139" s="957"/>
      <c r="H1139" s="957"/>
      <c r="I1139" s="957"/>
      <c r="J1139" s="957"/>
      <c r="K1139" s="957"/>
      <c r="L1139" s="957"/>
      <c r="M1139" s="957"/>
      <c r="N1139" s="957"/>
      <c r="O1139" s="957"/>
      <c r="P1139" s="957"/>
      <c r="Q1139" s="957"/>
      <c r="R1139" s="957"/>
      <c r="S1139" s="957"/>
      <c r="T1139" s="957"/>
      <c r="U1139" s="957"/>
      <c r="V1139" s="957"/>
      <c r="W1139" s="957"/>
      <c r="X1139" s="957"/>
      <c r="Y1139" s="957"/>
      <c r="Z1139" s="957"/>
      <c r="AA1139" s="957"/>
      <c r="AB1139" s="957"/>
      <c r="AC1139" s="957"/>
      <c r="AD1139" s="957"/>
      <c r="AE1139" s="957"/>
      <c r="AF1139" s="957"/>
      <c r="AG1139" s="957"/>
      <c r="AH1139" s="957"/>
      <c r="AI1139" s="957"/>
      <c r="AJ1139" s="957"/>
      <c r="AK1139" s="957"/>
      <c r="AL1139" s="957"/>
      <c r="AM1139" s="957"/>
      <c r="AN1139" s="957"/>
      <c r="AO1139" s="957"/>
      <c r="AP1139" s="957"/>
      <c r="AQ1139" s="957"/>
      <c r="AR1139" s="957"/>
      <c r="AS1139" s="957"/>
      <c r="AT1139" s="957"/>
      <c r="AU1139" s="957"/>
      <c r="AV1139" s="957"/>
      <c r="AW1139" s="958"/>
      <c r="AX1139" s="957"/>
      <c r="AY1139" s="957"/>
      <c r="AZ1139" s="957"/>
      <c r="BA1139" s="957"/>
      <c r="BB1139" s="957"/>
      <c r="BC1139" s="957"/>
      <c r="BD1139" s="957"/>
      <c r="BE1139" s="957"/>
      <c r="BF1139" s="957"/>
      <c r="BG1139" s="271"/>
      <c r="BH1139" s="728"/>
    </row>
    <row r="1140" spans="1:60" s="431" customFormat="1" collapsed="1" x14ac:dyDescent="0.25">
      <c r="A1140" s="429" t="str">
        <f ca="1">"FX Average: "&amp;IF(OR(MO.RealTimeStockPriceToggle=FALSE,VLOOKUP(MO.DataSourceName,MO_SPT_FXAverage_Sources,COLUMN()+2,FALSE)="N/A"),"Real-Time Off Source",MO.DataSourceName)</f>
        <v>FX Average: Real-Time Off Source</v>
      </c>
      <c r="B1140" s="623"/>
      <c r="C1140" s="622">
        <f t="shared" ref="C1140:AH1140" ca="1" si="1209">IF(OR(MO.RealTimeStockPriceToggle=FALSE,EXACT(HP.TradeCurrency,MO.ReportCurrency),VLOOKUP(MO.DataSourceName,MO_SPT_FXAverage_Sources,COLUMN(),FALSE)="N/A"),VLOOKUP("Real-Time Off Source",MO_SPT_FXAverage_Sources,COLUMN(),FALSE),VLOOKUP(MO.DataSourceName,MO_SPT_FXAverage_Sources,COLUMN(),FALSE))</f>
        <v>0</v>
      </c>
      <c r="D1140" s="622">
        <f t="shared" ca="1" si="1209"/>
        <v>0</v>
      </c>
      <c r="E1140" s="623">
        <f t="shared" ca="1" si="1209"/>
        <v>0</v>
      </c>
      <c r="F1140" s="623">
        <f t="shared" ca="1" si="1209"/>
        <v>0</v>
      </c>
      <c r="G1140" s="623">
        <f t="shared" ca="1" si="1209"/>
        <v>0</v>
      </c>
      <c r="H1140" s="623">
        <f t="shared" ca="1" si="1209"/>
        <v>0</v>
      </c>
      <c r="I1140" s="623">
        <f t="shared" ca="1" si="1209"/>
        <v>0</v>
      </c>
      <c r="J1140" s="623">
        <f t="shared" ca="1" si="1209"/>
        <v>0</v>
      </c>
      <c r="K1140" s="623">
        <f t="shared" ca="1" si="1209"/>
        <v>0</v>
      </c>
      <c r="L1140" s="623">
        <f t="shared" ca="1" si="1209"/>
        <v>0</v>
      </c>
      <c r="M1140" s="623">
        <f t="shared" ca="1" si="1209"/>
        <v>0</v>
      </c>
      <c r="N1140" s="623">
        <f t="shared" ca="1" si="1209"/>
        <v>0</v>
      </c>
      <c r="O1140" s="623">
        <f t="shared" ca="1" si="1209"/>
        <v>0</v>
      </c>
      <c r="P1140" s="623">
        <f t="shared" ca="1" si="1209"/>
        <v>0</v>
      </c>
      <c r="Q1140" s="623">
        <f t="shared" ca="1" si="1209"/>
        <v>0</v>
      </c>
      <c r="R1140" s="623">
        <f t="shared" ca="1" si="1209"/>
        <v>0</v>
      </c>
      <c r="S1140" s="623">
        <f t="shared" ca="1" si="1209"/>
        <v>0</v>
      </c>
      <c r="T1140" s="623">
        <f t="shared" ca="1" si="1209"/>
        <v>0</v>
      </c>
      <c r="U1140" s="623">
        <f t="shared" ca="1" si="1209"/>
        <v>0</v>
      </c>
      <c r="V1140" s="623">
        <f t="shared" ca="1" si="1209"/>
        <v>0</v>
      </c>
      <c r="W1140" s="623">
        <f t="shared" ca="1" si="1209"/>
        <v>0</v>
      </c>
      <c r="X1140" s="623">
        <f t="shared" ca="1" si="1209"/>
        <v>0</v>
      </c>
      <c r="Y1140" s="623">
        <f t="shared" ca="1" si="1209"/>
        <v>0</v>
      </c>
      <c r="Z1140" s="623">
        <f t="shared" ca="1" si="1209"/>
        <v>0</v>
      </c>
      <c r="AA1140" s="623">
        <f t="shared" ca="1" si="1209"/>
        <v>0</v>
      </c>
      <c r="AB1140" s="623">
        <f t="shared" ca="1" si="1209"/>
        <v>0</v>
      </c>
      <c r="AC1140" s="623">
        <f t="shared" ca="1" si="1209"/>
        <v>0</v>
      </c>
      <c r="AD1140" s="623">
        <f t="shared" ca="1" si="1209"/>
        <v>0</v>
      </c>
      <c r="AE1140" s="623">
        <f t="shared" ca="1" si="1209"/>
        <v>0</v>
      </c>
      <c r="AF1140" s="623">
        <f t="shared" ca="1" si="1209"/>
        <v>0</v>
      </c>
      <c r="AG1140" s="623">
        <f t="shared" ca="1" si="1209"/>
        <v>0</v>
      </c>
      <c r="AH1140" s="623">
        <f t="shared" ca="1" si="1209"/>
        <v>0</v>
      </c>
      <c r="AI1140" s="623">
        <f t="shared" ref="AI1140:AY1140" ca="1" si="1210">IF(OR(MO.RealTimeStockPriceToggle=FALSE,EXACT(HP.TradeCurrency,MO.ReportCurrency),VLOOKUP(MO.DataSourceName,MO_SPT_FXAverage_Sources,COLUMN(),FALSE)="N/A"),VLOOKUP("Real-Time Off Source",MO_SPT_FXAverage_Sources,COLUMN(),FALSE),VLOOKUP(MO.DataSourceName,MO_SPT_FXAverage_Sources,COLUMN(),FALSE))</f>
        <v>0</v>
      </c>
      <c r="AJ1140" s="623">
        <f t="shared" ca="1" si="1210"/>
        <v>0</v>
      </c>
      <c r="AK1140" s="623">
        <f t="shared" ca="1" si="1210"/>
        <v>0</v>
      </c>
      <c r="AL1140" s="623">
        <f t="shared" ca="1" si="1210"/>
        <v>0</v>
      </c>
      <c r="AM1140" s="623">
        <f t="shared" ca="1" si="1210"/>
        <v>0</v>
      </c>
      <c r="AN1140" s="623">
        <f t="shared" ca="1" si="1210"/>
        <v>0</v>
      </c>
      <c r="AO1140" s="623">
        <f t="shared" ca="1" si="1210"/>
        <v>0</v>
      </c>
      <c r="AP1140" s="623">
        <f t="shared" ca="1" si="1210"/>
        <v>0</v>
      </c>
      <c r="AQ1140" s="623">
        <f t="shared" ca="1" si="1210"/>
        <v>0</v>
      </c>
      <c r="AR1140" s="623">
        <f t="shared" ca="1" si="1210"/>
        <v>0</v>
      </c>
      <c r="AS1140" s="623">
        <f ca="1">IF(OR(MO.RealTimeStockPriceToggle=FALSE,EXACT(HP.TradeCurrency,MO.ReportCurrency),VLOOKUP(MO.DataSourceName,MO_SPT_FXAverage_Sources,COLUMN(),FALSE)="N/A"),VLOOKUP("Real-Time Off Source",MO_SPT_FXAverage_Sources,COLUMN(),FALSE),VLOOKUP(MO.DataSourceName,MO_SPT_FXAverage_Sources,COLUMN(),FALSE))</f>
        <v>0</v>
      </c>
      <c r="AT1140" s="623">
        <f ca="1">IF(OR(MO.RealTimeStockPriceToggle=FALSE,EXACT(HP.TradeCurrency,MO.ReportCurrency),VLOOKUP(MO.DataSourceName,MO_SPT_FXAverage_Sources,COLUMN(),FALSE)="N/A"),VLOOKUP("Real-Time Off Source",MO_SPT_FXAverage_Sources,COLUMN(),FALSE),VLOOKUP(MO.DataSourceName,MO_SPT_FXAverage_Sources,COLUMN(),FALSE))</f>
        <v>0</v>
      </c>
      <c r="AU1140" s="623">
        <f ca="1">IF(OR(MO.RealTimeStockPriceToggle=FALSE,EXACT(HP.TradeCurrency,MO.ReportCurrency),VLOOKUP(MO.DataSourceName,MO_SPT_FXAverage_Sources,COLUMN(),FALSE)="N/A"),VLOOKUP("Real-Time Off Source",MO_SPT_FXAverage_Sources,COLUMN(),FALSE),VLOOKUP(MO.DataSourceName,MO_SPT_FXAverage_Sources,COLUMN(),FALSE))</f>
        <v>0</v>
      </c>
      <c r="AV1140" s="623">
        <f ca="1">IF(OR(MO.RealTimeStockPriceToggle=FALSE,EXACT(HP.TradeCurrency,MO.ReportCurrency),VLOOKUP(MO.DataSourceName,MO_SPT_FXAverage_Sources,COLUMN(),FALSE)="N/A"),VLOOKUP("Real-Time Off Source",MO_SPT_FXAverage_Sources,COLUMN(),FALSE),VLOOKUP(MO.DataSourceName,MO_SPT_FXAverage_Sources,COLUMN(),FALSE))</f>
        <v>0</v>
      </c>
      <c r="AW1140" s="624">
        <f ca="1">IF(OR(MO.RealTimeStockPriceToggle=FALSE,EXACT(HP.TradeCurrency,MO.ReportCurrency),VLOOKUP(MO.DataSourceName,MO_SPT_FXAverage_Sources,COLUMN(),FALSE)="N/A"),VLOOKUP("Real-Time Off Source",MO_SPT_FXAverage_Sources,COLUMN(),FALSE),VLOOKUP(MO.DataSourceName,MO_SPT_FXAverage_Sources,COLUMN(),FALSE))</f>
        <v>0</v>
      </c>
      <c r="AX1140" s="623">
        <f t="shared" ca="1" si="1210"/>
        <v>1</v>
      </c>
      <c r="AY1140" s="623">
        <f t="shared" ca="1" si="1210"/>
        <v>1</v>
      </c>
      <c r="AZ1140" s="623">
        <f t="shared" ref="AZ1140:BG1140" ca="1" si="1211">IF(OR(MO.RealTimeStockPriceToggle=FALSE,EXACT(HP.TradeCurrency,MO.ReportCurrency),VLOOKUP(MO.DataSourceName,MO_SPT_FXAverage_Sources,COLUMN(),FALSE)="N/A"),VLOOKUP("Real-Time Off Source",MO_SPT_FXAverage_Sources,COLUMN(),FALSE),VLOOKUP(MO.DataSourceName,MO_SPT_FXAverage_Sources,COLUMN(),FALSE))</f>
        <v>1</v>
      </c>
      <c r="BA1140" s="623">
        <f t="shared" ca="1" si="1211"/>
        <v>1</v>
      </c>
      <c r="BB1140" s="623">
        <f t="shared" ca="1" si="1211"/>
        <v>1</v>
      </c>
      <c r="BC1140" s="623">
        <f t="shared" ca="1" si="1211"/>
        <v>1</v>
      </c>
      <c r="BD1140" s="623">
        <f t="shared" ca="1" si="1211"/>
        <v>1</v>
      </c>
      <c r="BE1140" s="623">
        <f t="shared" ca="1" si="1211"/>
        <v>1</v>
      </c>
      <c r="BF1140" s="623">
        <f t="shared" ca="1" si="1211"/>
        <v>1</v>
      </c>
      <c r="BG1140" s="625">
        <f t="shared" ca="1" si="1211"/>
        <v>1</v>
      </c>
      <c r="BH1140" s="430"/>
    </row>
    <row r="1141" spans="1:60" s="431" customFormat="1" hidden="1" outlineLevel="1" x14ac:dyDescent="0.25">
      <c r="A1141" s="432" t="s">
        <v>404</v>
      </c>
      <c r="B1141" s="623"/>
      <c r="C1141" s="622"/>
      <c r="D1141" s="622"/>
      <c r="E1141" s="623"/>
      <c r="F1141" s="623"/>
      <c r="G1141" s="623"/>
      <c r="H1141" s="623"/>
      <c r="I1141" s="623"/>
      <c r="J1141" s="623"/>
      <c r="K1141" s="623"/>
      <c r="L1141" s="623"/>
      <c r="M1141" s="623"/>
      <c r="N1141" s="623"/>
      <c r="O1141" s="623"/>
      <c r="P1141" s="623"/>
      <c r="Q1141" s="623"/>
      <c r="R1141" s="623"/>
      <c r="S1141" s="623"/>
      <c r="T1141" s="623"/>
      <c r="U1141" s="623"/>
      <c r="V1141" s="623"/>
      <c r="W1141" s="623"/>
      <c r="X1141" s="623"/>
      <c r="Y1141" s="623"/>
      <c r="Z1141" s="623"/>
      <c r="AA1141" s="623"/>
      <c r="AB1141" s="623"/>
      <c r="AC1141" s="623"/>
      <c r="AD1141" s="623"/>
      <c r="AE1141" s="623"/>
      <c r="AF1141" s="623"/>
      <c r="AG1141" s="623"/>
      <c r="AH1141" s="623"/>
      <c r="AI1141" s="623"/>
      <c r="AJ1141" s="623"/>
      <c r="AK1141" s="623"/>
      <c r="AL1141" s="623"/>
      <c r="AM1141" s="623"/>
      <c r="AN1141" s="623"/>
      <c r="AO1141" s="623"/>
      <c r="AP1141" s="623"/>
      <c r="AQ1141" s="623"/>
      <c r="AR1141" s="623"/>
      <c r="AS1141" s="623"/>
      <c r="AT1141" s="623"/>
      <c r="AU1141" s="623"/>
      <c r="AV1141" s="623"/>
      <c r="AW1141" s="624"/>
      <c r="AX1141" s="623">
        <f>MO.MRFX.Hardcoded</f>
        <v>1</v>
      </c>
      <c r="AY1141" s="623">
        <f>MO.MRFX.Hardcoded</f>
        <v>1</v>
      </c>
      <c r="AZ1141" s="623">
        <f t="shared" ref="AZ1141:BG1141" si="1212">MO.MRFX.Hardcoded</f>
        <v>1</v>
      </c>
      <c r="BA1141" s="623">
        <f t="shared" si="1212"/>
        <v>1</v>
      </c>
      <c r="BB1141" s="623">
        <f t="shared" si="1212"/>
        <v>1</v>
      </c>
      <c r="BC1141" s="623">
        <f t="shared" si="1212"/>
        <v>1</v>
      </c>
      <c r="BD1141" s="623">
        <f t="shared" si="1212"/>
        <v>1</v>
      </c>
      <c r="BE1141" s="623">
        <f t="shared" si="1212"/>
        <v>1</v>
      </c>
      <c r="BF1141" s="623">
        <f t="shared" si="1212"/>
        <v>1</v>
      </c>
      <c r="BG1141" s="625">
        <f t="shared" si="1212"/>
        <v>1</v>
      </c>
      <c r="BH1141" s="430"/>
    </row>
    <row r="1142" spans="1:60" s="431" customFormat="1" hidden="1" outlineLevel="1" x14ac:dyDescent="0.25">
      <c r="A1142" s="432" t="s">
        <v>7</v>
      </c>
      <c r="B1142" s="623"/>
      <c r="C1142" s="62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D1142" s="62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E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F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G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H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I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J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K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L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M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N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O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P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Q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R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S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T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U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V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W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X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Y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Z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A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B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C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D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E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F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G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H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I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J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K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L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M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N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O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P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Q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R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S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T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U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V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W1142"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X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Y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Z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A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B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C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D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E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F1142" s="62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G1142" s="625"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H1142" s="430"/>
    </row>
    <row r="1143" spans="1:60" s="431" customFormat="1" hidden="1" outlineLevel="1" x14ac:dyDescent="0.25">
      <c r="A1143" s="432" t="s">
        <v>405</v>
      </c>
      <c r="B1143" s="623"/>
      <c r="C1143" s="622" t="str">
        <f ca="1">IFERROR(IF(INDEX(MO_Common_QEndDate,0,COLUMN())&gt;TODAY(),CIQ("$"&amp;HP.TradeCurrency&amp;MO.ReportCurrency,"IQ_LASTSALEPRICE"),CIQAVG("$"&amp;HP.TradeCurrency&amp;MO.ReportCurrency,"IQ_LASTSALEPRICE",INDEX(MO_SNA_FPStartDate,0,COLUMN()),INDEX(MO_Common_QEndDate,0,COLUMN()))),"N/A")</f>
        <v>N/A</v>
      </c>
      <c r="D1143" s="622" t="str">
        <f ca="1">IFERROR(IF(INDEX(MO_Common_QEndDate,0,COLUMN())&gt;TODAY(),CIQ("$"&amp;HP.TradeCurrency&amp;MO.ReportCurrency,"IQ_LASTSALEPRICE"),CIQAVG("$"&amp;HP.TradeCurrency&amp;MO.ReportCurrency,"IQ_LASTSALEPRICE",INDEX(MO_SNA_FPStartDate,0,COLUMN()),INDEX(MO_Common_QEndDate,0,COLUMN()))),"N/A")</f>
        <v>N/A</v>
      </c>
      <c r="E1143" s="623" t="str">
        <f ca="1">IFERROR(IF(INDEX(MO_Common_QEndDate,0,COLUMN())&gt;TODAY(),CIQ("$"&amp;HP.TradeCurrency&amp;MO.ReportCurrency,"IQ_LASTSALEPRICE"),CIQAVG("$"&amp;HP.TradeCurrency&amp;MO.ReportCurrency,"IQ_LASTSALEPRICE",INDEX(MO_SNA_FPStartDate,0,COLUMN()),INDEX(MO_Common_QEndDate,0,COLUMN()))),"N/A")</f>
        <v>N/A</v>
      </c>
      <c r="F1143" s="623" t="str">
        <f ca="1">IFERROR(IF(INDEX(MO_Common_QEndDate,0,COLUMN())&gt;TODAY(),CIQ("$"&amp;HP.TradeCurrency&amp;MO.ReportCurrency,"IQ_LASTSALEPRICE"),CIQAVG("$"&amp;HP.TradeCurrency&amp;MO.ReportCurrency,"IQ_LASTSALEPRICE",INDEX(MO_SNA_FPStartDate,0,COLUMN()),INDEX(MO_Common_QEndDate,0,COLUMN()))),"N/A")</f>
        <v>N/A</v>
      </c>
      <c r="G1143" s="623" t="str">
        <f ca="1">IFERROR(IF(INDEX(MO_Common_QEndDate,0,COLUMN())&gt;TODAY(),CIQ("$"&amp;HP.TradeCurrency&amp;MO.ReportCurrency,"IQ_LASTSALEPRICE"),CIQAVG("$"&amp;HP.TradeCurrency&amp;MO.ReportCurrency,"IQ_LASTSALEPRICE",INDEX(MO_SNA_FPStartDate,0,COLUMN()),INDEX(MO_Common_QEndDate,0,COLUMN()))),"N/A")</f>
        <v>N/A</v>
      </c>
      <c r="H1143" s="623" t="str">
        <f ca="1">IFERROR(IF(INDEX(MO_Common_QEndDate,0,COLUMN())&gt;TODAY(),CIQ("$"&amp;HP.TradeCurrency&amp;MO.ReportCurrency,"IQ_LASTSALEPRICE"),CIQAVG("$"&amp;HP.TradeCurrency&amp;MO.ReportCurrency,"IQ_LASTSALEPRICE",INDEX(MO_SNA_FPStartDate,0,COLUMN()),INDEX(MO_Common_QEndDate,0,COLUMN()))),"N/A")</f>
        <v>N/A</v>
      </c>
      <c r="I1143" s="623" t="str">
        <f ca="1">IFERROR(IF(INDEX(MO_Common_QEndDate,0,COLUMN())&gt;TODAY(),CIQ("$"&amp;HP.TradeCurrency&amp;MO.ReportCurrency,"IQ_LASTSALEPRICE"),CIQAVG("$"&amp;HP.TradeCurrency&amp;MO.ReportCurrency,"IQ_LASTSALEPRICE",INDEX(MO_SNA_FPStartDate,0,COLUMN()),INDEX(MO_Common_QEndDate,0,COLUMN()))),"N/A")</f>
        <v>N/A</v>
      </c>
      <c r="J1143" s="623" t="str">
        <f ca="1">IFERROR(IF(INDEX(MO_Common_QEndDate,0,COLUMN())&gt;TODAY(),CIQ("$"&amp;HP.TradeCurrency&amp;MO.ReportCurrency,"IQ_LASTSALEPRICE"),CIQAVG("$"&amp;HP.TradeCurrency&amp;MO.ReportCurrency,"IQ_LASTSALEPRICE",INDEX(MO_SNA_FPStartDate,0,COLUMN()),INDEX(MO_Common_QEndDate,0,COLUMN()))),"N/A")</f>
        <v>N/A</v>
      </c>
      <c r="K1143" s="623" t="str">
        <f ca="1">IFERROR(IF(INDEX(MO_Common_QEndDate,0,COLUMN())&gt;TODAY(),CIQ("$"&amp;HP.TradeCurrency&amp;MO.ReportCurrency,"IQ_LASTSALEPRICE"),CIQAVG("$"&amp;HP.TradeCurrency&amp;MO.ReportCurrency,"IQ_LASTSALEPRICE",INDEX(MO_SNA_FPStartDate,0,COLUMN()),INDEX(MO_Common_QEndDate,0,COLUMN()))),"N/A")</f>
        <v>N/A</v>
      </c>
      <c r="L1143" s="623" t="str">
        <f ca="1">IFERROR(IF(INDEX(MO_Common_QEndDate,0,COLUMN())&gt;TODAY(),CIQ("$"&amp;HP.TradeCurrency&amp;MO.ReportCurrency,"IQ_LASTSALEPRICE"),CIQAVG("$"&amp;HP.TradeCurrency&amp;MO.ReportCurrency,"IQ_LASTSALEPRICE",INDEX(MO_SNA_FPStartDate,0,COLUMN()),INDEX(MO_Common_QEndDate,0,COLUMN()))),"N/A")</f>
        <v>N/A</v>
      </c>
      <c r="M1143" s="623" t="str">
        <f ca="1">IFERROR(IF(INDEX(MO_Common_QEndDate,0,COLUMN())&gt;TODAY(),CIQ("$"&amp;HP.TradeCurrency&amp;MO.ReportCurrency,"IQ_LASTSALEPRICE"),CIQAVG("$"&amp;HP.TradeCurrency&amp;MO.ReportCurrency,"IQ_LASTSALEPRICE",INDEX(MO_SNA_FPStartDate,0,COLUMN()),INDEX(MO_Common_QEndDate,0,COLUMN()))),"N/A")</f>
        <v>N/A</v>
      </c>
      <c r="N1143" s="623" t="str">
        <f ca="1">IFERROR(IF(INDEX(MO_Common_QEndDate,0,COLUMN())&gt;TODAY(),CIQ("$"&amp;HP.TradeCurrency&amp;MO.ReportCurrency,"IQ_LASTSALEPRICE"),CIQAVG("$"&amp;HP.TradeCurrency&amp;MO.ReportCurrency,"IQ_LASTSALEPRICE",INDEX(MO_SNA_FPStartDate,0,COLUMN()),INDEX(MO_Common_QEndDate,0,COLUMN()))),"N/A")</f>
        <v>N/A</v>
      </c>
      <c r="O1143" s="623" t="str">
        <f ca="1">IFERROR(IF(INDEX(MO_Common_QEndDate,0,COLUMN())&gt;TODAY(),CIQ("$"&amp;HP.TradeCurrency&amp;MO.ReportCurrency,"IQ_LASTSALEPRICE"),CIQAVG("$"&amp;HP.TradeCurrency&amp;MO.ReportCurrency,"IQ_LASTSALEPRICE",INDEX(MO_SNA_FPStartDate,0,COLUMN()),INDEX(MO_Common_QEndDate,0,COLUMN()))),"N/A")</f>
        <v>N/A</v>
      </c>
      <c r="P1143" s="623" t="str">
        <f ca="1">IFERROR(IF(INDEX(MO_Common_QEndDate,0,COLUMN())&gt;TODAY(),CIQ("$"&amp;HP.TradeCurrency&amp;MO.ReportCurrency,"IQ_LASTSALEPRICE"),CIQAVG("$"&amp;HP.TradeCurrency&amp;MO.ReportCurrency,"IQ_LASTSALEPRICE",INDEX(MO_SNA_FPStartDate,0,COLUMN()),INDEX(MO_Common_QEndDate,0,COLUMN()))),"N/A")</f>
        <v>N/A</v>
      </c>
      <c r="Q1143" s="623" t="str">
        <f ca="1">IFERROR(IF(INDEX(MO_Common_QEndDate,0,COLUMN())&gt;TODAY(),CIQ("$"&amp;HP.TradeCurrency&amp;MO.ReportCurrency,"IQ_LASTSALEPRICE"),CIQAVG("$"&amp;HP.TradeCurrency&amp;MO.ReportCurrency,"IQ_LASTSALEPRICE",INDEX(MO_SNA_FPStartDate,0,COLUMN()),INDEX(MO_Common_QEndDate,0,COLUMN()))),"N/A")</f>
        <v>N/A</v>
      </c>
      <c r="R1143" s="623" t="str">
        <f ca="1">IFERROR(IF(INDEX(MO_Common_QEndDate,0,COLUMN())&gt;TODAY(),CIQ("$"&amp;HP.TradeCurrency&amp;MO.ReportCurrency,"IQ_LASTSALEPRICE"),CIQAVG("$"&amp;HP.TradeCurrency&amp;MO.ReportCurrency,"IQ_LASTSALEPRICE",INDEX(MO_SNA_FPStartDate,0,COLUMN()),INDEX(MO_Common_QEndDate,0,COLUMN()))),"N/A")</f>
        <v>N/A</v>
      </c>
      <c r="S1143" s="623" t="str">
        <f ca="1">IFERROR(IF(INDEX(MO_Common_QEndDate,0,COLUMN())&gt;TODAY(),CIQ("$"&amp;HP.TradeCurrency&amp;MO.ReportCurrency,"IQ_LASTSALEPRICE"),CIQAVG("$"&amp;HP.TradeCurrency&amp;MO.ReportCurrency,"IQ_LASTSALEPRICE",INDEX(MO_SNA_FPStartDate,0,COLUMN()),INDEX(MO_Common_QEndDate,0,COLUMN()))),"N/A")</f>
        <v>N/A</v>
      </c>
      <c r="T1143" s="623" t="str">
        <f ca="1">IFERROR(IF(INDEX(MO_Common_QEndDate,0,COLUMN())&gt;TODAY(),CIQ("$"&amp;HP.TradeCurrency&amp;MO.ReportCurrency,"IQ_LASTSALEPRICE"),CIQAVG("$"&amp;HP.TradeCurrency&amp;MO.ReportCurrency,"IQ_LASTSALEPRICE",INDEX(MO_SNA_FPStartDate,0,COLUMN()),INDEX(MO_Common_QEndDate,0,COLUMN()))),"N/A")</f>
        <v>N/A</v>
      </c>
      <c r="U1143" s="623" t="str">
        <f ca="1">IFERROR(IF(INDEX(MO_Common_QEndDate,0,COLUMN())&gt;TODAY(),CIQ("$"&amp;HP.TradeCurrency&amp;MO.ReportCurrency,"IQ_LASTSALEPRICE"),CIQAVG("$"&amp;HP.TradeCurrency&amp;MO.ReportCurrency,"IQ_LASTSALEPRICE",INDEX(MO_SNA_FPStartDate,0,COLUMN()),INDEX(MO_Common_QEndDate,0,COLUMN()))),"N/A")</f>
        <v>N/A</v>
      </c>
      <c r="V1143" s="623" t="str">
        <f ca="1">IFERROR(IF(INDEX(MO_Common_QEndDate,0,COLUMN())&gt;TODAY(),CIQ("$"&amp;HP.TradeCurrency&amp;MO.ReportCurrency,"IQ_LASTSALEPRICE"),CIQAVG("$"&amp;HP.TradeCurrency&amp;MO.ReportCurrency,"IQ_LASTSALEPRICE",INDEX(MO_SNA_FPStartDate,0,COLUMN()),INDEX(MO_Common_QEndDate,0,COLUMN()))),"N/A")</f>
        <v>N/A</v>
      </c>
      <c r="W1143" s="623" t="str">
        <f ca="1">IFERROR(IF(INDEX(MO_Common_QEndDate,0,COLUMN())&gt;TODAY(),CIQ("$"&amp;HP.TradeCurrency&amp;MO.ReportCurrency,"IQ_LASTSALEPRICE"),CIQAVG("$"&amp;HP.TradeCurrency&amp;MO.ReportCurrency,"IQ_LASTSALEPRICE",INDEX(MO_SNA_FPStartDate,0,COLUMN()),INDEX(MO_Common_QEndDate,0,COLUMN()))),"N/A")</f>
        <v>N/A</v>
      </c>
      <c r="X1143" s="623" t="str">
        <f ca="1">IFERROR(IF(INDEX(MO_Common_QEndDate,0,COLUMN())&gt;TODAY(),CIQ("$"&amp;HP.TradeCurrency&amp;MO.ReportCurrency,"IQ_LASTSALEPRICE"),CIQAVG("$"&amp;HP.TradeCurrency&amp;MO.ReportCurrency,"IQ_LASTSALEPRICE",INDEX(MO_SNA_FPStartDate,0,COLUMN()),INDEX(MO_Common_QEndDate,0,COLUMN()))),"N/A")</f>
        <v>N/A</v>
      </c>
      <c r="Y1143" s="623" t="str">
        <f ca="1">IFERROR(IF(INDEX(MO_Common_QEndDate,0,COLUMN())&gt;TODAY(),CIQ("$"&amp;HP.TradeCurrency&amp;MO.ReportCurrency,"IQ_LASTSALEPRICE"),CIQAVG("$"&amp;HP.TradeCurrency&amp;MO.ReportCurrency,"IQ_LASTSALEPRICE",INDEX(MO_SNA_FPStartDate,0,COLUMN()),INDEX(MO_Common_QEndDate,0,COLUMN()))),"N/A")</f>
        <v>N/A</v>
      </c>
      <c r="Z1143" s="623" t="str">
        <f ca="1">IFERROR(IF(INDEX(MO_Common_QEndDate,0,COLUMN())&gt;TODAY(),CIQ("$"&amp;HP.TradeCurrency&amp;MO.ReportCurrency,"IQ_LASTSALEPRICE"),CIQAVG("$"&amp;HP.TradeCurrency&amp;MO.ReportCurrency,"IQ_LASTSALEPRICE",INDEX(MO_SNA_FPStartDate,0,COLUMN()),INDEX(MO_Common_QEndDate,0,COLUMN()))),"N/A")</f>
        <v>N/A</v>
      </c>
      <c r="AA1143" s="623" t="str">
        <f ca="1">IFERROR(IF(INDEX(MO_Common_QEndDate,0,COLUMN())&gt;TODAY(),CIQ("$"&amp;HP.TradeCurrency&amp;MO.ReportCurrency,"IQ_LASTSALEPRICE"),CIQAVG("$"&amp;HP.TradeCurrency&amp;MO.ReportCurrency,"IQ_LASTSALEPRICE",INDEX(MO_SNA_FPStartDate,0,COLUMN()),INDEX(MO_Common_QEndDate,0,COLUMN()))),"N/A")</f>
        <v>N/A</v>
      </c>
      <c r="AB1143" s="623" t="str">
        <f ca="1">IFERROR(IF(INDEX(MO_Common_QEndDate,0,COLUMN())&gt;TODAY(),CIQ("$"&amp;HP.TradeCurrency&amp;MO.ReportCurrency,"IQ_LASTSALEPRICE"),CIQAVG("$"&amp;HP.TradeCurrency&amp;MO.ReportCurrency,"IQ_LASTSALEPRICE",INDEX(MO_SNA_FPStartDate,0,COLUMN()),INDEX(MO_Common_QEndDate,0,COLUMN()))),"N/A")</f>
        <v>N/A</v>
      </c>
      <c r="AC1143" s="623" t="str">
        <f ca="1">IFERROR(IF(INDEX(MO_Common_QEndDate,0,COLUMN())&gt;TODAY(),CIQ("$"&amp;HP.TradeCurrency&amp;MO.ReportCurrency,"IQ_LASTSALEPRICE"),CIQAVG("$"&amp;HP.TradeCurrency&amp;MO.ReportCurrency,"IQ_LASTSALEPRICE",INDEX(MO_SNA_FPStartDate,0,COLUMN()),INDEX(MO_Common_QEndDate,0,COLUMN()))),"N/A")</f>
        <v>N/A</v>
      </c>
      <c r="AD1143" s="623" t="str">
        <f ca="1">IFERROR(IF(INDEX(MO_Common_QEndDate,0,COLUMN())&gt;TODAY(),CIQ("$"&amp;HP.TradeCurrency&amp;MO.ReportCurrency,"IQ_LASTSALEPRICE"),CIQAVG("$"&amp;HP.TradeCurrency&amp;MO.ReportCurrency,"IQ_LASTSALEPRICE",INDEX(MO_SNA_FPStartDate,0,COLUMN()),INDEX(MO_Common_QEndDate,0,COLUMN()))),"N/A")</f>
        <v>N/A</v>
      </c>
      <c r="AE1143" s="623" t="str">
        <f ca="1">IFERROR(IF(INDEX(MO_Common_QEndDate,0,COLUMN())&gt;TODAY(),CIQ("$"&amp;HP.TradeCurrency&amp;MO.ReportCurrency,"IQ_LASTSALEPRICE"),CIQAVG("$"&amp;HP.TradeCurrency&amp;MO.ReportCurrency,"IQ_LASTSALEPRICE",INDEX(MO_SNA_FPStartDate,0,COLUMN()),INDEX(MO_Common_QEndDate,0,COLUMN()))),"N/A")</f>
        <v>N/A</v>
      </c>
      <c r="AF1143" s="623" t="str">
        <f ca="1">IFERROR(IF(INDEX(MO_Common_QEndDate,0,COLUMN())&gt;TODAY(),CIQ("$"&amp;HP.TradeCurrency&amp;MO.ReportCurrency,"IQ_LASTSALEPRICE"),CIQAVG("$"&amp;HP.TradeCurrency&amp;MO.ReportCurrency,"IQ_LASTSALEPRICE",INDEX(MO_SNA_FPStartDate,0,COLUMN()),INDEX(MO_Common_QEndDate,0,COLUMN()))),"N/A")</f>
        <v>N/A</v>
      </c>
      <c r="AG1143" s="623" t="str">
        <f ca="1">IFERROR(IF(INDEX(MO_Common_QEndDate,0,COLUMN())&gt;TODAY(),CIQ("$"&amp;HP.TradeCurrency&amp;MO.ReportCurrency,"IQ_LASTSALEPRICE"),CIQAVG("$"&amp;HP.TradeCurrency&amp;MO.ReportCurrency,"IQ_LASTSALEPRICE",INDEX(MO_SNA_FPStartDate,0,COLUMN()),INDEX(MO_Common_QEndDate,0,COLUMN()))),"N/A")</f>
        <v>N/A</v>
      </c>
      <c r="AH1143" s="623" t="str">
        <f ca="1">IFERROR(IF(INDEX(MO_Common_QEndDate,0,COLUMN())&gt;TODAY(),CIQ("$"&amp;HP.TradeCurrency&amp;MO.ReportCurrency,"IQ_LASTSALEPRICE"),CIQAVG("$"&amp;HP.TradeCurrency&amp;MO.ReportCurrency,"IQ_LASTSALEPRICE",INDEX(MO_SNA_FPStartDate,0,COLUMN()),INDEX(MO_Common_QEndDate,0,COLUMN()))),"N/A")</f>
        <v>N/A</v>
      </c>
      <c r="AI1143" s="623" t="str">
        <f ca="1">IFERROR(IF(INDEX(MO_Common_QEndDate,0,COLUMN())&gt;TODAY(),CIQ("$"&amp;HP.TradeCurrency&amp;MO.ReportCurrency,"IQ_LASTSALEPRICE"),CIQAVG("$"&amp;HP.TradeCurrency&amp;MO.ReportCurrency,"IQ_LASTSALEPRICE",INDEX(MO_SNA_FPStartDate,0,COLUMN()),INDEX(MO_Common_QEndDate,0,COLUMN()))),"N/A")</f>
        <v>N/A</v>
      </c>
      <c r="AJ1143" s="623" t="str">
        <f ca="1">IFERROR(IF(INDEX(MO_Common_QEndDate,0,COLUMN())&gt;TODAY(),CIQ("$"&amp;HP.TradeCurrency&amp;MO.ReportCurrency,"IQ_LASTSALEPRICE"),CIQAVG("$"&amp;HP.TradeCurrency&amp;MO.ReportCurrency,"IQ_LASTSALEPRICE",INDEX(MO_SNA_FPStartDate,0,COLUMN()),INDEX(MO_Common_QEndDate,0,COLUMN()))),"N/A")</f>
        <v>N/A</v>
      </c>
      <c r="AK1143" s="623" t="str">
        <f ca="1">IFERROR(IF(INDEX(MO_Common_QEndDate,0,COLUMN())&gt;TODAY(),CIQ("$"&amp;HP.TradeCurrency&amp;MO.ReportCurrency,"IQ_LASTSALEPRICE"),CIQAVG("$"&amp;HP.TradeCurrency&amp;MO.ReportCurrency,"IQ_LASTSALEPRICE",INDEX(MO_SNA_FPStartDate,0,COLUMN()),INDEX(MO_Common_QEndDate,0,COLUMN()))),"N/A")</f>
        <v>N/A</v>
      </c>
      <c r="AL1143" s="623" t="str">
        <f ca="1">IFERROR(IF(INDEX(MO_Common_QEndDate,0,COLUMN())&gt;TODAY(),CIQ("$"&amp;HP.TradeCurrency&amp;MO.ReportCurrency,"IQ_LASTSALEPRICE"),CIQAVG("$"&amp;HP.TradeCurrency&amp;MO.ReportCurrency,"IQ_LASTSALEPRICE",INDEX(MO_SNA_FPStartDate,0,COLUMN()),INDEX(MO_Common_QEndDate,0,COLUMN()))),"N/A")</f>
        <v>N/A</v>
      </c>
      <c r="AM1143" s="623" t="str">
        <f ca="1">IFERROR(IF(INDEX(MO_Common_QEndDate,0,COLUMN())&gt;TODAY(),CIQ("$"&amp;HP.TradeCurrency&amp;MO.ReportCurrency,"IQ_LASTSALEPRICE"),CIQAVG("$"&amp;HP.TradeCurrency&amp;MO.ReportCurrency,"IQ_LASTSALEPRICE",INDEX(MO_SNA_FPStartDate,0,COLUMN()),INDEX(MO_Common_QEndDate,0,COLUMN()))),"N/A")</f>
        <v>N/A</v>
      </c>
      <c r="AN1143" s="623" t="str">
        <f ca="1">IFERROR(IF(INDEX(MO_Common_QEndDate,0,COLUMN())&gt;TODAY(),CIQ("$"&amp;HP.TradeCurrency&amp;MO.ReportCurrency,"IQ_LASTSALEPRICE"),CIQAVG("$"&amp;HP.TradeCurrency&amp;MO.ReportCurrency,"IQ_LASTSALEPRICE",INDEX(MO_SNA_FPStartDate,0,COLUMN()),INDEX(MO_Common_QEndDate,0,COLUMN()))),"N/A")</f>
        <v>N/A</v>
      </c>
      <c r="AO1143" s="623" t="str">
        <f ca="1">IFERROR(IF(INDEX(MO_Common_QEndDate,0,COLUMN())&gt;TODAY(),CIQ("$"&amp;HP.TradeCurrency&amp;MO.ReportCurrency,"IQ_LASTSALEPRICE"),CIQAVG("$"&amp;HP.TradeCurrency&amp;MO.ReportCurrency,"IQ_LASTSALEPRICE",INDEX(MO_SNA_FPStartDate,0,COLUMN()),INDEX(MO_Common_QEndDate,0,COLUMN()))),"N/A")</f>
        <v>N/A</v>
      </c>
      <c r="AP1143" s="623" t="str">
        <f ca="1">IFERROR(IF(INDEX(MO_Common_QEndDate,0,COLUMN())&gt;TODAY(),CIQ("$"&amp;HP.TradeCurrency&amp;MO.ReportCurrency,"IQ_LASTSALEPRICE"),CIQAVG("$"&amp;HP.TradeCurrency&amp;MO.ReportCurrency,"IQ_LASTSALEPRICE",INDEX(MO_SNA_FPStartDate,0,COLUMN()),INDEX(MO_Common_QEndDate,0,COLUMN()))),"N/A")</f>
        <v>N/A</v>
      </c>
      <c r="AQ1143" s="623" t="str">
        <f ca="1">IFERROR(IF(INDEX(MO_Common_QEndDate,0,COLUMN())&gt;TODAY(),CIQ("$"&amp;HP.TradeCurrency&amp;MO.ReportCurrency,"IQ_LASTSALEPRICE"),CIQAVG("$"&amp;HP.TradeCurrency&amp;MO.ReportCurrency,"IQ_LASTSALEPRICE",INDEX(MO_SNA_FPStartDate,0,COLUMN()),INDEX(MO_Common_QEndDate,0,COLUMN()))),"N/A")</f>
        <v>N/A</v>
      </c>
      <c r="AR1143" s="623" t="str">
        <f ca="1">IFERROR(IF(INDEX(MO_Common_QEndDate,0,COLUMN())&gt;TODAY(),CIQ("$"&amp;HP.TradeCurrency&amp;MO.ReportCurrency,"IQ_LASTSALEPRICE"),CIQAVG("$"&amp;HP.TradeCurrency&amp;MO.ReportCurrency,"IQ_LASTSALEPRICE",INDEX(MO_SNA_FPStartDate,0,COLUMN()),INDEX(MO_Common_QEndDate,0,COLUMN()))),"N/A")</f>
        <v>N/A</v>
      </c>
      <c r="AS1143" s="623" t="str">
        <f ca="1">IFERROR(IF(INDEX(MO_Common_QEndDate,0,COLUMN())&gt;TODAY(),CIQ("$"&amp;HP.TradeCurrency&amp;MO.ReportCurrency,"IQ_LASTSALEPRICE"),CIQAVG("$"&amp;HP.TradeCurrency&amp;MO.ReportCurrency,"IQ_LASTSALEPRICE",INDEX(MO_SNA_FPStartDate,0,COLUMN()),INDEX(MO_Common_QEndDate,0,COLUMN()))),"N/A")</f>
        <v>N/A</v>
      </c>
      <c r="AT1143" s="623" t="str">
        <f ca="1">IFERROR(IF(INDEX(MO_Common_QEndDate,0,COLUMN())&gt;TODAY(),CIQ("$"&amp;HP.TradeCurrency&amp;MO.ReportCurrency,"IQ_LASTSALEPRICE"),CIQAVG("$"&amp;HP.TradeCurrency&amp;MO.ReportCurrency,"IQ_LASTSALEPRICE",INDEX(MO_SNA_FPStartDate,0,COLUMN()),INDEX(MO_Common_QEndDate,0,COLUMN()))),"N/A")</f>
        <v>N/A</v>
      </c>
      <c r="AU1143" s="623" t="str">
        <f ca="1">IFERROR(IF(INDEX(MO_Common_QEndDate,0,COLUMN())&gt;TODAY(),CIQ("$"&amp;HP.TradeCurrency&amp;MO.ReportCurrency,"IQ_LASTSALEPRICE"),CIQAVG("$"&amp;HP.TradeCurrency&amp;MO.ReportCurrency,"IQ_LASTSALEPRICE",INDEX(MO_SNA_FPStartDate,0,COLUMN()),INDEX(MO_Common_QEndDate,0,COLUMN()))),"N/A")</f>
        <v>N/A</v>
      </c>
      <c r="AV1143" s="623" t="str">
        <f ca="1">IFERROR(IF(INDEX(MO_Common_QEndDate,0,COLUMN())&gt;TODAY(),CIQ("$"&amp;HP.TradeCurrency&amp;MO.ReportCurrency,"IQ_LASTSALEPRICE"),CIQAVG("$"&amp;HP.TradeCurrency&amp;MO.ReportCurrency,"IQ_LASTSALEPRICE",INDEX(MO_SNA_FPStartDate,0,COLUMN()),INDEX(MO_Common_QEndDate,0,COLUMN()))),"N/A")</f>
        <v>N/A</v>
      </c>
      <c r="AW1143" s="624" t="str">
        <f ca="1">IFERROR(IF(INDEX(MO_Common_QEndDate,0,COLUMN())&gt;TODAY(),CIQ("$"&amp;HP.TradeCurrency&amp;MO.ReportCurrency,"IQ_LASTSALEPRICE"),CIQAVG("$"&amp;HP.TradeCurrency&amp;MO.ReportCurrency,"IQ_LASTSALEPRICE",INDEX(MO_SNA_FPStartDate,0,COLUMN()),INDEX(MO_Common_QEndDate,0,COLUMN()))),"N/A")</f>
        <v>N/A</v>
      </c>
      <c r="AX1143" s="623" t="str">
        <f ca="1">IFERROR(IF(INDEX(MO_Common_QEndDate,0,COLUMN())&gt;TODAY(),CIQ("$"&amp;HP.TradeCurrency&amp;MO.ReportCurrency,"IQ_LASTSALEPRICE"),CIQAVG("$"&amp;HP.TradeCurrency&amp;MO.ReportCurrency,"IQ_LASTSALEPRICE",INDEX(MO_SNA_FPStartDate,0,COLUMN()),INDEX(MO_Common_QEndDate,0,COLUMN()))),"N/A")</f>
        <v>N/A</v>
      </c>
      <c r="AY1143" s="623" t="str">
        <f ca="1">IFERROR(IF(INDEX(MO_Common_QEndDate,0,COLUMN())&gt;TODAY(),CIQ("$"&amp;HP.TradeCurrency&amp;MO.ReportCurrency,"IQ_LASTSALEPRICE"),CIQAVG("$"&amp;HP.TradeCurrency&amp;MO.ReportCurrency,"IQ_LASTSALEPRICE",INDEX(MO_SNA_FPStartDate,0,COLUMN()),INDEX(MO_Common_QEndDate,0,COLUMN()))),"N/A")</f>
        <v>N/A</v>
      </c>
      <c r="AZ1143" s="623" t="str">
        <f ca="1">IFERROR(IF(INDEX(MO_Common_QEndDate,0,COLUMN())&gt;TODAY(),CIQ("$"&amp;HP.TradeCurrency&amp;MO.ReportCurrency,"IQ_LASTSALEPRICE"),CIQAVG("$"&amp;HP.TradeCurrency&amp;MO.ReportCurrency,"IQ_LASTSALEPRICE",INDEX(MO_SNA_FPStartDate,0,COLUMN()),INDEX(MO_Common_QEndDate,0,COLUMN()))),"N/A")</f>
        <v>N/A</v>
      </c>
      <c r="BA1143" s="623" t="str">
        <f ca="1">IFERROR(IF(INDEX(MO_Common_QEndDate,0,COLUMN())&gt;TODAY(),CIQ("$"&amp;HP.TradeCurrency&amp;MO.ReportCurrency,"IQ_LASTSALEPRICE"),CIQAVG("$"&amp;HP.TradeCurrency&amp;MO.ReportCurrency,"IQ_LASTSALEPRICE",INDEX(MO_SNA_FPStartDate,0,COLUMN()),INDEX(MO_Common_QEndDate,0,COLUMN()))),"N/A")</f>
        <v>N/A</v>
      </c>
      <c r="BB1143" s="623" t="str">
        <f ca="1">IFERROR(IF(INDEX(MO_Common_QEndDate,0,COLUMN())&gt;TODAY(),CIQ("$"&amp;HP.TradeCurrency&amp;MO.ReportCurrency,"IQ_LASTSALEPRICE"),CIQAVG("$"&amp;HP.TradeCurrency&amp;MO.ReportCurrency,"IQ_LASTSALEPRICE",INDEX(MO_SNA_FPStartDate,0,COLUMN()),INDEX(MO_Common_QEndDate,0,COLUMN()))),"N/A")</f>
        <v>N/A</v>
      </c>
      <c r="BC1143" s="623" t="str">
        <f ca="1">IFERROR(IF(INDEX(MO_Common_QEndDate,0,COLUMN())&gt;TODAY(),CIQ("$"&amp;HP.TradeCurrency&amp;MO.ReportCurrency,"IQ_LASTSALEPRICE"),CIQAVG("$"&amp;HP.TradeCurrency&amp;MO.ReportCurrency,"IQ_LASTSALEPRICE",INDEX(MO_SNA_FPStartDate,0,COLUMN()),INDEX(MO_Common_QEndDate,0,COLUMN()))),"N/A")</f>
        <v>N/A</v>
      </c>
      <c r="BD1143" s="623" t="str">
        <f ca="1">IFERROR(IF(INDEX(MO_Common_QEndDate,0,COLUMN())&gt;TODAY(),CIQ("$"&amp;HP.TradeCurrency&amp;MO.ReportCurrency,"IQ_LASTSALEPRICE"),CIQAVG("$"&amp;HP.TradeCurrency&amp;MO.ReportCurrency,"IQ_LASTSALEPRICE",INDEX(MO_SNA_FPStartDate,0,COLUMN()),INDEX(MO_Common_QEndDate,0,COLUMN()))),"N/A")</f>
        <v>N/A</v>
      </c>
      <c r="BE1143" s="623" t="str">
        <f ca="1">IFERROR(IF(INDEX(MO_Common_QEndDate,0,COLUMN())&gt;TODAY(),CIQ("$"&amp;HP.TradeCurrency&amp;MO.ReportCurrency,"IQ_LASTSALEPRICE"),CIQAVG("$"&amp;HP.TradeCurrency&amp;MO.ReportCurrency,"IQ_LASTSALEPRICE",INDEX(MO_SNA_FPStartDate,0,COLUMN()),INDEX(MO_Common_QEndDate,0,COLUMN()))),"N/A")</f>
        <v>N/A</v>
      </c>
      <c r="BF1143" s="623" t="str">
        <f ca="1">IFERROR(IF(INDEX(MO_Common_QEndDate,0,COLUMN())&gt;TODAY(),CIQ("$"&amp;HP.TradeCurrency&amp;MO.ReportCurrency,"IQ_LASTSALEPRICE"),CIQAVG("$"&amp;HP.TradeCurrency&amp;MO.ReportCurrency,"IQ_LASTSALEPRICE",INDEX(MO_SNA_FPStartDate,0,COLUMN()),INDEX(MO_Common_QEndDate,0,COLUMN()))),"N/A")</f>
        <v>N/A</v>
      </c>
      <c r="BG1143" s="625" t="str">
        <f ca="1">IFERROR(IF(INDEX(MO_Common_QEndDate,0,COLUMN())&gt;TODAY(),CIQ("$"&amp;HP.TradeCurrency&amp;MO.ReportCurrency,"IQ_LASTSALEPRICE"),CIQAVG("$"&amp;HP.TradeCurrency&amp;MO.ReportCurrency,"IQ_LASTSALEPRICE",INDEX(MO_SNA_FPStartDate,0,COLUMN()),INDEX(MO_Common_QEndDate,0,COLUMN()))),"N/A")</f>
        <v>N/A</v>
      </c>
      <c r="BH1143" s="430"/>
    </row>
    <row r="1144" spans="1:60" s="431" customFormat="1" hidden="1" outlineLevel="1" x14ac:dyDescent="0.25">
      <c r="A1144" s="432" t="s">
        <v>406</v>
      </c>
      <c r="B1144" s="623"/>
      <c r="C1144" s="622" t="str">
        <f ca="1">IFERROR(IF(INDEX(MO_Common_QEndDate,0,COLUMN())&gt;TODAY(),FDS(MO.ReportCurrency&amp;HP.TradeCurrency,"FG_PRICE(NOW)"),FDS(MO.ReportCurrency&amp;HP.TradeCurrency,"P_PRICE_AVG("&amp;INDEX(MO_SNA_FPStartDate,0,COLUMN())&amp;","&amp;INDEX(MO_Common_QEndDate,0,COLUMN())&amp;",,,,0)")),"N/A")</f>
        <v>N/A</v>
      </c>
      <c r="D1144" s="622" t="str">
        <f ca="1">IFERROR(IF(INDEX(MO_Common_QEndDate,0,COLUMN())&gt;TODAY(),FDS(MO.ReportCurrency&amp;HP.TradeCurrency,"FG_PRICE(NOW)"),FDS(MO.ReportCurrency&amp;HP.TradeCurrency,"P_PRICE_AVG("&amp;INDEX(MO_SNA_FPStartDate,0,COLUMN())&amp;","&amp;INDEX(MO_Common_QEndDate,0,COLUMN())&amp;",,,,0)")),"N/A")</f>
        <v>N/A</v>
      </c>
      <c r="E1144" s="623" t="str">
        <f ca="1">IFERROR(IF(INDEX(MO_Common_QEndDate,0,COLUMN())&gt;TODAY(),FDS(MO.ReportCurrency&amp;HP.TradeCurrency,"FG_PRICE(NOW)"),FDS(MO.ReportCurrency&amp;HP.TradeCurrency,"P_PRICE_AVG("&amp;INDEX(MO_SNA_FPStartDate,0,COLUMN())&amp;","&amp;INDEX(MO_Common_QEndDate,0,COLUMN())&amp;",,,,0)")),"N/A")</f>
        <v>N/A</v>
      </c>
      <c r="F1144" s="623" t="str">
        <f ca="1">IFERROR(IF(INDEX(MO_Common_QEndDate,0,COLUMN())&gt;TODAY(),FDS(MO.ReportCurrency&amp;HP.TradeCurrency,"FG_PRICE(NOW)"),FDS(MO.ReportCurrency&amp;HP.TradeCurrency,"P_PRICE_AVG("&amp;INDEX(MO_SNA_FPStartDate,0,COLUMN())&amp;","&amp;INDEX(MO_Common_QEndDate,0,COLUMN())&amp;",,,,0)")),"N/A")</f>
        <v>N/A</v>
      </c>
      <c r="G1144" s="623" t="str">
        <f ca="1">IFERROR(IF(INDEX(MO_Common_QEndDate,0,COLUMN())&gt;TODAY(),FDS(MO.ReportCurrency&amp;HP.TradeCurrency,"FG_PRICE(NOW)"),FDS(MO.ReportCurrency&amp;HP.TradeCurrency,"P_PRICE_AVG("&amp;INDEX(MO_SNA_FPStartDate,0,COLUMN())&amp;","&amp;INDEX(MO_Common_QEndDate,0,COLUMN())&amp;",,,,0)")),"N/A")</f>
        <v>N/A</v>
      </c>
      <c r="H1144" s="623" t="str">
        <f ca="1">IFERROR(IF(INDEX(MO_Common_QEndDate,0,COLUMN())&gt;TODAY(),FDS(MO.ReportCurrency&amp;HP.TradeCurrency,"FG_PRICE(NOW)"),FDS(MO.ReportCurrency&amp;HP.TradeCurrency,"P_PRICE_AVG("&amp;INDEX(MO_SNA_FPStartDate,0,COLUMN())&amp;","&amp;INDEX(MO_Common_QEndDate,0,COLUMN())&amp;",,,,0)")),"N/A")</f>
        <v>N/A</v>
      </c>
      <c r="I1144" s="623" t="str">
        <f ca="1">IFERROR(IF(INDEX(MO_Common_QEndDate,0,COLUMN())&gt;TODAY(),FDS(MO.ReportCurrency&amp;HP.TradeCurrency,"FG_PRICE(NOW)"),FDS(MO.ReportCurrency&amp;HP.TradeCurrency,"P_PRICE_AVG("&amp;INDEX(MO_SNA_FPStartDate,0,COLUMN())&amp;","&amp;INDEX(MO_Common_QEndDate,0,COLUMN())&amp;",,,,0)")),"N/A")</f>
        <v>N/A</v>
      </c>
      <c r="J1144" s="623" t="str">
        <f ca="1">IFERROR(IF(INDEX(MO_Common_QEndDate,0,COLUMN())&gt;TODAY(),FDS(MO.ReportCurrency&amp;HP.TradeCurrency,"FG_PRICE(NOW)"),FDS(MO.ReportCurrency&amp;HP.TradeCurrency,"P_PRICE_AVG("&amp;INDEX(MO_SNA_FPStartDate,0,COLUMN())&amp;","&amp;INDEX(MO_Common_QEndDate,0,COLUMN())&amp;",,,,0)")),"N/A")</f>
        <v>N/A</v>
      </c>
      <c r="K1144" s="623" t="str">
        <f ca="1">IFERROR(IF(INDEX(MO_Common_QEndDate,0,COLUMN())&gt;TODAY(),FDS(MO.ReportCurrency&amp;HP.TradeCurrency,"FG_PRICE(NOW)"),FDS(MO.ReportCurrency&amp;HP.TradeCurrency,"P_PRICE_AVG("&amp;INDEX(MO_SNA_FPStartDate,0,COLUMN())&amp;","&amp;INDEX(MO_Common_QEndDate,0,COLUMN())&amp;",,,,0)")),"N/A")</f>
        <v>N/A</v>
      </c>
      <c r="L1144" s="623" t="str">
        <f ca="1">IFERROR(IF(INDEX(MO_Common_QEndDate,0,COLUMN())&gt;TODAY(),FDS(MO.ReportCurrency&amp;HP.TradeCurrency,"FG_PRICE(NOW)"),FDS(MO.ReportCurrency&amp;HP.TradeCurrency,"P_PRICE_AVG("&amp;INDEX(MO_SNA_FPStartDate,0,COLUMN())&amp;","&amp;INDEX(MO_Common_QEndDate,0,COLUMN())&amp;",,,,0)")),"N/A")</f>
        <v>N/A</v>
      </c>
      <c r="M1144" s="623" t="str">
        <f ca="1">IFERROR(IF(INDEX(MO_Common_QEndDate,0,COLUMN())&gt;TODAY(),FDS(MO.ReportCurrency&amp;HP.TradeCurrency,"FG_PRICE(NOW)"),FDS(MO.ReportCurrency&amp;HP.TradeCurrency,"P_PRICE_AVG("&amp;INDEX(MO_SNA_FPStartDate,0,COLUMN())&amp;","&amp;INDEX(MO_Common_QEndDate,0,COLUMN())&amp;",,,,0)")),"N/A")</f>
        <v>N/A</v>
      </c>
      <c r="N1144" s="623" t="str">
        <f ca="1">IFERROR(IF(INDEX(MO_Common_QEndDate,0,COLUMN())&gt;TODAY(),FDS(MO.ReportCurrency&amp;HP.TradeCurrency,"FG_PRICE(NOW)"),FDS(MO.ReportCurrency&amp;HP.TradeCurrency,"P_PRICE_AVG("&amp;INDEX(MO_SNA_FPStartDate,0,COLUMN())&amp;","&amp;INDEX(MO_Common_QEndDate,0,COLUMN())&amp;",,,,0)")),"N/A")</f>
        <v>N/A</v>
      </c>
      <c r="O1144" s="623" t="str">
        <f ca="1">IFERROR(IF(INDEX(MO_Common_QEndDate,0,COLUMN())&gt;TODAY(),FDS(MO.ReportCurrency&amp;HP.TradeCurrency,"FG_PRICE(NOW)"),FDS(MO.ReportCurrency&amp;HP.TradeCurrency,"P_PRICE_AVG("&amp;INDEX(MO_SNA_FPStartDate,0,COLUMN())&amp;","&amp;INDEX(MO_Common_QEndDate,0,COLUMN())&amp;",,,,0)")),"N/A")</f>
        <v>N/A</v>
      </c>
      <c r="P1144" s="623" t="str">
        <f ca="1">IFERROR(IF(INDEX(MO_Common_QEndDate,0,COLUMN())&gt;TODAY(),FDS(MO.ReportCurrency&amp;HP.TradeCurrency,"FG_PRICE(NOW)"),FDS(MO.ReportCurrency&amp;HP.TradeCurrency,"P_PRICE_AVG("&amp;INDEX(MO_SNA_FPStartDate,0,COLUMN())&amp;","&amp;INDEX(MO_Common_QEndDate,0,COLUMN())&amp;",,,,0)")),"N/A")</f>
        <v>N/A</v>
      </c>
      <c r="Q1144" s="623" t="str">
        <f ca="1">IFERROR(IF(INDEX(MO_Common_QEndDate,0,COLUMN())&gt;TODAY(),FDS(MO.ReportCurrency&amp;HP.TradeCurrency,"FG_PRICE(NOW)"),FDS(MO.ReportCurrency&amp;HP.TradeCurrency,"P_PRICE_AVG("&amp;INDEX(MO_SNA_FPStartDate,0,COLUMN())&amp;","&amp;INDEX(MO_Common_QEndDate,0,COLUMN())&amp;",,,,0)")),"N/A")</f>
        <v>N/A</v>
      </c>
      <c r="R1144" s="623" t="str">
        <f ca="1">IFERROR(IF(INDEX(MO_Common_QEndDate,0,COLUMN())&gt;TODAY(),FDS(MO.ReportCurrency&amp;HP.TradeCurrency,"FG_PRICE(NOW)"),FDS(MO.ReportCurrency&amp;HP.TradeCurrency,"P_PRICE_AVG("&amp;INDEX(MO_SNA_FPStartDate,0,COLUMN())&amp;","&amp;INDEX(MO_Common_QEndDate,0,COLUMN())&amp;",,,,0)")),"N/A")</f>
        <v>N/A</v>
      </c>
      <c r="S1144" s="623" t="str">
        <f ca="1">IFERROR(IF(INDEX(MO_Common_QEndDate,0,COLUMN())&gt;TODAY(),FDS(MO.ReportCurrency&amp;HP.TradeCurrency,"FG_PRICE(NOW)"),FDS(MO.ReportCurrency&amp;HP.TradeCurrency,"P_PRICE_AVG("&amp;INDEX(MO_SNA_FPStartDate,0,COLUMN())&amp;","&amp;INDEX(MO_Common_QEndDate,0,COLUMN())&amp;",,,,0)")),"N/A")</f>
        <v>N/A</v>
      </c>
      <c r="T1144" s="623" t="str">
        <f ca="1">IFERROR(IF(INDEX(MO_Common_QEndDate,0,COLUMN())&gt;TODAY(),FDS(MO.ReportCurrency&amp;HP.TradeCurrency,"FG_PRICE(NOW)"),FDS(MO.ReportCurrency&amp;HP.TradeCurrency,"P_PRICE_AVG("&amp;INDEX(MO_SNA_FPStartDate,0,COLUMN())&amp;","&amp;INDEX(MO_Common_QEndDate,0,COLUMN())&amp;",,,,0)")),"N/A")</f>
        <v>N/A</v>
      </c>
      <c r="U1144" s="623" t="str">
        <f ca="1">IFERROR(IF(INDEX(MO_Common_QEndDate,0,COLUMN())&gt;TODAY(),FDS(MO.ReportCurrency&amp;HP.TradeCurrency,"FG_PRICE(NOW)"),FDS(MO.ReportCurrency&amp;HP.TradeCurrency,"P_PRICE_AVG("&amp;INDEX(MO_SNA_FPStartDate,0,COLUMN())&amp;","&amp;INDEX(MO_Common_QEndDate,0,COLUMN())&amp;",,,,0)")),"N/A")</f>
        <v>N/A</v>
      </c>
      <c r="V1144" s="623" t="str">
        <f ca="1">IFERROR(IF(INDEX(MO_Common_QEndDate,0,COLUMN())&gt;TODAY(),FDS(MO.ReportCurrency&amp;HP.TradeCurrency,"FG_PRICE(NOW)"),FDS(MO.ReportCurrency&amp;HP.TradeCurrency,"P_PRICE_AVG("&amp;INDEX(MO_SNA_FPStartDate,0,COLUMN())&amp;","&amp;INDEX(MO_Common_QEndDate,0,COLUMN())&amp;",,,,0)")),"N/A")</f>
        <v>N/A</v>
      </c>
      <c r="W1144" s="623" t="str">
        <f ca="1">IFERROR(IF(INDEX(MO_Common_QEndDate,0,COLUMN())&gt;TODAY(),FDS(MO.ReportCurrency&amp;HP.TradeCurrency,"FG_PRICE(NOW)"),FDS(MO.ReportCurrency&amp;HP.TradeCurrency,"P_PRICE_AVG("&amp;INDEX(MO_SNA_FPStartDate,0,COLUMN())&amp;","&amp;INDEX(MO_Common_QEndDate,0,COLUMN())&amp;",,,,0)")),"N/A")</f>
        <v>N/A</v>
      </c>
      <c r="X1144" s="623" t="str">
        <f ca="1">IFERROR(IF(INDEX(MO_Common_QEndDate,0,COLUMN())&gt;TODAY(),FDS(MO.ReportCurrency&amp;HP.TradeCurrency,"FG_PRICE(NOW)"),FDS(MO.ReportCurrency&amp;HP.TradeCurrency,"P_PRICE_AVG("&amp;INDEX(MO_SNA_FPStartDate,0,COLUMN())&amp;","&amp;INDEX(MO_Common_QEndDate,0,COLUMN())&amp;",,,,0)")),"N/A")</f>
        <v>N/A</v>
      </c>
      <c r="Y1144" s="623" t="str">
        <f ca="1">IFERROR(IF(INDEX(MO_Common_QEndDate,0,COLUMN())&gt;TODAY(),FDS(MO.ReportCurrency&amp;HP.TradeCurrency,"FG_PRICE(NOW)"),FDS(MO.ReportCurrency&amp;HP.TradeCurrency,"P_PRICE_AVG("&amp;INDEX(MO_SNA_FPStartDate,0,COLUMN())&amp;","&amp;INDEX(MO_Common_QEndDate,0,COLUMN())&amp;",,,,0)")),"N/A")</f>
        <v>N/A</v>
      </c>
      <c r="Z1144" s="623" t="str">
        <f ca="1">IFERROR(IF(INDEX(MO_Common_QEndDate,0,COLUMN())&gt;TODAY(),FDS(MO.ReportCurrency&amp;HP.TradeCurrency,"FG_PRICE(NOW)"),FDS(MO.ReportCurrency&amp;HP.TradeCurrency,"P_PRICE_AVG("&amp;INDEX(MO_SNA_FPStartDate,0,COLUMN())&amp;","&amp;INDEX(MO_Common_QEndDate,0,COLUMN())&amp;",,,,0)")),"N/A")</f>
        <v>N/A</v>
      </c>
      <c r="AA1144" s="623" t="str">
        <f ca="1">IFERROR(IF(INDEX(MO_Common_QEndDate,0,COLUMN())&gt;TODAY(),FDS(MO.ReportCurrency&amp;HP.TradeCurrency,"FG_PRICE(NOW)"),FDS(MO.ReportCurrency&amp;HP.TradeCurrency,"P_PRICE_AVG("&amp;INDEX(MO_SNA_FPStartDate,0,COLUMN())&amp;","&amp;INDEX(MO_Common_QEndDate,0,COLUMN())&amp;",,,,0)")),"N/A")</f>
        <v>N/A</v>
      </c>
      <c r="AB1144" s="623" t="str">
        <f ca="1">IFERROR(IF(INDEX(MO_Common_QEndDate,0,COLUMN())&gt;TODAY(),FDS(MO.ReportCurrency&amp;HP.TradeCurrency,"FG_PRICE(NOW)"),FDS(MO.ReportCurrency&amp;HP.TradeCurrency,"P_PRICE_AVG("&amp;INDEX(MO_SNA_FPStartDate,0,COLUMN())&amp;","&amp;INDEX(MO_Common_QEndDate,0,COLUMN())&amp;",,,,0)")),"N/A")</f>
        <v>N/A</v>
      </c>
      <c r="AC1144" s="623" t="str">
        <f ca="1">IFERROR(IF(INDEX(MO_Common_QEndDate,0,COLUMN())&gt;TODAY(),FDS(MO.ReportCurrency&amp;HP.TradeCurrency,"FG_PRICE(NOW)"),FDS(MO.ReportCurrency&amp;HP.TradeCurrency,"P_PRICE_AVG("&amp;INDEX(MO_SNA_FPStartDate,0,COLUMN())&amp;","&amp;INDEX(MO_Common_QEndDate,0,COLUMN())&amp;",,,,0)")),"N/A")</f>
        <v>N/A</v>
      </c>
      <c r="AD1144" s="623" t="str">
        <f ca="1">IFERROR(IF(INDEX(MO_Common_QEndDate,0,COLUMN())&gt;TODAY(),FDS(MO.ReportCurrency&amp;HP.TradeCurrency,"FG_PRICE(NOW)"),FDS(MO.ReportCurrency&amp;HP.TradeCurrency,"P_PRICE_AVG("&amp;INDEX(MO_SNA_FPStartDate,0,COLUMN())&amp;","&amp;INDEX(MO_Common_QEndDate,0,COLUMN())&amp;",,,,0)")),"N/A")</f>
        <v>N/A</v>
      </c>
      <c r="AE1144" s="623" t="str">
        <f ca="1">IFERROR(IF(INDEX(MO_Common_QEndDate,0,COLUMN())&gt;TODAY(),FDS(MO.ReportCurrency&amp;HP.TradeCurrency,"FG_PRICE(NOW)"),FDS(MO.ReportCurrency&amp;HP.TradeCurrency,"P_PRICE_AVG("&amp;INDEX(MO_SNA_FPStartDate,0,COLUMN())&amp;","&amp;INDEX(MO_Common_QEndDate,0,COLUMN())&amp;",,,,0)")),"N/A")</f>
        <v>N/A</v>
      </c>
      <c r="AF1144" s="623" t="str">
        <f ca="1">IFERROR(IF(INDEX(MO_Common_QEndDate,0,COLUMN())&gt;TODAY(),FDS(MO.ReportCurrency&amp;HP.TradeCurrency,"FG_PRICE(NOW)"),FDS(MO.ReportCurrency&amp;HP.TradeCurrency,"P_PRICE_AVG("&amp;INDEX(MO_SNA_FPStartDate,0,COLUMN())&amp;","&amp;INDEX(MO_Common_QEndDate,0,COLUMN())&amp;",,,,0)")),"N/A")</f>
        <v>N/A</v>
      </c>
      <c r="AG1144" s="623" t="str">
        <f ca="1">IFERROR(IF(INDEX(MO_Common_QEndDate,0,COLUMN())&gt;TODAY(),FDS(MO.ReportCurrency&amp;HP.TradeCurrency,"FG_PRICE(NOW)"),FDS(MO.ReportCurrency&amp;HP.TradeCurrency,"P_PRICE_AVG("&amp;INDEX(MO_SNA_FPStartDate,0,COLUMN())&amp;","&amp;INDEX(MO_Common_QEndDate,0,COLUMN())&amp;",,,,0)")),"N/A")</f>
        <v>N/A</v>
      </c>
      <c r="AH1144" s="623" t="str">
        <f ca="1">IFERROR(IF(INDEX(MO_Common_QEndDate,0,COLUMN())&gt;TODAY(),FDS(MO.ReportCurrency&amp;HP.TradeCurrency,"FG_PRICE(NOW)"),FDS(MO.ReportCurrency&amp;HP.TradeCurrency,"P_PRICE_AVG("&amp;INDEX(MO_SNA_FPStartDate,0,COLUMN())&amp;","&amp;INDEX(MO_Common_QEndDate,0,COLUMN())&amp;",,,,0)")),"N/A")</f>
        <v>N/A</v>
      </c>
      <c r="AI1144" s="623" t="str">
        <f ca="1">IFERROR(IF(INDEX(MO_Common_QEndDate,0,COLUMN())&gt;TODAY(),FDS(MO.ReportCurrency&amp;HP.TradeCurrency,"FG_PRICE(NOW)"),FDS(MO.ReportCurrency&amp;HP.TradeCurrency,"P_PRICE_AVG("&amp;INDEX(MO_SNA_FPStartDate,0,COLUMN())&amp;","&amp;INDEX(MO_Common_QEndDate,0,COLUMN())&amp;",,,,0)")),"N/A")</f>
        <v>N/A</v>
      </c>
      <c r="AJ1144" s="623" t="str">
        <f ca="1">IFERROR(IF(INDEX(MO_Common_QEndDate,0,COLUMN())&gt;TODAY(),FDS(MO.ReportCurrency&amp;HP.TradeCurrency,"FG_PRICE(NOW)"),FDS(MO.ReportCurrency&amp;HP.TradeCurrency,"P_PRICE_AVG("&amp;INDEX(MO_SNA_FPStartDate,0,COLUMN())&amp;","&amp;INDEX(MO_Common_QEndDate,0,COLUMN())&amp;",,,,0)")),"N/A")</f>
        <v>N/A</v>
      </c>
      <c r="AK1144" s="623" t="str">
        <f ca="1">IFERROR(IF(INDEX(MO_Common_QEndDate,0,COLUMN())&gt;TODAY(),FDS(MO.ReportCurrency&amp;HP.TradeCurrency,"FG_PRICE(NOW)"),FDS(MO.ReportCurrency&amp;HP.TradeCurrency,"P_PRICE_AVG("&amp;INDEX(MO_SNA_FPStartDate,0,COLUMN())&amp;","&amp;INDEX(MO_Common_QEndDate,0,COLUMN())&amp;",,,,0)")),"N/A")</f>
        <v>N/A</v>
      </c>
      <c r="AL1144" s="623" t="str">
        <f ca="1">IFERROR(IF(INDEX(MO_Common_QEndDate,0,COLUMN())&gt;TODAY(),FDS(MO.ReportCurrency&amp;HP.TradeCurrency,"FG_PRICE(NOW)"),FDS(MO.ReportCurrency&amp;HP.TradeCurrency,"P_PRICE_AVG("&amp;INDEX(MO_SNA_FPStartDate,0,COLUMN())&amp;","&amp;INDEX(MO_Common_QEndDate,0,COLUMN())&amp;",,,,0)")),"N/A")</f>
        <v>N/A</v>
      </c>
      <c r="AM1144" s="623" t="str">
        <f ca="1">IFERROR(IF(INDEX(MO_Common_QEndDate,0,COLUMN())&gt;TODAY(),FDS(MO.ReportCurrency&amp;HP.TradeCurrency,"FG_PRICE(NOW)"),FDS(MO.ReportCurrency&amp;HP.TradeCurrency,"P_PRICE_AVG("&amp;INDEX(MO_SNA_FPStartDate,0,COLUMN())&amp;","&amp;INDEX(MO_Common_QEndDate,0,COLUMN())&amp;",,,,0)")),"N/A")</f>
        <v>N/A</v>
      </c>
      <c r="AN1144" s="623" t="str">
        <f ca="1">IFERROR(IF(INDEX(MO_Common_QEndDate,0,COLUMN())&gt;TODAY(),FDS(MO.ReportCurrency&amp;HP.TradeCurrency,"FG_PRICE(NOW)"),FDS(MO.ReportCurrency&amp;HP.TradeCurrency,"P_PRICE_AVG("&amp;INDEX(MO_SNA_FPStartDate,0,COLUMN())&amp;","&amp;INDEX(MO_Common_QEndDate,0,COLUMN())&amp;",,,,0)")),"N/A")</f>
        <v>N/A</v>
      </c>
      <c r="AO1144" s="623" t="str">
        <f ca="1">IFERROR(IF(INDEX(MO_Common_QEndDate,0,COLUMN())&gt;TODAY(),FDS(MO.ReportCurrency&amp;HP.TradeCurrency,"FG_PRICE(NOW)"),FDS(MO.ReportCurrency&amp;HP.TradeCurrency,"P_PRICE_AVG("&amp;INDEX(MO_SNA_FPStartDate,0,COLUMN())&amp;","&amp;INDEX(MO_Common_QEndDate,0,COLUMN())&amp;",,,,0)")),"N/A")</f>
        <v>N/A</v>
      </c>
      <c r="AP1144" s="623" t="str">
        <f ca="1">IFERROR(IF(INDEX(MO_Common_QEndDate,0,COLUMN())&gt;TODAY(),FDS(MO.ReportCurrency&amp;HP.TradeCurrency,"FG_PRICE(NOW)"),FDS(MO.ReportCurrency&amp;HP.TradeCurrency,"P_PRICE_AVG("&amp;INDEX(MO_SNA_FPStartDate,0,COLUMN())&amp;","&amp;INDEX(MO_Common_QEndDate,0,COLUMN())&amp;",,,,0)")),"N/A")</f>
        <v>N/A</v>
      </c>
      <c r="AQ1144" s="623" t="str">
        <f ca="1">IFERROR(IF(INDEX(MO_Common_QEndDate,0,COLUMN())&gt;TODAY(),FDS(MO.ReportCurrency&amp;HP.TradeCurrency,"FG_PRICE(NOW)"),FDS(MO.ReportCurrency&amp;HP.TradeCurrency,"P_PRICE_AVG("&amp;INDEX(MO_SNA_FPStartDate,0,COLUMN())&amp;","&amp;INDEX(MO_Common_QEndDate,0,COLUMN())&amp;",,,,0)")),"N/A")</f>
        <v>N/A</v>
      </c>
      <c r="AR1144" s="623" t="str">
        <f ca="1">IFERROR(IF(INDEX(MO_Common_QEndDate,0,COLUMN())&gt;TODAY(),FDS(MO.ReportCurrency&amp;HP.TradeCurrency,"FG_PRICE(NOW)"),FDS(MO.ReportCurrency&amp;HP.TradeCurrency,"P_PRICE_AVG("&amp;INDEX(MO_SNA_FPStartDate,0,COLUMN())&amp;","&amp;INDEX(MO_Common_QEndDate,0,COLUMN())&amp;",,,,0)")),"N/A")</f>
        <v>N/A</v>
      </c>
      <c r="AS1144" s="623" t="str">
        <f ca="1">IFERROR(IF(INDEX(MO_Common_QEndDate,0,COLUMN())&gt;TODAY(),FDS(MO.ReportCurrency&amp;HP.TradeCurrency,"FG_PRICE(NOW)"),FDS(MO.ReportCurrency&amp;HP.TradeCurrency,"P_PRICE_AVG("&amp;INDEX(MO_SNA_FPStartDate,0,COLUMN())&amp;","&amp;INDEX(MO_Common_QEndDate,0,COLUMN())&amp;",,,,0)")),"N/A")</f>
        <v>N/A</v>
      </c>
      <c r="AT1144" s="623" t="str">
        <f ca="1">IFERROR(IF(INDEX(MO_Common_QEndDate,0,COLUMN())&gt;TODAY(),FDS(MO.ReportCurrency&amp;HP.TradeCurrency,"FG_PRICE(NOW)"),FDS(MO.ReportCurrency&amp;HP.TradeCurrency,"P_PRICE_AVG("&amp;INDEX(MO_SNA_FPStartDate,0,COLUMN())&amp;","&amp;INDEX(MO_Common_QEndDate,0,COLUMN())&amp;",,,,0)")),"N/A")</f>
        <v>N/A</v>
      </c>
      <c r="AU1144" s="623" t="str">
        <f ca="1">IFERROR(IF(INDEX(MO_Common_QEndDate,0,COLUMN())&gt;TODAY(),FDS(MO.ReportCurrency&amp;HP.TradeCurrency,"FG_PRICE(NOW)"),FDS(MO.ReportCurrency&amp;HP.TradeCurrency,"P_PRICE_AVG("&amp;INDEX(MO_SNA_FPStartDate,0,COLUMN())&amp;","&amp;INDEX(MO_Common_QEndDate,0,COLUMN())&amp;",,,,0)")),"N/A")</f>
        <v>N/A</v>
      </c>
      <c r="AV1144" s="623" t="str">
        <f ca="1">IFERROR(IF(INDEX(MO_Common_QEndDate,0,COLUMN())&gt;TODAY(),FDS(MO.ReportCurrency&amp;HP.TradeCurrency,"FG_PRICE(NOW)"),FDS(MO.ReportCurrency&amp;HP.TradeCurrency,"P_PRICE_AVG("&amp;INDEX(MO_SNA_FPStartDate,0,COLUMN())&amp;","&amp;INDEX(MO_Common_QEndDate,0,COLUMN())&amp;",,,,0)")),"N/A")</f>
        <v>N/A</v>
      </c>
      <c r="AW1144" s="624" t="str">
        <f ca="1">IFERROR(IF(INDEX(MO_Common_QEndDate,0,COLUMN())&gt;TODAY(),FDS(MO.ReportCurrency&amp;HP.TradeCurrency,"FG_PRICE(NOW)"),FDS(MO.ReportCurrency&amp;HP.TradeCurrency,"P_PRICE_AVG("&amp;INDEX(MO_SNA_FPStartDate,0,COLUMN())&amp;","&amp;INDEX(MO_Common_QEndDate,0,COLUMN())&amp;",,,,0)")),"N/A")</f>
        <v>N/A</v>
      </c>
      <c r="AX1144" s="623" t="str">
        <f ca="1">IFERROR(IF(INDEX(MO_Common_QEndDate,0,COLUMN())&gt;TODAY(),FDS(MO.ReportCurrency&amp;HP.TradeCurrency,"FG_PRICE(NOW)"),FDS(MO.ReportCurrency&amp;HP.TradeCurrency,"P_PRICE_AVG("&amp;INDEX(MO_SNA_FPStartDate,0,COLUMN())&amp;","&amp;INDEX(MO_Common_QEndDate,0,COLUMN())&amp;",,,,0)")),"N/A")</f>
        <v>N/A</v>
      </c>
      <c r="AY1144" s="623" t="str">
        <f ca="1">IFERROR(IF(INDEX(MO_Common_QEndDate,0,COLUMN())&gt;TODAY(),FDS(MO.ReportCurrency&amp;HP.TradeCurrency,"FG_PRICE(NOW)"),FDS(MO.ReportCurrency&amp;HP.TradeCurrency,"P_PRICE_AVG("&amp;INDEX(MO_SNA_FPStartDate,0,COLUMN())&amp;","&amp;INDEX(MO_Common_QEndDate,0,COLUMN())&amp;",,,,0)")),"N/A")</f>
        <v>N/A</v>
      </c>
      <c r="AZ1144" s="623" t="str">
        <f ca="1">IFERROR(IF(INDEX(MO_Common_QEndDate,0,COLUMN())&gt;TODAY(),FDS(MO.ReportCurrency&amp;HP.TradeCurrency,"FG_PRICE(NOW)"),FDS(MO.ReportCurrency&amp;HP.TradeCurrency,"P_PRICE_AVG("&amp;INDEX(MO_SNA_FPStartDate,0,COLUMN())&amp;","&amp;INDEX(MO_Common_QEndDate,0,COLUMN())&amp;",,,,0)")),"N/A")</f>
        <v>N/A</v>
      </c>
      <c r="BA1144" s="623" t="str">
        <f ca="1">IFERROR(IF(INDEX(MO_Common_QEndDate,0,COLUMN())&gt;TODAY(),FDS(MO.ReportCurrency&amp;HP.TradeCurrency,"FG_PRICE(NOW)"),FDS(MO.ReportCurrency&amp;HP.TradeCurrency,"P_PRICE_AVG("&amp;INDEX(MO_SNA_FPStartDate,0,COLUMN())&amp;","&amp;INDEX(MO_Common_QEndDate,0,COLUMN())&amp;",,,,0)")),"N/A")</f>
        <v>N/A</v>
      </c>
      <c r="BB1144" s="623" t="str">
        <f ca="1">IFERROR(IF(INDEX(MO_Common_QEndDate,0,COLUMN())&gt;TODAY(),FDS(MO.ReportCurrency&amp;HP.TradeCurrency,"FG_PRICE(NOW)"),FDS(MO.ReportCurrency&amp;HP.TradeCurrency,"P_PRICE_AVG("&amp;INDEX(MO_SNA_FPStartDate,0,COLUMN())&amp;","&amp;INDEX(MO_Common_QEndDate,0,COLUMN())&amp;",,,,0)")),"N/A")</f>
        <v>N/A</v>
      </c>
      <c r="BC1144" s="623" t="str">
        <f ca="1">IFERROR(IF(INDEX(MO_Common_QEndDate,0,COLUMN())&gt;TODAY(),FDS(MO.ReportCurrency&amp;HP.TradeCurrency,"FG_PRICE(NOW)"),FDS(MO.ReportCurrency&amp;HP.TradeCurrency,"P_PRICE_AVG("&amp;INDEX(MO_SNA_FPStartDate,0,COLUMN())&amp;","&amp;INDEX(MO_Common_QEndDate,0,COLUMN())&amp;",,,,0)")),"N/A")</f>
        <v>N/A</v>
      </c>
      <c r="BD1144" s="623" t="str">
        <f ca="1">IFERROR(IF(INDEX(MO_Common_QEndDate,0,COLUMN())&gt;TODAY(),FDS(MO.ReportCurrency&amp;HP.TradeCurrency,"FG_PRICE(NOW)"),FDS(MO.ReportCurrency&amp;HP.TradeCurrency,"P_PRICE_AVG("&amp;INDEX(MO_SNA_FPStartDate,0,COLUMN())&amp;","&amp;INDEX(MO_Common_QEndDate,0,COLUMN())&amp;",,,,0)")),"N/A")</f>
        <v>N/A</v>
      </c>
      <c r="BE1144" s="623" t="str">
        <f ca="1">IFERROR(IF(INDEX(MO_Common_QEndDate,0,COLUMN())&gt;TODAY(),FDS(MO.ReportCurrency&amp;HP.TradeCurrency,"FG_PRICE(NOW)"),FDS(MO.ReportCurrency&amp;HP.TradeCurrency,"P_PRICE_AVG("&amp;INDEX(MO_SNA_FPStartDate,0,COLUMN())&amp;","&amp;INDEX(MO_Common_QEndDate,0,COLUMN())&amp;",,,,0)")),"N/A")</f>
        <v>N/A</v>
      </c>
      <c r="BF1144" s="623" t="str">
        <f ca="1">IFERROR(IF(INDEX(MO_Common_QEndDate,0,COLUMN())&gt;TODAY(),FDS(MO.ReportCurrency&amp;HP.TradeCurrency,"FG_PRICE(NOW)"),FDS(MO.ReportCurrency&amp;HP.TradeCurrency,"P_PRICE_AVG("&amp;INDEX(MO_SNA_FPStartDate,0,COLUMN())&amp;","&amp;INDEX(MO_Common_QEndDate,0,COLUMN())&amp;",,,,0)")),"N/A")</f>
        <v>N/A</v>
      </c>
      <c r="BG1144" s="625" t="str">
        <f ca="1">IFERROR(IF(INDEX(MO_Common_QEndDate,0,COLUMN())&gt;TODAY(),FDS(MO.ReportCurrency&amp;HP.TradeCurrency,"FG_PRICE(NOW)"),FDS(MO.ReportCurrency&amp;HP.TradeCurrency,"P_PRICE_AVG("&amp;INDEX(MO_SNA_FPStartDate,0,COLUMN())&amp;","&amp;INDEX(MO_Common_QEndDate,0,COLUMN())&amp;",,,,0)")),"N/A")</f>
        <v>N/A</v>
      </c>
      <c r="BH1144" s="430"/>
    </row>
    <row r="1145" spans="1:60" s="431" customFormat="1" hidden="1" outlineLevel="1" x14ac:dyDescent="0.25">
      <c r="A1145" s="432" t="s">
        <v>733</v>
      </c>
      <c r="B1145" s="623"/>
      <c r="C1145" s="622" t="str">
        <f t="shared" ref="C1145:AH1145" si="1213">"N/A"</f>
        <v>N/A</v>
      </c>
      <c r="D1145" s="622" t="str">
        <f t="shared" si="1213"/>
        <v>N/A</v>
      </c>
      <c r="E1145" s="623" t="str">
        <f t="shared" si="1213"/>
        <v>N/A</v>
      </c>
      <c r="F1145" s="623" t="str">
        <f t="shared" si="1213"/>
        <v>N/A</v>
      </c>
      <c r="G1145" s="623" t="str">
        <f t="shared" si="1213"/>
        <v>N/A</v>
      </c>
      <c r="H1145" s="623" t="str">
        <f t="shared" si="1213"/>
        <v>N/A</v>
      </c>
      <c r="I1145" s="623" t="str">
        <f t="shared" si="1213"/>
        <v>N/A</v>
      </c>
      <c r="J1145" s="623" t="str">
        <f t="shared" si="1213"/>
        <v>N/A</v>
      </c>
      <c r="K1145" s="623" t="str">
        <f t="shared" si="1213"/>
        <v>N/A</v>
      </c>
      <c r="L1145" s="623" t="str">
        <f t="shared" si="1213"/>
        <v>N/A</v>
      </c>
      <c r="M1145" s="623" t="str">
        <f t="shared" si="1213"/>
        <v>N/A</v>
      </c>
      <c r="N1145" s="623" t="str">
        <f t="shared" si="1213"/>
        <v>N/A</v>
      </c>
      <c r="O1145" s="623" t="str">
        <f t="shared" si="1213"/>
        <v>N/A</v>
      </c>
      <c r="P1145" s="623" t="str">
        <f t="shared" si="1213"/>
        <v>N/A</v>
      </c>
      <c r="Q1145" s="623" t="str">
        <f t="shared" si="1213"/>
        <v>N/A</v>
      </c>
      <c r="R1145" s="623" t="str">
        <f t="shared" si="1213"/>
        <v>N/A</v>
      </c>
      <c r="S1145" s="623" t="str">
        <f t="shared" si="1213"/>
        <v>N/A</v>
      </c>
      <c r="T1145" s="623" t="str">
        <f t="shared" si="1213"/>
        <v>N/A</v>
      </c>
      <c r="U1145" s="623" t="str">
        <f t="shared" si="1213"/>
        <v>N/A</v>
      </c>
      <c r="V1145" s="623" t="str">
        <f t="shared" si="1213"/>
        <v>N/A</v>
      </c>
      <c r="W1145" s="623" t="str">
        <f t="shared" si="1213"/>
        <v>N/A</v>
      </c>
      <c r="X1145" s="623" t="str">
        <f t="shared" si="1213"/>
        <v>N/A</v>
      </c>
      <c r="Y1145" s="623" t="str">
        <f t="shared" si="1213"/>
        <v>N/A</v>
      </c>
      <c r="Z1145" s="623" t="str">
        <f t="shared" si="1213"/>
        <v>N/A</v>
      </c>
      <c r="AA1145" s="623" t="str">
        <f t="shared" si="1213"/>
        <v>N/A</v>
      </c>
      <c r="AB1145" s="623" t="str">
        <f t="shared" si="1213"/>
        <v>N/A</v>
      </c>
      <c r="AC1145" s="623" t="str">
        <f t="shared" si="1213"/>
        <v>N/A</v>
      </c>
      <c r="AD1145" s="623" t="str">
        <f t="shared" si="1213"/>
        <v>N/A</v>
      </c>
      <c r="AE1145" s="623" t="str">
        <f t="shared" si="1213"/>
        <v>N/A</v>
      </c>
      <c r="AF1145" s="623" t="str">
        <f t="shared" si="1213"/>
        <v>N/A</v>
      </c>
      <c r="AG1145" s="623" t="str">
        <f t="shared" si="1213"/>
        <v>N/A</v>
      </c>
      <c r="AH1145" s="623" t="str">
        <f t="shared" si="1213"/>
        <v>N/A</v>
      </c>
      <c r="AI1145" s="623" t="str">
        <f t="shared" ref="AI1145:AY1145" si="1214">"N/A"</f>
        <v>N/A</v>
      </c>
      <c r="AJ1145" s="623" t="str">
        <f t="shared" si="1214"/>
        <v>N/A</v>
      </c>
      <c r="AK1145" s="623" t="str">
        <f t="shared" si="1214"/>
        <v>N/A</v>
      </c>
      <c r="AL1145" s="623" t="str">
        <f t="shared" si="1214"/>
        <v>N/A</v>
      </c>
      <c r="AM1145" s="623" t="str">
        <f t="shared" si="1214"/>
        <v>N/A</v>
      </c>
      <c r="AN1145" s="623" t="str">
        <f t="shared" si="1214"/>
        <v>N/A</v>
      </c>
      <c r="AO1145" s="623" t="str">
        <f t="shared" si="1214"/>
        <v>N/A</v>
      </c>
      <c r="AP1145" s="623" t="str">
        <f t="shared" si="1214"/>
        <v>N/A</v>
      </c>
      <c r="AQ1145" s="623" t="str">
        <f t="shared" si="1214"/>
        <v>N/A</v>
      </c>
      <c r="AR1145" s="623" t="str">
        <f t="shared" si="1214"/>
        <v>N/A</v>
      </c>
      <c r="AS1145" s="623" t="str">
        <f>"N/A"</f>
        <v>N/A</v>
      </c>
      <c r="AT1145" s="623" t="str">
        <f>"N/A"</f>
        <v>N/A</v>
      </c>
      <c r="AU1145" s="623" t="str">
        <f>"N/A"</f>
        <v>N/A</v>
      </c>
      <c r="AV1145" s="623" t="str">
        <f>"N/A"</f>
        <v>N/A</v>
      </c>
      <c r="AW1145" s="624" t="str">
        <f>"N/A"</f>
        <v>N/A</v>
      </c>
      <c r="AX1145" s="623" t="str">
        <f t="shared" si="1214"/>
        <v>N/A</v>
      </c>
      <c r="AY1145" s="623" t="str">
        <f t="shared" si="1214"/>
        <v>N/A</v>
      </c>
      <c r="AZ1145" s="623" t="str">
        <f t="shared" ref="AZ1145:BG1145" si="1215">"N/A"</f>
        <v>N/A</v>
      </c>
      <c r="BA1145" s="623" t="str">
        <f t="shared" si="1215"/>
        <v>N/A</v>
      </c>
      <c r="BB1145" s="623" t="str">
        <f t="shared" si="1215"/>
        <v>N/A</v>
      </c>
      <c r="BC1145" s="623" t="str">
        <f t="shared" si="1215"/>
        <v>N/A</v>
      </c>
      <c r="BD1145" s="623" t="str">
        <f t="shared" si="1215"/>
        <v>N/A</v>
      </c>
      <c r="BE1145" s="623" t="str">
        <f t="shared" si="1215"/>
        <v>N/A</v>
      </c>
      <c r="BF1145" s="623" t="str">
        <f t="shared" si="1215"/>
        <v>N/A</v>
      </c>
      <c r="BG1145" s="625" t="str">
        <f t="shared" si="1215"/>
        <v>N/A</v>
      </c>
      <c r="BH1145" s="430"/>
    </row>
    <row r="1146" spans="1:60" s="15" customFormat="1" collapsed="1" x14ac:dyDescent="0.25">
      <c r="A1146" s="274"/>
      <c r="B1146" s="269"/>
      <c r="C1146" s="270"/>
      <c r="D1146" s="270"/>
      <c r="E1146" s="269"/>
      <c r="F1146" s="269"/>
      <c r="G1146" s="269"/>
      <c r="H1146" s="269"/>
      <c r="I1146" s="269"/>
      <c r="J1146" s="269"/>
      <c r="K1146" s="269"/>
      <c r="L1146" s="269"/>
      <c r="M1146" s="269"/>
      <c r="N1146" s="269"/>
      <c r="O1146" s="269"/>
      <c r="P1146" s="269"/>
      <c r="Q1146" s="269"/>
      <c r="R1146" s="269"/>
      <c r="S1146" s="269"/>
      <c r="T1146" s="269"/>
      <c r="U1146" s="269"/>
      <c r="V1146" s="269"/>
      <c r="W1146" s="269"/>
      <c r="X1146" s="269"/>
      <c r="Y1146" s="269"/>
      <c r="Z1146" s="269"/>
      <c r="AA1146" s="269"/>
      <c r="AB1146" s="269"/>
      <c r="AC1146" s="269"/>
      <c r="AD1146" s="269"/>
      <c r="AE1146" s="269"/>
      <c r="AF1146" s="269"/>
      <c r="AG1146" s="269"/>
      <c r="AH1146" s="269"/>
      <c r="AI1146" s="269"/>
      <c r="AJ1146" s="269"/>
      <c r="AK1146" s="269"/>
      <c r="AL1146" s="269"/>
      <c r="AM1146" s="269"/>
      <c r="AN1146" s="269"/>
      <c r="AO1146" s="269"/>
      <c r="AP1146" s="269"/>
      <c r="AQ1146" s="269"/>
      <c r="AR1146" s="269"/>
      <c r="AS1146" s="269"/>
      <c r="AT1146" s="269"/>
      <c r="AU1146" s="269"/>
      <c r="AV1146" s="269"/>
      <c r="AW1146" s="450"/>
      <c r="AX1146" s="269"/>
      <c r="AY1146" s="269"/>
      <c r="AZ1146" s="269"/>
      <c r="BA1146" s="269"/>
      <c r="BB1146" s="269"/>
      <c r="BC1146" s="269"/>
      <c r="BD1146" s="269"/>
      <c r="BE1146" s="269"/>
      <c r="BF1146" s="269"/>
      <c r="BG1146" s="272"/>
      <c r="BH1146" s="728"/>
    </row>
    <row r="1147" spans="1:60" x14ac:dyDescent="0.25">
      <c r="A1147" s="743"/>
      <c r="B1147" s="743"/>
      <c r="C1147" s="743"/>
      <c r="D1147" s="743"/>
      <c r="E1147" s="743"/>
      <c r="F1147" s="743"/>
      <c r="G1147" s="743"/>
      <c r="H1147" s="743"/>
      <c r="I1147" s="743"/>
      <c r="J1147" s="743"/>
      <c r="K1147" s="743"/>
      <c r="L1147" s="743"/>
      <c r="M1147" s="743"/>
      <c r="N1147" s="743"/>
      <c r="O1147" s="743"/>
      <c r="P1147" s="743"/>
      <c r="Q1147" s="743"/>
      <c r="R1147" s="743"/>
      <c r="S1147" s="743"/>
      <c r="T1147" s="743"/>
      <c r="U1147" s="743"/>
      <c r="V1147" s="743"/>
      <c r="W1147" s="743"/>
      <c r="X1147" s="743"/>
      <c r="Y1147" s="743"/>
      <c r="Z1147" s="743"/>
      <c r="AA1147" s="743"/>
      <c r="AB1147" s="743"/>
      <c r="AC1147" s="743"/>
      <c r="AD1147" s="743"/>
      <c r="AE1147" s="743"/>
      <c r="AF1147" s="743"/>
      <c r="AG1147" s="743"/>
      <c r="AH1147" s="743"/>
      <c r="AI1147" s="743"/>
      <c r="AJ1147" s="743"/>
      <c r="AK1147" s="743"/>
      <c r="AL1147" s="743"/>
      <c r="AM1147" s="743"/>
      <c r="AN1147" s="743"/>
      <c r="AO1147" s="743"/>
      <c r="AP1147" s="743"/>
      <c r="AQ1147" s="743"/>
      <c r="AR1147" s="743"/>
      <c r="AS1147" s="743"/>
      <c r="AT1147" s="743"/>
      <c r="AU1147" s="743"/>
      <c r="AV1147" s="743"/>
      <c r="AW1147" s="744"/>
      <c r="AX1147" s="743"/>
      <c r="AY1147" s="743"/>
      <c r="AZ1147" s="743"/>
      <c r="BA1147" s="743"/>
      <c r="BB1147" s="743"/>
      <c r="BC1147" s="743"/>
      <c r="BD1147" s="743"/>
      <c r="BE1147" s="743"/>
      <c r="BF1147" s="743"/>
      <c r="BG1147" s="743"/>
      <c r="BH1147" s="284"/>
    </row>
    <row r="1148" spans="1:60" s="15" customFormat="1" x14ac:dyDescent="0.25">
      <c r="A1148" s="281" t="s">
        <v>407</v>
      </c>
      <c r="B1148" s="414"/>
      <c r="C1148" s="957"/>
      <c r="D1148" s="957"/>
      <c r="E1148" s="957"/>
      <c r="F1148" s="957"/>
      <c r="G1148" s="957"/>
      <c r="H1148" s="957"/>
      <c r="I1148" s="957"/>
      <c r="J1148" s="957"/>
      <c r="K1148" s="957"/>
      <c r="L1148" s="957"/>
      <c r="M1148" s="957"/>
      <c r="N1148" s="957"/>
      <c r="O1148" s="957"/>
      <c r="P1148" s="957"/>
      <c r="Q1148" s="957"/>
      <c r="R1148" s="957"/>
      <c r="S1148" s="957"/>
      <c r="T1148" s="957"/>
      <c r="U1148" s="957"/>
      <c r="V1148" s="957"/>
      <c r="W1148" s="957"/>
      <c r="X1148" s="957"/>
      <c r="Y1148" s="957"/>
      <c r="Z1148" s="957"/>
      <c r="AA1148" s="957"/>
      <c r="AB1148" s="957"/>
      <c r="AC1148" s="957"/>
      <c r="AD1148" s="957"/>
      <c r="AE1148" s="957"/>
      <c r="AF1148" s="957"/>
      <c r="AG1148" s="957"/>
      <c r="AH1148" s="957"/>
      <c r="AI1148" s="957"/>
      <c r="AJ1148" s="957"/>
      <c r="AK1148" s="957"/>
      <c r="AL1148" s="957"/>
      <c r="AM1148" s="957"/>
      <c r="AN1148" s="957"/>
      <c r="AO1148" s="957"/>
      <c r="AP1148" s="957"/>
      <c r="AQ1148" s="957"/>
      <c r="AR1148" s="957"/>
      <c r="AS1148" s="957"/>
      <c r="AT1148" s="957"/>
      <c r="AU1148" s="957"/>
      <c r="AV1148" s="957"/>
      <c r="AW1148" s="958"/>
      <c r="AX1148" s="957"/>
      <c r="AY1148" s="957"/>
      <c r="AZ1148" s="957"/>
      <c r="BA1148" s="957"/>
      <c r="BB1148" s="957"/>
      <c r="BC1148" s="957"/>
      <c r="BD1148" s="957"/>
      <c r="BE1148" s="957"/>
      <c r="BF1148" s="957"/>
      <c r="BG1148" s="957"/>
      <c r="BH1148" s="728"/>
    </row>
    <row r="1149" spans="1:60" s="282" customFormat="1" x14ac:dyDescent="0.25">
      <c r="A1149" s="433" t="s">
        <v>408</v>
      </c>
      <c r="B1149" s="423">
        <f>FP.LastPrice</f>
        <v>172.01</v>
      </c>
      <c r="C1149" s="423"/>
      <c r="D1149" s="423"/>
      <c r="E1149" s="423"/>
      <c r="F1149" s="423"/>
      <c r="G1149" s="423"/>
      <c r="H1149" s="423"/>
      <c r="I1149" s="423"/>
      <c r="J1149" s="423"/>
      <c r="K1149" s="423"/>
      <c r="L1149" s="423"/>
      <c r="M1149" s="423"/>
      <c r="N1149" s="423"/>
      <c r="O1149" s="423"/>
      <c r="P1149" s="423"/>
      <c r="Q1149" s="423"/>
      <c r="R1149" s="423"/>
      <c r="S1149" s="423"/>
      <c r="T1149" s="423"/>
      <c r="U1149" s="423"/>
      <c r="V1149" s="423"/>
      <c r="W1149" s="423"/>
      <c r="X1149" s="423"/>
      <c r="Y1149" s="423"/>
      <c r="Z1149" s="423"/>
      <c r="AA1149" s="423"/>
      <c r="AB1149" s="423"/>
      <c r="AC1149" s="423"/>
      <c r="AD1149" s="423"/>
      <c r="AE1149" s="423"/>
      <c r="AF1149" s="423"/>
      <c r="AG1149" s="423"/>
      <c r="AH1149" s="423"/>
      <c r="AI1149" s="423"/>
      <c r="AJ1149" s="423"/>
      <c r="AK1149" s="423"/>
      <c r="AL1149" s="423"/>
      <c r="AM1149" s="423"/>
      <c r="AN1149" s="423"/>
      <c r="AO1149" s="423"/>
      <c r="AP1149" s="423"/>
      <c r="AQ1149" s="423"/>
      <c r="AR1149" s="423"/>
      <c r="AS1149" s="423"/>
      <c r="AT1149" s="423"/>
      <c r="AU1149" s="423"/>
      <c r="AV1149" s="423"/>
      <c r="AW1149" s="453"/>
      <c r="AX1149" s="423"/>
      <c r="AY1149" s="423"/>
      <c r="AZ1149" s="423"/>
      <c r="BA1149" s="423"/>
      <c r="BB1149" s="423"/>
      <c r="BC1149" s="423"/>
      <c r="BD1149" s="423"/>
      <c r="BE1149" s="423"/>
      <c r="BF1149" s="423"/>
      <c r="BG1149" s="423"/>
      <c r="BH1149" s="426"/>
    </row>
    <row r="1150" spans="1:60" x14ac:dyDescent="0.25">
      <c r="A1150" s="285" t="s">
        <v>409</v>
      </c>
      <c r="B1150" s="895">
        <f>FP.LastPriceDate</f>
        <v>44494</v>
      </c>
      <c r="C1150" s="743"/>
      <c r="D1150" s="743"/>
      <c r="E1150" s="743"/>
      <c r="F1150" s="743"/>
      <c r="G1150" s="743"/>
      <c r="H1150" s="743"/>
      <c r="I1150" s="743"/>
      <c r="J1150" s="743"/>
      <c r="K1150" s="743"/>
      <c r="L1150" s="743"/>
      <c r="M1150" s="743"/>
      <c r="N1150" s="743"/>
      <c r="O1150" s="743"/>
      <c r="P1150" s="743"/>
      <c r="Q1150" s="743"/>
      <c r="R1150" s="743"/>
      <c r="S1150" s="743"/>
      <c r="T1150" s="743"/>
      <c r="U1150" s="743"/>
      <c r="V1150" s="743"/>
      <c r="W1150" s="743"/>
      <c r="X1150" s="743"/>
      <c r="Y1150" s="743"/>
      <c r="Z1150" s="743"/>
      <c r="AA1150" s="743"/>
      <c r="AB1150" s="743"/>
      <c r="AC1150" s="743"/>
      <c r="AD1150" s="743"/>
      <c r="AE1150" s="743"/>
      <c r="AF1150" s="743"/>
      <c r="AG1150" s="743"/>
      <c r="AH1150" s="743"/>
      <c r="AI1150" s="743"/>
      <c r="AJ1150" s="743"/>
      <c r="AK1150" s="743"/>
      <c r="AL1150" s="743"/>
      <c r="AM1150" s="743"/>
      <c r="AN1150" s="743"/>
      <c r="AO1150" s="743"/>
      <c r="AP1150" s="743"/>
      <c r="AQ1150" s="743"/>
      <c r="AR1150" s="743"/>
      <c r="AS1150" s="743"/>
      <c r="AT1150" s="743"/>
      <c r="AU1150" s="743"/>
      <c r="AV1150" s="743"/>
      <c r="AW1150" s="744"/>
      <c r="AX1150" s="743"/>
      <c r="AY1150" s="743"/>
      <c r="AZ1150" s="743"/>
      <c r="BA1150" s="743"/>
      <c r="BB1150" s="743"/>
      <c r="BC1150" s="743"/>
      <c r="BD1150" s="743"/>
      <c r="BE1150" s="743"/>
      <c r="BF1150" s="743"/>
      <c r="BG1150" s="743"/>
      <c r="BH1150" s="284"/>
    </row>
    <row r="1151" spans="1:60" x14ac:dyDescent="0.25">
      <c r="A1151" s="285" t="s">
        <v>410</v>
      </c>
      <c r="B1151" s="284" t="b">
        <f>IF(FP.RealTimeToggle="ON",TRUE,FALSE)</f>
        <v>1</v>
      </c>
      <c r="C1151" s="743"/>
      <c r="D1151" s="743"/>
      <c r="E1151" s="743"/>
      <c r="F1151" s="743"/>
      <c r="G1151" s="743"/>
      <c r="H1151" s="743"/>
      <c r="I1151" s="743"/>
      <c r="J1151" s="743"/>
      <c r="K1151" s="743"/>
      <c r="L1151" s="743"/>
      <c r="M1151" s="743"/>
      <c r="N1151" s="743"/>
      <c r="O1151" s="743"/>
      <c r="P1151" s="743"/>
      <c r="Q1151" s="743"/>
      <c r="R1151" s="743"/>
      <c r="S1151" s="743"/>
      <c r="T1151" s="743"/>
      <c r="U1151" s="743"/>
      <c r="V1151" s="743"/>
      <c r="W1151" s="743"/>
      <c r="X1151" s="743"/>
      <c r="Y1151" s="743"/>
      <c r="Z1151" s="743"/>
      <c r="AA1151" s="743"/>
      <c r="AB1151" s="743"/>
      <c r="AC1151" s="743"/>
      <c r="AD1151" s="743"/>
      <c r="AE1151" s="743"/>
      <c r="AF1151" s="743"/>
      <c r="AG1151" s="743"/>
      <c r="AH1151" s="743"/>
      <c r="AI1151" s="743"/>
      <c r="AJ1151" s="743"/>
      <c r="AK1151" s="743"/>
      <c r="AL1151" s="743"/>
      <c r="AM1151" s="743"/>
      <c r="AN1151" s="743"/>
      <c r="AO1151" s="743"/>
      <c r="AP1151" s="743"/>
      <c r="AQ1151" s="743"/>
      <c r="AR1151" s="743"/>
      <c r="AS1151" s="743"/>
      <c r="AT1151" s="743"/>
      <c r="AU1151" s="743"/>
      <c r="AV1151" s="743"/>
      <c r="AW1151" s="744"/>
      <c r="AX1151" s="743"/>
      <c r="AY1151" s="743"/>
      <c r="AZ1151" s="743"/>
      <c r="BA1151" s="743"/>
      <c r="BB1151" s="743"/>
      <c r="BC1151" s="743"/>
      <c r="BD1151" s="743"/>
      <c r="BE1151" s="743"/>
      <c r="BF1151" s="743"/>
      <c r="BG1151" s="743"/>
      <c r="BH1151" s="284"/>
    </row>
    <row r="1152" spans="1:60" s="282" customFormat="1" x14ac:dyDescent="0.25">
      <c r="A1152" s="433" t="s">
        <v>411</v>
      </c>
      <c r="B1152" s="426" t="str">
        <f ca="1">IFERROR(CHOOSE(MO.DataSourceIndex,BDP(MO.Ticker.Bloomberg&amp;" EQUITY","LAST_PRICE"),CIQ(MO.Ticker.CapIQ,"IQ_LASTSALEPRICE"),FDS(MO.Ticker.FactSet,"FG_PRICE(NOW)"),_xll.TR(MO.Ticker.Thomson,"TRDPRC_1")),"N/A")</f>
        <v>N/A</v>
      </c>
      <c r="C1152" s="423"/>
      <c r="D1152" s="423"/>
      <c r="E1152" s="423"/>
      <c r="F1152" s="423"/>
      <c r="G1152" s="423"/>
      <c r="H1152" s="423"/>
      <c r="I1152" s="423"/>
      <c r="J1152" s="423"/>
      <c r="K1152" s="423"/>
      <c r="L1152" s="423"/>
      <c r="M1152" s="423"/>
      <c r="N1152" s="423"/>
      <c r="O1152" s="423"/>
      <c r="P1152" s="423"/>
      <c r="Q1152" s="423"/>
      <c r="R1152" s="423"/>
      <c r="S1152" s="423"/>
      <c r="T1152" s="423"/>
      <c r="U1152" s="423"/>
      <c r="V1152" s="423"/>
      <c r="W1152" s="423"/>
      <c r="X1152" s="423"/>
      <c r="Y1152" s="423"/>
      <c r="Z1152" s="423"/>
      <c r="AA1152" s="423"/>
      <c r="AB1152" s="423"/>
      <c r="AC1152" s="423"/>
      <c r="AD1152" s="423"/>
      <c r="AE1152" s="423"/>
      <c r="AF1152" s="423"/>
      <c r="AG1152" s="423"/>
      <c r="AH1152" s="423"/>
      <c r="AI1152" s="423"/>
      <c r="AJ1152" s="423"/>
      <c r="AK1152" s="423"/>
      <c r="AL1152" s="423"/>
      <c r="AM1152" s="423"/>
      <c r="AN1152" s="423"/>
      <c r="AO1152" s="423"/>
      <c r="AP1152" s="423"/>
      <c r="AQ1152" s="423"/>
      <c r="AR1152" s="423"/>
      <c r="AS1152" s="423"/>
      <c r="AT1152" s="423"/>
      <c r="AU1152" s="423"/>
      <c r="AV1152" s="423"/>
      <c r="AW1152" s="453"/>
      <c r="AX1152" s="423"/>
      <c r="AY1152" s="423"/>
      <c r="AZ1152" s="423"/>
      <c r="BA1152" s="423"/>
      <c r="BB1152" s="423"/>
      <c r="BC1152" s="423"/>
      <c r="BD1152" s="423"/>
      <c r="BE1152" s="423"/>
      <c r="BF1152" s="423"/>
      <c r="BG1152" s="423"/>
      <c r="BH1152" s="426"/>
    </row>
    <row r="1153" spans="1:60" s="282" customFormat="1" x14ac:dyDescent="0.25">
      <c r="A1153" s="433" t="s">
        <v>412</v>
      </c>
      <c r="B1153" s="426" t="str">
        <f ca="1">IFERROR(CHOOSE(MO.DataSourceIndex,BDP(HP.Ticker&amp;" Equity","CRNCY"),CIQ(HP.Ticker,"IQ_TRADING_CURRENCY"),FDS(HP.Ticker,"P_CURRENCY(""ISO"")"),_xll.TR(HP.Ticker,"Currency")),HP.TradeCurrency.HardCoded)</f>
        <v>USD</v>
      </c>
      <c r="C1153" s="423"/>
      <c r="D1153" s="423"/>
      <c r="E1153" s="423"/>
      <c r="F1153" s="423"/>
      <c r="G1153" s="423"/>
      <c r="H1153" s="423"/>
      <c r="I1153" s="423"/>
      <c r="J1153" s="423"/>
      <c r="K1153" s="423"/>
      <c r="L1153" s="423"/>
      <c r="M1153" s="423"/>
      <c r="N1153" s="423"/>
      <c r="O1153" s="423"/>
      <c r="P1153" s="423"/>
      <c r="Q1153" s="423"/>
      <c r="R1153" s="423"/>
      <c r="S1153" s="423"/>
      <c r="T1153" s="423"/>
      <c r="U1153" s="423"/>
      <c r="V1153" s="423"/>
      <c r="W1153" s="423"/>
      <c r="X1153" s="423"/>
      <c r="Y1153" s="423"/>
      <c r="Z1153" s="423"/>
      <c r="AA1153" s="423"/>
      <c r="AB1153" s="423"/>
      <c r="AC1153" s="423"/>
      <c r="AD1153" s="423"/>
      <c r="AE1153" s="423"/>
      <c r="AF1153" s="423"/>
      <c r="AG1153" s="423"/>
      <c r="AH1153" s="423"/>
      <c r="AI1153" s="423"/>
      <c r="AJ1153" s="423"/>
      <c r="AK1153" s="423"/>
      <c r="AL1153" s="423"/>
      <c r="AM1153" s="423"/>
      <c r="AN1153" s="423"/>
      <c r="AO1153" s="423"/>
      <c r="AP1153" s="423"/>
      <c r="AQ1153" s="423"/>
      <c r="AR1153" s="423"/>
      <c r="AS1153" s="423"/>
      <c r="AT1153" s="423"/>
      <c r="AU1153" s="423"/>
      <c r="AV1153" s="423"/>
      <c r="AW1153" s="453"/>
      <c r="AX1153" s="423"/>
      <c r="AY1153" s="423"/>
      <c r="AZ1153" s="423"/>
      <c r="BA1153" s="423"/>
      <c r="BB1153" s="423"/>
      <c r="BC1153" s="423"/>
      <c r="BD1153" s="423"/>
      <c r="BE1153" s="423"/>
      <c r="BF1153" s="423"/>
      <c r="BG1153" s="423"/>
      <c r="BH1153" s="426"/>
    </row>
    <row r="1154" spans="1:60" s="282" customFormat="1" x14ac:dyDescent="0.25">
      <c r="A1154" s="433" t="s">
        <v>413</v>
      </c>
      <c r="B1154" s="426" t="s">
        <v>11</v>
      </c>
      <c r="C1154" s="423"/>
      <c r="D1154" s="423"/>
      <c r="E1154" s="423"/>
      <c r="F1154" s="423"/>
      <c r="G1154" s="423"/>
      <c r="H1154" s="423"/>
      <c r="I1154" s="423"/>
      <c r="J1154" s="423"/>
      <c r="K1154" s="423"/>
      <c r="L1154" s="423"/>
      <c r="M1154" s="423"/>
      <c r="N1154" s="423"/>
      <c r="O1154" s="423"/>
      <c r="P1154" s="423"/>
      <c r="Q1154" s="423"/>
      <c r="R1154" s="423"/>
      <c r="S1154" s="423"/>
      <c r="T1154" s="423"/>
      <c r="U1154" s="423"/>
      <c r="V1154" s="423"/>
      <c r="W1154" s="423"/>
      <c r="X1154" s="423"/>
      <c r="Y1154" s="423"/>
      <c r="Z1154" s="423"/>
      <c r="AA1154" s="423"/>
      <c r="AB1154" s="423"/>
      <c r="AC1154" s="423"/>
      <c r="AD1154" s="423"/>
      <c r="AE1154" s="423"/>
      <c r="AF1154" s="423"/>
      <c r="AG1154" s="423"/>
      <c r="AH1154" s="423"/>
      <c r="AI1154" s="423"/>
      <c r="AJ1154" s="423"/>
      <c r="AK1154" s="423"/>
      <c r="AL1154" s="423"/>
      <c r="AM1154" s="423"/>
      <c r="AN1154" s="423"/>
      <c r="AO1154" s="423"/>
      <c r="AP1154" s="423"/>
      <c r="AQ1154" s="423"/>
      <c r="AR1154" s="423"/>
      <c r="AS1154" s="423"/>
      <c r="AT1154" s="423"/>
      <c r="AU1154" s="423"/>
      <c r="AV1154" s="423"/>
      <c r="AW1154" s="453"/>
      <c r="AX1154" s="423"/>
      <c r="AY1154" s="423"/>
      <c r="AZ1154" s="423"/>
      <c r="BA1154" s="423"/>
      <c r="BB1154" s="423"/>
      <c r="BC1154" s="423"/>
      <c r="BD1154" s="423"/>
      <c r="BE1154" s="423"/>
      <c r="BF1154" s="423"/>
      <c r="BG1154" s="423"/>
      <c r="BH1154" s="426"/>
    </row>
    <row r="1155" spans="1:60" s="282" customFormat="1" x14ac:dyDescent="0.25">
      <c r="A1155" s="433" t="s">
        <v>414</v>
      </c>
      <c r="B1155" s="426" t="s">
        <v>11</v>
      </c>
      <c r="C1155" s="423"/>
      <c r="D1155" s="423"/>
      <c r="E1155" s="423"/>
      <c r="F1155" s="423"/>
      <c r="G1155" s="423"/>
      <c r="H1155" s="423"/>
      <c r="I1155" s="423"/>
      <c r="J1155" s="423"/>
      <c r="K1155" s="423"/>
      <c r="L1155" s="423"/>
      <c r="M1155" s="423"/>
      <c r="N1155" s="423"/>
      <c r="O1155" s="423"/>
      <c r="P1155" s="423"/>
      <c r="Q1155" s="423"/>
      <c r="R1155" s="423"/>
      <c r="S1155" s="423"/>
      <c r="T1155" s="423"/>
      <c r="U1155" s="423"/>
      <c r="V1155" s="423"/>
      <c r="W1155" s="423"/>
      <c r="X1155" s="423"/>
      <c r="Y1155" s="423"/>
      <c r="Z1155" s="423"/>
      <c r="AA1155" s="423"/>
      <c r="AB1155" s="423"/>
      <c r="AC1155" s="423"/>
      <c r="AD1155" s="423"/>
      <c r="AE1155" s="423"/>
      <c r="AF1155" s="423"/>
      <c r="AG1155" s="423"/>
      <c r="AH1155" s="423"/>
      <c r="AI1155" s="423"/>
      <c r="AJ1155" s="423"/>
      <c r="AK1155" s="423"/>
      <c r="AL1155" s="423"/>
      <c r="AM1155" s="423"/>
      <c r="AN1155" s="423"/>
      <c r="AO1155" s="423"/>
      <c r="AP1155" s="423"/>
      <c r="AQ1155" s="423"/>
      <c r="AR1155" s="423"/>
      <c r="AS1155" s="423"/>
      <c r="AT1155" s="423"/>
      <c r="AU1155" s="423"/>
      <c r="AV1155" s="423"/>
      <c r="AW1155" s="453"/>
      <c r="AX1155" s="423"/>
      <c r="AY1155" s="423"/>
      <c r="AZ1155" s="423"/>
      <c r="BA1155" s="423"/>
      <c r="BB1155" s="423"/>
      <c r="BC1155" s="423"/>
      <c r="BD1155" s="423"/>
      <c r="BE1155" s="423"/>
      <c r="BF1155" s="423"/>
      <c r="BG1155" s="423"/>
      <c r="BH1155" s="426"/>
    </row>
    <row r="1156" spans="1:60" s="282" customFormat="1" x14ac:dyDescent="0.25">
      <c r="A1156" s="433" t="s">
        <v>415</v>
      </c>
      <c r="B1156" s="430">
        <f ca="1">IF(EXACT(MO.ReportFX,HP.TradeCurrency),1,IF(OR(INDEX(MO_SPT_FXAverage,1,MO.MRFPColumnNumber+1)="N/A",ISERROR(INDEX(MO_SPT_FXAverage,1,MO.MRFPColumnNumber+1))),MO.MRFX.Hardcoded,INDEX(MO_SPT_FXAverage,1,MO.MRFPColumnNumber+1)))</f>
        <v>1</v>
      </c>
      <c r="C1156" s="423"/>
      <c r="D1156" s="423"/>
      <c r="E1156" s="423"/>
      <c r="F1156" s="423"/>
      <c r="G1156" s="423"/>
      <c r="H1156" s="423"/>
      <c r="I1156" s="423"/>
      <c r="J1156" s="423"/>
      <c r="K1156" s="423"/>
      <c r="L1156" s="423"/>
      <c r="M1156" s="423"/>
      <c r="N1156" s="423"/>
      <c r="O1156" s="423"/>
      <c r="P1156" s="423"/>
      <c r="Q1156" s="423"/>
      <c r="R1156" s="423"/>
      <c r="S1156" s="423"/>
      <c r="T1156" s="423"/>
      <c r="U1156" s="423"/>
      <c r="V1156" s="423"/>
      <c r="W1156" s="423"/>
      <c r="X1156" s="423"/>
      <c r="Y1156" s="423"/>
      <c r="Z1156" s="423"/>
      <c r="AA1156" s="423"/>
      <c r="AB1156" s="423"/>
      <c r="AC1156" s="423"/>
      <c r="AD1156" s="423"/>
      <c r="AE1156" s="423"/>
      <c r="AF1156" s="423"/>
      <c r="AG1156" s="423"/>
      <c r="AH1156" s="423"/>
      <c r="AI1156" s="423"/>
      <c r="AJ1156" s="423"/>
      <c r="AK1156" s="423"/>
      <c r="AL1156" s="423"/>
      <c r="AM1156" s="423"/>
      <c r="AN1156" s="423"/>
      <c r="AO1156" s="423"/>
      <c r="AP1156" s="423"/>
      <c r="AQ1156" s="423"/>
      <c r="AR1156" s="423"/>
      <c r="AS1156" s="423"/>
      <c r="AT1156" s="423"/>
      <c r="AU1156" s="423"/>
      <c r="AV1156" s="423"/>
      <c r="AW1156" s="453"/>
      <c r="AX1156" s="423"/>
      <c r="AY1156" s="423"/>
      <c r="AZ1156" s="423"/>
      <c r="BA1156" s="423"/>
      <c r="BB1156" s="423"/>
      <c r="BC1156" s="423"/>
      <c r="BD1156" s="423"/>
      <c r="BE1156" s="423"/>
      <c r="BF1156" s="423"/>
      <c r="BG1156" s="423"/>
      <c r="BH1156" s="426"/>
    </row>
    <row r="1157" spans="1:60" s="282" customFormat="1" x14ac:dyDescent="0.25">
      <c r="A1157" s="433" t="s">
        <v>416</v>
      </c>
      <c r="B1157" s="412">
        <v>1</v>
      </c>
      <c r="C1157" s="423"/>
      <c r="D1157" s="423"/>
      <c r="E1157" s="423"/>
      <c r="F1157" s="423"/>
      <c r="G1157" s="423"/>
      <c r="H1157" s="423"/>
      <c r="I1157" s="423"/>
      <c r="J1157" s="423"/>
      <c r="K1157" s="423"/>
      <c r="L1157" s="423"/>
      <c r="M1157" s="423"/>
      <c r="N1157" s="423"/>
      <c r="O1157" s="423"/>
      <c r="P1157" s="423"/>
      <c r="Q1157" s="423"/>
      <c r="R1157" s="423"/>
      <c r="S1157" s="423"/>
      <c r="T1157" s="423"/>
      <c r="U1157" s="423"/>
      <c r="V1157" s="423"/>
      <c r="W1157" s="423"/>
      <c r="X1157" s="423"/>
      <c r="Y1157" s="423"/>
      <c r="Z1157" s="423"/>
      <c r="AA1157" s="423"/>
      <c r="AB1157" s="423"/>
      <c r="AC1157" s="423"/>
      <c r="AD1157" s="423"/>
      <c r="AE1157" s="423"/>
      <c r="AF1157" s="423"/>
      <c r="AG1157" s="423"/>
      <c r="AH1157" s="423"/>
      <c r="AI1157" s="423"/>
      <c r="AJ1157" s="423"/>
      <c r="AK1157" s="423"/>
      <c r="AL1157" s="423"/>
      <c r="AM1157" s="423"/>
      <c r="AN1157" s="423"/>
      <c r="AO1157" s="423"/>
      <c r="AP1157" s="423"/>
      <c r="AQ1157" s="423"/>
      <c r="AR1157" s="423"/>
      <c r="AS1157" s="423"/>
      <c r="AT1157" s="423"/>
      <c r="AU1157" s="423"/>
      <c r="AV1157" s="423"/>
      <c r="AW1157" s="453"/>
      <c r="AX1157" s="423"/>
      <c r="AY1157" s="423"/>
      <c r="AZ1157" s="423"/>
      <c r="BA1157" s="423"/>
      <c r="BB1157" s="423"/>
      <c r="BC1157" s="423"/>
      <c r="BD1157" s="423"/>
      <c r="BE1157" s="423"/>
      <c r="BF1157" s="423"/>
      <c r="BG1157" s="423"/>
      <c r="BH1157" s="426"/>
    </row>
    <row r="1158" spans="1:60" s="283" customFormat="1" x14ac:dyDescent="0.25">
      <c r="A1158" s="483" t="s">
        <v>417</v>
      </c>
      <c r="B1158" s="484">
        <f>MATCH(MO.MRFP,MO_Common_ColumnHeader,0)</f>
        <v>49</v>
      </c>
      <c r="C1158" s="113"/>
      <c r="D1158" s="113"/>
      <c r="E1158" s="113"/>
      <c r="F1158" s="113"/>
      <c r="G1158" s="113"/>
      <c r="H1158" s="113"/>
      <c r="I1158" s="113"/>
      <c r="J1158" s="113"/>
      <c r="K1158" s="113"/>
      <c r="L1158" s="113"/>
      <c r="M1158" s="113"/>
      <c r="N1158" s="113"/>
      <c r="O1158" s="113"/>
      <c r="P1158" s="113"/>
      <c r="Q1158" s="113"/>
      <c r="R1158" s="113"/>
      <c r="S1158" s="113"/>
      <c r="T1158" s="113"/>
      <c r="U1158" s="113"/>
      <c r="V1158" s="113"/>
      <c r="W1158" s="113"/>
      <c r="X1158" s="113"/>
      <c r="Y1158" s="113"/>
      <c r="Z1158" s="113"/>
      <c r="AA1158" s="113"/>
      <c r="AB1158" s="113"/>
      <c r="AC1158" s="113"/>
      <c r="AD1158" s="113"/>
      <c r="AE1158" s="113"/>
      <c r="AF1158" s="113"/>
      <c r="AG1158" s="113"/>
      <c r="AH1158" s="113"/>
      <c r="AI1158" s="113"/>
      <c r="AJ1158" s="113"/>
      <c r="AK1158" s="113"/>
      <c r="AL1158" s="113"/>
      <c r="AM1158" s="113"/>
      <c r="AN1158" s="113"/>
      <c r="AO1158" s="113"/>
      <c r="AP1158" s="113"/>
      <c r="AQ1158" s="113"/>
      <c r="AR1158" s="113"/>
      <c r="AS1158" s="113"/>
      <c r="AT1158" s="113"/>
      <c r="AU1158" s="113"/>
      <c r="AV1158" s="113"/>
      <c r="AW1158" s="699"/>
      <c r="AX1158" s="113"/>
      <c r="AY1158" s="113"/>
      <c r="AZ1158" s="113"/>
      <c r="BA1158" s="113"/>
      <c r="BB1158" s="113"/>
      <c r="BC1158" s="113"/>
      <c r="BD1158" s="113"/>
      <c r="BE1158" s="113"/>
      <c r="BF1158" s="113"/>
      <c r="BG1158" s="113"/>
      <c r="BH1158" s="484"/>
    </row>
    <row r="1159" spans="1:60" s="283" customFormat="1" x14ac:dyDescent="0.25">
      <c r="A1159" s="483" t="s">
        <v>418</v>
      </c>
      <c r="B1159" s="484" t="s">
        <v>884</v>
      </c>
      <c r="C1159" s="113"/>
      <c r="D1159" s="113"/>
      <c r="E1159" s="113"/>
      <c r="F1159" s="113"/>
      <c r="G1159" s="113"/>
      <c r="H1159" s="113"/>
      <c r="I1159" s="113"/>
      <c r="J1159" s="113"/>
      <c r="K1159" s="113"/>
      <c r="L1159" s="113"/>
      <c r="M1159" s="113"/>
      <c r="N1159" s="113"/>
      <c r="O1159" s="113"/>
      <c r="P1159" s="113"/>
      <c r="Q1159" s="113"/>
      <c r="R1159" s="113"/>
      <c r="S1159" s="113"/>
      <c r="T1159" s="113"/>
      <c r="U1159" s="113"/>
      <c r="V1159" s="113"/>
      <c r="W1159" s="113"/>
      <c r="X1159" s="113"/>
      <c r="Y1159" s="113"/>
      <c r="Z1159" s="113"/>
      <c r="AA1159" s="113"/>
      <c r="AB1159" s="113"/>
      <c r="AC1159" s="113"/>
      <c r="AD1159" s="113"/>
      <c r="AE1159" s="113"/>
      <c r="AF1159" s="113"/>
      <c r="AG1159" s="113"/>
      <c r="AH1159" s="113"/>
      <c r="AI1159" s="113"/>
      <c r="AJ1159" s="113"/>
      <c r="AK1159" s="113"/>
      <c r="AL1159" s="113"/>
      <c r="AM1159" s="113"/>
      <c r="AN1159" s="113"/>
      <c r="AO1159" s="113"/>
      <c r="AP1159" s="113"/>
      <c r="AQ1159" s="113"/>
      <c r="AR1159" s="113"/>
      <c r="AS1159" s="113"/>
      <c r="AT1159" s="113"/>
      <c r="AU1159" s="113"/>
      <c r="AV1159" s="113"/>
      <c r="AW1159" s="699"/>
      <c r="AX1159" s="113"/>
      <c r="AY1159" s="113"/>
      <c r="AZ1159" s="113"/>
      <c r="BA1159" s="113"/>
      <c r="BB1159" s="113"/>
      <c r="BC1159" s="113"/>
      <c r="BD1159" s="113"/>
      <c r="BE1159" s="113"/>
      <c r="BF1159" s="113"/>
      <c r="BG1159" s="113"/>
      <c r="BH1159" s="484"/>
    </row>
    <row r="1160" spans="1:60" s="283" customFormat="1" x14ac:dyDescent="0.25">
      <c r="A1160" s="483" t="s">
        <v>419</v>
      </c>
      <c r="B1160" s="484" t="str">
        <f>"FY"&amp;RIGHT(MO.MRFP,4)</f>
        <v>FY2021</v>
      </c>
      <c r="C1160" s="113"/>
      <c r="D1160" s="113"/>
      <c r="E1160" s="113"/>
      <c r="F1160" s="113"/>
      <c r="G1160" s="113"/>
      <c r="H1160" s="113"/>
      <c r="I1160" s="113"/>
      <c r="J1160" s="113"/>
      <c r="K1160" s="113"/>
      <c r="L1160" s="113"/>
      <c r="M1160" s="113"/>
      <c r="N1160" s="113"/>
      <c r="O1160" s="113"/>
      <c r="P1160" s="113"/>
      <c r="Q1160" s="113"/>
      <c r="R1160" s="113"/>
      <c r="S1160" s="113"/>
      <c r="T1160" s="113"/>
      <c r="U1160" s="113"/>
      <c r="V1160" s="113"/>
      <c r="W1160" s="113"/>
      <c r="X1160" s="113"/>
      <c r="Y1160" s="113"/>
      <c r="Z1160" s="113"/>
      <c r="AA1160" s="113"/>
      <c r="AB1160" s="113"/>
      <c r="AC1160" s="113"/>
      <c r="AD1160" s="113"/>
      <c r="AE1160" s="113"/>
      <c r="AF1160" s="113"/>
      <c r="AG1160" s="113"/>
      <c r="AH1160" s="113"/>
      <c r="AI1160" s="113"/>
      <c r="AJ1160" s="113"/>
      <c r="AK1160" s="113"/>
      <c r="AL1160" s="113"/>
      <c r="AM1160" s="113"/>
      <c r="AN1160" s="113"/>
      <c r="AO1160" s="113"/>
      <c r="AP1160" s="113"/>
      <c r="AQ1160" s="113"/>
      <c r="AR1160" s="113"/>
      <c r="AS1160" s="113"/>
      <c r="AT1160" s="113"/>
      <c r="AU1160" s="113"/>
      <c r="AV1160" s="113"/>
      <c r="AW1160" s="699"/>
      <c r="AX1160" s="113"/>
      <c r="AY1160" s="113"/>
      <c r="AZ1160" s="113"/>
      <c r="BA1160" s="113"/>
      <c r="BB1160" s="113"/>
      <c r="BC1160" s="113"/>
      <c r="BD1160" s="113"/>
      <c r="BE1160" s="113"/>
      <c r="BF1160" s="113"/>
      <c r="BG1160" s="113"/>
      <c r="BH1160" s="484"/>
    </row>
    <row r="1161" spans="1:60" s="283" customFormat="1" x14ac:dyDescent="0.25">
      <c r="A1161" s="483" t="s">
        <v>563</v>
      </c>
      <c r="B1161" s="484" t="str">
        <f>"FY"&amp;RIGHT(MO.MRFP,4)+IF(LEFT(MO.MRFP,2)="FY",1,0)</f>
        <v>FY2021</v>
      </c>
      <c r="C1161" s="113"/>
      <c r="D1161" s="113"/>
      <c r="E1161" s="113"/>
      <c r="F1161" s="113"/>
      <c r="G1161" s="113"/>
      <c r="H1161" s="113"/>
      <c r="I1161" s="113"/>
      <c r="J1161" s="113"/>
      <c r="K1161" s="113"/>
      <c r="L1161" s="113"/>
      <c r="M1161" s="113"/>
      <c r="N1161" s="113"/>
      <c r="O1161" s="113"/>
      <c r="P1161" s="113"/>
      <c r="Q1161" s="113"/>
      <c r="R1161" s="113"/>
      <c r="S1161" s="113"/>
      <c r="T1161" s="113"/>
      <c r="U1161" s="113"/>
      <c r="V1161" s="113"/>
      <c r="W1161" s="113"/>
      <c r="X1161" s="113"/>
      <c r="Y1161" s="113"/>
      <c r="Z1161" s="113"/>
      <c r="AA1161" s="113"/>
      <c r="AB1161" s="113"/>
      <c r="AC1161" s="113"/>
      <c r="AD1161" s="113"/>
      <c r="AE1161" s="113"/>
      <c r="AF1161" s="113"/>
      <c r="AG1161" s="113"/>
      <c r="AH1161" s="113"/>
      <c r="AI1161" s="113"/>
      <c r="AJ1161" s="113"/>
      <c r="AK1161" s="113"/>
      <c r="AL1161" s="113"/>
      <c r="AM1161" s="113"/>
      <c r="AN1161" s="113"/>
      <c r="AO1161" s="113"/>
      <c r="AP1161" s="113"/>
      <c r="AQ1161" s="113"/>
      <c r="AR1161" s="113"/>
      <c r="AS1161" s="113"/>
      <c r="AT1161" s="113"/>
      <c r="AU1161" s="113"/>
      <c r="AV1161" s="113"/>
      <c r="AW1161" s="699"/>
      <c r="AX1161" s="113"/>
      <c r="AY1161" s="113"/>
      <c r="AZ1161" s="113"/>
      <c r="BA1161" s="113"/>
      <c r="BB1161" s="113"/>
      <c r="BC1161" s="113"/>
      <c r="BD1161" s="113"/>
      <c r="BE1161" s="113"/>
      <c r="BF1161" s="113"/>
      <c r="BG1161" s="113"/>
      <c r="BH1161" s="484"/>
    </row>
    <row r="1162" spans="1:60" s="283" customFormat="1" x14ac:dyDescent="0.25">
      <c r="A1162" s="286" t="s">
        <v>420</v>
      </c>
      <c r="B1162" s="287">
        <f>IF(MO.DataSourceName="Bloomberg",1,IF(MO.DataSourceName="Capital IQ",2,IF(MO.DataSourceName="FactSet",3,IF(MO.DataSourceName="Refinitiv",4,1))))</f>
        <v>1</v>
      </c>
      <c r="C1162" s="113"/>
      <c r="D1162" s="113"/>
      <c r="E1162" s="113"/>
      <c r="F1162" s="113"/>
      <c r="G1162" s="113"/>
      <c r="H1162" s="113"/>
      <c r="I1162" s="113"/>
      <c r="J1162" s="113"/>
      <c r="K1162" s="113"/>
      <c r="L1162" s="113"/>
      <c r="M1162" s="113"/>
      <c r="N1162" s="113"/>
      <c r="O1162" s="113"/>
      <c r="P1162" s="113"/>
      <c r="Q1162" s="113"/>
      <c r="R1162" s="113"/>
      <c r="S1162" s="113"/>
      <c r="T1162" s="113"/>
      <c r="U1162" s="113"/>
      <c r="V1162" s="113"/>
      <c r="W1162" s="113"/>
      <c r="X1162" s="113"/>
      <c r="Y1162" s="113"/>
      <c r="Z1162" s="113"/>
      <c r="AA1162" s="113"/>
      <c r="AB1162" s="113"/>
      <c r="AC1162" s="113"/>
      <c r="AD1162" s="113"/>
      <c r="AE1162" s="113"/>
      <c r="AF1162" s="113"/>
      <c r="AG1162" s="113"/>
      <c r="AH1162" s="113"/>
      <c r="AI1162" s="113"/>
      <c r="AJ1162" s="113"/>
      <c r="AK1162" s="113"/>
      <c r="AL1162" s="113"/>
      <c r="AM1162" s="113"/>
      <c r="AN1162" s="113"/>
      <c r="AO1162" s="113"/>
      <c r="AP1162" s="113"/>
      <c r="AQ1162" s="113"/>
      <c r="AR1162" s="113"/>
      <c r="AS1162" s="113"/>
      <c r="AT1162" s="113"/>
      <c r="AU1162" s="113"/>
      <c r="AV1162" s="113"/>
      <c r="AW1162" s="699"/>
      <c r="AX1162" s="113"/>
      <c r="AY1162" s="113"/>
      <c r="AZ1162" s="113"/>
      <c r="BA1162" s="113"/>
      <c r="BB1162" s="113"/>
      <c r="BC1162" s="113"/>
      <c r="BD1162" s="113"/>
      <c r="BE1162" s="113"/>
      <c r="BF1162" s="113"/>
      <c r="BG1162" s="113"/>
      <c r="BH1162" s="484"/>
    </row>
    <row r="1163" spans="1:60" x14ac:dyDescent="0.25">
      <c r="A1163" s="743"/>
      <c r="B1163" s="743"/>
      <c r="C1163" s="743"/>
      <c r="D1163" s="743"/>
      <c r="E1163" s="743"/>
      <c r="F1163" s="743"/>
      <c r="G1163" s="743"/>
      <c r="H1163" s="743"/>
      <c r="I1163" s="743"/>
      <c r="J1163" s="743"/>
      <c r="K1163" s="743"/>
      <c r="L1163" s="743"/>
      <c r="M1163" s="743"/>
      <c r="N1163" s="743"/>
      <c r="O1163" s="743"/>
      <c r="P1163" s="743"/>
      <c r="Q1163" s="743"/>
      <c r="R1163" s="743"/>
      <c r="S1163" s="743"/>
      <c r="T1163" s="743"/>
      <c r="U1163" s="743"/>
      <c r="V1163" s="743"/>
      <c r="W1163" s="743"/>
      <c r="X1163" s="743"/>
      <c r="Y1163" s="743"/>
      <c r="Z1163" s="743"/>
      <c r="AA1163" s="743"/>
      <c r="AB1163" s="743"/>
      <c r="AC1163" s="743"/>
      <c r="AD1163" s="743"/>
      <c r="AE1163" s="743"/>
      <c r="AF1163" s="743"/>
      <c r="AG1163" s="743"/>
      <c r="AH1163" s="743"/>
      <c r="AI1163" s="743"/>
      <c r="AJ1163" s="743"/>
      <c r="AK1163" s="743"/>
      <c r="AL1163" s="743"/>
      <c r="AM1163" s="743"/>
      <c r="AN1163" s="743"/>
      <c r="AO1163" s="743"/>
      <c r="AP1163" s="743"/>
      <c r="AQ1163" s="743"/>
      <c r="AR1163" s="743"/>
      <c r="AS1163" s="743"/>
      <c r="AT1163" s="743"/>
      <c r="AU1163" s="743"/>
      <c r="AV1163" s="743"/>
      <c r="AW1163" s="744"/>
      <c r="AX1163" s="743"/>
      <c r="AY1163" s="743"/>
      <c r="AZ1163" s="743"/>
      <c r="BA1163" s="743"/>
      <c r="BB1163" s="743"/>
      <c r="BC1163" s="743"/>
      <c r="BD1163" s="743"/>
      <c r="BE1163" s="743"/>
      <c r="BF1163" s="743"/>
      <c r="BG1163" s="743"/>
      <c r="BH1163" s="284"/>
    </row>
    <row r="1164" spans="1:60" x14ac:dyDescent="0.25">
      <c r="A1164" s="621" t="s">
        <v>672</v>
      </c>
      <c r="B1164" s="288"/>
      <c r="C1164" s="288"/>
      <c r="D1164" s="288"/>
      <c r="E1164" s="288"/>
      <c r="F1164" s="288"/>
      <c r="G1164" s="288"/>
      <c r="H1164" s="288"/>
      <c r="I1164" s="288"/>
      <c r="J1164" s="288"/>
      <c r="K1164" s="288"/>
      <c r="L1164" s="288"/>
      <c r="M1164" s="288"/>
      <c r="N1164" s="288"/>
      <c r="O1164" s="288"/>
      <c r="P1164" s="288"/>
      <c r="Q1164" s="288"/>
      <c r="R1164" s="288"/>
      <c r="S1164" s="288"/>
      <c r="T1164" s="288"/>
      <c r="U1164" s="288"/>
      <c r="V1164" s="288"/>
      <c r="W1164" s="288"/>
      <c r="X1164" s="288"/>
      <c r="Y1164" s="288"/>
      <c r="Z1164" s="288"/>
      <c r="AA1164" s="288"/>
      <c r="AB1164" s="288"/>
      <c r="AC1164" s="288"/>
      <c r="AD1164" s="288"/>
      <c r="AE1164" s="288"/>
      <c r="AF1164" s="288"/>
      <c r="AG1164" s="288"/>
      <c r="AH1164" s="288"/>
      <c r="AI1164" s="288"/>
      <c r="AJ1164" s="288"/>
      <c r="AK1164" s="288"/>
      <c r="AL1164" s="288"/>
      <c r="AM1164" s="288"/>
      <c r="AN1164" s="288"/>
      <c r="AO1164" s="288"/>
      <c r="AP1164" s="288"/>
      <c r="AQ1164" s="288"/>
      <c r="AR1164" s="288"/>
      <c r="AS1164" s="288"/>
      <c r="AT1164" s="288"/>
      <c r="AU1164" s="288"/>
      <c r="AV1164" s="288"/>
      <c r="AW1164" s="288"/>
      <c r="AX1164" s="288"/>
      <c r="AY1164" s="288"/>
      <c r="AZ1164" s="288"/>
      <c r="BA1164" s="288"/>
      <c r="BB1164" s="288"/>
      <c r="BC1164" s="288"/>
      <c r="BD1164" s="288"/>
      <c r="BE1164" s="288"/>
      <c r="BF1164" s="288"/>
      <c r="BG1164" s="288"/>
      <c r="BH1164" s="284"/>
    </row>
    <row r="1165" spans="1:60" x14ac:dyDescent="0.25">
      <c r="A1165" s="284"/>
      <c r="B1165" s="284"/>
      <c r="C1165" s="284"/>
      <c r="D1165" s="284"/>
      <c r="E1165" s="284"/>
      <c r="F1165" s="284"/>
      <c r="G1165" s="284"/>
      <c r="H1165" s="284"/>
      <c r="I1165" s="284"/>
      <c r="J1165" s="284"/>
      <c r="K1165" s="284"/>
      <c r="L1165" s="284"/>
      <c r="M1165" s="284"/>
      <c r="N1165" s="284"/>
      <c r="O1165" s="284"/>
      <c r="P1165" s="284"/>
      <c r="Q1165" s="284"/>
      <c r="R1165" s="284"/>
      <c r="S1165" s="284"/>
      <c r="T1165" s="284"/>
      <c r="U1165" s="284"/>
      <c r="V1165" s="284"/>
      <c r="W1165" s="284"/>
      <c r="X1165" s="284"/>
      <c r="Y1165" s="284"/>
      <c r="Z1165" s="284"/>
      <c r="AA1165" s="284"/>
      <c r="AB1165" s="284"/>
      <c r="AC1165" s="284"/>
      <c r="AD1165" s="284"/>
      <c r="AE1165" s="284"/>
      <c r="AF1165" s="284"/>
      <c r="AG1165" s="284"/>
      <c r="AH1165" s="284"/>
      <c r="AI1165" s="284"/>
      <c r="AJ1165" s="284"/>
      <c r="AK1165" s="284"/>
      <c r="AL1165" s="284"/>
      <c r="AM1165" s="284"/>
      <c r="AN1165" s="284"/>
      <c r="AO1165" s="284"/>
      <c r="AP1165" s="284"/>
      <c r="AQ1165" s="284"/>
      <c r="AR1165" s="284"/>
      <c r="AS1165" s="284"/>
      <c r="AT1165" s="284"/>
      <c r="AU1165" s="284"/>
      <c r="AV1165" s="284"/>
      <c r="AW1165" s="284"/>
      <c r="AX1165" s="284"/>
      <c r="AY1165" s="284"/>
      <c r="AZ1165" s="284"/>
      <c r="BA1165" s="284"/>
      <c r="BB1165" s="284"/>
      <c r="BC1165" s="284"/>
      <c r="BD1165" s="284"/>
      <c r="BE1165" s="284"/>
      <c r="BF1165" s="284"/>
      <c r="BG1165" s="284"/>
      <c r="BH1165" s="284"/>
    </row>
  </sheetData>
  <conditionalFormatting sqref="C736:AQ736 AS736:BG736">
    <cfRule type="cellIs" dxfId="9" priority="591" operator="equal">
      <formula>0</formula>
    </cfRule>
  </conditionalFormatting>
  <conditionalFormatting sqref="C736:AQ736 AS736:BG736">
    <cfRule type="cellIs" dxfId="8" priority="592" operator="notEqual">
      <formula>0</formula>
    </cfRule>
  </conditionalFormatting>
  <conditionalFormatting sqref="C968:AC968 AE968:AK968 AN968:BG968">
    <cfRule type="cellIs" dxfId="7" priority="593" operator="equal">
      <formula>0</formula>
    </cfRule>
  </conditionalFormatting>
  <conditionalFormatting sqref="C968:AC968 AE968:AK968 AN968:BG968">
    <cfRule type="cellIs" dxfId="6" priority="594" operator="notEqual">
      <formula>0</formula>
    </cfRule>
  </conditionalFormatting>
  <conditionalFormatting sqref="C1057:BG1057">
    <cfRule type="cellIs" dxfId="5" priority="595" operator="equal">
      <formula>0</formula>
    </cfRule>
  </conditionalFormatting>
  <conditionalFormatting sqref="C1057:BG1057">
    <cfRule type="cellIs" dxfId="4" priority="596" operator="notEqual">
      <formula>0</formula>
    </cfRule>
  </conditionalFormatting>
  <conditionalFormatting sqref="C1060:AQ1060 AS1060:BG1060 C1061:BG1064 C1065:AL1065 AN1065:BG1065 C1066:AF1066 AH1066:BG1066 C1067:BG1071 F1072 K1072:BG1072 C1073:J1073 L1073:Y1073 AA1073:AI1073 AK1073:AN1073 AP1073:AS1073 AU1073:BG1073 C1074:BG1074 C1075:AC1075 AE1075:BG1075 C1076:AS1076 AU1076:BG1076 C1078:BG1082 C1077:J1077 L1077:O1077 Q1077:T1077 V1077:Y1077 AA1077:AD1077 AF1077:AI1077 AK1077:AN1077 AP1077:AS1077 AU1077:BG1077">
    <cfRule type="cellIs" dxfId="3" priority="597" operator="equal">
      <formula>0</formula>
    </cfRule>
  </conditionalFormatting>
  <conditionalFormatting sqref="C1060:AQ1060 AS1060:BG1060 C1061:BG1064 C1065:AL1065 AN1065:BG1065 C1066:AF1066 AH1066:BG1066 C1067:BG1071 F1072 K1072:BG1072 C1073:J1073 L1073:Y1073 AA1073:AI1073 AK1073:AN1073 AP1073:AS1073 AU1073:BG1073 C1074:BG1074 C1075:AC1075 AE1075:BG1075 C1076:AS1076 AU1076:BG1076 C1078:BG1082 C1077:J1077 L1077:O1077 Q1077:T1077 V1077:Y1077 AA1077:AD1077 AF1077:AI1077 AK1077:AN1077 AP1077:AS1077 AU1077:BG1077">
    <cfRule type="cellIs" dxfId="2" priority="598" operator="notEqual">
      <formula>0</formula>
    </cfRule>
  </conditionalFormatting>
  <dataValidations count="1">
    <dataValidation type="list" allowBlank="1" showInputMessage="1" showErrorMessage="1" sqref="B844" xr:uid="{00000000-0002-0000-0100-000000000000}">
      <formula1>$A$1093:$A$1095</formula1>
    </dataValidation>
  </dataValidations>
  <hyperlinks>
    <hyperlink ref="A1" r:id="rId1" xr:uid="{00000000-0004-0000-0100-000000000000}"/>
  </hyperlinks>
  <pageMargins left="0" right="0" top="0.39370078740157499" bottom="0" header="0.196850393700787" footer="0"/>
  <pageSetup fitToHeight="0" orientation="landscape" r:id="rId2"/>
  <headerFooter>
    <oddHeader>&amp;CThe Walt Disney Company&amp;RPage &amp;P</oddHeader>
  </headerFooter>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BH149"/>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ColWidth="9.140625" defaultRowHeight="15" outlineLevelRow="1" outlineLevelCol="1" x14ac:dyDescent="0.25"/>
  <cols>
    <col min="1" max="1" width="41.28515625" style="14" customWidth="1"/>
    <col min="2" max="6" width="9.7109375" style="14" customWidth="1"/>
    <col min="7" max="10" width="9.7109375" style="14" hidden="1" customWidth="1" outlineLevel="1"/>
    <col min="11" max="11" width="9.7109375" style="14" customWidth="1" collapsed="1"/>
    <col min="12" max="15" width="9.7109375" style="14" hidden="1" customWidth="1" outlineLevel="1"/>
    <col min="16" max="16" width="9.7109375" style="14" customWidth="1" collapsed="1"/>
    <col min="17" max="20" width="9.7109375" style="14" hidden="1" customWidth="1" outlineLevel="1"/>
    <col min="21" max="21" width="9.7109375" style="14" customWidth="1" collapsed="1"/>
    <col min="22" max="25" width="9.7109375" style="14" hidden="1" customWidth="1" outlineLevel="1"/>
    <col min="26" max="26" width="9.7109375" style="14" customWidth="1" collapsed="1"/>
    <col min="27" max="30" width="9.7109375" style="14" hidden="1" customWidth="1" outlineLevel="1"/>
    <col min="31" max="31" width="9.7109375" style="14" customWidth="1" collapsed="1"/>
    <col min="32" max="35" width="9.7109375" style="14" hidden="1" customWidth="1" outlineLevel="1"/>
    <col min="36" max="36" width="9.7109375" style="14" customWidth="1" collapsed="1"/>
    <col min="37" max="40" width="9.7109375" style="14" hidden="1" customWidth="1" outlineLevel="1"/>
    <col min="41" max="41" width="9.7109375" style="14" customWidth="1" collapsed="1"/>
    <col min="42" max="45" width="9.7109375" style="14" hidden="1" customWidth="1" outlineLevel="1"/>
    <col min="46" max="46" width="9.7109375" style="14" customWidth="1" collapsed="1"/>
    <col min="47" max="50" width="9.7109375" style="14" customWidth="1" outlineLevel="1"/>
    <col min="51" max="51" width="9.7109375" style="14"/>
    <col min="52" max="55" width="9.7109375" style="14" hidden="1" customWidth="1" outlineLevel="1" collapsed="1"/>
    <col min="56" max="56" width="9.7109375" style="14" customWidth="1" collapsed="1"/>
    <col min="57" max="59" width="9.7109375" style="14" customWidth="1"/>
    <col min="60" max="60" width="8.85546875" style="14" customWidth="1"/>
    <col min="61" max="63" width="9.140625" style="14" customWidth="1"/>
    <col min="64" max="16384" width="9.140625" style="14"/>
  </cols>
  <sheetData>
    <row r="1" spans="1:60" s="374" customFormat="1" ht="28.5" x14ac:dyDescent="0.45">
      <c r="A1" s="236" t="str">
        <f>MO.CompanyName</f>
        <v>The Walt Disney Company</v>
      </c>
      <c r="B1" s="963"/>
      <c r="C1" s="845">
        <f t="shared" ref="C1:AH1" si="0">INDEX(MO_Common_QEndDate,0,COLUMN())</f>
        <v>40086</v>
      </c>
      <c r="D1" s="847">
        <f t="shared" si="0"/>
        <v>40451</v>
      </c>
      <c r="E1" s="847">
        <f t="shared" si="0"/>
        <v>40816</v>
      </c>
      <c r="F1" s="847">
        <f t="shared" si="0"/>
        <v>41182</v>
      </c>
      <c r="G1" s="222">
        <f t="shared" si="0"/>
        <v>41274</v>
      </c>
      <c r="H1" s="222">
        <f t="shared" si="0"/>
        <v>41364</v>
      </c>
      <c r="I1" s="222">
        <f t="shared" si="0"/>
        <v>41455</v>
      </c>
      <c r="J1" s="222">
        <f t="shared" si="0"/>
        <v>41547</v>
      </c>
      <c r="K1" s="847">
        <f t="shared" si="0"/>
        <v>41547</v>
      </c>
      <c r="L1" s="222">
        <f t="shared" si="0"/>
        <v>41639</v>
      </c>
      <c r="M1" s="222">
        <f t="shared" si="0"/>
        <v>41729</v>
      </c>
      <c r="N1" s="222">
        <f t="shared" si="0"/>
        <v>41820</v>
      </c>
      <c r="O1" s="222">
        <f t="shared" si="0"/>
        <v>41912</v>
      </c>
      <c r="P1" s="847">
        <f t="shared" si="0"/>
        <v>41912</v>
      </c>
      <c r="Q1" s="222">
        <f t="shared" si="0"/>
        <v>42004</v>
      </c>
      <c r="R1" s="222">
        <f t="shared" si="0"/>
        <v>42094</v>
      </c>
      <c r="S1" s="222">
        <f t="shared" si="0"/>
        <v>42185</v>
      </c>
      <c r="T1" s="222">
        <f t="shared" si="0"/>
        <v>42277</v>
      </c>
      <c r="U1" s="847">
        <f t="shared" si="0"/>
        <v>42277</v>
      </c>
      <c r="V1" s="222">
        <f t="shared" si="0"/>
        <v>42369</v>
      </c>
      <c r="W1" s="222">
        <f t="shared" si="0"/>
        <v>42460</v>
      </c>
      <c r="X1" s="222">
        <f t="shared" si="0"/>
        <v>42551</v>
      </c>
      <c r="Y1" s="222">
        <f t="shared" si="0"/>
        <v>42643</v>
      </c>
      <c r="Z1" s="847">
        <f t="shared" si="0"/>
        <v>42643</v>
      </c>
      <c r="AA1" s="222">
        <f t="shared" si="0"/>
        <v>42735</v>
      </c>
      <c r="AB1" s="222">
        <f t="shared" si="0"/>
        <v>42825</v>
      </c>
      <c r="AC1" s="222">
        <f t="shared" si="0"/>
        <v>42916</v>
      </c>
      <c r="AD1" s="222">
        <f t="shared" si="0"/>
        <v>43008</v>
      </c>
      <c r="AE1" s="847">
        <f t="shared" si="0"/>
        <v>43008</v>
      </c>
      <c r="AF1" s="222">
        <f t="shared" si="0"/>
        <v>43100</v>
      </c>
      <c r="AG1" s="222">
        <f t="shared" si="0"/>
        <v>43190</v>
      </c>
      <c r="AH1" s="222">
        <f t="shared" si="0"/>
        <v>43281</v>
      </c>
      <c r="AI1" s="222">
        <f t="shared" ref="AI1:AY1" si="1">INDEX(MO_Common_QEndDate,0,COLUMN())</f>
        <v>43373</v>
      </c>
      <c r="AJ1" s="847">
        <f t="shared" si="1"/>
        <v>43373</v>
      </c>
      <c r="AK1" s="222">
        <f t="shared" si="1"/>
        <v>43465</v>
      </c>
      <c r="AL1" s="222">
        <f t="shared" si="1"/>
        <v>43555</v>
      </c>
      <c r="AM1" s="222">
        <f t="shared" si="1"/>
        <v>43646</v>
      </c>
      <c r="AN1" s="222">
        <f t="shared" si="1"/>
        <v>43738</v>
      </c>
      <c r="AO1" s="847">
        <f t="shared" si="1"/>
        <v>43738</v>
      </c>
      <c r="AP1" s="222">
        <f t="shared" si="1"/>
        <v>43830</v>
      </c>
      <c r="AQ1" s="222">
        <f t="shared" si="1"/>
        <v>43921</v>
      </c>
      <c r="AR1" s="222">
        <f t="shared" si="1"/>
        <v>44012</v>
      </c>
      <c r="AS1" s="222">
        <f>INDEX(MO_Common_QEndDate,0,COLUMN())</f>
        <v>44104</v>
      </c>
      <c r="AT1" s="847">
        <f>INDEX(MO_Common_QEndDate,0,COLUMN())</f>
        <v>44104</v>
      </c>
      <c r="AU1" s="222">
        <f>INDEX(MO_Common_QEndDate,0,COLUMN())</f>
        <v>44196</v>
      </c>
      <c r="AV1" s="222">
        <f>INDEX(MO_Common_QEndDate,0,COLUMN())</f>
        <v>44286</v>
      </c>
      <c r="AW1" s="530">
        <f>INDEX(MO_Common_QEndDate,0,COLUMN())</f>
        <v>44377</v>
      </c>
      <c r="AX1" s="222">
        <f t="shared" si="1"/>
        <v>44469</v>
      </c>
      <c r="AY1" s="847">
        <f t="shared" si="1"/>
        <v>44469</v>
      </c>
      <c r="AZ1" s="222">
        <f t="shared" ref="AZ1:BG1" si="2">INDEX(MO_Common_QEndDate,0,COLUMN())</f>
        <v>44561</v>
      </c>
      <c r="BA1" s="222">
        <f t="shared" si="2"/>
        <v>44651</v>
      </c>
      <c r="BB1" s="222">
        <f t="shared" si="2"/>
        <v>44742</v>
      </c>
      <c r="BC1" s="222">
        <f t="shared" si="2"/>
        <v>44834</v>
      </c>
      <c r="BD1" s="847">
        <f t="shared" si="2"/>
        <v>44834</v>
      </c>
      <c r="BE1" s="847">
        <f t="shared" si="2"/>
        <v>45199</v>
      </c>
      <c r="BF1" s="847">
        <f t="shared" si="2"/>
        <v>45565</v>
      </c>
      <c r="BG1" s="847">
        <f t="shared" si="2"/>
        <v>45930</v>
      </c>
      <c r="BH1" s="963"/>
    </row>
    <row r="2" spans="1:60" s="375" customFormat="1" x14ac:dyDescent="0.25">
      <c r="A2" s="237" t="s">
        <v>421</v>
      </c>
      <c r="B2" s="238" t="str">
        <f>MO.ReportFX</f>
        <v>USD</v>
      </c>
      <c r="C2" s="846" t="str">
        <f t="shared" ref="C2:AH2" si="3">INDEX(MO_Common_ColumnHeader,0,COLUMN())</f>
        <v>FY2009</v>
      </c>
      <c r="D2" s="848" t="str">
        <f t="shared" si="3"/>
        <v>FY2010</v>
      </c>
      <c r="E2" s="848" t="str">
        <f t="shared" si="3"/>
        <v>FY2011</v>
      </c>
      <c r="F2" s="848" t="str">
        <f t="shared" si="3"/>
        <v>FY2012</v>
      </c>
      <c r="G2" s="125" t="str">
        <f t="shared" si="3"/>
        <v>Q1-2013</v>
      </c>
      <c r="H2" s="125" t="str">
        <f t="shared" si="3"/>
        <v>Q2-2013</v>
      </c>
      <c r="I2" s="125" t="str">
        <f t="shared" si="3"/>
        <v>Q3-2013</v>
      </c>
      <c r="J2" s="125" t="str">
        <f t="shared" si="3"/>
        <v>Q4-2013</v>
      </c>
      <c r="K2" s="848" t="str">
        <f t="shared" si="3"/>
        <v>FY2013</v>
      </c>
      <c r="L2" s="125" t="str">
        <f t="shared" si="3"/>
        <v>Q1-2014</v>
      </c>
      <c r="M2" s="125" t="str">
        <f t="shared" si="3"/>
        <v>Q2-2014</v>
      </c>
      <c r="N2" s="125" t="str">
        <f t="shared" si="3"/>
        <v>Q3-2014</v>
      </c>
      <c r="O2" s="125" t="str">
        <f t="shared" si="3"/>
        <v>Q4-2014</v>
      </c>
      <c r="P2" s="848" t="str">
        <f t="shared" si="3"/>
        <v>FY2014</v>
      </c>
      <c r="Q2" s="125" t="str">
        <f t="shared" si="3"/>
        <v>Q1-2015</v>
      </c>
      <c r="R2" s="125" t="str">
        <f t="shared" si="3"/>
        <v>Q2-2015</v>
      </c>
      <c r="S2" s="125" t="str">
        <f t="shared" si="3"/>
        <v>Q3-2015</v>
      </c>
      <c r="T2" s="125" t="str">
        <f t="shared" si="3"/>
        <v>Q4-2015</v>
      </c>
      <c r="U2" s="848" t="str">
        <f t="shared" si="3"/>
        <v>FY2015</v>
      </c>
      <c r="V2" s="125" t="str">
        <f t="shared" si="3"/>
        <v>Q1-2016</v>
      </c>
      <c r="W2" s="125" t="str">
        <f t="shared" si="3"/>
        <v>Q2-2016</v>
      </c>
      <c r="X2" s="125" t="str">
        <f t="shared" si="3"/>
        <v>Q3-2016</v>
      </c>
      <c r="Y2" s="125" t="str">
        <f t="shared" si="3"/>
        <v>Q4-2016</v>
      </c>
      <c r="Z2" s="848" t="str">
        <f t="shared" si="3"/>
        <v>FY2016</v>
      </c>
      <c r="AA2" s="125" t="str">
        <f t="shared" si="3"/>
        <v>Q1-2017</v>
      </c>
      <c r="AB2" s="125" t="str">
        <f t="shared" si="3"/>
        <v>Q2-2017</v>
      </c>
      <c r="AC2" s="125" t="str">
        <f t="shared" si="3"/>
        <v>Q3-2017</v>
      </c>
      <c r="AD2" s="125" t="str">
        <f t="shared" si="3"/>
        <v>Q4-2017</v>
      </c>
      <c r="AE2" s="848" t="str">
        <f t="shared" si="3"/>
        <v>FY2017</v>
      </c>
      <c r="AF2" s="125" t="str">
        <f t="shared" si="3"/>
        <v>Q1-2018</v>
      </c>
      <c r="AG2" s="125" t="str">
        <f t="shared" si="3"/>
        <v>Q2-2018</v>
      </c>
      <c r="AH2" s="125" t="str">
        <f t="shared" si="3"/>
        <v>Q3-2018</v>
      </c>
      <c r="AI2" s="125" t="str">
        <f t="shared" ref="AI2:AY2" si="4">INDEX(MO_Common_ColumnHeader,0,COLUMN())</f>
        <v>Q4-2018</v>
      </c>
      <c r="AJ2" s="848" t="str">
        <f t="shared" si="4"/>
        <v>FY2018</v>
      </c>
      <c r="AK2" s="125" t="str">
        <f t="shared" si="4"/>
        <v>Q1-2019</v>
      </c>
      <c r="AL2" s="125" t="str">
        <f t="shared" si="4"/>
        <v>Q2-2019</v>
      </c>
      <c r="AM2" s="125" t="str">
        <f t="shared" si="4"/>
        <v>Q3-2019</v>
      </c>
      <c r="AN2" s="125" t="str">
        <f t="shared" si="4"/>
        <v>Q4-2019</v>
      </c>
      <c r="AO2" s="848" t="str">
        <f t="shared" si="4"/>
        <v>FY2019</v>
      </c>
      <c r="AP2" s="125" t="str">
        <f t="shared" si="4"/>
        <v>Q1-2020</v>
      </c>
      <c r="AQ2" s="125" t="str">
        <f t="shared" si="4"/>
        <v>Q2-2020</v>
      </c>
      <c r="AR2" s="125" t="str">
        <f t="shared" si="4"/>
        <v>Q3-2020</v>
      </c>
      <c r="AS2" s="125" t="str">
        <f>INDEX(MO_Common_ColumnHeader,0,COLUMN())</f>
        <v>Q4-2020</v>
      </c>
      <c r="AT2" s="848" t="str">
        <f>INDEX(MO_Common_ColumnHeader,0,COLUMN())</f>
        <v>FY2020</v>
      </c>
      <c r="AU2" s="125" t="str">
        <f>INDEX(MO_Common_ColumnHeader,0,COLUMN())</f>
        <v>Q1-2021</v>
      </c>
      <c r="AV2" s="125" t="str">
        <f>INDEX(MO_Common_ColumnHeader,0,COLUMN())</f>
        <v>Q2-2021</v>
      </c>
      <c r="AW2" s="531" t="str">
        <f>INDEX(MO_Common_ColumnHeader,0,COLUMN())</f>
        <v>Q3-2021</v>
      </c>
      <c r="AX2" s="125" t="str">
        <f t="shared" si="4"/>
        <v>Q4-2021</v>
      </c>
      <c r="AY2" s="848" t="str">
        <f t="shared" si="4"/>
        <v>FY2021</v>
      </c>
      <c r="AZ2" s="125" t="str">
        <f t="shared" ref="AZ2:BG2" si="5">INDEX(MO_Common_ColumnHeader,0,COLUMN())</f>
        <v>Q1-2022</v>
      </c>
      <c r="BA2" s="125" t="str">
        <f t="shared" si="5"/>
        <v>Q2-2022</v>
      </c>
      <c r="BB2" s="125" t="str">
        <f t="shared" si="5"/>
        <v>Q3-2022</v>
      </c>
      <c r="BC2" s="125" t="str">
        <f t="shared" si="5"/>
        <v>Q4-2022</v>
      </c>
      <c r="BD2" s="848" t="str">
        <f t="shared" si="5"/>
        <v>FY2022</v>
      </c>
      <c r="BE2" s="848" t="str">
        <f t="shared" si="5"/>
        <v>FY2023</v>
      </c>
      <c r="BF2" s="848" t="str">
        <f t="shared" si="5"/>
        <v>FY2024</v>
      </c>
      <c r="BG2" s="848" t="str">
        <f t="shared" si="5"/>
        <v>FY2025</v>
      </c>
      <c r="BH2" s="963"/>
    </row>
    <row r="3" spans="1:60" s="374" customFormat="1" x14ac:dyDescent="0.25">
      <c r="A3" s="173" t="s">
        <v>422</v>
      </c>
      <c r="B3" s="173"/>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c r="AC3" s="173"/>
      <c r="AD3" s="173"/>
      <c r="AE3" s="173"/>
      <c r="AF3" s="173"/>
      <c r="AG3" s="173"/>
      <c r="AH3" s="173"/>
      <c r="AI3" s="173"/>
      <c r="AJ3" s="173"/>
      <c r="AK3" s="173"/>
      <c r="AL3" s="173"/>
      <c r="AM3" s="173"/>
      <c r="AN3" s="173"/>
      <c r="AO3" s="173"/>
      <c r="AP3" s="173"/>
      <c r="AQ3" s="173"/>
      <c r="AR3" s="173"/>
      <c r="AS3" s="173"/>
      <c r="AT3" s="173"/>
      <c r="AU3" s="173"/>
      <c r="AV3" s="173"/>
      <c r="AW3" s="532"/>
      <c r="AX3" s="173"/>
      <c r="AY3" s="173"/>
      <c r="AZ3" s="173"/>
      <c r="BA3" s="173"/>
      <c r="BB3" s="173"/>
      <c r="BC3" s="173"/>
      <c r="BD3" s="173"/>
      <c r="BE3" s="173"/>
      <c r="BF3" s="173"/>
      <c r="BG3" s="173"/>
      <c r="BH3" s="254"/>
    </row>
    <row r="4" spans="1:60" s="376" customFormat="1" x14ac:dyDescent="0.25">
      <c r="A4" s="614" t="str">
        <f>"Stock Price - "&amp;SP.ValuationToggle</f>
        <v>Stock Price - Avg</v>
      </c>
      <c r="B4" s="615" t="s">
        <v>278</v>
      </c>
      <c r="C4" s="616">
        <f t="shared" ref="C4:AH4" ca="1" si="6">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23.26</v>
      </c>
      <c r="D4" s="616">
        <f t="shared" ca="1" si="6"/>
        <v>32.443750000000001</v>
      </c>
      <c r="E4" s="616">
        <f t="shared" ca="1" si="6"/>
        <v>32.443750000000001</v>
      </c>
      <c r="F4" s="616">
        <f t="shared" ca="1" si="6"/>
        <v>42.313749999999999</v>
      </c>
      <c r="G4" s="617">
        <f t="shared" ca="1" si="6"/>
        <v>49.84</v>
      </c>
      <c r="H4" s="617">
        <f t="shared" ca="1" si="6"/>
        <v>53.31</v>
      </c>
      <c r="I4" s="617">
        <f t="shared" ca="1" si="6"/>
        <v>62.02</v>
      </c>
      <c r="J4" s="617">
        <f t="shared" ca="1" si="6"/>
        <v>64.03</v>
      </c>
      <c r="K4" s="616">
        <f t="shared" ca="1" si="6"/>
        <v>57.3</v>
      </c>
      <c r="L4" s="617">
        <f t="shared" ca="1" si="6"/>
        <v>68.94</v>
      </c>
      <c r="M4" s="617">
        <f t="shared" ca="1" si="6"/>
        <v>76.75</v>
      </c>
      <c r="N4" s="617">
        <f t="shared" ca="1" si="6"/>
        <v>81.084999999999994</v>
      </c>
      <c r="O4" s="617">
        <f t="shared" ca="1" si="6"/>
        <v>88.034999999999997</v>
      </c>
      <c r="P4" s="616">
        <f t="shared" ca="1" si="6"/>
        <v>78.702500000000001</v>
      </c>
      <c r="Q4" s="617">
        <f t="shared" ca="1" si="6"/>
        <v>86.924999999999997</v>
      </c>
      <c r="R4" s="617">
        <f t="shared" ca="1" si="6"/>
        <v>99.5</v>
      </c>
      <c r="S4" s="617">
        <f t="shared" ca="1" si="6"/>
        <v>109.765</v>
      </c>
      <c r="T4" s="617">
        <f t="shared" ca="1" si="6"/>
        <v>106.04</v>
      </c>
      <c r="U4" s="616">
        <f t="shared" ca="1" si="6"/>
        <v>100.5575</v>
      </c>
      <c r="V4" s="617">
        <f t="shared" ca="1" si="6"/>
        <v>111.63</v>
      </c>
      <c r="W4" s="617">
        <f t="shared" ca="1" si="6"/>
        <v>94.84</v>
      </c>
      <c r="X4" s="617">
        <f t="shared" ca="1" si="6"/>
        <v>100.375</v>
      </c>
      <c r="Y4" s="617">
        <f t="shared" ca="1" si="6"/>
        <v>96.35</v>
      </c>
      <c r="Z4" s="618">
        <f t="shared" ca="1" si="6"/>
        <v>100.79875</v>
      </c>
      <c r="AA4" s="617">
        <f t="shared" ca="1" si="6"/>
        <v>98.29</v>
      </c>
      <c r="AB4" s="617">
        <f t="shared" ca="1" si="6"/>
        <v>109.46</v>
      </c>
      <c r="AC4" s="617">
        <f t="shared" ca="1" si="6"/>
        <v>109.63500000000001</v>
      </c>
      <c r="AD4" s="617">
        <f t="shared" ca="1" si="6"/>
        <v>103.515</v>
      </c>
      <c r="AE4" s="618">
        <f t="shared" ca="1" si="6"/>
        <v>105.22499999999999</v>
      </c>
      <c r="AF4" s="617">
        <f t="shared" ca="1" si="6"/>
        <v>100.803834920635</v>
      </c>
      <c r="AG4" s="617">
        <f t="shared" ca="1" si="6"/>
        <v>104.602770491803</v>
      </c>
      <c r="AH4" s="617">
        <f t="shared" ca="1" si="6"/>
        <v>100.66945468749999</v>
      </c>
      <c r="AI4" s="617">
        <f t="shared" ref="AI4:AY4" ca="1" si="7">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110.40836031745999</v>
      </c>
      <c r="AJ4" s="618">
        <f t="shared" ca="1" si="7"/>
        <v>104.10351553784901</v>
      </c>
      <c r="AK4" s="617">
        <f t="shared" ca="1" si="7"/>
        <v>113.036634920635</v>
      </c>
      <c r="AL4" s="617">
        <f t="shared" ca="1" si="7"/>
        <v>111.770491803279</v>
      </c>
      <c r="AM4" s="617">
        <f t="shared" ca="1" si="7"/>
        <v>132.621904761905</v>
      </c>
      <c r="AN4" s="617">
        <f t="shared" ca="1" si="7"/>
        <v>138.2746875</v>
      </c>
      <c r="AO4" s="618">
        <f t="shared" ca="1" si="7"/>
        <v>124.246135458167</v>
      </c>
      <c r="AP4" s="617">
        <f t="shared" ca="1" si="7"/>
        <v>139.57593750000001</v>
      </c>
      <c r="AQ4" s="617">
        <f t="shared" ca="1" si="7"/>
        <v>126.429677419355</v>
      </c>
      <c r="AR4" s="617">
        <f t="shared" ca="1" si="7"/>
        <v>110.398253968254</v>
      </c>
      <c r="AS4" s="617">
        <f ca="1">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124.99625</v>
      </c>
      <c r="AT4" s="618">
        <f ca="1">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125.400592885376</v>
      </c>
      <c r="AU4" s="617">
        <f ca="1">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143.5340625</v>
      </c>
      <c r="AV4" s="617">
        <f ca="1">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184.41557377049199</v>
      </c>
      <c r="AW4" s="710">
        <f ca="1">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179.84507936507899</v>
      </c>
      <c r="AX4" s="617">
        <f t="shared" ca="1" si="7"/>
        <v>172.01</v>
      </c>
      <c r="AY4" s="618">
        <f t="shared" ca="1" si="7"/>
        <v>172.01</v>
      </c>
      <c r="AZ4" s="617">
        <f t="shared" ref="AZ4:BG4" ca="1" si="8">IF(INDEX(MO_SNA_IsHistoricalPeriod,1,COLUMN())=FALSE,MO.LastPrice/HP.MRFX,CHOOSE(VLOOKUP(SP.ValuationToggle,tb_ValuationToggle,COLUMNS(tb_ValuationToggle),FALSE),INDEX(MO_SPT_StockHigh,1,COLUMN()),INDEX(MO_SPT_StockLow,1,COLUMN()),INDEX(MO_SPT_StockAverage,1,COLUMN()))/IF(INDEX(MO_SPT_FXAverage,1,COLUMN())=0,1,INDEX(MO_SPT_FXAverage,1,COLUMN())))</f>
        <v>172.01</v>
      </c>
      <c r="BA4" s="617">
        <f t="shared" ca="1" si="8"/>
        <v>172.01</v>
      </c>
      <c r="BB4" s="617">
        <f t="shared" ca="1" si="8"/>
        <v>172.01</v>
      </c>
      <c r="BC4" s="617">
        <f t="shared" ca="1" si="8"/>
        <v>172.01</v>
      </c>
      <c r="BD4" s="618">
        <f t="shared" ca="1" si="8"/>
        <v>172.01</v>
      </c>
      <c r="BE4" s="618">
        <f t="shared" ca="1" si="8"/>
        <v>172.01</v>
      </c>
      <c r="BF4" s="618">
        <f t="shared" ca="1" si="8"/>
        <v>172.01</v>
      </c>
      <c r="BG4" s="618">
        <f t="shared" ca="1" si="8"/>
        <v>172.01</v>
      </c>
      <c r="BH4" s="128"/>
    </row>
    <row r="5" spans="1:60" s="377" customFormat="1" x14ac:dyDescent="0.25">
      <c r="A5" s="240" t="str">
        <f>INDEX(MO_RIS_ShareCount_WAD_Adj,0,COLUMN())</f>
        <v>Adjusted Shares Outstanding - WAD</v>
      </c>
      <c r="B5" s="241"/>
      <c r="C5" s="153">
        <f t="shared" ref="C5:AH5" si="9">INDEX(MO_RIS_ShareCount_WAD_Adj,0,COLUMN())</f>
        <v>1875</v>
      </c>
      <c r="D5" s="153">
        <f t="shared" si="9"/>
        <v>1948</v>
      </c>
      <c r="E5" s="153">
        <f t="shared" si="9"/>
        <v>1909</v>
      </c>
      <c r="F5" s="153">
        <f t="shared" si="9"/>
        <v>1818</v>
      </c>
      <c r="G5" s="154">
        <f t="shared" si="9"/>
        <v>1800</v>
      </c>
      <c r="H5" s="154">
        <f t="shared" si="9"/>
        <v>1825</v>
      </c>
      <c r="I5" s="154">
        <f t="shared" si="9"/>
        <v>1821</v>
      </c>
      <c r="J5" s="154">
        <f t="shared" si="9"/>
        <v>1805</v>
      </c>
      <c r="K5" s="153">
        <f t="shared" si="9"/>
        <v>1813</v>
      </c>
      <c r="L5" s="154">
        <f t="shared" si="9"/>
        <v>1784</v>
      </c>
      <c r="M5" s="154">
        <f t="shared" si="9"/>
        <v>1770</v>
      </c>
      <c r="N5" s="154">
        <f t="shared" si="9"/>
        <v>1748</v>
      </c>
      <c r="O5" s="154">
        <f t="shared" si="9"/>
        <v>1734</v>
      </c>
      <c r="P5" s="153">
        <f t="shared" si="9"/>
        <v>1759</v>
      </c>
      <c r="Q5" s="154">
        <f t="shared" si="9"/>
        <v>1717</v>
      </c>
      <c r="R5" s="154">
        <f t="shared" si="9"/>
        <v>1715</v>
      </c>
      <c r="S5" s="154">
        <f t="shared" si="9"/>
        <v>1711</v>
      </c>
      <c r="T5" s="154">
        <f t="shared" si="9"/>
        <v>1694</v>
      </c>
      <c r="U5" s="153">
        <f t="shared" si="9"/>
        <v>1709</v>
      </c>
      <c r="V5" s="154">
        <f t="shared" si="9"/>
        <v>1668</v>
      </c>
      <c r="W5" s="154">
        <f t="shared" si="9"/>
        <v>1643</v>
      </c>
      <c r="X5" s="154">
        <f t="shared" si="9"/>
        <v>1631</v>
      </c>
      <c r="Y5" s="154">
        <f t="shared" si="9"/>
        <v>1615</v>
      </c>
      <c r="Z5" s="153">
        <f t="shared" si="9"/>
        <v>1639</v>
      </c>
      <c r="AA5" s="154">
        <f t="shared" si="9"/>
        <v>1603</v>
      </c>
      <c r="AB5" s="154">
        <f t="shared" si="9"/>
        <v>1591</v>
      </c>
      <c r="AC5" s="154">
        <f t="shared" si="9"/>
        <v>1572</v>
      </c>
      <c r="AD5" s="154">
        <f t="shared" si="9"/>
        <v>1547</v>
      </c>
      <c r="AE5" s="153">
        <f t="shared" si="9"/>
        <v>1578</v>
      </c>
      <c r="AF5" s="154">
        <f t="shared" si="9"/>
        <v>1521</v>
      </c>
      <c r="AG5" s="154">
        <f t="shared" si="9"/>
        <v>1510</v>
      </c>
      <c r="AH5" s="154">
        <f t="shared" si="9"/>
        <v>1498</v>
      </c>
      <c r="AI5" s="154">
        <f t="shared" ref="AI5:AY5" si="10">INDEX(MO_RIS_ShareCount_WAD_Adj,0,COLUMN())</f>
        <v>1497</v>
      </c>
      <c r="AJ5" s="153">
        <f t="shared" si="10"/>
        <v>1507</v>
      </c>
      <c r="AK5" s="154">
        <f t="shared" si="10"/>
        <v>1498</v>
      </c>
      <c r="AL5" s="154">
        <f t="shared" si="10"/>
        <v>1537</v>
      </c>
      <c r="AM5" s="154">
        <f t="shared" si="10"/>
        <v>1814</v>
      </c>
      <c r="AN5" s="154">
        <f t="shared" si="10"/>
        <v>1816</v>
      </c>
      <c r="AO5" s="153">
        <f t="shared" si="10"/>
        <v>1666</v>
      </c>
      <c r="AP5" s="154">
        <f t="shared" si="10"/>
        <v>1817</v>
      </c>
      <c r="AQ5" s="154">
        <f t="shared" si="10"/>
        <v>1816</v>
      </c>
      <c r="AR5" s="154">
        <f t="shared" si="10"/>
        <v>1809</v>
      </c>
      <c r="AS5" s="154">
        <f>INDEX(MO_RIS_ShareCount_WAD_Adj,0,COLUMN())</f>
        <v>1809</v>
      </c>
      <c r="AT5" s="153">
        <f>INDEX(MO_RIS_ShareCount_WAD_Adj,0,COLUMN())</f>
        <v>1808</v>
      </c>
      <c r="AU5" s="154">
        <f>INDEX(MO_RIS_ShareCount_WAD_Adj,0,COLUMN())</f>
        <v>1823</v>
      </c>
      <c r="AV5" s="154">
        <f>INDEX(MO_RIS_ShareCount_WAD_Adj,0,COLUMN())</f>
        <v>1829</v>
      </c>
      <c r="AW5" s="711">
        <f>INDEX(MO_RIS_ShareCount_WAD_Adj,0,COLUMN())</f>
        <v>1830</v>
      </c>
      <c r="AX5" s="154">
        <f t="shared" ca="1" si="10"/>
        <v>1830</v>
      </c>
      <c r="AY5" s="153">
        <f t="shared" ca="1" si="10"/>
        <v>1828</v>
      </c>
      <c r="AZ5" s="154">
        <f t="shared" ref="AZ5:BG5" ca="1" si="11">INDEX(MO_RIS_ShareCount_WAD_Adj,0,COLUMN())</f>
        <v>1830</v>
      </c>
      <c r="BA5" s="154">
        <f t="shared" ca="1" si="11"/>
        <v>1830</v>
      </c>
      <c r="BB5" s="154">
        <f t="shared" ca="1" si="11"/>
        <v>1830</v>
      </c>
      <c r="BC5" s="154">
        <f t="shared" ca="1" si="11"/>
        <v>1830</v>
      </c>
      <c r="BD5" s="153">
        <f t="shared" ca="1" si="11"/>
        <v>1830</v>
      </c>
      <c r="BE5" s="153">
        <f t="shared" ca="1" si="11"/>
        <v>1830</v>
      </c>
      <c r="BF5" s="153">
        <f t="shared" ca="1" si="11"/>
        <v>1830</v>
      </c>
      <c r="BG5" s="153">
        <f t="shared" ca="1" si="11"/>
        <v>1830</v>
      </c>
      <c r="BH5" s="154"/>
    </row>
    <row r="6" spans="1:60" s="378" customFormat="1" x14ac:dyDescent="0.25">
      <c r="A6" s="242" t="str">
        <f>"Market Cap - "&amp;SP.ValuationToggle</f>
        <v>Market Cap - Avg</v>
      </c>
      <c r="B6" s="243"/>
      <c r="C6" s="155">
        <f t="shared" ref="C6:AH6" ca="1" si="12">INDEX(SP_CS_StockPrice,0,COLUMN())*INDEX(SP_CS_ShareCount,0,COLUMN())</f>
        <v>43612.5</v>
      </c>
      <c r="D6" s="155">
        <f t="shared" ca="1" si="12"/>
        <v>63200.425000000003</v>
      </c>
      <c r="E6" s="155">
        <f t="shared" ca="1" si="12"/>
        <v>61935.118750000001</v>
      </c>
      <c r="F6" s="155">
        <f t="shared" ca="1" si="12"/>
        <v>76926.397499999992</v>
      </c>
      <c r="G6" s="156">
        <f t="shared" ca="1" si="12"/>
        <v>89712</v>
      </c>
      <c r="H6" s="156">
        <f t="shared" ca="1" si="12"/>
        <v>97290.75</v>
      </c>
      <c r="I6" s="156">
        <f t="shared" ca="1" si="12"/>
        <v>112938.42000000001</v>
      </c>
      <c r="J6" s="156">
        <f t="shared" ca="1" si="12"/>
        <v>115574.15000000001</v>
      </c>
      <c r="K6" s="155">
        <f t="shared" ca="1" si="12"/>
        <v>103884.9</v>
      </c>
      <c r="L6" s="156">
        <f t="shared" ca="1" si="12"/>
        <v>122988.95999999999</v>
      </c>
      <c r="M6" s="156">
        <f t="shared" ca="1" si="12"/>
        <v>135847.5</v>
      </c>
      <c r="N6" s="156">
        <f t="shared" ca="1" si="12"/>
        <v>141736.57999999999</v>
      </c>
      <c r="O6" s="156">
        <f t="shared" ca="1" si="12"/>
        <v>152652.69</v>
      </c>
      <c r="P6" s="155">
        <f t="shared" ca="1" si="12"/>
        <v>138437.69750000001</v>
      </c>
      <c r="Q6" s="156">
        <f t="shared" ca="1" si="12"/>
        <v>149250.22500000001</v>
      </c>
      <c r="R6" s="156">
        <f t="shared" ca="1" si="12"/>
        <v>170642.5</v>
      </c>
      <c r="S6" s="156">
        <f t="shared" ca="1" si="12"/>
        <v>187807.91500000001</v>
      </c>
      <c r="T6" s="156">
        <f t="shared" ca="1" si="12"/>
        <v>179631.76</v>
      </c>
      <c r="U6" s="155">
        <f t="shared" ca="1" si="12"/>
        <v>171852.76750000002</v>
      </c>
      <c r="V6" s="156">
        <f t="shared" ca="1" si="12"/>
        <v>186198.84</v>
      </c>
      <c r="W6" s="156">
        <f t="shared" ca="1" si="12"/>
        <v>155822.12</v>
      </c>
      <c r="X6" s="156">
        <f t="shared" ca="1" si="12"/>
        <v>163711.625</v>
      </c>
      <c r="Y6" s="156">
        <f t="shared" ca="1" si="12"/>
        <v>155605.25</v>
      </c>
      <c r="Z6" s="155">
        <f t="shared" ca="1" si="12"/>
        <v>165209.15125</v>
      </c>
      <c r="AA6" s="156">
        <f t="shared" ca="1" si="12"/>
        <v>157558.87000000002</v>
      </c>
      <c r="AB6" s="156">
        <f t="shared" ca="1" si="12"/>
        <v>174150.86</v>
      </c>
      <c r="AC6" s="156">
        <f t="shared" ca="1" si="12"/>
        <v>172346.22</v>
      </c>
      <c r="AD6" s="156">
        <f t="shared" ca="1" si="12"/>
        <v>160137.70499999999</v>
      </c>
      <c r="AE6" s="155">
        <f t="shared" ca="1" si="12"/>
        <v>166045.04999999999</v>
      </c>
      <c r="AF6" s="156">
        <f t="shared" ca="1" si="12"/>
        <v>153322.63291428584</v>
      </c>
      <c r="AG6" s="156">
        <f t="shared" ca="1" si="12"/>
        <v>157950.18344262254</v>
      </c>
      <c r="AH6" s="156">
        <f t="shared" ca="1" si="12"/>
        <v>150802.84312187499</v>
      </c>
      <c r="AI6" s="156">
        <f t="shared" ref="AI6:AY6" ca="1" si="13">INDEX(SP_CS_StockPrice,0,COLUMN())*INDEX(SP_CS_ShareCount,0,COLUMN())</f>
        <v>165281.31539523762</v>
      </c>
      <c r="AJ6" s="155">
        <f t="shared" ca="1" si="13"/>
        <v>156883.99791553846</v>
      </c>
      <c r="AK6" s="156">
        <f t="shared" ca="1" si="13"/>
        <v>169328.87911111122</v>
      </c>
      <c r="AL6" s="156">
        <f t="shared" ca="1" si="13"/>
        <v>171791.24590163984</v>
      </c>
      <c r="AM6" s="156">
        <f t="shared" ca="1" si="13"/>
        <v>240576.13523809568</v>
      </c>
      <c r="AN6" s="156">
        <f t="shared" ca="1" si="13"/>
        <v>251106.83249999999</v>
      </c>
      <c r="AO6" s="155">
        <f t="shared" ca="1" si="13"/>
        <v>206994.06167330622</v>
      </c>
      <c r="AP6" s="156">
        <f t="shared" ca="1" si="13"/>
        <v>253609.47843750002</v>
      </c>
      <c r="AQ6" s="156">
        <f t="shared" ca="1" si="13"/>
        <v>229596.29419354867</v>
      </c>
      <c r="AR6" s="156">
        <f t="shared" ca="1" si="13"/>
        <v>199710.44142857147</v>
      </c>
      <c r="AS6" s="156">
        <f ca="1">INDEX(SP_CS_StockPrice,0,COLUMN())*INDEX(SP_CS_ShareCount,0,COLUMN())</f>
        <v>226118.21625</v>
      </c>
      <c r="AT6" s="155">
        <f ca="1">INDEX(SP_CS_StockPrice,0,COLUMN())*INDEX(SP_CS_ShareCount,0,COLUMN())</f>
        <v>226724.27193675982</v>
      </c>
      <c r="AU6" s="156">
        <f ca="1">INDEX(SP_CS_StockPrice,0,COLUMN())*INDEX(SP_CS_ShareCount,0,COLUMN())</f>
        <v>261662.59593750001</v>
      </c>
      <c r="AV6" s="156">
        <f ca="1">INDEX(SP_CS_StockPrice,0,COLUMN())*INDEX(SP_CS_ShareCount,0,COLUMN())</f>
        <v>337296.08442622982</v>
      </c>
      <c r="AW6" s="712">
        <f ca="1">INDEX(SP_CS_StockPrice,0,COLUMN())*INDEX(SP_CS_ShareCount,0,COLUMN())</f>
        <v>329116.49523809453</v>
      </c>
      <c r="AX6" s="156">
        <f t="shared" ca="1" si="13"/>
        <v>314778.3</v>
      </c>
      <c r="AY6" s="155">
        <f t="shared" ca="1" si="13"/>
        <v>314434.27999999997</v>
      </c>
      <c r="AZ6" s="156">
        <f t="shared" ref="AZ6:BG6" ca="1" si="14">INDEX(SP_CS_StockPrice,0,COLUMN())*INDEX(SP_CS_ShareCount,0,COLUMN())</f>
        <v>314778.3</v>
      </c>
      <c r="BA6" s="156">
        <f t="shared" ca="1" si="14"/>
        <v>314778.3</v>
      </c>
      <c r="BB6" s="156">
        <f t="shared" ca="1" si="14"/>
        <v>314778.3</v>
      </c>
      <c r="BC6" s="156">
        <f t="shared" ca="1" si="14"/>
        <v>314778.3</v>
      </c>
      <c r="BD6" s="155">
        <f t="shared" ca="1" si="14"/>
        <v>314778.3</v>
      </c>
      <c r="BE6" s="155">
        <f t="shared" ca="1" si="14"/>
        <v>314778.3</v>
      </c>
      <c r="BF6" s="155">
        <f t="shared" ca="1" si="14"/>
        <v>314778.3</v>
      </c>
      <c r="BG6" s="155">
        <f t="shared" ca="1" si="14"/>
        <v>314778.3</v>
      </c>
      <c r="BH6" s="158"/>
    </row>
    <row r="7" spans="1:60" s="377" customFormat="1" x14ac:dyDescent="0.25">
      <c r="A7" s="240" t="str">
        <f>INDEX(MO_BSS_Cash,0,COLUMN())</f>
        <v>Cash</v>
      </c>
      <c r="B7" s="241"/>
      <c r="C7" s="153">
        <f t="shared" ref="C7:AH7" si="15">INDEX(MO_BSS_Cash,0,COLUMN())</f>
        <v>3417</v>
      </c>
      <c r="D7" s="153">
        <f t="shared" si="15"/>
        <v>2722</v>
      </c>
      <c r="E7" s="153">
        <f t="shared" si="15"/>
        <v>3185</v>
      </c>
      <c r="F7" s="153">
        <f t="shared" si="15"/>
        <v>3387</v>
      </c>
      <c r="G7" s="154">
        <f t="shared" si="15"/>
        <v>3207</v>
      </c>
      <c r="H7" s="154">
        <f t="shared" si="15"/>
        <v>3952</v>
      </c>
      <c r="I7" s="154">
        <f t="shared" si="15"/>
        <v>3932</v>
      </c>
      <c r="J7" s="154">
        <f t="shared" si="15"/>
        <v>3931</v>
      </c>
      <c r="K7" s="153">
        <f t="shared" si="15"/>
        <v>3931</v>
      </c>
      <c r="L7" s="154">
        <f t="shared" si="15"/>
        <v>4397</v>
      </c>
      <c r="M7" s="154">
        <f t="shared" si="15"/>
        <v>4078</v>
      </c>
      <c r="N7" s="154">
        <f t="shared" si="15"/>
        <v>4090</v>
      </c>
      <c r="O7" s="154">
        <f t="shared" si="15"/>
        <v>3421</v>
      </c>
      <c r="P7" s="153">
        <f t="shared" si="15"/>
        <v>3421</v>
      </c>
      <c r="Q7" s="154">
        <f t="shared" si="15"/>
        <v>5077</v>
      </c>
      <c r="R7" s="154">
        <f t="shared" si="15"/>
        <v>3745</v>
      </c>
      <c r="S7" s="154">
        <f t="shared" si="15"/>
        <v>4475</v>
      </c>
      <c r="T7" s="154">
        <f t="shared" si="15"/>
        <v>4269</v>
      </c>
      <c r="U7" s="153">
        <f t="shared" si="15"/>
        <v>4269</v>
      </c>
      <c r="V7" s="154">
        <f t="shared" si="15"/>
        <v>4301</v>
      </c>
      <c r="W7" s="154">
        <f t="shared" si="15"/>
        <v>5015</v>
      </c>
      <c r="X7" s="154">
        <f t="shared" si="15"/>
        <v>5227</v>
      </c>
      <c r="Y7" s="154">
        <f t="shared" si="15"/>
        <v>4610</v>
      </c>
      <c r="Z7" s="153">
        <f t="shared" si="15"/>
        <v>4610</v>
      </c>
      <c r="AA7" s="154">
        <f t="shared" si="15"/>
        <v>3736</v>
      </c>
      <c r="AB7" s="154">
        <f t="shared" si="15"/>
        <v>3800</v>
      </c>
      <c r="AC7" s="154">
        <f t="shared" si="15"/>
        <v>4336</v>
      </c>
      <c r="AD7" s="154">
        <f t="shared" si="15"/>
        <v>4064</v>
      </c>
      <c r="AE7" s="153">
        <f t="shared" si="15"/>
        <v>4064</v>
      </c>
      <c r="AF7" s="154">
        <f t="shared" si="15"/>
        <v>4695</v>
      </c>
      <c r="AG7" s="154">
        <f t="shared" si="15"/>
        <v>4195</v>
      </c>
      <c r="AH7" s="154">
        <f t="shared" si="15"/>
        <v>4331</v>
      </c>
      <c r="AI7" s="154">
        <f t="shared" ref="AI7:AY7" si="16">INDEX(MO_BSS_Cash,0,COLUMN())</f>
        <v>4155</v>
      </c>
      <c r="AJ7" s="153">
        <f t="shared" si="16"/>
        <v>4155</v>
      </c>
      <c r="AK7" s="154">
        <f t="shared" si="16"/>
        <v>4463</v>
      </c>
      <c r="AL7" s="154">
        <f t="shared" si="16"/>
        <v>10108</v>
      </c>
      <c r="AM7" s="154">
        <f t="shared" si="16"/>
        <v>6766</v>
      </c>
      <c r="AN7" s="154">
        <f t="shared" si="16"/>
        <v>5455</v>
      </c>
      <c r="AO7" s="153">
        <f t="shared" si="16"/>
        <v>5455</v>
      </c>
      <c r="AP7" s="154">
        <f t="shared" si="16"/>
        <v>6874</v>
      </c>
      <c r="AQ7" s="154">
        <f t="shared" si="16"/>
        <v>14378</v>
      </c>
      <c r="AR7" s="154">
        <f t="shared" si="16"/>
        <v>23154</v>
      </c>
      <c r="AS7" s="154">
        <f>INDEX(MO_BSS_Cash,0,COLUMN())</f>
        <v>17954</v>
      </c>
      <c r="AT7" s="153">
        <f>INDEX(MO_BSS_Cash,0,COLUMN())</f>
        <v>17954</v>
      </c>
      <c r="AU7" s="154">
        <f>INDEX(MO_BSS_Cash,0,COLUMN())</f>
        <v>17112</v>
      </c>
      <c r="AV7" s="154">
        <f>INDEX(MO_BSS_Cash,0,COLUMN())</f>
        <v>15932</v>
      </c>
      <c r="AW7" s="711">
        <f>INDEX(MO_BSS_Cash,0,COLUMN())</f>
        <v>16115</v>
      </c>
      <c r="AX7" s="154">
        <f t="shared" ca="1" si="16"/>
        <v>17083.452124980293</v>
      </c>
      <c r="AY7" s="153">
        <f t="shared" ca="1" si="16"/>
        <v>17083.452124980293</v>
      </c>
      <c r="AZ7" s="154">
        <f t="shared" ref="AZ7:BG7" ca="1" si="17">INDEX(MO_BSS_Cash,0,COLUMN())</f>
        <v>16788.057761956225</v>
      </c>
      <c r="BA7" s="154">
        <f t="shared" ca="1" si="17"/>
        <v>19466.955073268316</v>
      </c>
      <c r="BB7" s="154">
        <f t="shared" ca="1" si="17"/>
        <v>22312.638998935639</v>
      </c>
      <c r="BC7" s="154">
        <f t="shared" ca="1" si="17"/>
        <v>21839.260678502604</v>
      </c>
      <c r="BD7" s="153">
        <f t="shared" ca="1" si="17"/>
        <v>21839.260678502604</v>
      </c>
      <c r="BE7" s="153">
        <f t="shared" ca="1" si="17"/>
        <v>31116.797241260105</v>
      </c>
      <c r="BF7" s="153">
        <f t="shared" ca="1" si="17"/>
        <v>41391.951426134954</v>
      </c>
      <c r="BG7" s="153">
        <f t="shared" ca="1" si="17"/>
        <v>52677.111823617175</v>
      </c>
      <c r="BH7" s="154"/>
    </row>
    <row r="8" spans="1:60" s="377" customFormat="1" x14ac:dyDescent="0.25">
      <c r="A8" s="240" t="str">
        <f>INDEX(MO_BSS_Debt,0,COLUMN())</f>
        <v>Debt</v>
      </c>
      <c r="B8" s="241"/>
      <c r="C8" s="153">
        <f t="shared" ref="C8:AH8" si="18">INDEX(MO_BSS_Debt,0,COLUMN())</f>
        <v>12701</v>
      </c>
      <c r="D8" s="153">
        <f t="shared" si="18"/>
        <v>12480</v>
      </c>
      <c r="E8" s="153">
        <f t="shared" si="18"/>
        <v>13977</v>
      </c>
      <c r="F8" s="153">
        <f t="shared" si="18"/>
        <v>14311</v>
      </c>
      <c r="G8" s="154">
        <f t="shared" si="18"/>
        <v>17448</v>
      </c>
      <c r="H8" s="154">
        <f t="shared" si="18"/>
        <v>16937</v>
      </c>
      <c r="I8" s="154">
        <f t="shared" si="18"/>
        <v>15003</v>
      </c>
      <c r="J8" s="154">
        <f t="shared" si="18"/>
        <v>14288</v>
      </c>
      <c r="K8" s="153">
        <f t="shared" si="18"/>
        <v>14288</v>
      </c>
      <c r="L8" s="154">
        <f t="shared" si="18"/>
        <v>15401</v>
      </c>
      <c r="M8" s="154">
        <f t="shared" si="18"/>
        <v>15604</v>
      </c>
      <c r="N8" s="154">
        <f t="shared" si="18"/>
        <v>16136</v>
      </c>
      <c r="O8" s="154">
        <f t="shared" si="18"/>
        <v>14795</v>
      </c>
      <c r="P8" s="153">
        <f t="shared" si="18"/>
        <v>14795</v>
      </c>
      <c r="Q8" s="154">
        <f t="shared" si="18"/>
        <v>16543</v>
      </c>
      <c r="R8" s="154">
        <f t="shared" si="18"/>
        <v>14957</v>
      </c>
      <c r="S8" s="154">
        <f t="shared" si="18"/>
        <v>15273</v>
      </c>
      <c r="T8" s="154">
        <f t="shared" si="18"/>
        <v>17336</v>
      </c>
      <c r="U8" s="153">
        <f t="shared" si="18"/>
        <v>17336</v>
      </c>
      <c r="V8" s="154">
        <f t="shared" si="18"/>
        <v>18915</v>
      </c>
      <c r="W8" s="154">
        <f t="shared" si="18"/>
        <v>21122</v>
      </c>
      <c r="X8" s="154">
        <f t="shared" si="18"/>
        <v>20441</v>
      </c>
      <c r="Y8" s="154">
        <f t="shared" si="18"/>
        <v>20170</v>
      </c>
      <c r="Z8" s="153">
        <f t="shared" si="18"/>
        <v>20170</v>
      </c>
      <c r="AA8" s="154">
        <f t="shared" si="18"/>
        <v>20490</v>
      </c>
      <c r="AB8" s="154">
        <f t="shared" si="18"/>
        <v>21653</v>
      </c>
      <c r="AC8" s="154">
        <f t="shared" si="18"/>
        <v>22187</v>
      </c>
      <c r="AD8" s="154">
        <f t="shared" si="18"/>
        <v>25291</v>
      </c>
      <c r="AE8" s="153">
        <f t="shared" si="18"/>
        <v>25291</v>
      </c>
      <c r="AF8" s="154">
        <f t="shared" si="18"/>
        <v>26091</v>
      </c>
      <c r="AG8" s="154">
        <f t="shared" si="18"/>
        <v>24684</v>
      </c>
      <c r="AH8" s="154">
        <f t="shared" si="18"/>
        <v>23673</v>
      </c>
      <c r="AI8" s="154">
        <f t="shared" ref="AI8:AY8" si="19">INDEX(MO_BSS_Debt,0,COLUMN())</f>
        <v>20874</v>
      </c>
      <c r="AJ8" s="153">
        <f t="shared" si="19"/>
        <v>20874</v>
      </c>
      <c r="AK8" s="154">
        <f t="shared" si="19"/>
        <v>20665</v>
      </c>
      <c r="AL8" s="154">
        <f t="shared" si="19"/>
        <v>56961</v>
      </c>
      <c r="AM8" s="154">
        <f t="shared" si="19"/>
        <v>58234</v>
      </c>
      <c r="AN8" s="154">
        <f t="shared" si="19"/>
        <v>46986</v>
      </c>
      <c r="AO8" s="153">
        <f t="shared" si="19"/>
        <v>46986</v>
      </c>
      <c r="AP8" s="154">
        <f t="shared" si="19"/>
        <v>48075</v>
      </c>
      <c r="AQ8" s="154">
        <f t="shared" si="19"/>
        <v>55446</v>
      </c>
      <c r="AR8" s="154">
        <f t="shared" si="19"/>
        <v>64421</v>
      </c>
      <c r="AS8" s="154">
        <f>INDEX(MO_BSS_Debt,0,COLUMN())</f>
        <v>58628</v>
      </c>
      <c r="AT8" s="153">
        <f>INDEX(MO_BSS_Debt,0,COLUMN())</f>
        <v>58628</v>
      </c>
      <c r="AU8" s="154">
        <f>INDEX(MO_BSS_Debt,0,COLUMN())</f>
        <v>58275</v>
      </c>
      <c r="AV8" s="154">
        <f>INDEX(MO_BSS_Debt,0,COLUMN())</f>
        <v>56146</v>
      </c>
      <c r="AW8" s="711">
        <f>INDEX(MO_BSS_Debt,0,COLUMN())</f>
        <v>55838</v>
      </c>
      <c r="AX8" s="154">
        <f t="shared" si="19"/>
        <v>55838</v>
      </c>
      <c r="AY8" s="153">
        <f t="shared" si="19"/>
        <v>55838</v>
      </c>
      <c r="AZ8" s="154">
        <f t="shared" ref="AZ8:BG8" si="20">INDEX(MO_BSS_Debt,0,COLUMN())</f>
        <v>55838</v>
      </c>
      <c r="BA8" s="154">
        <f t="shared" si="20"/>
        <v>55838</v>
      </c>
      <c r="BB8" s="154">
        <f t="shared" si="20"/>
        <v>55838</v>
      </c>
      <c r="BC8" s="154">
        <f t="shared" si="20"/>
        <v>55838</v>
      </c>
      <c r="BD8" s="153">
        <f t="shared" si="20"/>
        <v>55838</v>
      </c>
      <c r="BE8" s="153">
        <f t="shared" si="20"/>
        <v>55838</v>
      </c>
      <c r="BF8" s="153">
        <f t="shared" si="20"/>
        <v>55838</v>
      </c>
      <c r="BG8" s="153">
        <f t="shared" si="20"/>
        <v>55838</v>
      </c>
      <c r="BH8" s="154"/>
    </row>
    <row r="9" spans="1:60" s="377" customFormat="1" x14ac:dyDescent="0.25">
      <c r="A9" s="240" t="s">
        <v>282</v>
      </c>
      <c r="B9" s="241"/>
      <c r="C9" s="153">
        <f t="shared" ref="C9:AH9" si="21">INDEX(MO_VA_EVCalc_NCI,0,COLUMN())+INDEX(MO_VA_EVCalc_Prefs,0,COLUMN())+INDEX(MO_VA_EVCalc_Other,0,COLUMN())</f>
        <v>1691</v>
      </c>
      <c r="D9" s="153">
        <f t="shared" si="21"/>
        <v>1823</v>
      </c>
      <c r="E9" s="153">
        <f t="shared" si="21"/>
        <v>2068</v>
      </c>
      <c r="F9" s="153">
        <f t="shared" si="21"/>
        <v>2199</v>
      </c>
      <c r="G9" s="154">
        <f t="shared" si="21"/>
        <v>2354</v>
      </c>
      <c r="H9" s="154">
        <f t="shared" si="21"/>
        <v>2055</v>
      </c>
      <c r="I9" s="154">
        <f t="shared" si="21"/>
        <v>2371</v>
      </c>
      <c r="J9" s="154">
        <f t="shared" si="21"/>
        <v>2721</v>
      </c>
      <c r="K9" s="153">
        <f t="shared" si="21"/>
        <v>2721</v>
      </c>
      <c r="L9" s="154">
        <f t="shared" si="21"/>
        <v>2972</v>
      </c>
      <c r="M9" s="154">
        <f t="shared" si="21"/>
        <v>2751</v>
      </c>
      <c r="N9" s="154">
        <f t="shared" si="21"/>
        <v>3092</v>
      </c>
      <c r="O9" s="154">
        <f t="shared" si="21"/>
        <v>3220</v>
      </c>
      <c r="P9" s="153">
        <f t="shared" si="21"/>
        <v>3220</v>
      </c>
      <c r="Q9" s="154">
        <f t="shared" si="21"/>
        <v>3628</v>
      </c>
      <c r="R9" s="154">
        <f t="shared" si="21"/>
        <v>3699</v>
      </c>
      <c r="S9" s="154">
        <f t="shared" si="21"/>
        <v>3988</v>
      </c>
      <c r="T9" s="154">
        <f t="shared" si="21"/>
        <v>4130</v>
      </c>
      <c r="U9" s="153">
        <f t="shared" si="21"/>
        <v>4130</v>
      </c>
      <c r="V9" s="154">
        <f t="shared" si="21"/>
        <v>4240</v>
      </c>
      <c r="W9" s="154">
        <f t="shared" si="21"/>
        <v>3886</v>
      </c>
      <c r="X9" s="154">
        <f t="shared" si="21"/>
        <v>3953</v>
      </c>
      <c r="Y9" s="154">
        <f t="shared" si="21"/>
        <v>4058</v>
      </c>
      <c r="Z9" s="153">
        <f t="shared" si="21"/>
        <v>4058</v>
      </c>
      <c r="AA9" s="154">
        <f t="shared" si="21"/>
        <v>3967</v>
      </c>
      <c r="AB9" s="154">
        <f t="shared" si="21"/>
        <v>3483</v>
      </c>
      <c r="AC9" s="154">
        <f t="shared" si="21"/>
        <v>3520</v>
      </c>
      <c r="AD9" s="154">
        <f t="shared" si="21"/>
        <v>4837</v>
      </c>
      <c r="AE9" s="153">
        <f t="shared" si="21"/>
        <v>4837</v>
      </c>
      <c r="AF9" s="154">
        <f t="shared" si="21"/>
        <v>4936</v>
      </c>
      <c r="AG9" s="154">
        <f t="shared" si="21"/>
        <v>4650</v>
      </c>
      <c r="AH9" s="154">
        <f t="shared" si="21"/>
        <v>5120</v>
      </c>
      <c r="AI9" s="154">
        <f t="shared" ref="AI9:AY9" si="22">INDEX(MO_VA_EVCalc_NCI,0,COLUMN())+INDEX(MO_VA_EVCalc_Prefs,0,COLUMN())+INDEX(MO_VA_EVCalc_Other,0,COLUMN())</f>
        <v>5182</v>
      </c>
      <c r="AJ9" s="153">
        <f t="shared" si="22"/>
        <v>5182</v>
      </c>
      <c r="AK9" s="154">
        <f t="shared" si="22"/>
        <v>5201</v>
      </c>
      <c r="AL9" s="154">
        <f t="shared" si="22"/>
        <v>15504</v>
      </c>
      <c r="AM9" s="154">
        <f t="shared" si="22"/>
        <v>14781</v>
      </c>
      <c r="AN9" s="154">
        <f t="shared" si="22"/>
        <v>13975</v>
      </c>
      <c r="AO9" s="153">
        <f t="shared" si="22"/>
        <v>13975</v>
      </c>
      <c r="AP9" s="154">
        <f t="shared" si="22"/>
        <v>14045</v>
      </c>
      <c r="AQ9" s="154">
        <f t="shared" si="22"/>
        <v>13566</v>
      </c>
      <c r="AR9" s="154">
        <f t="shared" si="22"/>
        <v>13759</v>
      </c>
      <c r="AS9" s="154">
        <f>INDEX(MO_VA_EVCalc_NCI,0,COLUMN())+INDEX(MO_VA_EVCalc_Prefs,0,COLUMN())+INDEX(MO_VA_EVCalc_Other,0,COLUMN())</f>
        <v>13929</v>
      </c>
      <c r="AT9" s="153">
        <f>INDEX(MO_VA_EVCalc_NCI,0,COLUMN())+INDEX(MO_VA_EVCalc_Prefs,0,COLUMN())+INDEX(MO_VA_EVCalc_Other,0,COLUMN())</f>
        <v>13929</v>
      </c>
      <c r="AU9" s="154">
        <f>INDEX(MO_VA_EVCalc_NCI,0,COLUMN())+INDEX(MO_VA_EVCalc_Prefs,0,COLUMN())+INDEX(MO_VA_EVCalc_Other,0,COLUMN())</f>
        <v>13987</v>
      </c>
      <c r="AV9" s="154">
        <f>INDEX(MO_VA_EVCalc_NCI,0,COLUMN())+INDEX(MO_VA_EVCalc_Prefs,0,COLUMN())+INDEX(MO_VA_EVCalc_Other,0,COLUMN())</f>
        <v>13656</v>
      </c>
      <c r="AW9" s="711">
        <f>INDEX(MO_VA_EVCalc_NCI,0,COLUMN())+INDEX(MO_VA_EVCalc_Prefs,0,COLUMN())+INDEX(MO_VA_EVCalc_Other,0,COLUMN())</f>
        <v>13873</v>
      </c>
      <c r="AX9" s="154">
        <f t="shared" si="22"/>
        <v>13873</v>
      </c>
      <c r="AY9" s="153">
        <f t="shared" si="22"/>
        <v>13873</v>
      </c>
      <c r="AZ9" s="154">
        <f t="shared" ref="AZ9:BG9" si="23">INDEX(MO_VA_EVCalc_NCI,0,COLUMN())+INDEX(MO_VA_EVCalc_Prefs,0,COLUMN())+INDEX(MO_VA_EVCalc_Other,0,COLUMN())</f>
        <v>13873</v>
      </c>
      <c r="BA9" s="154">
        <f t="shared" si="23"/>
        <v>13873</v>
      </c>
      <c r="BB9" s="154">
        <f t="shared" si="23"/>
        <v>13873</v>
      </c>
      <c r="BC9" s="154">
        <f t="shared" si="23"/>
        <v>13873</v>
      </c>
      <c r="BD9" s="153">
        <f t="shared" si="23"/>
        <v>13873</v>
      </c>
      <c r="BE9" s="153">
        <f t="shared" si="23"/>
        <v>13873</v>
      </c>
      <c r="BF9" s="153">
        <f t="shared" si="23"/>
        <v>13873</v>
      </c>
      <c r="BG9" s="153">
        <f t="shared" si="23"/>
        <v>13873</v>
      </c>
      <c r="BH9" s="154"/>
    </row>
    <row r="10" spans="1:60" s="378" customFormat="1" x14ac:dyDescent="0.25">
      <c r="A10" s="242" t="str">
        <f>"Enterprise Value - "&amp;SP.ValuationToggle</f>
        <v>Enterprise Value - Avg</v>
      </c>
      <c r="B10" s="243"/>
      <c r="C10" s="155">
        <f t="shared" ref="C10:AH10" ca="1" si="24">INDEX(SP_CS_MarketCap,0,COLUMN())-INDEX(SP_CS_Cash,0,COLUMN())+INDEX(SP_CS_Debt,0,COLUMN())+INDEX(SP_CS_EVCalc_Other,0,COLUMN())</f>
        <v>54587.5</v>
      </c>
      <c r="D10" s="155">
        <f t="shared" ca="1" si="24"/>
        <v>74781.425000000003</v>
      </c>
      <c r="E10" s="155">
        <f t="shared" ca="1" si="24"/>
        <v>74795.118749999994</v>
      </c>
      <c r="F10" s="155">
        <f t="shared" ca="1" si="24"/>
        <v>90049.397499999992</v>
      </c>
      <c r="G10" s="156">
        <f t="shared" ca="1" si="24"/>
        <v>106307</v>
      </c>
      <c r="H10" s="156">
        <f t="shared" ca="1" si="24"/>
        <v>112330.75</v>
      </c>
      <c r="I10" s="156">
        <f t="shared" ca="1" si="24"/>
        <v>126380.42000000001</v>
      </c>
      <c r="J10" s="156">
        <f t="shared" ca="1" si="24"/>
        <v>128652.15000000001</v>
      </c>
      <c r="K10" s="155">
        <f t="shared" ca="1" si="24"/>
        <v>116962.9</v>
      </c>
      <c r="L10" s="156">
        <f t="shared" ca="1" si="24"/>
        <v>136964.96</v>
      </c>
      <c r="M10" s="156">
        <f t="shared" ca="1" si="24"/>
        <v>150124.5</v>
      </c>
      <c r="N10" s="156">
        <f t="shared" ca="1" si="24"/>
        <v>156874.57999999999</v>
      </c>
      <c r="O10" s="156">
        <f t="shared" ca="1" si="24"/>
        <v>167246.69</v>
      </c>
      <c r="P10" s="155">
        <f t="shared" ca="1" si="24"/>
        <v>153031.69750000001</v>
      </c>
      <c r="Q10" s="156">
        <f t="shared" ca="1" si="24"/>
        <v>164344.22500000001</v>
      </c>
      <c r="R10" s="156">
        <f t="shared" ca="1" si="24"/>
        <v>185553.5</v>
      </c>
      <c r="S10" s="156">
        <f t="shared" ca="1" si="24"/>
        <v>202593.91500000001</v>
      </c>
      <c r="T10" s="156">
        <f t="shared" ca="1" si="24"/>
        <v>196828.76</v>
      </c>
      <c r="U10" s="155">
        <f t="shared" ca="1" si="24"/>
        <v>189049.76750000002</v>
      </c>
      <c r="V10" s="156">
        <f t="shared" ca="1" si="24"/>
        <v>205052.84</v>
      </c>
      <c r="W10" s="156">
        <f t="shared" ca="1" si="24"/>
        <v>175815.12</v>
      </c>
      <c r="X10" s="156">
        <f t="shared" ca="1" si="24"/>
        <v>182878.625</v>
      </c>
      <c r="Y10" s="156">
        <f t="shared" ca="1" si="24"/>
        <v>175223.25</v>
      </c>
      <c r="Z10" s="155">
        <f t="shared" ca="1" si="24"/>
        <v>184827.15125</v>
      </c>
      <c r="AA10" s="156">
        <f t="shared" ca="1" si="24"/>
        <v>178279.87000000002</v>
      </c>
      <c r="AB10" s="156">
        <f t="shared" ca="1" si="24"/>
        <v>195486.86</v>
      </c>
      <c r="AC10" s="156">
        <f t="shared" ca="1" si="24"/>
        <v>193717.22</v>
      </c>
      <c r="AD10" s="156">
        <f t="shared" ca="1" si="24"/>
        <v>186201.70499999999</v>
      </c>
      <c r="AE10" s="155">
        <f t="shared" ca="1" si="24"/>
        <v>192109.05</v>
      </c>
      <c r="AF10" s="156">
        <f t="shared" ca="1" si="24"/>
        <v>179654.63291428584</v>
      </c>
      <c r="AG10" s="156">
        <f t="shared" ca="1" si="24"/>
        <v>183089.18344262254</v>
      </c>
      <c r="AH10" s="156">
        <f t="shared" ca="1" si="24"/>
        <v>175264.84312187499</v>
      </c>
      <c r="AI10" s="156">
        <f t="shared" ref="AI10:AY10" ca="1" si="25">INDEX(SP_CS_MarketCap,0,COLUMN())-INDEX(SP_CS_Cash,0,COLUMN())+INDEX(SP_CS_Debt,0,COLUMN())+INDEX(SP_CS_EVCalc_Other,0,COLUMN())</f>
        <v>187182.31539523762</v>
      </c>
      <c r="AJ10" s="155">
        <f t="shared" ca="1" si="25"/>
        <v>178784.99791553846</v>
      </c>
      <c r="AK10" s="156">
        <f t="shared" ca="1" si="25"/>
        <v>190731.87911111122</v>
      </c>
      <c r="AL10" s="156">
        <f t="shared" ca="1" si="25"/>
        <v>234148.24590163984</v>
      </c>
      <c r="AM10" s="156">
        <f t="shared" ca="1" si="25"/>
        <v>306825.13523809565</v>
      </c>
      <c r="AN10" s="156">
        <f t="shared" ca="1" si="25"/>
        <v>306612.83250000002</v>
      </c>
      <c r="AO10" s="155">
        <f t="shared" ca="1" si="25"/>
        <v>262500.06167330622</v>
      </c>
      <c r="AP10" s="156">
        <f t="shared" ca="1" si="25"/>
        <v>308855.47843750002</v>
      </c>
      <c r="AQ10" s="156">
        <f t="shared" ca="1" si="25"/>
        <v>284230.29419354867</v>
      </c>
      <c r="AR10" s="156">
        <f t="shared" ca="1" si="25"/>
        <v>254736.44142857147</v>
      </c>
      <c r="AS10" s="156">
        <f ca="1">INDEX(SP_CS_MarketCap,0,COLUMN())-INDEX(SP_CS_Cash,0,COLUMN())+INDEX(SP_CS_Debt,0,COLUMN())+INDEX(SP_CS_EVCalc_Other,0,COLUMN())</f>
        <v>280721.21625</v>
      </c>
      <c r="AT10" s="155">
        <f ca="1">INDEX(SP_CS_MarketCap,0,COLUMN())-INDEX(SP_CS_Cash,0,COLUMN())+INDEX(SP_CS_Debt,0,COLUMN())+INDEX(SP_CS_EVCalc_Other,0,COLUMN())</f>
        <v>281327.27193675982</v>
      </c>
      <c r="AU10" s="156">
        <f ca="1">INDEX(SP_CS_MarketCap,0,COLUMN())-INDEX(SP_CS_Cash,0,COLUMN())+INDEX(SP_CS_Debt,0,COLUMN())+INDEX(SP_CS_EVCalc_Other,0,COLUMN())</f>
        <v>316812.59593750001</v>
      </c>
      <c r="AV10" s="156">
        <f ca="1">INDEX(SP_CS_MarketCap,0,COLUMN())-INDEX(SP_CS_Cash,0,COLUMN())+INDEX(SP_CS_Debt,0,COLUMN())+INDEX(SP_CS_EVCalc_Other,0,COLUMN())</f>
        <v>391166.08442622982</v>
      </c>
      <c r="AW10" s="712">
        <f ca="1">INDEX(SP_CS_MarketCap,0,COLUMN())-INDEX(SP_CS_Cash,0,COLUMN())+INDEX(SP_CS_Debt,0,COLUMN())+INDEX(SP_CS_EVCalc_Other,0,COLUMN())</f>
        <v>382712.49523809453</v>
      </c>
      <c r="AX10" s="156">
        <f t="shared" ca="1" si="25"/>
        <v>367405.84787501971</v>
      </c>
      <c r="AY10" s="155">
        <f t="shared" ca="1" si="25"/>
        <v>367061.82787501969</v>
      </c>
      <c r="AZ10" s="156">
        <f t="shared" ref="AZ10:BG10" ca="1" si="26">INDEX(SP_CS_MarketCap,0,COLUMN())-INDEX(SP_CS_Cash,0,COLUMN())+INDEX(SP_CS_Debt,0,COLUMN())+INDEX(SP_CS_EVCalc_Other,0,COLUMN())</f>
        <v>367701.24223804375</v>
      </c>
      <c r="BA10" s="156">
        <f t="shared" ca="1" si="26"/>
        <v>365022.34492673166</v>
      </c>
      <c r="BB10" s="156">
        <f t="shared" ca="1" si="26"/>
        <v>362176.66100106435</v>
      </c>
      <c r="BC10" s="156">
        <f t="shared" ca="1" si="26"/>
        <v>362650.03932149737</v>
      </c>
      <c r="BD10" s="155">
        <f t="shared" ca="1" si="26"/>
        <v>362650.03932149737</v>
      </c>
      <c r="BE10" s="155">
        <f t="shared" ca="1" si="26"/>
        <v>353372.50275873987</v>
      </c>
      <c r="BF10" s="155">
        <f t="shared" ca="1" si="26"/>
        <v>343097.34857386502</v>
      </c>
      <c r="BG10" s="155">
        <f t="shared" ca="1" si="26"/>
        <v>331812.1881763828</v>
      </c>
      <c r="BH10" s="158"/>
    </row>
    <row r="11" spans="1:60" s="379" customFormat="1" x14ac:dyDescent="0.25">
      <c r="A11" s="239"/>
      <c r="B11" s="244"/>
      <c r="C11" s="1009"/>
      <c r="D11" s="1009"/>
      <c r="E11" s="1009"/>
      <c r="F11" s="1009"/>
      <c r="G11" s="1010"/>
      <c r="H11" s="1010"/>
      <c r="I11" s="1010"/>
      <c r="J11" s="1010"/>
      <c r="K11" s="1009"/>
      <c r="L11" s="1010"/>
      <c r="M11" s="1010"/>
      <c r="N11" s="1010"/>
      <c r="O11" s="1010"/>
      <c r="P11" s="1009"/>
      <c r="Q11" s="1010"/>
      <c r="R11" s="1010"/>
      <c r="S11" s="1010"/>
      <c r="T11" s="1010"/>
      <c r="U11" s="1009"/>
      <c r="V11" s="1010"/>
      <c r="W11" s="1010"/>
      <c r="X11" s="1010"/>
      <c r="Y11" s="1010"/>
      <c r="Z11" s="1009"/>
      <c r="AA11" s="1010"/>
      <c r="AB11" s="1010"/>
      <c r="AC11" s="1010"/>
      <c r="AD11" s="1010"/>
      <c r="AE11" s="1009"/>
      <c r="AF11" s="1010"/>
      <c r="AG11" s="1010"/>
      <c r="AH11" s="1010"/>
      <c r="AI11" s="1010"/>
      <c r="AJ11" s="1009"/>
      <c r="AK11" s="1010"/>
      <c r="AL11" s="1010"/>
      <c r="AM11" s="1010"/>
      <c r="AN11" s="1010"/>
      <c r="AO11" s="1009"/>
      <c r="AP11" s="1010"/>
      <c r="AQ11" s="1010"/>
      <c r="AR11" s="1010"/>
      <c r="AS11" s="1010"/>
      <c r="AT11" s="1009"/>
      <c r="AU11" s="1010"/>
      <c r="AV11" s="1010"/>
      <c r="AW11" s="1011"/>
      <c r="AX11" s="1010"/>
      <c r="AY11" s="1009"/>
      <c r="AZ11" s="1010"/>
      <c r="BA11" s="1010"/>
      <c r="BB11" s="1010"/>
      <c r="BC11" s="1010"/>
      <c r="BD11" s="1009"/>
      <c r="BE11" s="1009"/>
      <c r="BF11" s="1009"/>
      <c r="BG11" s="1009"/>
      <c r="BH11" s="961"/>
    </row>
    <row r="12" spans="1:60" s="374" customFormat="1" x14ac:dyDescent="0.25">
      <c r="A12" s="173" t="s">
        <v>423</v>
      </c>
      <c r="B12" s="962"/>
      <c r="C12" s="1012"/>
      <c r="D12" s="1012"/>
      <c r="E12" s="1012"/>
      <c r="F12" s="1012"/>
      <c r="G12" s="1012"/>
      <c r="H12" s="1012"/>
      <c r="I12" s="1012"/>
      <c r="J12" s="1012"/>
      <c r="K12" s="1012"/>
      <c r="L12" s="1012"/>
      <c r="M12" s="1012"/>
      <c r="N12" s="1012"/>
      <c r="O12" s="1012"/>
      <c r="P12" s="1012"/>
      <c r="Q12" s="1012"/>
      <c r="R12" s="1012"/>
      <c r="S12" s="1012"/>
      <c r="T12" s="1012"/>
      <c r="U12" s="1012"/>
      <c r="V12" s="1012"/>
      <c r="W12" s="1012"/>
      <c r="X12" s="1012"/>
      <c r="Y12" s="1012"/>
      <c r="Z12" s="1012"/>
      <c r="AA12" s="1012"/>
      <c r="AB12" s="1012"/>
      <c r="AC12" s="1012"/>
      <c r="AD12" s="1012"/>
      <c r="AE12" s="1012"/>
      <c r="AF12" s="1012"/>
      <c r="AG12" s="1012"/>
      <c r="AH12" s="1012"/>
      <c r="AI12" s="1012"/>
      <c r="AJ12" s="1012"/>
      <c r="AK12" s="1012"/>
      <c r="AL12" s="1012"/>
      <c r="AM12" s="1012"/>
      <c r="AN12" s="1012"/>
      <c r="AO12" s="1012"/>
      <c r="AP12" s="1012"/>
      <c r="AQ12" s="1012"/>
      <c r="AR12" s="1012"/>
      <c r="AS12" s="1012"/>
      <c r="AT12" s="1012"/>
      <c r="AU12" s="1012"/>
      <c r="AV12" s="1012"/>
      <c r="AW12" s="1013"/>
      <c r="AX12" s="1012"/>
      <c r="AY12" s="1012"/>
      <c r="AZ12" s="1012"/>
      <c r="BA12" s="1012"/>
      <c r="BB12" s="1012"/>
      <c r="BC12" s="1012"/>
      <c r="BD12" s="1012"/>
      <c r="BE12" s="1012"/>
      <c r="BF12" s="1012"/>
      <c r="BG12" s="1012"/>
      <c r="BH12" s="963"/>
    </row>
    <row r="13" spans="1:60" s="475" customFormat="1" x14ac:dyDescent="0.25">
      <c r="A13" s="234" t="str">
        <f>Model!A7</f>
        <v>Linear Network - Domestic affiliate fees revenue growth rate, %</v>
      </c>
      <c r="B13" s="245"/>
      <c r="C13" s="103"/>
      <c r="D13" s="103"/>
      <c r="E13" s="103"/>
      <c r="F13" s="103"/>
      <c r="G13" s="101"/>
      <c r="H13" s="101"/>
      <c r="I13" s="101"/>
      <c r="J13" s="101"/>
      <c r="K13" s="103"/>
      <c r="L13" s="101"/>
      <c r="M13" s="101"/>
      <c r="N13" s="101"/>
      <c r="O13" s="101"/>
      <c r="P13" s="103"/>
      <c r="Q13" s="101"/>
      <c r="R13" s="101"/>
      <c r="S13" s="101"/>
      <c r="T13" s="101"/>
      <c r="U13" s="103"/>
      <c r="V13" s="101"/>
      <c r="W13" s="101"/>
      <c r="X13" s="101"/>
      <c r="Y13" s="101"/>
      <c r="Z13" s="103"/>
      <c r="AA13" s="101"/>
      <c r="AB13" s="101"/>
      <c r="AC13" s="101"/>
      <c r="AD13" s="101"/>
      <c r="AE13" s="103"/>
      <c r="AF13" s="101"/>
      <c r="AG13" s="101"/>
      <c r="AH13" s="101"/>
      <c r="AI13" s="101"/>
      <c r="AJ13" s="103"/>
      <c r="AK13" s="101"/>
      <c r="AL13" s="101"/>
      <c r="AM13" s="101"/>
      <c r="AN13" s="101"/>
      <c r="AO13" s="103"/>
      <c r="AP13" s="101"/>
      <c r="AQ13" s="101"/>
      <c r="AR13" s="101"/>
      <c r="AS13" s="101"/>
      <c r="AT13" s="103"/>
      <c r="AU13" s="101">
        <f>Model!AU7</f>
        <v>3.3698630136986374E-2</v>
      </c>
      <c r="AV13" s="101">
        <f>Model!AV7</f>
        <v>4.8598130841121412E-2</v>
      </c>
      <c r="AW13" s="686">
        <f>Model!AW7</f>
        <v>3.9769610532089938E-2</v>
      </c>
      <c r="AX13" s="101">
        <f>Model!AX7</f>
        <v>0</v>
      </c>
      <c r="AY13" s="103">
        <f>Model!AY7</f>
        <v>0</v>
      </c>
      <c r="AZ13" s="101">
        <f>Model!AZ7</f>
        <v>0</v>
      </c>
      <c r="BA13" s="101">
        <f>Model!BA7</f>
        <v>0</v>
      </c>
      <c r="BB13" s="101">
        <f>Model!BB7</f>
        <v>0</v>
      </c>
      <c r="BC13" s="101">
        <f>Model!BC7</f>
        <v>0</v>
      </c>
      <c r="BD13" s="103">
        <f>Model!BD7</f>
        <v>0</v>
      </c>
      <c r="BE13" s="103">
        <f>Model!BE7</f>
        <v>0</v>
      </c>
      <c r="BF13" s="103">
        <f>Model!BF7</f>
        <v>0</v>
      </c>
      <c r="BG13" s="103">
        <f>Model!BG7</f>
        <v>0</v>
      </c>
      <c r="BH13" s="186"/>
    </row>
    <row r="14" spans="1:60" s="475" customFormat="1" x14ac:dyDescent="0.25">
      <c r="A14" s="234" t="str">
        <f>Model!A8</f>
        <v>Linear Network - International affiliate fees revenue growth rate, %</v>
      </c>
      <c r="B14" s="245"/>
      <c r="C14" s="103"/>
      <c r="D14" s="103"/>
      <c r="E14" s="103"/>
      <c r="F14" s="103"/>
      <c r="G14" s="101"/>
      <c r="H14" s="101"/>
      <c r="I14" s="101"/>
      <c r="J14" s="101"/>
      <c r="K14" s="103"/>
      <c r="L14" s="101"/>
      <c r="M14" s="101"/>
      <c r="N14" s="101"/>
      <c r="O14" s="101"/>
      <c r="P14" s="103"/>
      <c r="Q14" s="101"/>
      <c r="R14" s="101"/>
      <c r="S14" s="101"/>
      <c r="T14" s="101"/>
      <c r="U14" s="103"/>
      <c r="V14" s="101"/>
      <c r="W14" s="101"/>
      <c r="X14" s="101"/>
      <c r="Y14" s="101"/>
      <c r="Z14" s="103"/>
      <c r="AA14" s="101"/>
      <c r="AB14" s="101"/>
      <c r="AC14" s="101"/>
      <c r="AD14" s="101"/>
      <c r="AE14" s="103"/>
      <c r="AF14" s="101"/>
      <c r="AG14" s="101"/>
      <c r="AH14" s="101"/>
      <c r="AI14" s="101"/>
      <c r="AJ14" s="103"/>
      <c r="AK14" s="101"/>
      <c r="AL14" s="101"/>
      <c r="AM14" s="101"/>
      <c r="AN14" s="101"/>
      <c r="AO14" s="103"/>
      <c r="AP14" s="101"/>
      <c r="AQ14" s="101"/>
      <c r="AR14" s="101"/>
      <c r="AS14" s="101"/>
      <c r="AT14" s="103"/>
      <c r="AU14" s="101">
        <f>Model!AU8</f>
        <v>-0.10062240663900412</v>
      </c>
      <c r="AV14" s="101">
        <f>Model!AV8</f>
        <v>-8.4536082474226837E-2</v>
      </c>
      <c r="AW14" s="686">
        <f>Model!AW8</f>
        <v>3.5335689045936647E-3</v>
      </c>
      <c r="AX14" s="101">
        <f>Model!AX8</f>
        <v>0</v>
      </c>
      <c r="AY14" s="103">
        <f>Model!AY8</f>
        <v>0</v>
      </c>
      <c r="AZ14" s="101">
        <f>Model!AZ8</f>
        <v>0</v>
      </c>
      <c r="BA14" s="101">
        <f>Model!BA8</f>
        <v>0</v>
      </c>
      <c r="BB14" s="101">
        <f>Model!BB8</f>
        <v>0</v>
      </c>
      <c r="BC14" s="101">
        <f>Model!BC8</f>
        <v>0</v>
      </c>
      <c r="BD14" s="103">
        <f>Model!BD8</f>
        <v>0</v>
      </c>
      <c r="BE14" s="103">
        <f>Model!BE8</f>
        <v>0</v>
      </c>
      <c r="BF14" s="103">
        <f>Model!BF8</f>
        <v>0</v>
      </c>
      <c r="BG14" s="103">
        <f>Model!BG8</f>
        <v>0</v>
      </c>
      <c r="BH14" s="186"/>
    </row>
    <row r="15" spans="1:60" s="475" customFormat="1" x14ac:dyDescent="0.25">
      <c r="A15" s="851" t="str">
        <f>Model!A9</f>
        <v>Linear Network - Affiliate fees revenue growth rate, %</v>
      </c>
      <c r="B15" s="746"/>
      <c r="C15" s="328"/>
      <c r="D15" s="328"/>
      <c r="E15" s="328"/>
      <c r="F15" s="328"/>
      <c r="G15" s="327"/>
      <c r="H15" s="327"/>
      <c r="I15" s="327"/>
      <c r="J15" s="327"/>
      <c r="K15" s="328"/>
      <c r="L15" s="327"/>
      <c r="M15" s="327"/>
      <c r="N15" s="327"/>
      <c r="O15" s="327"/>
      <c r="P15" s="328"/>
      <c r="Q15" s="327"/>
      <c r="R15" s="327"/>
      <c r="S15" s="327"/>
      <c r="T15" s="327"/>
      <c r="U15" s="328"/>
      <c r="V15" s="327"/>
      <c r="W15" s="327"/>
      <c r="X15" s="327"/>
      <c r="Y15" s="327"/>
      <c r="Z15" s="328"/>
      <c r="AA15" s="327"/>
      <c r="AB15" s="327"/>
      <c r="AC15" s="327"/>
      <c r="AD15" s="327"/>
      <c r="AE15" s="328"/>
      <c r="AF15" s="327"/>
      <c r="AG15" s="327"/>
      <c r="AH15" s="327"/>
      <c r="AI15" s="327"/>
      <c r="AJ15" s="328"/>
      <c r="AK15" s="327"/>
      <c r="AL15" s="327"/>
      <c r="AM15" s="327"/>
      <c r="AN15" s="327"/>
      <c r="AO15" s="328"/>
      <c r="AP15" s="327"/>
      <c r="AQ15" s="327"/>
      <c r="AR15" s="327"/>
      <c r="AS15" s="327"/>
      <c r="AT15" s="328"/>
      <c r="AU15" s="327">
        <f>Model!AU9</f>
        <v>5.6350238404854203E-3</v>
      </c>
      <c r="AV15" s="327">
        <f>Model!AV9</f>
        <v>2.1208907741251393E-2</v>
      </c>
      <c r="AW15" s="747">
        <f>Model!AW9</f>
        <v>3.2925472747497242E-2</v>
      </c>
      <c r="AX15" s="327">
        <f>Model!AX9</f>
        <v>0.02</v>
      </c>
      <c r="AY15" s="328">
        <f>Model!AY9</f>
        <v>1.9867315820448317E-2</v>
      </c>
      <c r="AZ15" s="327">
        <f>Model!AZ9</f>
        <v>-0.02</v>
      </c>
      <c r="BA15" s="327">
        <f>Model!BA9</f>
        <v>-0.02</v>
      </c>
      <c r="BB15" s="327">
        <f>Model!BB9</f>
        <v>-0.02</v>
      </c>
      <c r="BC15" s="327">
        <f>Model!BC9</f>
        <v>-0.02</v>
      </c>
      <c r="BD15" s="328">
        <f>Model!BD9</f>
        <v>-1.9999999999999796E-2</v>
      </c>
      <c r="BE15" s="328">
        <f>Model!BE9</f>
        <v>0.02</v>
      </c>
      <c r="BF15" s="328">
        <f>Model!BF9</f>
        <v>-0.02</v>
      </c>
      <c r="BG15" s="328">
        <f>Model!BG9</f>
        <v>0.02</v>
      </c>
      <c r="BH15" s="186"/>
    </row>
    <row r="16" spans="1:60" s="475" customFormat="1" x14ac:dyDescent="0.25">
      <c r="A16" s="856" t="str">
        <f>Model!A10</f>
        <v>Linear Network - Cable advertising revenue growth rate, %</v>
      </c>
      <c r="B16" s="245"/>
      <c r="C16" s="103"/>
      <c r="D16" s="103"/>
      <c r="E16" s="103"/>
      <c r="F16" s="103"/>
      <c r="G16" s="101"/>
      <c r="H16" s="101"/>
      <c r="I16" s="101"/>
      <c r="J16" s="101"/>
      <c r="K16" s="103"/>
      <c r="L16" s="101"/>
      <c r="M16" s="101"/>
      <c r="N16" s="101"/>
      <c r="O16" s="101"/>
      <c r="P16" s="103"/>
      <c r="Q16" s="101"/>
      <c r="R16" s="101"/>
      <c r="S16" s="101"/>
      <c r="T16" s="101"/>
      <c r="U16" s="103"/>
      <c r="V16" s="101"/>
      <c r="W16" s="101"/>
      <c r="X16" s="101"/>
      <c r="Y16" s="101"/>
      <c r="Z16" s="103"/>
      <c r="AA16" s="101"/>
      <c r="AB16" s="101"/>
      <c r="AC16" s="101"/>
      <c r="AD16" s="101"/>
      <c r="AE16" s="103"/>
      <c r="AF16" s="101"/>
      <c r="AG16" s="101"/>
      <c r="AH16" s="101"/>
      <c r="AI16" s="101"/>
      <c r="AJ16" s="103"/>
      <c r="AK16" s="101"/>
      <c r="AL16" s="101"/>
      <c r="AM16" s="101"/>
      <c r="AN16" s="101"/>
      <c r="AO16" s="103"/>
      <c r="AP16" s="101"/>
      <c r="AQ16" s="101"/>
      <c r="AR16" s="101"/>
      <c r="AS16" s="101"/>
      <c r="AT16" s="103"/>
      <c r="AU16" s="101">
        <f>Model!AU10</f>
        <v>-7.0282658517952679E-2</v>
      </c>
      <c r="AV16" s="101">
        <f>Model!AV10</f>
        <v>-0.22549019607843135</v>
      </c>
      <c r="AW16" s="686">
        <f>Model!AW10</f>
        <v>0.79870129870129869</v>
      </c>
      <c r="AX16" s="101">
        <f>Model!AX10</f>
        <v>0</v>
      </c>
      <c r="AY16" s="103">
        <f>Model!AY10</f>
        <v>0</v>
      </c>
      <c r="AZ16" s="101">
        <f>Model!AZ10</f>
        <v>0</v>
      </c>
      <c r="BA16" s="101">
        <f>Model!BA10</f>
        <v>0</v>
      </c>
      <c r="BB16" s="101">
        <f>Model!BB10</f>
        <v>0</v>
      </c>
      <c r="BC16" s="101">
        <f>Model!BC10</f>
        <v>0</v>
      </c>
      <c r="BD16" s="103">
        <f>Model!BD10</f>
        <v>0</v>
      </c>
      <c r="BE16" s="103">
        <f>Model!BE10</f>
        <v>0</v>
      </c>
      <c r="BF16" s="103">
        <f>Model!BF10</f>
        <v>0</v>
      </c>
      <c r="BG16" s="103">
        <f>Model!BG10</f>
        <v>0</v>
      </c>
      <c r="BH16" s="186"/>
    </row>
    <row r="17" spans="1:60" s="475" customFormat="1" x14ac:dyDescent="0.25">
      <c r="A17" s="856" t="str">
        <f>Model!A11</f>
        <v>Linear Network - Broadcasting advertising revenue growth rate, %</v>
      </c>
      <c r="B17" s="245"/>
      <c r="C17" s="103"/>
      <c r="D17" s="103"/>
      <c r="E17" s="103"/>
      <c r="F17" s="103"/>
      <c r="G17" s="101"/>
      <c r="H17" s="101"/>
      <c r="I17" s="101"/>
      <c r="J17" s="101"/>
      <c r="K17" s="103"/>
      <c r="L17" s="101"/>
      <c r="M17" s="101"/>
      <c r="N17" s="101"/>
      <c r="O17" s="101"/>
      <c r="P17" s="103"/>
      <c r="Q17" s="101"/>
      <c r="R17" s="101"/>
      <c r="S17" s="101"/>
      <c r="T17" s="101"/>
      <c r="U17" s="103"/>
      <c r="V17" s="101"/>
      <c r="W17" s="101"/>
      <c r="X17" s="101"/>
      <c r="Y17" s="101"/>
      <c r="Z17" s="103"/>
      <c r="AA17" s="101"/>
      <c r="AB17" s="101"/>
      <c r="AC17" s="101"/>
      <c r="AD17" s="101"/>
      <c r="AE17" s="103"/>
      <c r="AF17" s="101"/>
      <c r="AG17" s="101"/>
      <c r="AH17" s="101"/>
      <c r="AI17" s="101"/>
      <c r="AJ17" s="103"/>
      <c r="AK17" s="101"/>
      <c r="AL17" s="101"/>
      <c r="AM17" s="101"/>
      <c r="AN17" s="101"/>
      <c r="AO17" s="103"/>
      <c r="AP17" s="101"/>
      <c r="AQ17" s="101"/>
      <c r="AR17" s="101"/>
      <c r="AS17" s="101"/>
      <c r="AT17" s="103"/>
      <c r="AU17" s="101">
        <f>Model!AU11</f>
        <v>4.56960680127525E-2</v>
      </c>
      <c r="AV17" s="101">
        <f>Model!AV11</f>
        <v>-0.20746432491767286</v>
      </c>
      <c r="AW17" s="686">
        <f>Model!AW11</f>
        <v>0.21805555555555545</v>
      </c>
      <c r="AX17" s="101">
        <f>Model!AX11</f>
        <v>0</v>
      </c>
      <c r="AY17" s="103">
        <f>Model!AY11</f>
        <v>0</v>
      </c>
      <c r="AZ17" s="101">
        <f>Model!AZ11</f>
        <v>0</v>
      </c>
      <c r="BA17" s="101">
        <f>Model!BA11</f>
        <v>0</v>
      </c>
      <c r="BB17" s="101">
        <f>Model!BB11</f>
        <v>0</v>
      </c>
      <c r="BC17" s="101">
        <f>Model!BC11</f>
        <v>0</v>
      </c>
      <c r="BD17" s="103">
        <f>Model!BD11</f>
        <v>0</v>
      </c>
      <c r="BE17" s="103">
        <f>Model!BE11</f>
        <v>0</v>
      </c>
      <c r="BF17" s="103">
        <f>Model!BF11</f>
        <v>0</v>
      </c>
      <c r="BG17" s="103">
        <f>Model!BG11</f>
        <v>0</v>
      </c>
      <c r="BH17" s="186"/>
    </row>
    <row r="18" spans="1:60" s="475" customFormat="1" x14ac:dyDescent="0.25">
      <c r="A18" s="855" t="str">
        <f>Model!A12</f>
        <v>Linear Network - Domestic channels advertising revenue growth rate, %</v>
      </c>
      <c r="B18" s="746"/>
      <c r="C18" s="328"/>
      <c r="D18" s="328"/>
      <c r="E18" s="328"/>
      <c r="F18" s="328"/>
      <c r="G18" s="327"/>
      <c r="H18" s="327"/>
      <c r="I18" s="327"/>
      <c r="J18" s="327"/>
      <c r="K18" s="328"/>
      <c r="L18" s="327"/>
      <c r="M18" s="327"/>
      <c r="N18" s="327"/>
      <c r="O18" s="327"/>
      <c r="P18" s="328"/>
      <c r="Q18" s="327"/>
      <c r="R18" s="327"/>
      <c r="S18" s="327"/>
      <c r="T18" s="327"/>
      <c r="U18" s="328"/>
      <c r="V18" s="327"/>
      <c r="W18" s="327"/>
      <c r="X18" s="327"/>
      <c r="Y18" s="327"/>
      <c r="Z18" s="328"/>
      <c r="AA18" s="327"/>
      <c r="AB18" s="327"/>
      <c r="AC18" s="327"/>
      <c r="AD18" s="327"/>
      <c r="AE18" s="328"/>
      <c r="AF18" s="327"/>
      <c r="AG18" s="327"/>
      <c r="AH18" s="327"/>
      <c r="AI18" s="327"/>
      <c r="AJ18" s="328"/>
      <c r="AK18" s="327"/>
      <c r="AL18" s="327"/>
      <c r="AM18" s="327"/>
      <c r="AN18" s="327"/>
      <c r="AO18" s="328"/>
      <c r="AP18" s="327"/>
      <c r="AQ18" s="327"/>
      <c r="AR18" s="327"/>
      <c r="AS18" s="327"/>
      <c r="AT18" s="328"/>
      <c r="AU18" s="327">
        <f>Model!AU12</f>
        <v>-2.1777777777777785E-2</v>
      </c>
      <c r="AV18" s="327">
        <f>Model!AV12</f>
        <v>-0.21651175505740838</v>
      </c>
      <c r="AW18" s="747">
        <f>Model!AW12</f>
        <v>0.44500846023688667</v>
      </c>
      <c r="AX18" s="327">
        <f>Model!AX12</f>
        <v>0</v>
      </c>
      <c r="AY18" s="328">
        <f>Model!AY12</f>
        <v>0</v>
      </c>
      <c r="AZ18" s="327">
        <f>Model!AZ12</f>
        <v>0</v>
      </c>
      <c r="BA18" s="327">
        <f>Model!BA12</f>
        <v>0</v>
      </c>
      <c r="BB18" s="327">
        <f>Model!BB12</f>
        <v>0</v>
      </c>
      <c r="BC18" s="327">
        <f>Model!BC12</f>
        <v>0</v>
      </c>
      <c r="BD18" s="328">
        <f>Model!BD12</f>
        <v>0</v>
      </c>
      <c r="BE18" s="328">
        <f>Model!BE12</f>
        <v>0</v>
      </c>
      <c r="BF18" s="328">
        <f>Model!BF12</f>
        <v>0</v>
      </c>
      <c r="BG18" s="328">
        <f>Model!BG12</f>
        <v>0</v>
      </c>
      <c r="BH18" s="186"/>
    </row>
    <row r="19" spans="1:60" s="475" customFormat="1" x14ac:dyDescent="0.25">
      <c r="A19" s="234" t="str">
        <f>Model!A13</f>
        <v>Linear Network - International channels advertising revenue growth rate, %</v>
      </c>
      <c r="B19" s="245"/>
      <c r="C19" s="103"/>
      <c r="D19" s="103"/>
      <c r="E19" s="103"/>
      <c r="F19" s="103"/>
      <c r="G19" s="101"/>
      <c r="H19" s="101"/>
      <c r="I19" s="101"/>
      <c r="J19" s="101"/>
      <c r="K19" s="103"/>
      <c r="L19" s="101"/>
      <c r="M19" s="101"/>
      <c r="N19" s="101"/>
      <c r="O19" s="101"/>
      <c r="P19" s="103"/>
      <c r="Q19" s="101"/>
      <c r="R19" s="101"/>
      <c r="S19" s="101"/>
      <c r="T19" s="101"/>
      <c r="U19" s="103"/>
      <c r="V19" s="101"/>
      <c r="W19" s="101"/>
      <c r="X19" s="101"/>
      <c r="Y19" s="101"/>
      <c r="Z19" s="103"/>
      <c r="AA19" s="101"/>
      <c r="AB19" s="101"/>
      <c r="AC19" s="101"/>
      <c r="AD19" s="101"/>
      <c r="AE19" s="103"/>
      <c r="AF19" s="101"/>
      <c r="AG19" s="101"/>
      <c r="AH19" s="101"/>
      <c r="AI19" s="101"/>
      <c r="AJ19" s="103"/>
      <c r="AK19" s="101"/>
      <c r="AL19" s="101"/>
      <c r="AM19" s="101"/>
      <c r="AN19" s="101"/>
      <c r="AO19" s="103"/>
      <c r="AP19" s="101"/>
      <c r="AQ19" s="101"/>
      <c r="AR19" s="101"/>
      <c r="AS19" s="101"/>
      <c r="AT19" s="103"/>
      <c r="AU19" s="101">
        <f>Model!AU13</f>
        <v>0.31808731808731805</v>
      </c>
      <c r="AV19" s="101">
        <f>Model!AV13</f>
        <v>0.11695906432748537</v>
      </c>
      <c r="AW19" s="686">
        <f>Model!AW13</f>
        <v>2.215686274509804</v>
      </c>
      <c r="AX19" s="101">
        <f>Model!AX13</f>
        <v>0</v>
      </c>
      <c r="AY19" s="103">
        <f>Model!AY13</f>
        <v>0</v>
      </c>
      <c r="AZ19" s="101">
        <f>Model!AZ13</f>
        <v>0</v>
      </c>
      <c r="BA19" s="101">
        <f>Model!BA13</f>
        <v>0</v>
      </c>
      <c r="BB19" s="101">
        <f>Model!BB13</f>
        <v>0</v>
      </c>
      <c r="BC19" s="101">
        <f>Model!BC13</f>
        <v>0</v>
      </c>
      <c r="BD19" s="103">
        <f>Model!BD13</f>
        <v>0</v>
      </c>
      <c r="BE19" s="103">
        <f>Model!BE13</f>
        <v>0</v>
      </c>
      <c r="BF19" s="103">
        <f>Model!BF13</f>
        <v>0</v>
      </c>
      <c r="BG19" s="103">
        <f>Model!BG13</f>
        <v>0</v>
      </c>
      <c r="BH19" s="186"/>
    </row>
    <row r="20" spans="1:60" s="475" customFormat="1" x14ac:dyDescent="0.25">
      <c r="A20" s="854" t="str">
        <f>Model!A14</f>
        <v>Linear Network - Advertising revenue growth rate, %</v>
      </c>
      <c r="B20" s="680"/>
      <c r="C20" s="681"/>
      <c r="D20" s="681"/>
      <c r="E20" s="681"/>
      <c r="F20" s="681"/>
      <c r="G20" s="682"/>
      <c r="H20" s="682"/>
      <c r="I20" s="682"/>
      <c r="J20" s="682"/>
      <c r="K20" s="681"/>
      <c r="L20" s="682"/>
      <c r="M20" s="682"/>
      <c r="N20" s="682"/>
      <c r="O20" s="682"/>
      <c r="P20" s="681"/>
      <c r="Q20" s="682"/>
      <c r="R20" s="682"/>
      <c r="S20" s="682"/>
      <c r="T20" s="682"/>
      <c r="U20" s="681"/>
      <c r="V20" s="682"/>
      <c r="W20" s="682"/>
      <c r="X20" s="682"/>
      <c r="Y20" s="682"/>
      <c r="Z20" s="681"/>
      <c r="AA20" s="682"/>
      <c r="AB20" s="682"/>
      <c r="AC20" s="682"/>
      <c r="AD20" s="682"/>
      <c r="AE20" s="681"/>
      <c r="AF20" s="682"/>
      <c r="AG20" s="682"/>
      <c r="AH20" s="682"/>
      <c r="AI20" s="682"/>
      <c r="AJ20" s="681"/>
      <c r="AK20" s="682"/>
      <c r="AL20" s="682"/>
      <c r="AM20" s="682"/>
      <c r="AN20" s="682"/>
      <c r="AO20" s="681"/>
      <c r="AP20" s="682"/>
      <c r="AQ20" s="682"/>
      <c r="AR20" s="682"/>
      <c r="AS20" s="682"/>
      <c r="AT20" s="681"/>
      <c r="AU20" s="682">
        <f>Model!AU14</f>
        <v>3.8081288905162936E-2</v>
      </c>
      <c r="AV20" s="682">
        <f>Model!AV14</f>
        <v>-0.16397973284200829</v>
      </c>
      <c r="AW20" s="713">
        <f>Model!AW14</f>
        <v>0.64794007490636707</v>
      </c>
      <c r="AX20" s="682">
        <f>Model!AX14</f>
        <v>0.02</v>
      </c>
      <c r="AY20" s="681">
        <f>Model!AY14</f>
        <v>7.9168686379059494E-2</v>
      </c>
      <c r="AZ20" s="682">
        <f>Model!AZ14</f>
        <v>-0.02</v>
      </c>
      <c r="BA20" s="682">
        <f>Model!BA14</f>
        <v>-0.02</v>
      </c>
      <c r="BB20" s="682">
        <f>Model!BB14</f>
        <v>-0.02</v>
      </c>
      <c r="BC20" s="682">
        <f>Model!BC14</f>
        <v>-0.02</v>
      </c>
      <c r="BD20" s="681">
        <f>Model!BD14</f>
        <v>-2.0000000000000018E-2</v>
      </c>
      <c r="BE20" s="681">
        <f>Model!BE14</f>
        <v>0.02</v>
      </c>
      <c r="BF20" s="681">
        <f>Model!BF14</f>
        <v>0.02</v>
      </c>
      <c r="BG20" s="681">
        <f>Model!BG14</f>
        <v>0.02</v>
      </c>
      <c r="BH20" s="186"/>
    </row>
    <row r="21" spans="1:60" s="475" customFormat="1" x14ac:dyDescent="0.25">
      <c r="A21" s="534" t="str">
        <f>Model!A15</f>
        <v>Linear Network - Total revenue growth rate, %</v>
      </c>
      <c r="B21" s="245"/>
      <c r="C21" s="103"/>
      <c r="D21" s="103"/>
      <c r="E21" s="103"/>
      <c r="F21" s="103"/>
      <c r="G21" s="101"/>
      <c r="H21" s="101"/>
      <c r="I21" s="101"/>
      <c r="J21" s="101"/>
      <c r="K21" s="103"/>
      <c r="L21" s="101"/>
      <c r="M21" s="101"/>
      <c r="N21" s="101"/>
      <c r="O21" s="101"/>
      <c r="P21" s="103"/>
      <c r="Q21" s="101"/>
      <c r="R21" s="101"/>
      <c r="S21" s="101"/>
      <c r="T21" s="101"/>
      <c r="U21" s="103"/>
      <c r="V21" s="101"/>
      <c r="W21" s="101"/>
      <c r="X21" s="101"/>
      <c r="Y21" s="101"/>
      <c r="Z21" s="103"/>
      <c r="AA21" s="101"/>
      <c r="AB21" s="101"/>
      <c r="AC21" s="101"/>
      <c r="AD21" s="101"/>
      <c r="AE21" s="103"/>
      <c r="AF21" s="101"/>
      <c r="AG21" s="101"/>
      <c r="AH21" s="101"/>
      <c r="AI21" s="101"/>
      <c r="AJ21" s="103"/>
      <c r="AK21" s="101"/>
      <c r="AL21" s="101"/>
      <c r="AM21" s="101"/>
      <c r="AN21" s="101"/>
      <c r="AO21" s="103"/>
      <c r="AP21" s="101"/>
      <c r="AQ21" s="101"/>
      <c r="AR21" s="101"/>
      <c r="AS21" s="101"/>
      <c r="AT21" s="103"/>
      <c r="AU21" s="101">
        <f>Model!AU15</f>
        <v>2.0833333333333259E-2</v>
      </c>
      <c r="AV21" s="101">
        <f>Model!AV15</f>
        <v>-3.9715302491103222E-2</v>
      </c>
      <c r="AW21" s="686">
        <f>Model!AW15</f>
        <v>0.15740432612312816</v>
      </c>
      <c r="AX21" s="101">
        <f>Model!AX15</f>
        <v>2.3907586993725083E-2</v>
      </c>
      <c r="AY21" s="103">
        <f>Model!AY15</f>
        <v>3.5951129318783304E-2</v>
      </c>
      <c r="AZ21" s="101">
        <f>Model!AZ15</f>
        <v>-2.697257246847784E-2</v>
      </c>
      <c r="BA21" s="101">
        <f>Model!BA15</f>
        <v>-1.3133708864512372E-2</v>
      </c>
      <c r="BB21" s="101">
        <f>Model!BB15</f>
        <v>-1.2918343875790606E-2</v>
      </c>
      <c r="BC21" s="101">
        <f>Model!BC15</f>
        <v>-1.9554295201430705E-2</v>
      </c>
      <c r="BD21" s="103">
        <f>Model!BD15</f>
        <v>-1.8420277560802112E-2</v>
      </c>
      <c r="BE21" s="103">
        <f>Model!BE15</f>
        <v>1.9543644148081851E-2</v>
      </c>
      <c r="BF21" s="103">
        <f>Model!BF15</f>
        <v>-7.1008647148529391E-3</v>
      </c>
      <c r="BG21" s="103">
        <f>Model!BG15</f>
        <v>1.9549190904393443E-2</v>
      </c>
      <c r="BH21" s="186"/>
    </row>
    <row r="22" spans="1:60" s="475" customFormat="1" x14ac:dyDescent="0.25">
      <c r="A22" s="534" t="str">
        <f>Model!A16</f>
        <v>Direct-to-Consumer - Total revenue growth rate, %</v>
      </c>
      <c r="B22" s="245"/>
      <c r="C22" s="103"/>
      <c r="D22" s="103"/>
      <c r="E22" s="103"/>
      <c r="F22" s="103"/>
      <c r="G22" s="101"/>
      <c r="H22" s="101"/>
      <c r="I22" s="101"/>
      <c r="J22" s="101"/>
      <c r="K22" s="103"/>
      <c r="L22" s="101"/>
      <c r="M22" s="101"/>
      <c r="N22" s="101"/>
      <c r="O22" s="101"/>
      <c r="P22" s="103"/>
      <c r="Q22" s="101"/>
      <c r="R22" s="101"/>
      <c r="S22" s="101"/>
      <c r="T22" s="101"/>
      <c r="U22" s="103"/>
      <c r="V22" s="101"/>
      <c r="W22" s="101"/>
      <c r="X22" s="101"/>
      <c r="Y22" s="101"/>
      <c r="Z22" s="103"/>
      <c r="AA22" s="101"/>
      <c r="AB22" s="101"/>
      <c r="AC22" s="101"/>
      <c r="AD22" s="101"/>
      <c r="AE22" s="103"/>
      <c r="AF22" s="101"/>
      <c r="AG22" s="101"/>
      <c r="AH22" s="101"/>
      <c r="AI22" s="101"/>
      <c r="AJ22" s="103"/>
      <c r="AK22" s="101"/>
      <c r="AL22" s="101"/>
      <c r="AM22" s="101"/>
      <c r="AN22" s="101"/>
      <c r="AO22" s="103"/>
      <c r="AP22" s="101"/>
      <c r="AQ22" s="101"/>
      <c r="AR22" s="101"/>
      <c r="AS22" s="101"/>
      <c r="AT22" s="103"/>
      <c r="AU22" s="101">
        <f>Model!AU16</f>
        <v>0.73037037037037034</v>
      </c>
      <c r="AV22" s="101">
        <f>Model!AV16</f>
        <v>0.59005964214711737</v>
      </c>
      <c r="AW22" s="686">
        <f>Model!AW16</f>
        <v>0.56932153392330376</v>
      </c>
      <c r="AX22" s="101">
        <f>Model!AX16</f>
        <v>0.34903373409090932</v>
      </c>
      <c r="AY22" s="103">
        <f>Model!AY16</f>
        <v>0.48730698659021998</v>
      </c>
      <c r="AZ22" s="101">
        <f>Model!AZ16</f>
        <v>0.38297315982191815</v>
      </c>
      <c r="BA22" s="101">
        <f>Model!BA16</f>
        <v>0.32358695656098635</v>
      </c>
      <c r="BB22" s="101">
        <f>Model!BB16</f>
        <v>0.35112823801088822</v>
      </c>
      <c r="BC22" s="101">
        <f>Model!BC16</f>
        <v>0.40958385689842491</v>
      </c>
      <c r="BD22" s="103">
        <f>Model!BD16</f>
        <v>0.41228978697026331</v>
      </c>
      <c r="BE22" s="103">
        <f>Model!BE16</f>
        <v>0.22051991214122824</v>
      </c>
      <c r="BF22" s="103">
        <f>Model!BF16</f>
        <v>0.18124601544522667</v>
      </c>
      <c r="BG22" s="103">
        <f>Model!BG16</f>
        <v>0.17723218606530189</v>
      </c>
      <c r="BH22" s="186"/>
    </row>
    <row r="23" spans="1:60" s="475" customFormat="1" x14ac:dyDescent="0.25">
      <c r="A23" s="209" t="str">
        <f>Model!A17</f>
        <v>Content Sales/Licensing - TV/SVOD distribution revenue growth, %</v>
      </c>
      <c r="B23" s="245"/>
      <c r="C23" s="103"/>
      <c r="D23" s="103"/>
      <c r="E23" s="103"/>
      <c r="F23" s="103"/>
      <c r="G23" s="101"/>
      <c r="H23" s="101"/>
      <c r="I23" s="101"/>
      <c r="J23" s="101"/>
      <c r="K23" s="103"/>
      <c r="L23" s="101"/>
      <c r="M23" s="101"/>
      <c r="N23" s="101"/>
      <c r="O23" s="101"/>
      <c r="P23" s="103"/>
      <c r="Q23" s="101"/>
      <c r="R23" s="101"/>
      <c r="S23" s="101"/>
      <c r="T23" s="101"/>
      <c r="U23" s="103"/>
      <c r="V23" s="101"/>
      <c r="W23" s="101"/>
      <c r="X23" s="101"/>
      <c r="Y23" s="101"/>
      <c r="Z23" s="103"/>
      <c r="AA23" s="101"/>
      <c r="AB23" s="101"/>
      <c r="AC23" s="101"/>
      <c r="AD23" s="101"/>
      <c r="AE23" s="103"/>
      <c r="AF23" s="101"/>
      <c r="AG23" s="101"/>
      <c r="AH23" s="101"/>
      <c r="AI23" s="101"/>
      <c r="AJ23" s="103"/>
      <c r="AK23" s="101"/>
      <c r="AL23" s="101"/>
      <c r="AM23" s="101"/>
      <c r="AN23" s="101"/>
      <c r="AO23" s="103"/>
      <c r="AP23" s="101"/>
      <c r="AQ23" s="101"/>
      <c r="AR23" s="101"/>
      <c r="AS23" s="101"/>
      <c r="AT23" s="103"/>
      <c r="AU23" s="101">
        <f>Model!AU17</f>
        <v>-0.28978457261987489</v>
      </c>
      <c r="AV23" s="101">
        <f>Model!AV17</f>
        <v>-0.11811023622047245</v>
      </c>
      <c r="AW23" s="686">
        <f>Model!AW17</f>
        <v>-0.28277817150956763</v>
      </c>
      <c r="AX23" s="101">
        <f>Model!AX17</f>
        <v>0.15</v>
      </c>
      <c r="AY23" s="103">
        <f>Model!AY17</f>
        <v>-0.14122157588577466</v>
      </c>
      <c r="AZ23" s="101">
        <f>Model!AZ17</f>
        <v>0.1</v>
      </c>
      <c r="BA23" s="101">
        <f>Model!BA17</f>
        <v>0.1</v>
      </c>
      <c r="BB23" s="101">
        <f>Model!BB17</f>
        <v>0.15</v>
      </c>
      <c r="BC23" s="101">
        <f>Model!BC17</f>
        <v>0.15</v>
      </c>
      <c r="BD23" s="103">
        <f>Model!BD17</f>
        <v>0.12571764319509016</v>
      </c>
      <c r="BE23" s="103">
        <f>Model!BE17</f>
        <v>0.1</v>
      </c>
      <c r="BF23" s="103">
        <f>Model!BF17</f>
        <v>0.08</v>
      </c>
      <c r="BG23" s="103">
        <f>Model!BG17</f>
        <v>0.1</v>
      </c>
      <c r="BH23" s="186"/>
    </row>
    <row r="24" spans="1:60" s="475" customFormat="1" x14ac:dyDescent="0.25">
      <c r="A24" s="209" t="str">
        <f>Model!A18</f>
        <v>Content Sales/Licensing - Theatrical distribution revenue growth, %</v>
      </c>
      <c r="B24" s="245"/>
      <c r="C24" s="103"/>
      <c r="D24" s="103"/>
      <c r="E24" s="103"/>
      <c r="F24" s="103"/>
      <c r="G24" s="101"/>
      <c r="H24" s="101"/>
      <c r="I24" s="101"/>
      <c r="J24" s="101"/>
      <c r="K24" s="103"/>
      <c r="L24" s="101"/>
      <c r="M24" s="101"/>
      <c r="N24" s="101"/>
      <c r="O24" s="101"/>
      <c r="P24" s="103"/>
      <c r="Q24" s="101"/>
      <c r="R24" s="101"/>
      <c r="S24" s="101"/>
      <c r="T24" s="101"/>
      <c r="U24" s="103"/>
      <c r="V24" s="101"/>
      <c r="W24" s="101"/>
      <c r="X24" s="101"/>
      <c r="Y24" s="101"/>
      <c r="Z24" s="103"/>
      <c r="AA24" s="101"/>
      <c r="AB24" s="101"/>
      <c r="AC24" s="101"/>
      <c r="AD24" s="101"/>
      <c r="AE24" s="103"/>
      <c r="AF24" s="101"/>
      <c r="AG24" s="101"/>
      <c r="AH24" s="101"/>
      <c r="AI24" s="101"/>
      <c r="AJ24" s="103"/>
      <c r="AK24" s="101"/>
      <c r="AL24" s="101"/>
      <c r="AM24" s="101"/>
      <c r="AN24" s="101"/>
      <c r="AO24" s="103"/>
      <c r="AP24" s="101"/>
      <c r="AQ24" s="101"/>
      <c r="AR24" s="101"/>
      <c r="AS24" s="101"/>
      <c r="AT24" s="103"/>
      <c r="AU24" s="101">
        <f>Model!AU18</f>
        <v>-0.97798295454545459</v>
      </c>
      <c r="AV24" s="101">
        <f>Model!AV18</f>
        <v>-0.8192371475953566</v>
      </c>
      <c r="AW24" s="686">
        <f>Model!AW18</f>
        <v>1.7450980392156863</v>
      </c>
      <c r="AX24" s="101">
        <f>Model!AX18</f>
        <v>-0.15</v>
      </c>
      <c r="AY24" s="103">
        <f>Model!AY18</f>
        <v>-0.8401124648547329</v>
      </c>
      <c r="AZ24" s="101">
        <f>Model!AZ18</f>
        <v>20</v>
      </c>
      <c r="BA24" s="101">
        <f>Model!BA18</f>
        <v>10</v>
      </c>
      <c r="BB24" s="101">
        <f>Model!BB18</f>
        <v>15</v>
      </c>
      <c r="BC24" s="101">
        <f>Model!BC18</f>
        <v>20</v>
      </c>
      <c r="BD24" s="103">
        <f>Model!BD18</f>
        <v>14.753810082063305</v>
      </c>
      <c r="BE24" s="103">
        <f>Model!BE18</f>
        <v>0.1</v>
      </c>
      <c r="BF24" s="103">
        <f>Model!BF18</f>
        <v>0.08</v>
      </c>
      <c r="BG24" s="103">
        <f>Model!BG18</f>
        <v>0.1</v>
      </c>
      <c r="BH24" s="186"/>
    </row>
    <row r="25" spans="1:60" s="475" customFormat="1" x14ac:dyDescent="0.25">
      <c r="A25" s="678" t="str">
        <f>Model!A19</f>
        <v>Content Sales/Licensing - Home entertainment revenue growth, %</v>
      </c>
      <c r="B25" s="659"/>
      <c r="C25" s="660"/>
      <c r="D25" s="660"/>
      <c r="E25" s="660"/>
      <c r="F25" s="660"/>
      <c r="G25" s="661"/>
      <c r="H25" s="661"/>
      <c r="I25" s="661"/>
      <c r="J25" s="661"/>
      <c r="K25" s="660"/>
      <c r="L25" s="661"/>
      <c r="M25" s="661"/>
      <c r="N25" s="661"/>
      <c r="O25" s="661"/>
      <c r="P25" s="660"/>
      <c r="Q25" s="661"/>
      <c r="R25" s="661"/>
      <c r="S25" s="661"/>
      <c r="T25" s="661"/>
      <c r="U25" s="660"/>
      <c r="V25" s="661"/>
      <c r="W25" s="661"/>
      <c r="X25" s="661"/>
      <c r="Y25" s="661"/>
      <c r="Z25" s="660"/>
      <c r="AA25" s="661"/>
      <c r="AB25" s="661"/>
      <c r="AC25" s="661"/>
      <c r="AD25" s="661"/>
      <c r="AE25" s="660"/>
      <c r="AF25" s="661"/>
      <c r="AG25" s="661"/>
      <c r="AH25" s="661"/>
      <c r="AI25" s="661"/>
      <c r="AJ25" s="660"/>
      <c r="AK25" s="661"/>
      <c r="AL25" s="661"/>
      <c r="AM25" s="661"/>
      <c r="AN25" s="661"/>
      <c r="AO25" s="660"/>
      <c r="AP25" s="661"/>
      <c r="AQ25" s="661"/>
      <c r="AR25" s="661"/>
      <c r="AS25" s="661"/>
      <c r="AT25" s="660"/>
      <c r="AU25" s="661">
        <f>Model!AU19</f>
        <v>-0.49664429530201337</v>
      </c>
      <c r="AV25" s="661">
        <f>Model!AV19</f>
        <v>-0.5521472392638036</v>
      </c>
      <c r="AW25" s="696">
        <f>Model!AW19</f>
        <v>-0.49787234042553197</v>
      </c>
      <c r="AX25" s="661">
        <f>Model!AX19</f>
        <v>0.2</v>
      </c>
      <c r="AY25" s="660">
        <f>Model!AY19</f>
        <v>-0.41653718091009984</v>
      </c>
      <c r="AZ25" s="661">
        <f>Model!AZ19</f>
        <v>0.2</v>
      </c>
      <c r="BA25" s="661">
        <f>Model!BA19</f>
        <v>0.2</v>
      </c>
      <c r="BB25" s="661">
        <f>Model!BB19</f>
        <v>0.2</v>
      </c>
      <c r="BC25" s="661">
        <f>Model!BC19</f>
        <v>0.2</v>
      </c>
      <c r="BD25" s="660">
        <f>Model!BD19</f>
        <v>0.19999999999999973</v>
      </c>
      <c r="BE25" s="660">
        <f>Model!BE19</f>
        <v>0.15</v>
      </c>
      <c r="BF25" s="660">
        <f>Model!BF19</f>
        <v>0.1</v>
      </c>
      <c r="BG25" s="660">
        <f>Model!BG19</f>
        <v>0.15</v>
      </c>
      <c r="BH25" s="186"/>
    </row>
    <row r="26" spans="1:60" s="475" customFormat="1" x14ac:dyDescent="0.25">
      <c r="A26" s="679" t="str">
        <f>Model!A20</f>
        <v>Content Sales/Licensing - Total revenue growth, %</v>
      </c>
      <c r="B26" s="680"/>
      <c r="C26" s="681"/>
      <c r="D26" s="681"/>
      <c r="E26" s="681"/>
      <c r="F26" s="681"/>
      <c r="G26" s="682"/>
      <c r="H26" s="682"/>
      <c r="I26" s="682"/>
      <c r="J26" s="682"/>
      <c r="K26" s="681"/>
      <c r="L26" s="682"/>
      <c r="M26" s="682"/>
      <c r="N26" s="682"/>
      <c r="O26" s="682"/>
      <c r="P26" s="681"/>
      <c r="Q26" s="682"/>
      <c r="R26" s="682"/>
      <c r="S26" s="682"/>
      <c r="T26" s="682"/>
      <c r="U26" s="681"/>
      <c r="V26" s="682"/>
      <c r="W26" s="682"/>
      <c r="X26" s="682"/>
      <c r="Y26" s="682"/>
      <c r="Z26" s="681"/>
      <c r="AA26" s="682"/>
      <c r="AB26" s="682"/>
      <c r="AC26" s="682"/>
      <c r="AD26" s="682"/>
      <c r="AE26" s="681"/>
      <c r="AF26" s="682"/>
      <c r="AG26" s="682"/>
      <c r="AH26" s="682"/>
      <c r="AI26" s="682"/>
      <c r="AJ26" s="681"/>
      <c r="AK26" s="682"/>
      <c r="AL26" s="682"/>
      <c r="AM26" s="682"/>
      <c r="AN26" s="682"/>
      <c r="AO26" s="681"/>
      <c r="AP26" s="682"/>
      <c r="AQ26" s="682"/>
      <c r="AR26" s="682"/>
      <c r="AS26" s="682"/>
      <c r="AT26" s="681"/>
      <c r="AU26" s="682">
        <f>Model!AU20</f>
        <v>-0.56470588235294117</v>
      </c>
      <c r="AV26" s="682">
        <f>Model!AV20</f>
        <v>-0.36366655596147457</v>
      </c>
      <c r="AW26" s="713">
        <f>Model!AW20</f>
        <v>-0.22995877233165374</v>
      </c>
      <c r="AX26" s="682">
        <f>Model!AX20</f>
        <v>0.17536038441003732</v>
      </c>
      <c r="AY26" s="681">
        <f>Model!AY20</f>
        <v>-0.31671221645258263</v>
      </c>
      <c r="AZ26" s="682">
        <f>Model!AZ20</f>
        <v>0.46016451233842526</v>
      </c>
      <c r="BA26" s="682">
        <f>Model!BA20</f>
        <v>0.71722338204592906</v>
      </c>
      <c r="BB26" s="682">
        <f>Model!BB20</f>
        <v>1.4015466983938132</v>
      </c>
      <c r="BC26" s="682">
        <f>Model!BC20</f>
        <v>0.68471121306411664</v>
      </c>
      <c r="BD26" s="681">
        <f>Model!BD20</f>
        <v>0.80271950349645671</v>
      </c>
      <c r="BE26" s="681">
        <f>Model!BE20</f>
        <v>9.4311454801651484E-2</v>
      </c>
      <c r="BF26" s="681">
        <f>Model!BF20</f>
        <v>7.4391791834537591E-2</v>
      </c>
      <c r="BG26" s="681">
        <f>Model!BG20</f>
        <v>9.6213235503668004E-2</v>
      </c>
      <c r="BH26" s="186"/>
    </row>
    <row r="27" spans="1:60" s="475" customFormat="1" x14ac:dyDescent="0.25">
      <c r="A27" s="683" t="str">
        <f>Model!A21</f>
        <v>Media and Entertainment Distribution - Total revenue growth, %</v>
      </c>
      <c r="B27" s="245"/>
      <c r="C27" s="103"/>
      <c r="D27" s="103"/>
      <c r="E27" s="103"/>
      <c r="F27" s="103"/>
      <c r="G27" s="101"/>
      <c r="H27" s="101"/>
      <c r="I27" s="101"/>
      <c r="J27" s="101"/>
      <c r="K27" s="103"/>
      <c r="L27" s="101"/>
      <c r="M27" s="101"/>
      <c r="N27" s="101"/>
      <c r="O27" s="101"/>
      <c r="P27" s="103"/>
      <c r="Q27" s="101"/>
      <c r="R27" s="101"/>
      <c r="S27" s="101"/>
      <c r="T27" s="101"/>
      <c r="U27" s="103"/>
      <c r="V27" s="101"/>
      <c r="W27" s="101"/>
      <c r="X27" s="101"/>
      <c r="Y27" s="101"/>
      <c r="Z27" s="103"/>
      <c r="AA27" s="101"/>
      <c r="AB27" s="101"/>
      <c r="AC27" s="101"/>
      <c r="AD27" s="101"/>
      <c r="AE27" s="103"/>
      <c r="AF27" s="101"/>
      <c r="AG27" s="101"/>
      <c r="AH27" s="101"/>
      <c r="AI27" s="101"/>
      <c r="AJ27" s="103"/>
      <c r="AK27" s="101"/>
      <c r="AL27" s="101"/>
      <c r="AM27" s="101"/>
      <c r="AN27" s="101"/>
      <c r="AO27" s="103"/>
      <c r="AP27" s="101"/>
      <c r="AQ27" s="101"/>
      <c r="AR27" s="101"/>
      <c r="AS27" s="101"/>
      <c r="AT27" s="103"/>
      <c r="AU27" s="101">
        <f>Model!AU21</f>
        <v>-4.7830337670151213E-2</v>
      </c>
      <c r="AV27" s="101">
        <f>Model!AV21</f>
        <v>6.0655074807924869E-3</v>
      </c>
      <c r="AW27" s="686">
        <f>Model!AW21</f>
        <v>0.18359156244166508</v>
      </c>
      <c r="AX27" s="101">
        <f>Model!AX21</f>
        <v>0.13854195110238865</v>
      </c>
      <c r="AY27" s="103">
        <f>Model!AY21</f>
        <v>6.3389892916235757E-2</v>
      </c>
      <c r="AZ27" s="101">
        <f>Model!AZ21</f>
        <v>0.15446157112518755</v>
      </c>
      <c r="BA27" s="101">
        <f>Model!BA21</f>
        <v>0.20905339544110801</v>
      </c>
      <c r="BB27" s="101">
        <f>Model!BB21</f>
        <v>0.29749560610159609</v>
      </c>
      <c r="BC27" s="101">
        <f>Model!BC21</f>
        <v>0.23401876652537679</v>
      </c>
      <c r="BD27" s="103">
        <f>Model!BD21</f>
        <v>0.22404319424202401</v>
      </c>
      <c r="BE27" s="103">
        <f>Model!BE21</f>
        <v>0.10663698626613738</v>
      </c>
      <c r="BF27" s="103">
        <f>Model!BF21</f>
        <v>8.329067771347054E-2</v>
      </c>
      <c r="BG27" s="103">
        <f>Model!BG21</f>
        <v>0.10269751052346421</v>
      </c>
      <c r="BH27" s="186"/>
    </row>
    <row r="28" spans="1:60" s="475" customFormat="1" x14ac:dyDescent="0.25">
      <c r="A28" s="534" t="str">
        <f>Model!A22</f>
        <v>Theme park admissions revenue growth, %</v>
      </c>
      <c r="B28" s="245"/>
      <c r="C28" s="103"/>
      <c r="D28" s="103"/>
      <c r="E28" s="103"/>
      <c r="F28" s="103"/>
      <c r="G28" s="101"/>
      <c r="H28" s="101"/>
      <c r="I28" s="101"/>
      <c r="J28" s="101"/>
      <c r="K28" s="103"/>
      <c r="L28" s="101"/>
      <c r="M28" s="101"/>
      <c r="N28" s="101"/>
      <c r="O28" s="101"/>
      <c r="P28" s="103"/>
      <c r="Q28" s="101"/>
      <c r="R28" s="101"/>
      <c r="S28" s="101"/>
      <c r="T28" s="101"/>
      <c r="U28" s="103"/>
      <c r="V28" s="101"/>
      <c r="W28" s="101"/>
      <c r="X28" s="101"/>
      <c r="Y28" s="101"/>
      <c r="Z28" s="103"/>
      <c r="AA28" s="101"/>
      <c r="AB28" s="101"/>
      <c r="AC28" s="101"/>
      <c r="AD28" s="101"/>
      <c r="AE28" s="103"/>
      <c r="AF28" s="101"/>
      <c r="AG28" s="101"/>
      <c r="AH28" s="101"/>
      <c r="AI28" s="101"/>
      <c r="AJ28" s="103"/>
      <c r="AK28" s="101"/>
      <c r="AL28" s="101"/>
      <c r="AM28" s="101"/>
      <c r="AN28" s="101"/>
      <c r="AO28" s="103"/>
      <c r="AP28" s="101"/>
      <c r="AQ28" s="101"/>
      <c r="AR28" s="101"/>
      <c r="AS28" s="101"/>
      <c r="AT28" s="103"/>
      <c r="AU28" s="101">
        <f>Model!AU22</f>
        <v>-0.73439767779390419</v>
      </c>
      <c r="AV28" s="101">
        <f>Model!AV22</f>
        <v>-0.61583011583011582</v>
      </c>
      <c r="AW28" s="686">
        <f>Model!AW22</f>
        <v>32.882352941176471</v>
      </c>
      <c r="AX28" s="101">
        <f>Model!AX22</f>
        <v>3</v>
      </c>
      <c r="AY28" s="103">
        <f>Model!AY22</f>
        <v>-5.1510648836057493E-2</v>
      </c>
      <c r="AZ28" s="101">
        <f>Model!AZ22</f>
        <v>1.8</v>
      </c>
      <c r="BA28" s="101">
        <f>Model!BA22</f>
        <v>1.5</v>
      </c>
      <c r="BB28" s="101">
        <f>Model!BB22</f>
        <v>1</v>
      </c>
      <c r="BC28" s="101">
        <f>Model!BC22</f>
        <v>0.5</v>
      </c>
      <c r="BD28" s="103">
        <f>Model!BD22</f>
        <v>0.99261096605744115</v>
      </c>
      <c r="BE28" s="103">
        <f>Model!BE22</f>
        <v>0.1</v>
      </c>
      <c r="BF28" s="103">
        <f>Model!BF22</f>
        <v>0.03</v>
      </c>
      <c r="BG28" s="103">
        <f>Model!BG22</f>
        <v>0.05</v>
      </c>
      <c r="BH28" s="186"/>
    </row>
    <row r="29" spans="1:60" s="475" customFormat="1" x14ac:dyDescent="0.25">
      <c r="A29" s="534" t="str">
        <f>Model!A23</f>
        <v>Parks &amp; Experiences merchandise, food and beverage revenue growth, %</v>
      </c>
      <c r="B29" s="245"/>
      <c r="C29" s="103"/>
      <c r="D29" s="103"/>
      <c r="E29" s="103"/>
      <c r="F29" s="103"/>
      <c r="G29" s="101"/>
      <c r="H29" s="101"/>
      <c r="I29" s="101"/>
      <c r="J29" s="101"/>
      <c r="K29" s="103"/>
      <c r="L29" s="101"/>
      <c r="M29" s="101"/>
      <c r="N29" s="101"/>
      <c r="O29" s="101"/>
      <c r="P29" s="103"/>
      <c r="Q29" s="101"/>
      <c r="R29" s="101"/>
      <c r="S29" s="101"/>
      <c r="T29" s="101"/>
      <c r="U29" s="103"/>
      <c r="V29" s="101"/>
      <c r="W29" s="101"/>
      <c r="X29" s="101"/>
      <c r="Y29" s="101"/>
      <c r="Z29" s="103"/>
      <c r="AA29" s="101"/>
      <c r="AB29" s="101"/>
      <c r="AC29" s="101"/>
      <c r="AD29" s="101"/>
      <c r="AE29" s="103"/>
      <c r="AF29" s="101"/>
      <c r="AG29" s="101"/>
      <c r="AH29" s="101"/>
      <c r="AI29" s="101"/>
      <c r="AJ29" s="103"/>
      <c r="AK29" s="101"/>
      <c r="AL29" s="101"/>
      <c r="AM29" s="101"/>
      <c r="AN29" s="101"/>
      <c r="AO29" s="103"/>
      <c r="AP29" s="101"/>
      <c r="AQ29" s="101"/>
      <c r="AR29" s="101"/>
      <c r="AS29" s="101"/>
      <c r="AT29" s="103"/>
      <c r="AU29" s="101">
        <f>Model!AU23</f>
        <v>-0.67297457125960969</v>
      </c>
      <c r="AV29" s="101">
        <f>Model!AV23</f>
        <v>-0.56269592476489028</v>
      </c>
      <c r="AW29" s="686">
        <f>Model!AW23</f>
        <v>13.507936507936508</v>
      </c>
      <c r="AX29" s="101">
        <f>Model!AX23</f>
        <v>2.5</v>
      </c>
      <c r="AY29" s="103">
        <f>Model!AY23</f>
        <v>6.5387968613774827E-3</v>
      </c>
      <c r="AZ29" s="101">
        <f>Model!AZ23</f>
        <v>1.6</v>
      </c>
      <c r="BA29" s="101">
        <f>Model!BA23</f>
        <v>1.3</v>
      </c>
      <c r="BB29" s="101">
        <f>Model!BB23</f>
        <v>0.5</v>
      </c>
      <c r="BC29" s="101">
        <f>Model!BC23</f>
        <v>0.1</v>
      </c>
      <c r="BD29" s="103">
        <f>Model!BD23</f>
        <v>0.63838602569654967</v>
      </c>
      <c r="BE29" s="103">
        <f>Model!BE23</f>
        <v>0.1</v>
      </c>
      <c r="BF29" s="103">
        <f>Model!BF23</f>
        <v>0.05</v>
      </c>
      <c r="BG29" s="103">
        <f>Model!BG23</f>
        <v>0.05</v>
      </c>
      <c r="BH29" s="186"/>
    </row>
    <row r="30" spans="1:60" s="475" customFormat="1" x14ac:dyDescent="0.25">
      <c r="A30" s="534" t="str">
        <f>Model!A24</f>
        <v>Resorts and Vacations revenue growth, %</v>
      </c>
      <c r="B30" s="245"/>
      <c r="C30" s="103"/>
      <c r="D30" s="103"/>
      <c r="E30" s="103"/>
      <c r="F30" s="103"/>
      <c r="G30" s="101"/>
      <c r="H30" s="101"/>
      <c r="I30" s="101"/>
      <c r="J30" s="101"/>
      <c r="K30" s="103"/>
      <c r="L30" s="101"/>
      <c r="M30" s="101"/>
      <c r="N30" s="101"/>
      <c r="O30" s="101"/>
      <c r="P30" s="103"/>
      <c r="Q30" s="101"/>
      <c r="R30" s="101"/>
      <c r="S30" s="101"/>
      <c r="T30" s="101"/>
      <c r="U30" s="103"/>
      <c r="V30" s="101"/>
      <c r="W30" s="101"/>
      <c r="X30" s="101"/>
      <c r="Y30" s="101"/>
      <c r="Z30" s="103"/>
      <c r="AA30" s="101"/>
      <c r="AB30" s="101"/>
      <c r="AC30" s="101"/>
      <c r="AD30" s="101"/>
      <c r="AE30" s="103"/>
      <c r="AF30" s="101"/>
      <c r="AG30" s="101"/>
      <c r="AH30" s="101"/>
      <c r="AI30" s="101"/>
      <c r="AJ30" s="103"/>
      <c r="AK30" s="101"/>
      <c r="AL30" s="101"/>
      <c r="AM30" s="101"/>
      <c r="AN30" s="101"/>
      <c r="AO30" s="103"/>
      <c r="AP30" s="101"/>
      <c r="AQ30" s="101"/>
      <c r="AR30" s="101"/>
      <c r="AS30" s="101"/>
      <c r="AT30" s="103"/>
      <c r="AU30" s="101">
        <f>Model!AU24</f>
        <v>-0.73451870018393617</v>
      </c>
      <c r="AV30" s="101">
        <f>Model!AV24</f>
        <v>-0.62745098039215685</v>
      </c>
      <c r="AW30" s="686">
        <f>Model!AW24</f>
        <v>8.6999999999999993</v>
      </c>
      <c r="AX30" s="101">
        <f>Model!AX24</f>
        <v>3</v>
      </c>
      <c r="AY30" s="103">
        <f>Model!AY24</f>
        <v>-0.12463256907701348</v>
      </c>
      <c r="AZ30" s="101">
        <f>Model!AZ24</f>
        <v>1.5</v>
      </c>
      <c r="BA30" s="101">
        <f>Model!BA24</f>
        <v>0.9</v>
      </c>
      <c r="BB30" s="101">
        <f>Model!BB24</f>
        <v>0.45</v>
      </c>
      <c r="BC30" s="101">
        <f>Model!BC24</f>
        <v>0.2</v>
      </c>
      <c r="BD30" s="103">
        <f>Model!BD24</f>
        <v>0.57474815312290106</v>
      </c>
      <c r="BE30" s="103">
        <f>Model!BE24</f>
        <v>0.1</v>
      </c>
      <c r="BF30" s="103">
        <f>Model!BF24</f>
        <v>0.05</v>
      </c>
      <c r="BG30" s="103">
        <f>Model!BG24</f>
        <v>0.05</v>
      </c>
      <c r="BH30" s="186"/>
    </row>
    <row r="31" spans="1:60" s="475" customFormat="1" x14ac:dyDescent="0.25">
      <c r="A31" s="534" t="str">
        <f>Model!A25</f>
        <v>Merchandise licensing and retail revenue growth, %</v>
      </c>
      <c r="B31" s="245"/>
      <c r="C31" s="103"/>
      <c r="D31" s="103"/>
      <c r="E31" s="103"/>
      <c r="F31" s="103"/>
      <c r="G31" s="101"/>
      <c r="H31" s="101"/>
      <c r="I31" s="101"/>
      <c r="J31" s="101"/>
      <c r="K31" s="103"/>
      <c r="L31" s="101"/>
      <c r="M31" s="101"/>
      <c r="N31" s="101"/>
      <c r="O31" s="101"/>
      <c r="P31" s="103"/>
      <c r="Q31" s="101"/>
      <c r="R31" s="101"/>
      <c r="S31" s="101"/>
      <c r="T31" s="101"/>
      <c r="U31" s="103"/>
      <c r="V31" s="101"/>
      <c r="W31" s="101"/>
      <c r="X31" s="101"/>
      <c r="Y31" s="101"/>
      <c r="Z31" s="103"/>
      <c r="AA31" s="101"/>
      <c r="AB31" s="101"/>
      <c r="AC31" s="101"/>
      <c r="AD31" s="101"/>
      <c r="AE31" s="103"/>
      <c r="AF31" s="101"/>
      <c r="AG31" s="101"/>
      <c r="AH31" s="101"/>
      <c r="AI31" s="101"/>
      <c r="AJ31" s="103"/>
      <c r="AK31" s="101"/>
      <c r="AL31" s="101"/>
      <c r="AM31" s="101"/>
      <c r="AN31" s="101"/>
      <c r="AO31" s="103"/>
      <c r="AP31" s="101"/>
      <c r="AQ31" s="101"/>
      <c r="AR31" s="101"/>
      <c r="AS31" s="101"/>
      <c r="AT31" s="103"/>
      <c r="AU31" s="101">
        <f>Model!AU25</f>
        <v>1.7375674056321122E-2</v>
      </c>
      <c r="AV31" s="101">
        <f>Model!AV25</f>
        <v>0.12586037364798419</v>
      </c>
      <c r="AW31" s="686">
        <f>Model!AW25</f>
        <v>0.57697642163661578</v>
      </c>
      <c r="AX31" s="101">
        <f>Model!AX25</f>
        <v>0.1</v>
      </c>
      <c r="AY31" s="103">
        <f>Model!AY25</f>
        <v>0.14920567676339758</v>
      </c>
      <c r="AZ31" s="101">
        <f>Model!AZ25</f>
        <v>0.1</v>
      </c>
      <c r="BA31" s="101">
        <f>Model!BA25</f>
        <v>0.1</v>
      </c>
      <c r="BB31" s="101">
        <f>Model!BB25</f>
        <v>0.1</v>
      </c>
      <c r="BC31" s="101">
        <f>Model!BC25</f>
        <v>0.1</v>
      </c>
      <c r="BD31" s="103">
        <f>Model!BD25</f>
        <v>0.10000000000000009</v>
      </c>
      <c r="BE31" s="103">
        <f>Model!BE25</f>
        <v>0.05</v>
      </c>
      <c r="BF31" s="103">
        <f>Model!BF25</f>
        <v>0.05</v>
      </c>
      <c r="BG31" s="103">
        <f>Model!BG25</f>
        <v>0.05</v>
      </c>
      <c r="BH31" s="186"/>
    </row>
    <row r="32" spans="1:60" s="475" customFormat="1" x14ac:dyDescent="0.25">
      <c r="A32" s="535" t="str">
        <f>Model!A26</f>
        <v>Parks licensing and other revenue growth, %</v>
      </c>
      <c r="B32" s="659"/>
      <c r="C32" s="660"/>
      <c r="D32" s="660"/>
      <c r="E32" s="660"/>
      <c r="F32" s="660"/>
      <c r="G32" s="661"/>
      <c r="H32" s="661"/>
      <c r="I32" s="661"/>
      <c r="J32" s="661"/>
      <c r="K32" s="660"/>
      <c r="L32" s="661"/>
      <c r="M32" s="661"/>
      <c r="N32" s="661"/>
      <c r="O32" s="661"/>
      <c r="P32" s="660"/>
      <c r="Q32" s="661"/>
      <c r="R32" s="661"/>
      <c r="S32" s="661"/>
      <c r="T32" s="661"/>
      <c r="U32" s="660"/>
      <c r="V32" s="661"/>
      <c r="W32" s="661"/>
      <c r="X32" s="661"/>
      <c r="Y32" s="661"/>
      <c r="Z32" s="660"/>
      <c r="AA32" s="661"/>
      <c r="AB32" s="661"/>
      <c r="AC32" s="661"/>
      <c r="AD32" s="661"/>
      <c r="AE32" s="660"/>
      <c r="AF32" s="661"/>
      <c r="AG32" s="661"/>
      <c r="AH32" s="661"/>
      <c r="AI32" s="661"/>
      <c r="AJ32" s="660"/>
      <c r="AK32" s="661"/>
      <c r="AL32" s="661"/>
      <c r="AM32" s="661"/>
      <c r="AN32" s="661"/>
      <c r="AO32" s="660"/>
      <c r="AP32" s="661"/>
      <c r="AQ32" s="661"/>
      <c r="AR32" s="661"/>
      <c r="AS32" s="661"/>
      <c r="AT32" s="660"/>
      <c r="AU32" s="661">
        <f>Model!AU26</f>
        <v>-0.31992337164750961</v>
      </c>
      <c r="AV32" s="661">
        <f>Model!AV26</f>
        <v>-0.17431192660550454</v>
      </c>
      <c r="AW32" s="696">
        <f>Model!AW26</f>
        <v>1.1676646706586826</v>
      </c>
      <c r="AX32" s="661">
        <f>Model!AX26</f>
        <v>0.7</v>
      </c>
      <c r="AY32" s="660">
        <f>Model!AY26</f>
        <v>0.11817548746518103</v>
      </c>
      <c r="AZ32" s="661">
        <f>Model!AZ26</f>
        <v>0.1</v>
      </c>
      <c r="BA32" s="661">
        <f>Model!BA26</f>
        <v>0.1</v>
      </c>
      <c r="BB32" s="661">
        <f>Model!BB26</f>
        <v>0.1</v>
      </c>
      <c r="BC32" s="661">
        <f>Model!BC26</f>
        <v>0.1</v>
      </c>
      <c r="BD32" s="660">
        <f>Model!BD26</f>
        <v>0.10000000000000031</v>
      </c>
      <c r="BE32" s="660">
        <f>Model!BE26</f>
        <v>0.05</v>
      </c>
      <c r="BF32" s="660">
        <f>Model!BF26</f>
        <v>0.05</v>
      </c>
      <c r="BG32" s="660">
        <f>Model!BG26</f>
        <v>0.05</v>
      </c>
      <c r="BH32" s="186"/>
    </row>
    <row r="33" spans="1:60" s="469" customFormat="1" x14ac:dyDescent="0.25">
      <c r="A33" s="683" t="str">
        <f>Model!A27</f>
        <v>Parks, Experiences and Products - Total revenue growth, %</v>
      </c>
      <c r="B33" s="246"/>
      <c r="C33" s="478"/>
      <c r="D33" s="478"/>
      <c r="E33" s="478"/>
      <c r="F33" s="478"/>
      <c r="G33" s="480"/>
      <c r="H33" s="480"/>
      <c r="I33" s="480"/>
      <c r="J33" s="480"/>
      <c r="K33" s="478"/>
      <c r="L33" s="480"/>
      <c r="M33" s="480"/>
      <c r="N33" s="480"/>
      <c r="O33" s="480"/>
      <c r="P33" s="478"/>
      <c r="Q33" s="480"/>
      <c r="R33" s="480"/>
      <c r="S33" s="480"/>
      <c r="T33" s="480"/>
      <c r="U33" s="478"/>
      <c r="V33" s="480"/>
      <c r="W33" s="480"/>
      <c r="X33" s="480"/>
      <c r="Y33" s="480"/>
      <c r="Z33" s="478"/>
      <c r="AA33" s="480"/>
      <c r="AB33" s="480"/>
      <c r="AC33" s="480"/>
      <c r="AD33" s="480"/>
      <c r="AE33" s="478"/>
      <c r="AF33" s="480"/>
      <c r="AG33" s="480"/>
      <c r="AH33" s="480"/>
      <c r="AI33" s="480"/>
      <c r="AJ33" s="478"/>
      <c r="AK33" s="480"/>
      <c r="AL33" s="480"/>
      <c r="AM33" s="480"/>
      <c r="AN33" s="480"/>
      <c r="AO33" s="478"/>
      <c r="AP33" s="480"/>
      <c r="AQ33" s="480"/>
      <c r="AR33" s="480"/>
      <c r="AS33" s="480"/>
      <c r="AT33" s="478"/>
      <c r="AU33" s="480">
        <f>Model!AU27</f>
        <v>-0.52664907651715032</v>
      </c>
      <c r="AV33" s="480">
        <f>Model!AV27</f>
        <v>-0.43939929328621907</v>
      </c>
      <c r="AW33" s="708">
        <f>Model!AW27</f>
        <v>3.0760563380281694</v>
      </c>
      <c r="AX33" s="480">
        <f>Model!AX27</f>
        <v>1.2687888766922795</v>
      </c>
      <c r="AY33" s="478">
        <f>Model!AY27</f>
        <v>1.5529991783073127E-2</v>
      </c>
      <c r="AZ33" s="480">
        <f>Model!AZ27</f>
        <v>0.76025641025641022</v>
      </c>
      <c r="BA33" s="480">
        <f>Model!BA27</f>
        <v>0.7037819098644813</v>
      </c>
      <c r="BB33" s="480">
        <f>Model!BB27</f>
        <v>0.48562543192812702</v>
      </c>
      <c r="BC33" s="480">
        <f>Model!BC27</f>
        <v>0.21908524981453414</v>
      </c>
      <c r="BD33" s="478">
        <f>Model!BD27</f>
        <v>0.48706321593286583</v>
      </c>
      <c r="BE33" s="478">
        <f>Model!BE27</f>
        <v>8.4970478110039327E-2</v>
      </c>
      <c r="BF33" s="478">
        <f>Model!BF27</f>
        <v>4.398569773909089E-2</v>
      </c>
      <c r="BG33" s="478">
        <f>Model!BG27</f>
        <v>4.9999999999999822E-2</v>
      </c>
      <c r="BH33" s="292"/>
    </row>
    <row r="34" spans="1:60" s="375" customFormat="1" hidden="1" outlineLevel="1" x14ac:dyDescent="0.25">
      <c r="A34" s="365" t="str">
        <f>Model!A28</f>
        <v>Cable Networks revenues growth, %</v>
      </c>
      <c r="B34" s="364"/>
      <c r="C34" s="132">
        <f>Model!C28</f>
        <v>0</v>
      </c>
      <c r="D34" s="132">
        <f>Model!D28</f>
        <v>0</v>
      </c>
      <c r="E34" s="132">
        <f>Model!E28</f>
        <v>0</v>
      </c>
      <c r="F34" s="132">
        <f>Model!F28</f>
        <v>0</v>
      </c>
      <c r="G34" s="254">
        <f>Model!G28</f>
        <v>0</v>
      </c>
      <c r="H34" s="254">
        <f>Model!H28</f>
        <v>0</v>
      </c>
      <c r="I34" s="254">
        <f>Model!I28</f>
        <v>0</v>
      </c>
      <c r="J34" s="254">
        <f>Model!J28</f>
        <v>0</v>
      </c>
      <c r="K34" s="132">
        <f>Model!K28</f>
        <v>0</v>
      </c>
      <c r="L34" s="254">
        <f>Model!L28</f>
        <v>0</v>
      </c>
      <c r="M34" s="254">
        <f>Model!M28</f>
        <v>0</v>
      </c>
      <c r="N34" s="254">
        <f>Model!N28</f>
        <v>0</v>
      </c>
      <c r="O34" s="254">
        <f>Model!O28</f>
        <v>0</v>
      </c>
      <c r="P34" s="132">
        <f>Model!P28</f>
        <v>0</v>
      </c>
      <c r="Q34" s="254">
        <f>Model!Q28</f>
        <v>0</v>
      </c>
      <c r="R34" s="254">
        <f>Model!R28</f>
        <v>0</v>
      </c>
      <c r="S34" s="254">
        <f>Model!S28</f>
        <v>0</v>
      </c>
      <c r="T34" s="254">
        <f>Model!T28</f>
        <v>0</v>
      </c>
      <c r="U34" s="132">
        <f>Model!U28</f>
        <v>0</v>
      </c>
      <c r="V34" s="254">
        <f>Model!V28</f>
        <v>0</v>
      </c>
      <c r="W34" s="254">
        <f>Model!W28</f>
        <v>0</v>
      </c>
      <c r="X34" s="254">
        <f>Model!X28</f>
        <v>0</v>
      </c>
      <c r="Y34" s="254">
        <f>Model!Y28</f>
        <v>0</v>
      </c>
      <c r="Z34" s="132">
        <f>Model!Z28</f>
        <v>0</v>
      </c>
      <c r="AA34" s="254">
        <f>Model!AA28</f>
        <v>0</v>
      </c>
      <c r="AB34" s="254">
        <f>Model!AB28</f>
        <v>0</v>
      </c>
      <c r="AC34" s="254">
        <f>Model!AC28</f>
        <v>0</v>
      </c>
      <c r="AD34" s="254">
        <f>Model!AD28</f>
        <v>0</v>
      </c>
      <c r="AE34" s="132">
        <f>Model!AE28</f>
        <v>4.8580748143511876E-4</v>
      </c>
      <c r="AF34" s="254">
        <f>Model!AF28</f>
        <v>0</v>
      </c>
      <c r="AG34" s="254">
        <f>Model!AG28</f>
        <v>0</v>
      </c>
      <c r="AH34" s="254">
        <f>Model!AH28</f>
        <v>0</v>
      </c>
      <c r="AI34" s="254">
        <f>Model!AI28</f>
        <v>0</v>
      </c>
      <c r="AJ34" s="132">
        <f>Model!AJ28</f>
        <v>1.3457269700333008E-2</v>
      </c>
      <c r="AK34" s="254">
        <f>Model!AK28</f>
        <v>3.9916514479519938E-2</v>
      </c>
      <c r="AL34" s="254">
        <f>Model!AL28</f>
        <v>1.5056118258965245E-2</v>
      </c>
      <c r="AM34" s="254">
        <f>Model!AM28</f>
        <v>0.24103419516263558</v>
      </c>
      <c r="AN34" s="254">
        <f>Model!AN28</f>
        <v>0.20300538701445991</v>
      </c>
      <c r="AO34" s="132">
        <f>Model!AO28</f>
        <v>0.12840520191649563</v>
      </c>
      <c r="AP34" s="254">
        <f>Model!AP28</f>
        <v>0.19568489713999004</v>
      </c>
      <c r="AQ34" s="254">
        <f>Model!AQ28</f>
        <v>0.19875943905070126</v>
      </c>
      <c r="AR34" s="254">
        <f>Model!AR28</f>
        <v>-9.6326164874551923E-2</v>
      </c>
      <c r="AS34" s="254">
        <f>Model!AS28</f>
        <v>0.11265613952392184</v>
      </c>
      <c r="AT34" s="132">
        <f>Model!AT28</f>
        <v>8.9773140846779009E-2</v>
      </c>
      <c r="AU34" s="254">
        <f>Model!AU28</f>
        <v>0</v>
      </c>
      <c r="AV34" s="254">
        <f>Model!AV28</f>
        <v>0</v>
      </c>
      <c r="AW34" s="714">
        <f>Model!AW28</f>
        <v>0</v>
      </c>
      <c r="AX34" s="254">
        <f>Model!AX28</f>
        <v>0</v>
      </c>
      <c r="AY34" s="132">
        <f>Model!AY28</f>
        <v>0</v>
      </c>
      <c r="AZ34" s="254">
        <f>Model!AZ28</f>
        <v>0</v>
      </c>
      <c r="BA34" s="254">
        <f>Model!BA28</f>
        <v>0</v>
      </c>
      <c r="BB34" s="254">
        <f>Model!BB28</f>
        <v>0</v>
      </c>
      <c r="BC34" s="254">
        <f>Model!BC28</f>
        <v>0</v>
      </c>
      <c r="BD34" s="132">
        <f>Model!BD28</f>
        <v>0</v>
      </c>
      <c r="BE34" s="132">
        <f>Model!BE28</f>
        <v>0</v>
      </c>
      <c r="BF34" s="132">
        <f>Model!BF28</f>
        <v>0</v>
      </c>
      <c r="BG34" s="132">
        <f>Model!BG28</f>
        <v>0</v>
      </c>
      <c r="BH34" s="963"/>
    </row>
    <row r="35" spans="1:60" s="375" customFormat="1" hidden="1" outlineLevel="1" x14ac:dyDescent="0.25">
      <c r="A35" s="366" t="str">
        <f>Model!A29</f>
        <v>Broadcasting revenues growth, %</v>
      </c>
      <c r="B35" s="367"/>
      <c r="C35" s="368">
        <f>Model!C29</f>
        <v>0</v>
      </c>
      <c r="D35" s="368">
        <f>Model!D29</f>
        <v>0</v>
      </c>
      <c r="E35" s="368">
        <f>Model!E29</f>
        <v>0</v>
      </c>
      <c r="F35" s="368">
        <f>Model!F29</f>
        <v>0</v>
      </c>
      <c r="G35" s="369">
        <f>Model!G29</f>
        <v>0</v>
      </c>
      <c r="H35" s="369">
        <f>Model!H29</f>
        <v>0</v>
      </c>
      <c r="I35" s="369">
        <f>Model!I29</f>
        <v>0</v>
      </c>
      <c r="J35" s="369">
        <f>Model!J29</f>
        <v>0</v>
      </c>
      <c r="K35" s="368">
        <f>Model!K29</f>
        <v>0</v>
      </c>
      <c r="L35" s="369">
        <f>Model!L29</f>
        <v>0</v>
      </c>
      <c r="M35" s="369">
        <f>Model!M29</f>
        <v>0</v>
      </c>
      <c r="N35" s="369">
        <f>Model!N29</f>
        <v>0</v>
      </c>
      <c r="O35" s="369">
        <f>Model!O29</f>
        <v>0</v>
      </c>
      <c r="P35" s="368">
        <f>Model!P29</f>
        <v>0</v>
      </c>
      <c r="Q35" s="369">
        <f>Model!Q29</f>
        <v>0</v>
      </c>
      <c r="R35" s="369">
        <f>Model!R29</f>
        <v>0</v>
      </c>
      <c r="S35" s="369">
        <f>Model!S29</f>
        <v>0</v>
      </c>
      <c r="T35" s="369">
        <f>Model!T29</f>
        <v>0</v>
      </c>
      <c r="U35" s="368">
        <f>Model!U29</f>
        <v>0</v>
      </c>
      <c r="V35" s="369">
        <f>Model!V29</f>
        <v>0</v>
      </c>
      <c r="W35" s="369">
        <f>Model!W29</f>
        <v>0</v>
      </c>
      <c r="X35" s="369">
        <f>Model!X29</f>
        <v>0</v>
      </c>
      <c r="Y35" s="369">
        <f>Model!Y29</f>
        <v>0</v>
      </c>
      <c r="Z35" s="368">
        <f>Model!Z29</f>
        <v>0</v>
      </c>
      <c r="AA35" s="369">
        <f>Model!AA29</f>
        <v>0</v>
      </c>
      <c r="AB35" s="369">
        <f>Model!AB29</f>
        <v>0</v>
      </c>
      <c r="AC35" s="369">
        <f>Model!AC29</f>
        <v>0</v>
      </c>
      <c r="AD35" s="369">
        <f>Model!AD29</f>
        <v>0</v>
      </c>
      <c r="AE35" s="368">
        <f>Model!AE29</f>
        <v>-4.9154257626138342E-3</v>
      </c>
      <c r="AF35" s="369">
        <f>Model!AF29</f>
        <v>0</v>
      </c>
      <c r="AG35" s="369">
        <f>Model!AG29</f>
        <v>0</v>
      </c>
      <c r="AH35" s="369">
        <f>Model!AH29</f>
        <v>0</v>
      </c>
      <c r="AI35" s="369">
        <f>Model!AI29</f>
        <v>0</v>
      </c>
      <c r="AJ35" s="368">
        <f>Model!AJ29</f>
        <v>6.232747348539891E-2</v>
      </c>
      <c r="AK35" s="369">
        <f>Model!AK29</f>
        <v>0.12369337979094075</v>
      </c>
      <c r="AL35" s="369">
        <f>Model!AL29</f>
        <v>-2.0485175202156314E-2</v>
      </c>
      <c r="AM35" s="369">
        <f>Model!AM29</f>
        <v>0.16107382550335569</v>
      </c>
      <c r="AN35" s="369">
        <f>Model!AN29</f>
        <v>0.2608453837597331</v>
      </c>
      <c r="AO35" s="368">
        <f>Model!AO29</f>
        <v>0.14072757111597367</v>
      </c>
      <c r="AP35" s="369">
        <f>Model!AP29</f>
        <v>0.3410852713178294</v>
      </c>
      <c r="AQ35" s="369">
        <f>Model!AQ29</f>
        <v>0.54760594386351125</v>
      </c>
      <c r="AR35" s="369">
        <f>Model!AR29</f>
        <v>0.12405513561582926</v>
      </c>
      <c r="AS35" s="369">
        <f>Model!AS29</f>
        <v>9.9250110277900205E-2</v>
      </c>
      <c r="AT35" s="368">
        <f>Model!AT29</f>
        <v>0.25008991727610597</v>
      </c>
      <c r="AU35" s="369">
        <f>Model!AU29</f>
        <v>0</v>
      </c>
      <c r="AV35" s="369">
        <f>Model!AV29</f>
        <v>0</v>
      </c>
      <c r="AW35" s="715">
        <f>Model!AW29</f>
        <v>0</v>
      </c>
      <c r="AX35" s="369">
        <f>Model!AX29</f>
        <v>0</v>
      </c>
      <c r="AY35" s="368">
        <f>Model!AY29</f>
        <v>0</v>
      </c>
      <c r="AZ35" s="369">
        <f>Model!AZ29</f>
        <v>0</v>
      </c>
      <c r="BA35" s="369">
        <f>Model!BA29</f>
        <v>0</v>
      </c>
      <c r="BB35" s="369">
        <f>Model!BB29</f>
        <v>0</v>
      </c>
      <c r="BC35" s="369">
        <f>Model!BC29</f>
        <v>0</v>
      </c>
      <c r="BD35" s="368">
        <f>Model!BD29</f>
        <v>0</v>
      </c>
      <c r="BE35" s="368">
        <f>Model!BE29</f>
        <v>0</v>
      </c>
      <c r="BF35" s="368">
        <f>Model!BF29</f>
        <v>0</v>
      </c>
      <c r="BG35" s="368">
        <f>Model!BG29</f>
        <v>0</v>
      </c>
      <c r="BH35" s="963"/>
    </row>
    <row r="36" spans="1:60" s="375" customFormat="1" hidden="1" outlineLevel="1" x14ac:dyDescent="0.25">
      <c r="A36" s="255" t="str">
        <f>Model!A30</f>
        <v>Media Networks Revenue Growth, %</v>
      </c>
      <c r="B36" s="364"/>
      <c r="C36" s="132">
        <f>Model!C30</f>
        <v>0</v>
      </c>
      <c r="D36" s="132">
        <f>Model!D30</f>
        <v>0</v>
      </c>
      <c r="E36" s="132">
        <f>Model!E30</f>
        <v>0</v>
      </c>
      <c r="F36" s="132">
        <f>Model!F30</f>
        <v>0</v>
      </c>
      <c r="G36" s="254">
        <f>Model!G30</f>
        <v>0</v>
      </c>
      <c r="H36" s="254">
        <f>Model!H30</f>
        <v>0</v>
      </c>
      <c r="I36" s="254">
        <f>Model!I30</f>
        <v>0</v>
      </c>
      <c r="J36" s="254">
        <f>Model!J30</f>
        <v>0</v>
      </c>
      <c r="K36" s="132">
        <f>Model!K30</f>
        <v>0</v>
      </c>
      <c r="L36" s="254">
        <f>Model!L30</f>
        <v>0</v>
      </c>
      <c r="M36" s="254">
        <f>Model!M30</f>
        <v>0</v>
      </c>
      <c r="N36" s="254">
        <f>Model!N30</f>
        <v>0</v>
      </c>
      <c r="O36" s="254">
        <f>Model!O30</f>
        <v>0</v>
      </c>
      <c r="P36" s="132">
        <f>Model!P30</f>
        <v>0</v>
      </c>
      <c r="Q36" s="254">
        <f>Model!Q30</f>
        <v>0</v>
      </c>
      <c r="R36" s="254">
        <f>Model!R30</f>
        <v>0</v>
      </c>
      <c r="S36" s="254">
        <f>Model!S30</f>
        <v>0</v>
      </c>
      <c r="T36" s="254">
        <f>Model!T30</f>
        <v>0</v>
      </c>
      <c r="U36" s="132">
        <f>Model!U30</f>
        <v>0</v>
      </c>
      <c r="V36" s="254">
        <f>Model!V30</f>
        <v>0</v>
      </c>
      <c r="W36" s="254">
        <f>Model!W30</f>
        <v>0</v>
      </c>
      <c r="X36" s="254">
        <f>Model!X30</f>
        <v>0</v>
      </c>
      <c r="Y36" s="254">
        <f>Model!Y30</f>
        <v>0</v>
      </c>
      <c r="Z36" s="132">
        <f>Model!Z30</f>
        <v>0</v>
      </c>
      <c r="AA36" s="254">
        <f>Model!AA30</f>
        <v>0</v>
      </c>
      <c r="AB36" s="254">
        <f>Model!AB30</f>
        <v>0</v>
      </c>
      <c r="AC36" s="254">
        <f>Model!AC30</f>
        <v>0</v>
      </c>
      <c r="AD36" s="254">
        <f>Model!AD30</f>
        <v>0</v>
      </c>
      <c r="AE36" s="132">
        <f>Model!AE30</f>
        <v>-1.2660602081965289E-3</v>
      </c>
      <c r="AF36" s="254">
        <f>Model!AF30</f>
        <v>0</v>
      </c>
      <c r="AG36" s="254">
        <f>Model!AG30</f>
        <v>0</v>
      </c>
      <c r="AH36" s="254">
        <f>Model!AH30</f>
        <v>0</v>
      </c>
      <c r="AI36" s="254">
        <f>Model!AI30</f>
        <v>0</v>
      </c>
      <c r="AJ36" s="132">
        <f>Model!AJ30</f>
        <v>2.9250199539884392E-2</v>
      </c>
      <c r="AK36" s="254">
        <f>Model!AK30</f>
        <v>6.5886588658865985E-2</v>
      </c>
      <c r="AL36" s="254">
        <f>Model!AL30</f>
        <v>3.0864197530864335E-3</v>
      </c>
      <c r="AM36" s="254">
        <f>Model!AM30</f>
        <v>0.21304662088904958</v>
      </c>
      <c r="AN36" s="254">
        <f>Model!AN30</f>
        <v>0.22253521126760556</v>
      </c>
      <c r="AO36" s="132">
        <f>Model!AO30</f>
        <v>0.1325152814524222</v>
      </c>
      <c r="AP36" s="254">
        <f>Model!AP30</f>
        <v>0.24320216179699372</v>
      </c>
      <c r="AQ36" s="254">
        <f>Model!AQ30</f>
        <v>0.31348416289592751</v>
      </c>
      <c r="AR36" s="254">
        <f>Model!AR30</f>
        <v>-2.2493669000446914E-2</v>
      </c>
      <c r="AS36" s="254">
        <f>Model!AS30</f>
        <v>0.10798771121351769</v>
      </c>
      <c r="AT36" s="132">
        <f>Model!AT30</f>
        <v>0.14363394691263554</v>
      </c>
      <c r="AU36" s="254">
        <f>Model!AU30</f>
        <v>0</v>
      </c>
      <c r="AV36" s="254">
        <f>Model!AV30</f>
        <v>0</v>
      </c>
      <c r="AW36" s="714">
        <f>Model!AW30</f>
        <v>0</v>
      </c>
      <c r="AX36" s="254">
        <f>Model!AX30</f>
        <v>0</v>
      </c>
      <c r="AY36" s="132">
        <f>Model!AY30</f>
        <v>0</v>
      </c>
      <c r="AZ36" s="254">
        <f>Model!AZ30</f>
        <v>0</v>
      </c>
      <c r="BA36" s="254">
        <f>Model!BA30</f>
        <v>0</v>
      </c>
      <c r="BB36" s="254">
        <f>Model!BB30</f>
        <v>0</v>
      </c>
      <c r="BC36" s="254">
        <f>Model!BC30</f>
        <v>0</v>
      </c>
      <c r="BD36" s="132">
        <f>Model!BD30</f>
        <v>0</v>
      </c>
      <c r="BE36" s="132">
        <f>Model!BE30</f>
        <v>0</v>
      </c>
      <c r="BF36" s="132">
        <f>Model!BF30</f>
        <v>0</v>
      </c>
      <c r="BG36" s="132">
        <f>Model!BG30</f>
        <v>0</v>
      </c>
      <c r="BH36" s="963"/>
    </row>
    <row r="37" spans="1:60" s="375" customFormat="1" hidden="1" outlineLevel="1" x14ac:dyDescent="0.25">
      <c r="A37" s="365" t="str">
        <f>Model!A31</f>
        <v>Domestic Parks &amp; Experiences revenues growth, %</v>
      </c>
      <c r="B37" s="364"/>
      <c r="C37" s="132">
        <f>Model!C31</f>
        <v>0</v>
      </c>
      <c r="D37" s="132">
        <f>Model!D31</f>
        <v>0</v>
      </c>
      <c r="E37" s="132">
        <f>Model!E31</f>
        <v>0</v>
      </c>
      <c r="F37" s="132">
        <f>Model!F31</f>
        <v>0</v>
      </c>
      <c r="G37" s="254">
        <f>Model!G31</f>
        <v>0</v>
      </c>
      <c r="H37" s="254">
        <f>Model!H31</f>
        <v>0</v>
      </c>
      <c r="I37" s="254">
        <f>Model!I31</f>
        <v>0</v>
      </c>
      <c r="J37" s="254">
        <f>Model!J31</f>
        <v>0</v>
      </c>
      <c r="K37" s="132">
        <f>Model!K31</f>
        <v>0</v>
      </c>
      <c r="L37" s="254">
        <f>Model!L31</f>
        <v>0</v>
      </c>
      <c r="M37" s="254">
        <f>Model!M31</f>
        <v>0</v>
      </c>
      <c r="N37" s="254">
        <f>Model!N31</f>
        <v>0</v>
      </c>
      <c r="O37" s="254">
        <f>Model!O31</f>
        <v>0</v>
      </c>
      <c r="P37" s="132">
        <f>Model!P31</f>
        <v>0</v>
      </c>
      <c r="Q37" s="254">
        <f>Model!Q31</f>
        <v>0</v>
      </c>
      <c r="R37" s="254">
        <f>Model!R31</f>
        <v>0</v>
      </c>
      <c r="S37" s="254">
        <f>Model!S31</f>
        <v>0</v>
      </c>
      <c r="T37" s="254">
        <f>Model!T31</f>
        <v>0</v>
      </c>
      <c r="U37" s="132">
        <f>Model!U31</f>
        <v>0</v>
      </c>
      <c r="V37" s="254">
        <f>Model!V31</f>
        <v>0</v>
      </c>
      <c r="W37" s="254">
        <f>Model!W31</f>
        <v>0</v>
      </c>
      <c r="X37" s="254">
        <f>Model!X31</f>
        <v>0</v>
      </c>
      <c r="Y37" s="254">
        <f>Model!Y31</f>
        <v>0</v>
      </c>
      <c r="Z37" s="132">
        <f>Model!Z31</f>
        <v>0</v>
      </c>
      <c r="AA37" s="254">
        <f>Model!AA31</f>
        <v>0</v>
      </c>
      <c r="AB37" s="254">
        <f>Model!AB31</f>
        <v>0</v>
      </c>
      <c r="AC37" s="254">
        <f>Model!AC31</f>
        <v>0</v>
      </c>
      <c r="AD37" s="254">
        <f>Model!AD31</f>
        <v>0</v>
      </c>
      <c r="AE37" s="132">
        <f>Model!AE31</f>
        <v>4.0533895328415781E-2</v>
      </c>
      <c r="AF37" s="254">
        <f>Model!AF31</f>
        <v>0</v>
      </c>
      <c r="AG37" s="254">
        <f>Model!AG31</f>
        <v>0</v>
      </c>
      <c r="AH37" s="254">
        <f>Model!AH31</f>
        <v>0</v>
      </c>
      <c r="AI37" s="254">
        <f>Model!AI31</f>
        <v>0</v>
      </c>
      <c r="AJ37" s="132">
        <f>Model!AJ31</f>
        <v>9.1074804212800453E-2</v>
      </c>
      <c r="AK37" s="254">
        <f>Model!AK31</f>
        <v>7.2404699112922577E-2</v>
      </c>
      <c r="AL37" s="254">
        <f>Model!AL31</f>
        <v>6.0781841109709855E-2</v>
      </c>
      <c r="AM37" s="254">
        <f>Model!AM31</f>
        <v>8.094888725849847E-2</v>
      </c>
      <c r="AN37" s="254">
        <f>Model!AN31</f>
        <v>8.4603658536585469E-2</v>
      </c>
      <c r="AO37" s="132">
        <f>Model!AO31</f>
        <v>7.4747849761772178E-2</v>
      </c>
      <c r="AP37" s="254">
        <f>Model!AP31</f>
        <v>0.10418063939190692</v>
      </c>
      <c r="AQ37" s="254">
        <f>Model!AQ31</f>
        <v>-1.5929624346172178E-2</v>
      </c>
      <c r="AR37" s="254">
        <f>Model!AR31</f>
        <v>-0.95180995475113117</v>
      </c>
      <c r="AS37" s="254">
        <f>Model!AS31</f>
        <v>-0.78097915202623569</v>
      </c>
      <c r="AT37" s="132">
        <f>Model!AT31</f>
        <v>-0.41124992803270199</v>
      </c>
      <c r="AU37" s="254">
        <f>Model!AU31</f>
        <v>0</v>
      </c>
      <c r="AV37" s="254">
        <f>Model!AV31</f>
        <v>0</v>
      </c>
      <c r="AW37" s="714">
        <f>Model!AW31</f>
        <v>0</v>
      </c>
      <c r="AX37" s="254">
        <f>Model!AX31</f>
        <v>0</v>
      </c>
      <c r="AY37" s="132">
        <f>Model!AY31</f>
        <v>0</v>
      </c>
      <c r="AZ37" s="254">
        <f>Model!AZ31</f>
        <v>0</v>
      </c>
      <c r="BA37" s="254">
        <f>Model!BA31</f>
        <v>0</v>
      </c>
      <c r="BB37" s="254">
        <f>Model!BB31</f>
        <v>0</v>
      </c>
      <c r="BC37" s="254">
        <f>Model!BC31</f>
        <v>0</v>
      </c>
      <c r="BD37" s="132">
        <f>Model!BD31</f>
        <v>0</v>
      </c>
      <c r="BE37" s="132">
        <f>Model!BE31</f>
        <v>0</v>
      </c>
      <c r="BF37" s="132">
        <f>Model!BF31</f>
        <v>0</v>
      </c>
      <c r="BG37" s="132">
        <f>Model!BG31</f>
        <v>0</v>
      </c>
      <c r="BH37" s="963"/>
    </row>
    <row r="38" spans="1:60" s="375" customFormat="1" hidden="1" outlineLevel="1" x14ac:dyDescent="0.25">
      <c r="A38" s="366" t="str">
        <f>Model!A32</f>
        <v>International Parks &amp; Experiences revenues growth, %</v>
      </c>
      <c r="B38" s="367"/>
      <c r="C38" s="368">
        <f>Model!C32</f>
        <v>0</v>
      </c>
      <c r="D38" s="368">
        <f>Model!D32</f>
        <v>0</v>
      </c>
      <c r="E38" s="368">
        <f>Model!E32</f>
        <v>0</v>
      </c>
      <c r="F38" s="368">
        <f>Model!F32</f>
        <v>0</v>
      </c>
      <c r="G38" s="369">
        <f>Model!G32</f>
        <v>0</v>
      </c>
      <c r="H38" s="369">
        <f>Model!H32</f>
        <v>0</v>
      </c>
      <c r="I38" s="369">
        <f>Model!I32</f>
        <v>0</v>
      </c>
      <c r="J38" s="369">
        <f>Model!J32</f>
        <v>0</v>
      </c>
      <c r="K38" s="368">
        <f>Model!K32</f>
        <v>0</v>
      </c>
      <c r="L38" s="369">
        <f>Model!L32</f>
        <v>0</v>
      </c>
      <c r="M38" s="369">
        <f>Model!M32</f>
        <v>0</v>
      </c>
      <c r="N38" s="369">
        <f>Model!N32</f>
        <v>0</v>
      </c>
      <c r="O38" s="369">
        <f>Model!O32</f>
        <v>0</v>
      </c>
      <c r="P38" s="368">
        <f>Model!P32</f>
        <v>0</v>
      </c>
      <c r="Q38" s="369">
        <f>Model!Q32</f>
        <v>0</v>
      </c>
      <c r="R38" s="369">
        <f>Model!R32</f>
        <v>0</v>
      </c>
      <c r="S38" s="369">
        <f>Model!S32</f>
        <v>0</v>
      </c>
      <c r="T38" s="369">
        <f>Model!T32</f>
        <v>0</v>
      </c>
      <c r="U38" s="368">
        <f>Model!U32</f>
        <v>0</v>
      </c>
      <c r="V38" s="369">
        <f>Model!V32</f>
        <v>0</v>
      </c>
      <c r="W38" s="369">
        <f>Model!W32</f>
        <v>0</v>
      </c>
      <c r="X38" s="369">
        <f>Model!X32</f>
        <v>0</v>
      </c>
      <c r="Y38" s="369">
        <f>Model!Y32</f>
        <v>0</v>
      </c>
      <c r="Z38" s="368">
        <f>Model!Z32</f>
        <v>0</v>
      </c>
      <c r="AA38" s="369">
        <f>Model!AA32</f>
        <v>0</v>
      </c>
      <c r="AB38" s="369">
        <f>Model!AB32</f>
        <v>0</v>
      </c>
      <c r="AC38" s="369">
        <f>Model!AC32</f>
        <v>0</v>
      </c>
      <c r="AD38" s="369">
        <f>Model!AD32</f>
        <v>0</v>
      </c>
      <c r="AE38" s="368">
        <f>Model!AE32</f>
        <v>0.31881405563689613</v>
      </c>
      <c r="AF38" s="369">
        <f>Model!AF32</f>
        <v>0</v>
      </c>
      <c r="AG38" s="369">
        <f>Model!AG32</f>
        <v>0</v>
      </c>
      <c r="AH38" s="369">
        <f>Model!AH32</f>
        <v>0</v>
      </c>
      <c r="AI38" s="369">
        <f>Model!AI32</f>
        <v>0</v>
      </c>
      <c r="AJ38" s="368">
        <f>Model!AJ32</f>
        <v>0.14765473216763803</v>
      </c>
      <c r="AK38" s="369">
        <f>Model!AK32</f>
        <v>2.741116751269046E-2</v>
      </c>
      <c r="AL38" s="369">
        <f>Model!AL32</f>
        <v>1.6411378555798661E-2</v>
      </c>
      <c r="AM38" s="369">
        <f>Model!AM32</f>
        <v>1.9927536231884035E-2</v>
      </c>
      <c r="AN38" s="369">
        <f>Model!AN32</f>
        <v>2.031802120141335E-2</v>
      </c>
      <c r="AO38" s="368">
        <f>Model!AO32</f>
        <v>2.1281741233373674E-2</v>
      </c>
      <c r="AP38" s="369">
        <f>Model!AP32</f>
        <v>-6.1264822134387331E-2</v>
      </c>
      <c r="AQ38" s="369">
        <f>Model!AQ32</f>
        <v>-0.48331539289558667</v>
      </c>
      <c r="AR38" s="369">
        <f>Model!AR32</f>
        <v>-0.89698046181172297</v>
      </c>
      <c r="AS38" s="369">
        <f>Model!AS32</f>
        <v>-0.58961038961038958</v>
      </c>
      <c r="AT38" s="368">
        <f>Model!AT32</f>
        <v>-0.52166706133080742</v>
      </c>
      <c r="AU38" s="369">
        <f>Model!AU32</f>
        <v>0</v>
      </c>
      <c r="AV38" s="369">
        <f>Model!AV32</f>
        <v>0</v>
      </c>
      <c r="AW38" s="715">
        <f>Model!AW32</f>
        <v>0</v>
      </c>
      <c r="AX38" s="369">
        <f>Model!AX32</f>
        <v>0</v>
      </c>
      <c r="AY38" s="368">
        <f>Model!AY32</f>
        <v>0</v>
      </c>
      <c r="AZ38" s="369">
        <f>Model!AZ32</f>
        <v>0</v>
      </c>
      <c r="BA38" s="369">
        <f>Model!BA32</f>
        <v>0</v>
      </c>
      <c r="BB38" s="369">
        <f>Model!BB32</f>
        <v>0</v>
      </c>
      <c r="BC38" s="369">
        <f>Model!BC32</f>
        <v>0</v>
      </c>
      <c r="BD38" s="368">
        <f>Model!BD32</f>
        <v>0</v>
      </c>
      <c r="BE38" s="368">
        <f>Model!BE32</f>
        <v>0</v>
      </c>
      <c r="BF38" s="368">
        <f>Model!BF32</f>
        <v>0</v>
      </c>
      <c r="BG38" s="368">
        <f>Model!BG32</f>
        <v>0</v>
      </c>
      <c r="BH38" s="963"/>
    </row>
    <row r="39" spans="1:60" s="375" customFormat="1" hidden="1" outlineLevel="1" x14ac:dyDescent="0.25">
      <c r="A39" s="409" t="str">
        <f>Model!A33</f>
        <v>Consumer Products revenues growth, %</v>
      </c>
      <c r="B39" s="371"/>
      <c r="C39" s="372">
        <f>Model!C33</f>
        <v>0</v>
      </c>
      <c r="D39" s="372">
        <f>Model!D33</f>
        <v>0</v>
      </c>
      <c r="E39" s="372">
        <f>Model!E33</f>
        <v>0</v>
      </c>
      <c r="F39" s="372">
        <f>Model!F33</f>
        <v>0</v>
      </c>
      <c r="G39" s="373">
        <f>Model!G33</f>
        <v>0</v>
      </c>
      <c r="H39" s="373">
        <f>Model!H33</f>
        <v>0</v>
      </c>
      <c r="I39" s="373">
        <f>Model!I33</f>
        <v>0</v>
      </c>
      <c r="J39" s="373">
        <f>Model!J33</f>
        <v>0</v>
      </c>
      <c r="K39" s="372">
        <f>Model!K33</f>
        <v>0</v>
      </c>
      <c r="L39" s="373">
        <f>Model!L33</f>
        <v>0</v>
      </c>
      <c r="M39" s="373">
        <f>Model!M33</f>
        <v>0</v>
      </c>
      <c r="N39" s="373">
        <f>Model!N33</f>
        <v>0</v>
      </c>
      <c r="O39" s="373">
        <f>Model!O33</f>
        <v>0</v>
      </c>
      <c r="P39" s="372">
        <f>Model!P33</f>
        <v>0</v>
      </c>
      <c r="Q39" s="373">
        <f>Model!Q33</f>
        <v>0</v>
      </c>
      <c r="R39" s="373">
        <f>Model!R33</f>
        <v>0</v>
      </c>
      <c r="S39" s="373">
        <f>Model!S33</f>
        <v>0</v>
      </c>
      <c r="T39" s="373">
        <f>Model!T33</f>
        <v>0</v>
      </c>
      <c r="U39" s="372">
        <f>Model!U33</f>
        <v>0</v>
      </c>
      <c r="V39" s="373">
        <f>Model!V33</f>
        <v>0</v>
      </c>
      <c r="W39" s="373">
        <f>Model!W33</f>
        <v>0</v>
      </c>
      <c r="X39" s="373">
        <f>Model!X33</f>
        <v>0</v>
      </c>
      <c r="Y39" s="373">
        <f>Model!Y33</f>
        <v>0</v>
      </c>
      <c r="Z39" s="372">
        <f>Model!Z33</f>
        <v>0</v>
      </c>
      <c r="AA39" s="373">
        <f>Model!AA33</f>
        <v>0</v>
      </c>
      <c r="AB39" s="373">
        <f>Model!AB33</f>
        <v>0</v>
      </c>
      <c r="AC39" s="373">
        <f>Model!AC33</f>
        <v>0</v>
      </c>
      <c r="AD39" s="373">
        <f>Model!AD33</f>
        <v>0</v>
      </c>
      <c r="AE39" s="372">
        <f>Model!AE33</f>
        <v>-0.12889812889812891</v>
      </c>
      <c r="AF39" s="373">
        <f>Model!AF33</f>
        <v>0</v>
      </c>
      <c r="AG39" s="373">
        <f>Model!AG33</f>
        <v>0</v>
      </c>
      <c r="AH39" s="373">
        <f>Model!AH33</f>
        <v>0</v>
      </c>
      <c r="AI39" s="373">
        <f>Model!AI33</f>
        <v>0</v>
      </c>
      <c r="AJ39" s="372">
        <f>Model!AJ33</f>
        <v>-4.4261228032111077E-2</v>
      </c>
      <c r="AK39" s="373">
        <f>Model!AK33</f>
        <v>-2.334062727935815E-2</v>
      </c>
      <c r="AL39" s="373">
        <f>Model!AL33</f>
        <v>9.765625E-3</v>
      </c>
      <c r="AM39" s="373">
        <f>Model!AM33</f>
        <v>9.1198303287380655E-2</v>
      </c>
      <c r="AN39" s="373">
        <f>Model!AN33</f>
        <v>0.15370196813495784</v>
      </c>
      <c r="AO39" s="372">
        <f>Model!AO33</f>
        <v>5.1759364358683335E-2</v>
      </c>
      <c r="AP39" s="373">
        <f>Model!AP33</f>
        <v>0.1254667662434652</v>
      </c>
      <c r="AQ39" s="373">
        <f>Model!AQ33</f>
        <v>-0.1063829787234043</v>
      </c>
      <c r="AR39" s="373">
        <f>Model!AR33</f>
        <v>-0.36443148688046645</v>
      </c>
      <c r="AS39" s="373">
        <f>Model!AS33</f>
        <v>-4.8740861088545917E-2</v>
      </c>
      <c r="AT39" s="372">
        <f>Model!AT33</f>
        <v>-8.1372760630261221E-2</v>
      </c>
      <c r="AU39" s="373">
        <f>Model!AU33</f>
        <v>0</v>
      </c>
      <c r="AV39" s="373">
        <f>Model!AV33</f>
        <v>0</v>
      </c>
      <c r="AW39" s="716">
        <f>Model!AW33</f>
        <v>0</v>
      </c>
      <c r="AX39" s="373">
        <f>Model!AX33</f>
        <v>0</v>
      </c>
      <c r="AY39" s="372">
        <f>Model!AY33</f>
        <v>0</v>
      </c>
      <c r="AZ39" s="373">
        <f>Model!AZ33</f>
        <v>0</v>
      </c>
      <c r="BA39" s="373">
        <f>Model!BA33</f>
        <v>0</v>
      </c>
      <c r="BB39" s="373">
        <f>Model!BB33</f>
        <v>0</v>
      </c>
      <c r="BC39" s="373">
        <f>Model!BC33</f>
        <v>0</v>
      </c>
      <c r="BD39" s="372">
        <f>Model!BD33</f>
        <v>0</v>
      </c>
      <c r="BE39" s="372">
        <f>Model!BE33</f>
        <v>0</v>
      </c>
      <c r="BF39" s="372">
        <f>Model!BF33</f>
        <v>0</v>
      </c>
      <c r="BG39" s="372">
        <f>Model!BG33</f>
        <v>0</v>
      </c>
      <c r="BH39" s="963"/>
    </row>
    <row r="40" spans="1:60" s="375" customFormat="1" hidden="1" outlineLevel="1" x14ac:dyDescent="0.25">
      <c r="A40" s="255" t="str">
        <f>Model!A34</f>
        <v>Parks, Experiences &amp; Consumer Products Revenue Growth, %</v>
      </c>
      <c r="B40" s="364"/>
      <c r="C40" s="132">
        <f>Model!C34</f>
        <v>0</v>
      </c>
      <c r="D40" s="132">
        <f>Model!D34</f>
        <v>0</v>
      </c>
      <c r="E40" s="132">
        <f>Model!E34</f>
        <v>0</v>
      </c>
      <c r="F40" s="132">
        <f>Model!F34</f>
        <v>0</v>
      </c>
      <c r="G40" s="254">
        <f>Model!G34</f>
        <v>0</v>
      </c>
      <c r="H40" s="254">
        <f>Model!H34</f>
        <v>0</v>
      </c>
      <c r="I40" s="254">
        <f>Model!I34</f>
        <v>0</v>
      </c>
      <c r="J40" s="254">
        <f>Model!J34</f>
        <v>0</v>
      </c>
      <c r="K40" s="132">
        <f>Model!K34</f>
        <v>0</v>
      </c>
      <c r="L40" s="254">
        <f>Model!L34</f>
        <v>0</v>
      </c>
      <c r="M40" s="254">
        <f>Model!M34</f>
        <v>0</v>
      </c>
      <c r="N40" s="254">
        <f>Model!N34</f>
        <v>0</v>
      </c>
      <c r="O40" s="254">
        <f>Model!O34</f>
        <v>0</v>
      </c>
      <c r="P40" s="132">
        <f>Model!P34</f>
        <v>0</v>
      </c>
      <c r="Q40" s="254">
        <f>Model!Q34</f>
        <v>0</v>
      </c>
      <c r="R40" s="254">
        <f>Model!R34</f>
        <v>0</v>
      </c>
      <c r="S40" s="254">
        <f>Model!S34</f>
        <v>0</v>
      </c>
      <c r="T40" s="254">
        <f>Model!T34</f>
        <v>0</v>
      </c>
      <c r="U40" s="132">
        <f>Model!U34</f>
        <v>0</v>
      </c>
      <c r="V40" s="254">
        <f>Model!V34</f>
        <v>0</v>
      </c>
      <c r="W40" s="254">
        <f>Model!W34</f>
        <v>0</v>
      </c>
      <c r="X40" s="254">
        <f>Model!X34</f>
        <v>0</v>
      </c>
      <c r="Y40" s="254">
        <f>Model!Y34</f>
        <v>0</v>
      </c>
      <c r="Z40" s="132">
        <f>Model!Z34</f>
        <v>0</v>
      </c>
      <c r="AA40" s="254">
        <f>Model!AA34</f>
        <v>0</v>
      </c>
      <c r="AB40" s="254">
        <f>Model!AB34</f>
        <v>0</v>
      </c>
      <c r="AC40" s="254">
        <f>Model!AC34</f>
        <v>0</v>
      </c>
      <c r="AD40" s="254">
        <f>Model!AD34</f>
        <v>0</v>
      </c>
      <c r="AE40" s="132">
        <f>Model!AE34</f>
        <v>3.4414592506065267E-2</v>
      </c>
      <c r="AF40" s="254">
        <f>Model!AF34</f>
        <v>0</v>
      </c>
      <c r="AG40" s="254">
        <f>Model!AG34</f>
        <v>0</v>
      </c>
      <c r="AH40" s="254">
        <f>Model!AH34</f>
        <v>0</v>
      </c>
      <c r="AI40" s="254">
        <f>Model!AI34</f>
        <v>0</v>
      </c>
      <c r="AJ40" s="132">
        <f>Model!AJ34</f>
        <v>7.283703961084087E-2</v>
      </c>
      <c r="AK40" s="254">
        <f>Model!AK34</f>
        <v>4.550329400949904E-2</v>
      </c>
      <c r="AL40" s="254">
        <f>Model!AL34</f>
        <v>4.5061832966288407E-2</v>
      </c>
      <c r="AM40" s="254">
        <f>Model!AM34</f>
        <v>7.15449804432855E-2</v>
      </c>
      <c r="AN40" s="254">
        <f>Model!AN34</f>
        <v>8.4759576202118936E-2</v>
      </c>
      <c r="AO40" s="132">
        <f>Model!AO34</f>
        <v>6.1697906967329352E-2</v>
      </c>
      <c r="AP40" s="254">
        <f>Model!AP34</f>
        <v>8.3821805392731541E-2</v>
      </c>
      <c r="AQ40" s="254">
        <f>Model!AQ34</f>
        <v>-0.10147511752309935</v>
      </c>
      <c r="AR40" s="254">
        <f>Model!AR34</f>
        <v>-0.85049429657794673</v>
      </c>
      <c r="AS40" s="254">
        <f>Model!AS34</f>
        <v>-0.61232156273478588</v>
      </c>
      <c r="AT40" s="132">
        <f>Model!AT34</f>
        <v>-0.37075309818875124</v>
      </c>
      <c r="AU40" s="254">
        <f>Model!AU34</f>
        <v>0</v>
      </c>
      <c r="AV40" s="254">
        <f>Model!AV34</f>
        <v>0</v>
      </c>
      <c r="AW40" s="714">
        <f>Model!AW34</f>
        <v>0</v>
      </c>
      <c r="AX40" s="254">
        <f>Model!AX34</f>
        <v>0</v>
      </c>
      <c r="AY40" s="132">
        <f>Model!AY34</f>
        <v>0</v>
      </c>
      <c r="AZ40" s="254">
        <f>Model!AZ34</f>
        <v>0</v>
      </c>
      <c r="BA40" s="254">
        <f>Model!BA34</f>
        <v>0</v>
      </c>
      <c r="BB40" s="254">
        <f>Model!BB34</f>
        <v>0</v>
      </c>
      <c r="BC40" s="254">
        <f>Model!BC34</f>
        <v>0</v>
      </c>
      <c r="BD40" s="132">
        <f>Model!BD34</f>
        <v>0</v>
      </c>
      <c r="BE40" s="132">
        <f>Model!BE34</f>
        <v>0</v>
      </c>
      <c r="BF40" s="132">
        <f>Model!BF34</f>
        <v>0</v>
      </c>
      <c r="BG40" s="132">
        <f>Model!BG34</f>
        <v>0</v>
      </c>
      <c r="BH40" s="963"/>
    </row>
    <row r="41" spans="1:60" s="375" customFormat="1" hidden="1" outlineLevel="1" x14ac:dyDescent="0.25">
      <c r="A41" s="365" t="str">
        <f>Model!A35</f>
        <v>Theatrical distribution revenues growth, %</v>
      </c>
      <c r="B41" s="364"/>
      <c r="C41" s="132">
        <f>Model!C35</f>
        <v>0</v>
      </c>
      <c r="D41" s="132">
        <f>Model!D35</f>
        <v>0</v>
      </c>
      <c r="E41" s="132">
        <f>Model!E35</f>
        <v>0</v>
      </c>
      <c r="F41" s="132">
        <f>Model!F35</f>
        <v>0</v>
      </c>
      <c r="G41" s="254">
        <f>Model!G35</f>
        <v>0</v>
      </c>
      <c r="H41" s="254">
        <f>Model!H35</f>
        <v>0</v>
      </c>
      <c r="I41" s="254">
        <f>Model!I35</f>
        <v>0</v>
      </c>
      <c r="J41" s="254">
        <f>Model!J35</f>
        <v>0</v>
      </c>
      <c r="K41" s="132">
        <f>Model!K35</f>
        <v>0</v>
      </c>
      <c r="L41" s="254">
        <f>Model!L35</f>
        <v>0</v>
      </c>
      <c r="M41" s="254">
        <f>Model!M35</f>
        <v>0</v>
      </c>
      <c r="N41" s="254">
        <f>Model!N35</f>
        <v>0</v>
      </c>
      <c r="O41" s="254">
        <f>Model!O35</f>
        <v>0</v>
      </c>
      <c r="P41" s="132">
        <f>Model!P35</f>
        <v>0</v>
      </c>
      <c r="Q41" s="254">
        <f>Model!Q35</f>
        <v>0</v>
      </c>
      <c r="R41" s="254">
        <f>Model!R35</f>
        <v>0</v>
      </c>
      <c r="S41" s="254">
        <f>Model!S35</f>
        <v>0</v>
      </c>
      <c r="T41" s="254">
        <f>Model!T35</f>
        <v>0</v>
      </c>
      <c r="U41" s="132">
        <f>Model!U35</f>
        <v>0</v>
      </c>
      <c r="V41" s="254">
        <f>Model!V35</f>
        <v>0</v>
      </c>
      <c r="W41" s="254">
        <f>Model!W35</f>
        <v>0</v>
      </c>
      <c r="X41" s="254">
        <f>Model!X35</f>
        <v>0</v>
      </c>
      <c r="Y41" s="254">
        <f>Model!Y35</f>
        <v>0</v>
      </c>
      <c r="Z41" s="132">
        <f>Model!Z35</f>
        <v>0</v>
      </c>
      <c r="AA41" s="254">
        <f>Model!AA35</f>
        <v>0</v>
      </c>
      <c r="AB41" s="254">
        <f>Model!AB35</f>
        <v>0</v>
      </c>
      <c r="AC41" s="254">
        <f>Model!AC35</f>
        <v>0</v>
      </c>
      <c r="AD41" s="254">
        <f>Model!AD35</f>
        <v>0</v>
      </c>
      <c r="AE41" s="132">
        <f>Model!AE35</f>
        <v>-0.20942265795206971</v>
      </c>
      <c r="AF41" s="254">
        <f>Model!AF35</f>
        <v>0</v>
      </c>
      <c r="AG41" s="254">
        <f>Model!AG35</f>
        <v>0</v>
      </c>
      <c r="AH41" s="254">
        <f>Model!AH35</f>
        <v>0</v>
      </c>
      <c r="AI41" s="254">
        <f>Model!AI35</f>
        <v>0</v>
      </c>
      <c r="AJ41" s="132">
        <f>Model!AJ35</f>
        <v>0.48225973131243549</v>
      </c>
      <c r="AK41" s="254">
        <f>Model!AK35</f>
        <v>-0.68092386655260906</v>
      </c>
      <c r="AL41" s="254">
        <f>Model!AL35</f>
        <v>-0.22071129707112969</v>
      </c>
      <c r="AM41" s="254">
        <f>Model!AM35</f>
        <v>0.48837209302325579</v>
      </c>
      <c r="AN41" s="254">
        <f>Model!AN35</f>
        <v>1.0222882615156017</v>
      </c>
      <c r="AO41" s="132">
        <f>Model!AO35</f>
        <v>9.8303509179642035E-2</v>
      </c>
      <c r="AP41" s="254">
        <f>Model!AP35</f>
        <v>2.7747989276139409</v>
      </c>
      <c r="AQ41" s="254">
        <f>Model!AQ35</f>
        <v>-0.1906040268456376</v>
      </c>
      <c r="AR41" s="254">
        <f>Model!AR35</f>
        <v>-0.97723214285714288</v>
      </c>
      <c r="AS41" s="254">
        <f>Model!AS35</f>
        <v>-0.9470977222630419</v>
      </c>
      <c r="AT41" s="132">
        <f>Model!AT35</f>
        <v>-0.54845535336436735</v>
      </c>
      <c r="AU41" s="254">
        <f>Model!AU35</f>
        <v>0</v>
      </c>
      <c r="AV41" s="254">
        <f>Model!AV35</f>
        <v>0</v>
      </c>
      <c r="AW41" s="714">
        <f>Model!AW35</f>
        <v>0</v>
      </c>
      <c r="AX41" s="254">
        <f>Model!AX35</f>
        <v>0</v>
      </c>
      <c r="AY41" s="132">
        <f>Model!AY35</f>
        <v>0</v>
      </c>
      <c r="AZ41" s="254">
        <f>Model!AZ35</f>
        <v>0</v>
      </c>
      <c r="BA41" s="254">
        <f>Model!BA35</f>
        <v>0</v>
      </c>
      <c r="BB41" s="254">
        <f>Model!BB35</f>
        <v>0</v>
      </c>
      <c r="BC41" s="254">
        <f>Model!BC35</f>
        <v>0</v>
      </c>
      <c r="BD41" s="132">
        <f>Model!BD35</f>
        <v>0</v>
      </c>
      <c r="BE41" s="132">
        <f>Model!BE35</f>
        <v>0</v>
      </c>
      <c r="BF41" s="132">
        <f>Model!BF35</f>
        <v>0</v>
      </c>
      <c r="BG41" s="132">
        <f>Model!BG35</f>
        <v>0</v>
      </c>
      <c r="BH41" s="963"/>
    </row>
    <row r="42" spans="1:60" s="375" customFormat="1" hidden="1" outlineLevel="1" x14ac:dyDescent="0.25">
      <c r="A42" s="365" t="str">
        <f>Model!A36</f>
        <v>Home entertainment revenues growth, %</v>
      </c>
      <c r="B42" s="364"/>
      <c r="C42" s="132">
        <f>Model!C36</f>
        <v>0</v>
      </c>
      <c r="D42" s="132">
        <f>Model!D36</f>
        <v>0</v>
      </c>
      <c r="E42" s="132">
        <f>Model!E36</f>
        <v>0</v>
      </c>
      <c r="F42" s="132">
        <f>Model!F36</f>
        <v>0</v>
      </c>
      <c r="G42" s="254">
        <f>Model!G36</f>
        <v>0</v>
      </c>
      <c r="H42" s="254">
        <f>Model!H36</f>
        <v>0</v>
      </c>
      <c r="I42" s="254">
        <f>Model!I36</f>
        <v>0</v>
      </c>
      <c r="J42" s="254">
        <f>Model!J36</f>
        <v>0</v>
      </c>
      <c r="K42" s="132">
        <f>Model!K36</f>
        <v>0</v>
      </c>
      <c r="L42" s="254">
        <f>Model!L36</f>
        <v>0</v>
      </c>
      <c r="M42" s="254">
        <f>Model!M36</f>
        <v>0</v>
      </c>
      <c r="N42" s="254">
        <f>Model!N36</f>
        <v>0</v>
      </c>
      <c r="O42" s="254">
        <f>Model!O36</f>
        <v>0</v>
      </c>
      <c r="P42" s="132">
        <f>Model!P36</f>
        <v>0</v>
      </c>
      <c r="Q42" s="254">
        <f>Model!Q36</f>
        <v>0</v>
      </c>
      <c r="R42" s="254">
        <f>Model!R36</f>
        <v>0</v>
      </c>
      <c r="S42" s="254">
        <f>Model!S36</f>
        <v>0</v>
      </c>
      <c r="T42" s="254">
        <f>Model!T36</f>
        <v>0</v>
      </c>
      <c r="U42" s="132">
        <f>Model!U36</f>
        <v>0</v>
      </c>
      <c r="V42" s="254">
        <f>Model!V36</f>
        <v>0</v>
      </c>
      <c r="W42" s="254">
        <f>Model!W36</f>
        <v>0</v>
      </c>
      <c r="X42" s="254">
        <f>Model!X36</f>
        <v>0</v>
      </c>
      <c r="Y42" s="254">
        <f>Model!Y36</f>
        <v>0</v>
      </c>
      <c r="Z42" s="132">
        <f>Model!Z36</f>
        <v>0</v>
      </c>
      <c r="AA42" s="254">
        <f>Model!AA36</f>
        <v>0</v>
      </c>
      <c r="AB42" s="254">
        <f>Model!AB36</f>
        <v>0</v>
      </c>
      <c r="AC42" s="254">
        <f>Model!AC36</f>
        <v>0</v>
      </c>
      <c r="AD42" s="254">
        <f>Model!AD36</f>
        <v>0</v>
      </c>
      <c r="AE42" s="132">
        <f>Model!AE36</f>
        <v>-0.15303030303030307</v>
      </c>
      <c r="AF42" s="254">
        <f>Model!AF36</f>
        <v>0</v>
      </c>
      <c r="AG42" s="254">
        <f>Model!AG36</f>
        <v>0</v>
      </c>
      <c r="AH42" s="254">
        <f>Model!AH36</f>
        <v>0</v>
      </c>
      <c r="AI42" s="254">
        <f>Model!AI36</f>
        <v>0</v>
      </c>
      <c r="AJ42" s="132">
        <f>Model!AJ36</f>
        <v>-1.7889087656529523E-2</v>
      </c>
      <c r="AK42" s="254">
        <f>Model!AK36</f>
        <v>0.17728531855955687</v>
      </c>
      <c r="AL42" s="254">
        <f>Model!AL36</f>
        <v>-0.44161358811040341</v>
      </c>
      <c r="AM42" s="254">
        <f>Model!AM36</f>
        <v>0.11340206185567014</v>
      </c>
      <c r="AN42" s="254">
        <f>Model!AN36</f>
        <v>0.42154566744730682</v>
      </c>
      <c r="AO42" s="132">
        <f>Model!AO36</f>
        <v>5.2823315118396996E-2</v>
      </c>
      <c r="AP42" s="254">
        <f>Model!AP36</f>
        <v>0.20235294117647062</v>
      </c>
      <c r="AQ42" s="254">
        <f>Model!AQ36</f>
        <v>0.62357414448669202</v>
      </c>
      <c r="AR42" s="254">
        <f>Model!AR36</f>
        <v>-8.564814814814814E-2</v>
      </c>
      <c r="AS42" s="254">
        <f>Model!AS36</f>
        <v>-0.67874794069192745</v>
      </c>
      <c r="AT42" s="132">
        <f>Model!AT36</f>
        <v>-0.11880046136101496</v>
      </c>
      <c r="AU42" s="254">
        <f>Model!AU36</f>
        <v>0</v>
      </c>
      <c r="AV42" s="254">
        <f>Model!AV36</f>
        <v>0</v>
      </c>
      <c r="AW42" s="714">
        <f>Model!AW36</f>
        <v>0</v>
      </c>
      <c r="AX42" s="254">
        <f>Model!AX36</f>
        <v>0</v>
      </c>
      <c r="AY42" s="132">
        <f>Model!AY36</f>
        <v>0</v>
      </c>
      <c r="AZ42" s="254">
        <f>Model!AZ36</f>
        <v>0</v>
      </c>
      <c r="BA42" s="254">
        <f>Model!BA36</f>
        <v>0</v>
      </c>
      <c r="BB42" s="254">
        <f>Model!BB36</f>
        <v>0</v>
      </c>
      <c r="BC42" s="254">
        <f>Model!BC36</f>
        <v>0</v>
      </c>
      <c r="BD42" s="132">
        <f>Model!BD36</f>
        <v>0</v>
      </c>
      <c r="BE42" s="132">
        <f>Model!BE36</f>
        <v>0</v>
      </c>
      <c r="BF42" s="132">
        <f>Model!BF36</f>
        <v>0</v>
      </c>
      <c r="BG42" s="132">
        <f>Model!BG36</f>
        <v>0</v>
      </c>
      <c r="BH42" s="963"/>
    </row>
    <row r="43" spans="1:60" s="375" customFormat="1" hidden="1" outlineLevel="1" x14ac:dyDescent="0.25">
      <c r="A43" s="366" t="str">
        <f>Model!A37</f>
        <v>TV/SVOD distribution and other revenues growth, %</v>
      </c>
      <c r="B43" s="367"/>
      <c r="C43" s="368">
        <f>Model!C37</f>
        <v>0</v>
      </c>
      <c r="D43" s="368">
        <f>Model!D37</f>
        <v>0</v>
      </c>
      <c r="E43" s="368">
        <f>Model!E37</f>
        <v>0</v>
      </c>
      <c r="F43" s="368">
        <f>Model!F37</f>
        <v>0</v>
      </c>
      <c r="G43" s="369">
        <f>Model!G37</f>
        <v>0</v>
      </c>
      <c r="H43" s="369">
        <f>Model!H37</f>
        <v>0</v>
      </c>
      <c r="I43" s="369">
        <f>Model!I37</f>
        <v>0</v>
      </c>
      <c r="J43" s="369">
        <f>Model!J37</f>
        <v>0</v>
      </c>
      <c r="K43" s="368">
        <f>Model!K37</f>
        <v>0</v>
      </c>
      <c r="L43" s="369">
        <f>Model!L37</f>
        <v>0</v>
      </c>
      <c r="M43" s="369">
        <f>Model!M37</f>
        <v>0</v>
      </c>
      <c r="N43" s="369">
        <f>Model!N37</f>
        <v>0</v>
      </c>
      <c r="O43" s="369">
        <f>Model!O37</f>
        <v>0</v>
      </c>
      <c r="P43" s="368">
        <f>Model!P37</f>
        <v>0</v>
      </c>
      <c r="Q43" s="369">
        <f>Model!Q37</f>
        <v>0</v>
      </c>
      <c r="R43" s="369">
        <f>Model!R37</f>
        <v>0</v>
      </c>
      <c r="S43" s="369">
        <f>Model!S37</f>
        <v>0</v>
      </c>
      <c r="T43" s="369">
        <f>Model!T37</f>
        <v>0</v>
      </c>
      <c r="U43" s="368">
        <f>Model!U37</f>
        <v>0</v>
      </c>
      <c r="V43" s="369">
        <f>Model!V37</f>
        <v>0</v>
      </c>
      <c r="W43" s="369">
        <f>Model!W37</f>
        <v>0</v>
      </c>
      <c r="X43" s="369">
        <f>Model!X37</f>
        <v>0</v>
      </c>
      <c r="Y43" s="369">
        <f>Model!Y37</f>
        <v>0</v>
      </c>
      <c r="Z43" s="368">
        <f>Model!Z37</f>
        <v>0</v>
      </c>
      <c r="AA43" s="369">
        <f>Model!AA37</f>
        <v>0</v>
      </c>
      <c r="AB43" s="369">
        <f>Model!AB37</f>
        <v>0</v>
      </c>
      <c r="AC43" s="369">
        <f>Model!AC37</f>
        <v>0</v>
      </c>
      <c r="AD43" s="369">
        <f>Model!AD37</f>
        <v>0</v>
      </c>
      <c r="AE43" s="368">
        <f>Model!AE37</f>
        <v>1.4796879203658797E-2</v>
      </c>
      <c r="AF43" s="369">
        <f>Model!AF37</f>
        <v>0</v>
      </c>
      <c r="AG43" s="369">
        <f>Model!AG37</f>
        <v>0</v>
      </c>
      <c r="AH43" s="369">
        <f>Model!AH37</f>
        <v>0</v>
      </c>
      <c r="AI43" s="369">
        <f>Model!AI37</f>
        <v>0</v>
      </c>
      <c r="AJ43" s="368">
        <f>Model!AJ37</f>
        <v>-0.37963944856839871</v>
      </c>
      <c r="AK43" s="369">
        <f>Model!AK37</f>
        <v>0.16570327552986508</v>
      </c>
      <c r="AL43" s="369">
        <f>Model!AL37</f>
        <v>0.15097402597402598</v>
      </c>
      <c r="AM43" s="369">
        <f>Model!AM37</f>
        <v>0.33214285714285707</v>
      </c>
      <c r="AN43" s="369">
        <f>Model!AN37</f>
        <v>0.31937984496124039</v>
      </c>
      <c r="AO43" s="368">
        <f>Model!AO37</f>
        <v>0.24786324786324787</v>
      </c>
      <c r="AP43" s="369">
        <f>Model!AP37</f>
        <v>1.2512396694214876</v>
      </c>
      <c r="AQ43" s="369">
        <f>Model!AQ37</f>
        <v>0.56840620592383639</v>
      </c>
      <c r="AR43" s="369">
        <f>Model!AR37</f>
        <v>0.41823056300268102</v>
      </c>
      <c r="AS43" s="369">
        <f>Model!AS37</f>
        <v>0.20446533490011753</v>
      </c>
      <c r="AT43" s="368">
        <f>Model!AT37</f>
        <v>0.56061643835616448</v>
      </c>
      <c r="AU43" s="369">
        <f>Model!AU37</f>
        <v>0</v>
      </c>
      <c r="AV43" s="369">
        <f>Model!AV37</f>
        <v>0</v>
      </c>
      <c r="AW43" s="715">
        <f>Model!AW37</f>
        <v>0</v>
      </c>
      <c r="AX43" s="369">
        <f>Model!AX37</f>
        <v>0</v>
      </c>
      <c r="AY43" s="368">
        <f>Model!AY37</f>
        <v>0</v>
      </c>
      <c r="AZ43" s="369">
        <f>Model!AZ37</f>
        <v>0</v>
      </c>
      <c r="BA43" s="369">
        <f>Model!BA37</f>
        <v>0</v>
      </c>
      <c r="BB43" s="369">
        <f>Model!BB37</f>
        <v>0</v>
      </c>
      <c r="BC43" s="369">
        <f>Model!BC37</f>
        <v>0</v>
      </c>
      <c r="BD43" s="368">
        <f>Model!BD37</f>
        <v>0</v>
      </c>
      <c r="BE43" s="368">
        <f>Model!BE37</f>
        <v>0</v>
      </c>
      <c r="BF43" s="368">
        <f>Model!BF37</f>
        <v>0</v>
      </c>
      <c r="BG43" s="368">
        <f>Model!BG37</f>
        <v>0</v>
      </c>
      <c r="BH43" s="963"/>
    </row>
    <row r="44" spans="1:60" s="375" customFormat="1" hidden="1" outlineLevel="1" x14ac:dyDescent="0.25">
      <c r="A44" s="255" t="str">
        <f>Model!A40</f>
        <v>Studio Entertainment Revenue Growth, %</v>
      </c>
      <c r="B44" s="364"/>
      <c r="C44" s="132">
        <f>Model!C40</f>
        <v>0</v>
      </c>
      <c r="D44" s="132">
        <f>Model!D40</f>
        <v>0</v>
      </c>
      <c r="E44" s="132">
        <f>Model!E40</f>
        <v>0</v>
      </c>
      <c r="F44" s="132">
        <f>Model!F40</f>
        <v>0</v>
      </c>
      <c r="G44" s="254">
        <f>Model!G40</f>
        <v>0</v>
      </c>
      <c r="H44" s="254">
        <f>Model!H40</f>
        <v>0</v>
      </c>
      <c r="I44" s="254">
        <f>Model!I40</f>
        <v>0</v>
      </c>
      <c r="J44" s="254">
        <f>Model!J40</f>
        <v>0</v>
      </c>
      <c r="K44" s="132">
        <f>Model!K40</f>
        <v>0</v>
      </c>
      <c r="L44" s="254">
        <f>Model!L40</f>
        <v>0</v>
      </c>
      <c r="M44" s="254">
        <f>Model!M40</f>
        <v>0</v>
      </c>
      <c r="N44" s="254">
        <f>Model!N40</f>
        <v>0</v>
      </c>
      <c r="O44" s="254">
        <f>Model!O40</f>
        <v>0</v>
      </c>
      <c r="P44" s="132">
        <f>Model!P40</f>
        <v>0</v>
      </c>
      <c r="Q44" s="254">
        <f>Model!Q40</f>
        <v>0</v>
      </c>
      <c r="R44" s="254">
        <f>Model!R40</f>
        <v>0</v>
      </c>
      <c r="S44" s="254">
        <f>Model!S40</f>
        <v>0</v>
      </c>
      <c r="T44" s="254">
        <f>Model!T40</f>
        <v>0</v>
      </c>
      <c r="U44" s="132">
        <f>Model!U40</f>
        <v>0</v>
      </c>
      <c r="V44" s="254">
        <f>Model!V40</f>
        <v>0</v>
      </c>
      <c r="W44" s="254">
        <f>Model!W40</f>
        <v>0</v>
      </c>
      <c r="X44" s="254">
        <f>Model!X40</f>
        <v>0</v>
      </c>
      <c r="Y44" s="254">
        <f>Model!Y40</f>
        <v>0</v>
      </c>
      <c r="Z44" s="132">
        <f>Model!Z40</f>
        <v>0</v>
      </c>
      <c r="AA44" s="254">
        <f>Model!AA40</f>
        <v>0</v>
      </c>
      <c r="AB44" s="254">
        <f>Model!AB40</f>
        <v>0</v>
      </c>
      <c r="AC44" s="254">
        <f>Model!AC40</f>
        <v>0</v>
      </c>
      <c r="AD44" s="254">
        <f>Model!AD40</f>
        <v>0</v>
      </c>
      <c r="AE44" s="132">
        <f>Model!AE40</f>
        <v>-0.10854947166186357</v>
      </c>
      <c r="AF44" s="254">
        <f>Model!AF40</f>
        <v>0</v>
      </c>
      <c r="AG44" s="254">
        <f>Model!AG40</f>
        <v>0</v>
      </c>
      <c r="AH44" s="254">
        <f>Model!AH40</f>
        <v>0</v>
      </c>
      <c r="AI44" s="254">
        <f>Model!AI40</f>
        <v>0</v>
      </c>
      <c r="AJ44" s="132">
        <f>Model!AJ40</f>
        <v>0.20510057471264376</v>
      </c>
      <c r="AK44" s="254">
        <f>Model!AK40</f>
        <v>-0.27301713830211238</v>
      </c>
      <c r="AL44" s="254">
        <f>Model!AL40</f>
        <v>-0.14605842336934771</v>
      </c>
      <c r="AM44" s="254">
        <f>Model!AM40</f>
        <v>0.33194444444444438</v>
      </c>
      <c r="AN44" s="254">
        <f>Model!AN40</f>
        <v>0.52044097381717958</v>
      </c>
      <c r="AO44" s="132">
        <f>Model!AO40</f>
        <v>0.10551415797317443</v>
      </c>
      <c r="AP44" s="254">
        <f>Model!AP40</f>
        <v>1.0635964912280702</v>
      </c>
      <c r="AQ44" s="254">
        <f>Model!AQ40</f>
        <v>0.18978444236176184</v>
      </c>
      <c r="AR44" s="254">
        <f>Model!AR40</f>
        <v>-0.54692387904066742</v>
      </c>
      <c r="AS44" s="254">
        <f>Model!AS40</f>
        <v>-0.51812688821752273</v>
      </c>
      <c r="AT44" s="132">
        <f>Model!AT40</f>
        <v>-0.13399838231329197</v>
      </c>
      <c r="AU44" s="254">
        <f>Model!AU40</f>
        <v>0</v>
      </c>
      <c r="AV44" s="254">
        <f>Model!AV40</f>
        <v>0</v>
      </c>
      <c r="AW44" s="714">
        <f>Model!AW40</f>
        <v>0</v>
      </c>
      <c r="AX44" s="254">
        <f>Model!AX40</f>
        <v>0</v>
      </c>
      <c r="AY44" s="132">
        <f>Model!AY40</f>
        <v>0</v>
      </c>
      <c r="AZ44" s="254">
        <f>Model!AZ40</f>
        <v>0</v>
      </c>
      <c r="BA44" s="254">
        <f>Model!BA40</f>
        <v>0</v>
      </c>
      <c r="BB44" s="254">
        <f>Model!BB40</f>
        <v>0</v>
      </c>
      <c r="BC44" s="254">
        <f>Model!BC40</f>
        <v>0</v>
      </c>
      <c r="BD44" s="132">
        <f>Model!BD40</f>
        <v>0</v>
      </c>
      <c r="BE44" s="132">
        <f>Model!BE40</f>
        <v>0</v>
      </c>
      <c r="BF44" s="132">
        <f>Model!BF40</f>
        <v>0</v>
      </c>
      <c r="BG44" s="132">
        <f>Model!BG40</f>
        <v>0</v>
      </c>
      <c r="BH44" s="963"/>
    </row>
    <row r="45" spans="1:60" s="375" customFormat="1" hidden="1" outlineLevel="1" x14ac:dyDescent="0.25">
      <c r="A45" s="365" t="str">
        <f>Model!A41</f>
        <v>International channels revenues growth, %</v>
      </c>
      <c r="B45" s="364"/>
      <c r="C45" s="132">
        <f>Model!C41</f>
        <v>0</v>
      </c>
      <c r="D45" s="132">
        <f>Model!D41</f>
        <v>0</v>
      </c>
      <c r="E45" s="132">
        <f>Model!E41</f>
        <v>0</v>
      </c>
      <c r="F45" s="132">
        <f>Model!F41</f>
        <v>0</v>
      </c>
      <c r="G45" s="254">
        <f>Model!G41</f>
        <v>0</v>
      </c>
      <c r="H45" s="254">
        <f>Model!H41</f>
        <v>0</v>
      </c>
      <c r="I45" s="254">
        <f>Model!I41</f>
        <v>0</v>
      </c>
      <c r="J45" s="254">
        <f>Model!J41</f>
        <v>0</v>
      </c>
      <c r="K45" s="132">
        <f>Model!K41</f>
        <v>0</v>
      </c>
      <c r="L45" s="254">
        <f>Model!L41</f>
        <v>0</v>
      </c>
      <c r="M45" s="254">
        <f>Model!M41</f>
        <v>0</v>
      </c>
      <c r="N45" s="254">
        <f>Model!N41</f>
        <v>0</v>
      </c>
      <c r="O45" s="254">
        <f>Model!O41</f>
        <v>0</v>
      </c>
      <c r="P45" s="132">
        <f>Model!P41</f>
        <v>0</v>
      </c>
      <c r="Q45" s="254">
        <f>Model!Q41</f>
        <v>0</v>
      </c>
      <c r="R45" s="254">
        <f>Model!R41</f>
        <v>0</v>
      </c>
      <c r="S45" s="254">
        <f>Model!S41</f>
        <v>0</v>
      </c>
      <c r="T45" s="254">
        <f>Model!T41</f>
        <v>0</v>
      </c>
      <c r="U45" s="132">
        <f>Model!U41</f>
        <v>0</v>
      </c>
      <c r="V45" s="254">
        <f>Model!V41</f>
        <v>0</v>
      </c>
      <c r="W45" s="254">
        <f>Model!W41</f>
        <v>0</v>
      </c>
      <c r="X45" s="254">
        <f>Model!X41</f>
        <v>0</v>
      </c>
      <c r="Y45" s="254">
        <f>Model!Y41</f>
        <v>0</v>
      </c>
      <c r="Z45" s="132">
        <f>Model!Z41</f>
        <v>0</v>
      </c>
      <c r="AA45" s="254">
        <f>Model!AA41</f>
        <v>0</v>
      </c>
      <c r="AB45" s="254">
        <f>Model!AB41</f>
        <v>0</v>
      </c>
      <c r="AC45" s="254">
        <f>Model!AC41</f>
        <v>0</v>
      </c>
      <c r="AD45" s="254">
        <f>Model!AD41</f>
        <v>0</v>
      </c>
      <c r="AE45" s="132">
        <f>Model!AE41</f>
        <v>-2.1647307286166817E-2</v>
      </c>
      <c r="AF45" s="254">
        <f>Model!AF41</f>
        <v>0</v>
      </c>
      <c r="AG45" s="254">
        <f>Model!AG41</f>
        <v>0</v>
      </c>
      <c r="AH45" s="254">
        <f>Model!AH41</f>
        <v>0</v>
      </c>
      <c r="AI45" s="254">
        <f>Model!AI41</f>
        <v>0</v>
      </c>
      <c r="AJ45" s="132">
        <f>Model!AJ41</f>
        <v>3.6157582298974589E-2</v>
      </c>
      <c r="AK45" s="254">
        <f>Model!AK41</f>
        <v>-3.1372549019607843E-2</v>
      </c>
      <c r="AL45" s="254">
        <f>Model!AL41</f>
        <v>-3.9301310043668103E-2</v>
      </c>
      <c r="AM45" s="254">
        <f>Model!AM41</f>
        <v>3.1638297872340422</v>
      </c>
      <c r="AN45" s="254">
        <f>Model!AN41</f>
        <v>2.3692946058091287</v>
      </c>
      <c r="AO45" s="132">
        <f>Model!AO41</f>
        <v>1.4427083333333335</v>
      </c>
      <c r="AP45" s="254">
        <f>Model!AP41</f>
        <v>2.1720647773279351</v>
      </c>
      <c r="AQ45" s="254">
        <f>Model!AQ41</f>
        <v>2.1568181818181817</v>
      </c>
      <c r="AR45" s="254">
        <f>Model!AR41</f>
        <v>-0.43893714869698519</v>
      </c>
      <c r="AS45" s="254">
        <f>Model!AS41</f>
        <v>-0.18472906403940892</v>
      </c>
      <c r="AT45" s="132">
        <f>Model!AT41</f>
        <v>0.15415778251599144</v>
      </c>
      <c r="AU45" s="254">
        <f>Model!AU41</f>
        <v>0</v>
      </c>
      <c r="AV45" s="254">
        <f>Model!AV41</f>
        <v>0</v>
      </c>
      <c r="AW45" s="714">
        <f>Model!AW41</f>
        <v>0</v>
      </c>
      <c r="AX45" s="254">
        <f>Model!AX41</f>
        <v>0</v>
      </c>
      <c r="AY45" s="132">
        <f>Model!AY41</f>
        <v>0</v>
      </c>
      <c r="AZ45" s="254">
        <f>Model!AZ41</f>
        <v>0</v>
      </c>
      <c r="BA45" s="254">
        <f>Model!BA41</f>
        <v>0</v>
      </c>
      <c r="BB45" s="254">
        <f>Model!BB41</f>
        <v>0</v>
      </c>
      <c r="BC45" s="254">
        <f>Model!BC41</f>
        <v>0</v>
      </c>
      <c r="BD45" s="132">
        <f>Model!BD41</f>
        <v>0</v>
      </c>
      <c r="BE45" s="132">
        <f>Model!BE41</f>
        <v>0</v>
      </c>
      <c r="BF45" s="132">
        <f>Model!BF41</f>
        <v>0</v>
      </c>
      <c r="BG45" s="132">
        <f>Model!BG41</f>
        <v>0</v>
      </c>
      <c r="BH45" s="963"/>
    </row>
    <row r="46" spans="1:60" s="375" customFormat="1" hidden="1" outlineLevel="1" x14ac:dyDescent="0.25">
      <c r="A46" s="366" t="str">
        <f>Model!A42</f>
        <v>DTC businesses and other revenues growth, %</v>
      </c>
      <c r="B46" s="367"/>
      <c r="C46" s="368">
        <f>Model!C42</f>
        <v>0</v>
      </c>
      <c r="D46" s="368">
        <f>Model!D42</f>
        <v>0</v>
      </c>
      <c r="E46" s="368">
        <f>Model!E42</f>
        <v>0</v>
      </c>
      <c r="F46" s="368">
        <f>Model!F42</f>
        <v>0</v>
      </c>
      <c r="G46" s="369">
        <f>Model!G42</f>
        <v>0</v>
      </c>
      <c r="H46" s="369">
        <f>Model!H42</f>
        <v>0</v>
      </c>
      <c r="I46" s="369">
        <f>Model!I42</f>
        <v>0</v>
      </c>
      <c r="J46" s="369">
        <f>Model!J42</f>
        <v>0</v>
      </c>
      <c r="K46" s="368">
        <f>Model!K42</f>
        <v>0</v>
      </c>
      <c r="L46" s="369">
        <f>Model!L42</f>
        <v>0</v>
      </c>
      <c r="M46" s="369">
        <f>Model!M42</f>
        <v>0</v>
      </c>
      <c r="N46" s="369">
        <f>Model!N42</f>
        <v>0</v>
      </c>
      <c r="O46" s="369">
        <f>Model!O42</f>
        <v>0</v>
      </c>
      <c r="P46" s="368">
        <f>Model!P42</f>
        <v>0</v>
      </c>
      <c r="Q46" s="369">
        <f>Model!Q42</f>
        <v>0</v>
      </c>
      <c r="R46" s="369">
        <f>Model!R42</f>
        <v>0</v>
      </c>
      <c r="S46" s="369">
        <f>Model!S42</f>
        <v>0</v>
      </c>
      <c r="T46" s="369">
        <f>Model!T42</f>
        <v>0</v>
      </c>
      <c r="U46" s="368">
        <f>Model!U42</f>
        <v>0</v>
      </c>
      <c r="V46" s="369">
        <f>Model!V42</f>
        <v>0</v>
      </c>
      <c r="W46" s="369">
        <f>Model!W42</f>
        <v>0</v>
      </c>
      <c r="X46" s="369">
        <f>Model!X42</f>
        <v>0</v>
      </c>
      <c r="Y46" s="369">
        <f>Model!Y42</f>
        <v>0</v>
      </c>
      <c r="Z46" s="368">
        <f>Model!Z42</f>
        <v>0</v>
      </c>
      <c r="AA46" s="369">
        <f>Model!AA42</f>
        <v>0</v>
      </c>
      <c r="AB46" s="369">
        <f>Model!AB42</f>
        <v>0</v>
      </c>
      <c r="AC46" s="369">
        <f>Model!AC42</f>
        <v>0</v>
      </c>
      <c r="AD46" s="369">
        <f>Model!AD42</f>
        <v>0</v>
      </c>
      <c r="AE46" s="368">
        <f>Model!AE42</f>
        <v>-0.13456090651558072</v>
      </c>
      <c r="AF46" s="369">
        <f>Model!AF42</f>
        <v>0</v>
      </c>
      <c r="AG46" s="369">
        <f>Model!AG42</f>
        <v>0</v>
      </c>
      <c r="AH46" s="369">
        <f>Model!AH42</f>
        <v>0</v>
      </c>
      <c r="AI46" s="369">
        <f>Model!AI42</f>
        <v>0</v>
      </c>
      <c r="AJ46" s="368">
        <f>Model!AJ42</f>
        <v>0.22258592471358418</v>
      </c>
      <c r="AK46" s="369">
        <f>Model!AK42</f>
        <v>7.1258907363420665E-3</v>
      </c>
      <c r="AL46" s="369">
        <f>Model!AL42</f>
        <v>0.38069705093833783</v>
      </c>
      <c r="AM46" s="369">
        <f>Model!AM42</f>
        <v>4.3249299719887953</v>
      </c>
      <c r="AN46" s="369">
        <f>Model!AN42</f>
        <v>4.259475218658892</v>
      </c>
      <c r="AO46" s="368">
        <f>Model!AO42</f>
        <v>2.1184738955823295</v>
      </c>
      <c r="AP46" s="369">
        <f>Model!AP42</f>
        <v>3.7311320754716979</v>
      </c>
      <c r="AQ46" s="369">
        <f>Model!AQ42</f>
        <v>3.7689320388349516</v>
      </c>
      <c r="AR46" s="369">
        <f>Model!AR42</f>
        <v>0.409784324039979</v>
      </c>
      <c r="AS46" s="369">
        <f>Model!AS42</f>
        <v>0.83037694013303764</v>
      </c>
      <c r="AT46" s="368">
        <f>Model!AT42</f>
        <v>1.2416827645417472</v>
      </c>
      <c r="AU46" s="369">
        <f>Model!AU42</f>
        <v>0</v>
      </c>
      <c r="AV46" s="369">
        <f>Model!AV42</f>
        <v>0</v>
      </c>
      <c r="AW46" s="715">
        <f>Model!AW42</f>
        <v>0</v>
      </c>
      <c r="AX46" s="369">
        <f>Model!AX42</f>
        <v>0</v>
      </c>
      <c r="AY46" s="368">
        <f>Model!AY42</f>
        <v>0</v>
      </c>
      <c r="AZ46" s="369">
        <f>Model!AZ42</f>
        <v>0</v>
      </c>
      <c r="BA46" s="369">
        <f>Model!BA42</f>
        <v>0</v>
      </c>
      <c r="BB46" s="369">
        <f>Model!BB42</f>
        <v>0</v>
      </c>
      <c r="BC46" s="369">
        <f>Model!BC42</f>
        <v>0</v>
      </c>
      <c r="BD46" s="368">
        <f>Model!BD42</f>
        <v>0</v>
      </c>
      <c r="BE46" s="368">
        <f>Model!BE42</f>
        <v>0</v>
      </c>
      <c r="BF46" s="368">
        <f>Model!BF42</f>
        <v>0</v>
      </c>
      <c r="BG46" s="368">
        <f>Model!BG42</f>
        <v>0</v>
      </c>
      <c r="BH46" s="963"/>
    </row>
    <row r="47" spans="1:60" s="375" customFormat="1" hidden="1" outlineLevel="1" x14ac:dyDescent="0.25">
      <c r="A47" s="370" t="str">
        <f>Model!A43</f>
        <v>Direct-to-Consumer &amp; International Revenue Growth, %</v>
      </c>
      <c r="B47" s="371"/>
      <c r="C47" s="372">
        <f>Model!C43</f>
        <v>0</v>
      </c>
      <c r="D47" s="372">
        <f>Model!D43</f>
        <v>0</v>
      </c>
      <c r="E47" s="372">
        <f>Model!E43</f>
        <v>0</v>
      </c>
      <c r="F47" s="372">
        <f>Model!F43</f>
        <v>0</v>
      </c>
      <c r="G47" s="373">
        <f>Model!G43</f>
        <v>0</v>
      </c>
      <c r="H47" s="373">
        <f>Model!H43</f>
        <v>0</v>
      </c>
      <c r="I47" s="373">
        <f>Model!I43</f>
        <v>0</v>
      </c>
      <c r="J47" s="373">
        <f>Model!J43</f>
        <v>0</v>
      </c>
      <c r="K47" s="372">
        <f>Model!K43</f>
        <v>0</v>
      </c>
      <c r="L47" s="373">
        <f>Model!L43</f>
        <v>0</v>
      </c>
      <c r="M47" s="373">
        <f>Model!M43</f>
        <v>0</v>
      </c>
      <c r="N47" s="373">
        <f>Model!N43</f>
        <v>0</v>
      </c>
      <c r="O47" s="373">
        <f>Model!O43</f>
        <v>0</v>
      </c>
      <c r="P47" s="372">
        <f>Model!P43</f>
        <v>0</v>
      </c>
      <c r="Q47" s="373">
        <f>Model!Q43</f>
        <v>0</v>
      </c>
      <c r="R47" s="373">
        <f>Model!R43</f>
        <v>0</v>
      </c>
      <c r="S47" s="373">
        <f>Model!S43</f>
        <v>0</v>
      </c>
      <c r="T47" s="373">
        <f>Model!T43</f>
        <v>0</v>
      </c>
      <c r="U47" s="372">
        <f>Model!U43</f>
        <v>0</v>
      </c>
      <c r="V47" s="373">
        <f>Model!V43</f>
        <v>0</v>
      </c>
      <c r="W47" s="373">
        <f>Model!W43</f>
        <v>0</v>
      </c>
      <c r="X47" s="373">
        <f>Model!X43</f>
        <v>0</v>
      </c>
      <c r="Y47" s="373">
        <f>Model!Y43</f>
        <v>0</v>
      </c>
      <c r="Z47" s="372">
        <f>Model!Z43</f>
        <v>0</v>
      </c>
      <c r="AA47" s="373">
        <f>Model!AA43</f>
        <v>0</v>
      </c>
      <c r="AB47" s="373">
        <f>Model!AB43</f>
        <v>0</v>
      </c>
      <c r="AC47" s="373">
        <f>Model!AC43</f>
        <v>0</v>
      </c>
      <c r="AD47" s="373">
        <f>Model!AD43</f>
        <v>0</v>
      </c>
      <c r="AE47" s="372">
        <f>Model!AE43</f>
        <v>-6.9872958257713225E-2</v>
      </c>
      <c r="AF47" s="373">
        <f>Model!AF43</f>
        <v>0</v>
      </c>
      <c r="AG47" s="373">
        <f>Model!AG43</f>
        <v>0</v>
      </c>
      <c r="AH47" s="373">
        <f>Model!AH43</f>
        <v>0</v>
      </c>
      <c r="AI47" s="373">
        <f>Model!AI43</f>
        <v>0</v>
      </c>
      <c r="AJ47" s="372">
        <f>Model!AJ43</f>
        <v>0.11024390243902449</v>
      </c>
      <c r="AK47" s="373">
        <f>Model!AK43</f>
        <v>-1.3963480128893702E-2</v>
      </c>
      <c r="AL47" s="373">
        <f>Model!AL43</f>
        <v>0.14921780986762934</v>
      </c>
      <c r="AM47" s="373">
        <f>Model!AM43</f>
        <v>3.6650544135429266</v>
      </c>
      <c r="AN47" s="373">
        <f>Model!AN43</f>
        <v>3.1551515151515153</v>
      </c>
      <c r="AO47" s="372">
        <f>Model!AO43</f>
        <v>1.7384299941417694</v>
      </c>
      <c r="AP47" s="373">
        <f>Model!AP43</f>
        <v>3.3431372549019605</v>
      </c>
      <c r="AQ47" s="373">
        <f>Model!AQ43</f>
        <v>3.3172774869109949</v>
      </c>
      <c r="AR47" s="373">
        <f>Model!AR43</f>
        <v>2.8771384136858424E-2</v>
      </c>
      <c r="AS47" s="373">
        <f>Model!AS43</f>
        <v>0.41569428238039663</v>
      </c>
      <c r="AT47" s="372">
        <f>Model!AT43</f>
        <v>0.81484650764787681</v>
      </c>
      <c r="AU47" s="373">
        <f>Model!AU43</f>
        <v>0</v>
      </c>
      <c r="AV47" s="373">
        <f>Model!AV43</f>
        <v>0</v>
      </c>
      <c r="AW47" s="716">
        <f>Model!AW43</f>
        <v>0</v>
      </c>
      <c r="AX47" s="373">
        <f>Model!AX43</f>
        <v>0</v>
      </c>
      <c r="AY47" s="372">
        <f>Model!AY43</f>
        <v>0</v>
      </c>
      <c r="AZ47" s="373">
        <f>Model!AZ43</f>
        <v>0</v>
      </c>
      <c r="BA47" s="373">
        <f>Model!BA43</f>
        <v>0</v>
      </c>
      <c r="BB47" s="373">
        <f>Model!BB43</f>
        <v>0</v>
      </c>
      <c r="BC47" s="373">
        <f>Model!BC43</f>
        <v>0</v>
      </c>
      <c r="BD47" s="372">
        <f>Model!BD43</f>
        <v>0</v>
      </c>
      <c r="BE47" s="372">
        <f>Model!BE43</f>
        <v>0</v>
      </c>
      <c r="BF47" s="372">
        <f>Model!BF43</f>
        <v>0</v>
      </c>
      <c r="BG47" s="372">
        <f>Model!BG43</f>
        <v>0</v>
      </c>
      <c r="BH47" s="963"/>
    </row>
    <row r="48" spans="1:60" s="379" customFormat="1" collapsed="1" x14ac:dyDescent="0.25">
      <c r="A48" s="256" t="str">
        <f>Model!A45</f>
        <v>Total Revenue Growth, %</v>
      </c>
      <c r="B48" s="671"/>
      <c r="C48" s="672">
        <f>Model!C45</f>
        <v>0</v>
      </c>
      <c r="D48" s="672">
        <f>Model!D45</f>
        <v>5.2947522753049814E-2</v>
      </c>
      <c r="E48" s="672">
        <f>Model!E45</f>
        <v>7.4350419042114479E-2</v>
      </c>
      <c r="F48" s="672">
        <f>Model!F45</f>
        <v>3.3868877313965706E-2</v>
      </c>
      <c r="G48" s="673">
        <f>Model!G45</f>
        <v>0</v>
      </c>
      <c r="H48" s="673">
        <f>Model!H45</f>
        <v>0</v>
      </c>
      <c r="I48" s="673">
        <f>Model!I45</f>
        <v>0</v>
      </c>
      <c r="J48" s="673">
        <f>Model!J45</f>
        <v>0</v>
      </c>
      <c r="K48" s="672">
        <f>Model!K45</f>
        <v>6.5353138748285078E-2</v>
      </c>
      <c r="L48" s="673">
        <f>Model!L45</f>
        <v>8.5354025218234764E-2</v>
      </c>
      <c r="M48" s="673">
        <f>Model!M45</f>
        <v>0.10375213189312116</v>
      </c>
      <c r="N48" s="673">
        <f>Model!N45</f>
        <v>7.6697184315080325E-2</v>
      </c>
      <c r="O48" s="673">
        <f>Model!O45</f>
        <v>7.097164591977867E-2</v>
      </c>
      <c r="P48" s="672">
        <f>Model!P45</f>
        <v>8.3745920383650363E-2</v>
      </c>
      <c r="Q48" s="673">
        <f>Model!Q45</f>
        <v>8.7903160289219295E-2</v>
      </c>
      <c r="R48" s="673">
        <f>Model!R45</f>
        <v>6.9705554124817493E-2</v>
      </c>
      <c r="S48" s="673">
        <f>Model!S45</f>
        <v>5.0938552863789566E-2</v>
      </c>
      <c r="T48" s="673">
        <f>Model!T45</f>
        <v>9.0644926951327864E-2</v>
      </c>
      <c r="U48" s="672">
        <f>Model!U45</f>
        <v>7.4816135045991938E-2</v>
      </c>
      <c r="V48" s="673">
        <f>Model!V45</f>
        <v>0.1383765215443209</v>
      </c>
      <c r="W48" s="673">
        <f>Model!W45</f>
        <v>4.0767193644169808E-2</v>
      </c>
      <c r="X48" s="673">
        <f>Model!X45</f>
        <v>8.976414014197398E-2</v>
      </c>
      <c r="Y48" s="673">
        <f>Model!Y45</f>
        <v>-2.7383066903493236E-2</v>
      </c>
      <c r="Z48" s="672">
        <f>Model!Z45</f>
        <v>6.0364052225293063E-2</v>
      </c>
      <c r="AA48" s="673">
        <f>Model!AA45</f>
        <v>-3.0175806874836009E-2</v>
      </c>
      <c r="AB48" s="673">
        <f>Model!AB45</f>
        <v>2.8298249672295439E-2</v>
      </c>
      <c r="AC48" s="673">
        <f>Model!AC45</f>
        <v>-2.7316663164530519E-3</v>
      </c>
      <c r="AD48" s="673">
        <f>Model!AD45</f>
        <v>-2.7621366610865894E-2</v>
      </c>
      <c r="AE48" s="672">
        <f>Model!AE45</f>
        <v>-8.8977566867989299E-3</v>
      </c>
      <c r="AF48" s="673">
        <f>Model!AF45</f>
        <v>3.8352272727272707E-2</v>
      </c>
      <c r="AG48" s="673">
        <f>Model!AG45</f>
        <v>9.0881823635272863E-2</v>
      </c>
      <c r="AH48" s="673">
        <f>Model!AH45</f>
        <v>6.9532237673830544E-2</v>
      </c>
      <c r="AI48" s="673">
        <f>Model!AI45</f>
        <v>0.11957117145316531</v>
      </c>
      <c r="AJ48" s="672">
        <f>Model!AJ45</f>
        <v>7.7933148339590419E-2</v>
      </c>
      <c r="AK48" s="673">
        <f>Model!AK45</f>
        <v>-3.1268321282000855E-3</v>
      </c>
      <c r="AL48" s="673">
        <f>Model!AL45</f>
        <v>2.5708001099807642E-2</v>
      </c>
      <c r="AM48" s="673">
        <f>Model!AM45</f>
        <v>0.32945889151562913</v>
      </c>
      <c r="AN48" s="673">
        <f>Model!AN45</f>
        <v>0.33501083385755215</v>
      </c>
      <c r="AO48" s="672">
        <f>Model!AO45</f>
        <v>0.17054211394151486</v>
      </c>
      <c r="AP48" s="673">
        <f>Model!AP45</f>
        <v>0.36300071881330465</v>
      </c>
      <c r="AQ48" s="673">
        <f>Model!AQ45</f>
        <v>0.20687575392038604</v>
      </c>
      <c r="AR48" s="673">
        <f>Model!AR45</f>
        <v>-0.4181773277352433</v>
      </c>
      <c r="AS48" s="673">
        <f>Model!AS45</f>
        <v>-0.22999999999999998</v>
      </c>
      <c r="AT48" s="672">
        <f>Model!AT45</f>
        <v>-6.0112117291936218E-2</v>
      </c>
      <c r="AU48" s="673">
        <f>Model!AU45</f>
        <v>-0.22097037108064055</v>
      </c>
      <c r="AV48" s="673">
        <f>Model!AV45</f>
        <v>-0.13304458881670278</v>
      </c>
      <c r="AW48" s="717">
        <f>Model!AW45</f>
        <v>0.44511418626368959</v>
      </c>
      <c r="AX48" s="673">
        <f>Model!AX45</f>
        <v>0.34857559818453798</v>
      </c>
      <c r="AY48" s="672">
        <f>Model!AY45</f>
        <v>5.0919149117575113E-2</v>
      </c>
      <c r="AZ48" s="673">
        <f>Model!AZ45</f>
        <v>0.28822930346581321</v>
      </c>
      <c r="BA48" s="673">
        <f>Model!BA45</f>
        <v>0.30959612113542456</v>
      </c>
      <c r="BB48" s="673">
        <f>Model!BB45</f>
        <v>0.34547302202880625</v>
      </c>
      <c r="BC48" s="673">
        <f>Model!BC45</f>
        <v>0.22935006168039807</v>
      </c>
      <c r="BD48" s="672">
        <f>Model!BD45</f>
        <v>0.29026984887473328</v>
      </c>
      <c r="BE48" s="672">
        <f>Model!BE45</f>
        <v>0.10034943100077243</v>
      </c>
      <c r="BF48" s="672">
        <f>Model!BF45</f>
        <v>7.2043908896429976E-2</v>
      </c>
      <c r="BG48" s="672">
        <f>Model!BG45</f>
        <v>8.801324383295106E-2</v>
      </c>
      <c r="BH48" s="961"/>
    </row>
    <row r="49" spans="1:60" s="375" customFormat="1" x14ac:dyDescent="0.25">
      <c r="A49" s="247"/>
      <c r="B49" s="248"/>
      <c r="C49" s="1014"/>
      <c r="D49" s="1014"/>
      <c r="E49" s="1014"/>
      <c r="F49" s="1014"/>
      <c r="G49" s="1015"/>
      <c r="H49" s="1015"/>
      <c r="I49" s="1015"/>
      <c r="J49" s="1015"/>
      <c r="K49" s="1014"/>
      <c r="L49" s="1015"/>
      <c r="M49" s="1015"/>
      <c r="N49" s="1015"/>
      <c r="O49" s="1015"/>
      <c r="P49" s="1014"/>
      <c r="Q49" s="1015"/>
      <c r="R49" s="1015"/>
      <c r="S49" s="1015"/>
      <c r="T49" s="1015"/>
      <c r="U49" s="1014"/>
      <c r="V49" s="1015"/>
      <c r="W49" s="1015"/>
      <c r="X49" s="1015"/>
      <c r="Y49" s="1015"/>
      <c r="Z49" s="1014"/>
      <c r="AA49" s="1015"/>
      <c r="AB49" s="1015"/>
      <c r="AC49" s="1015"/>
      <c r="AD49" s="1015"/>
      <c r="AE49" s="1014"/>
      <c r="AF49" s="1015"/>
      <c r="AG49" s="1015"/>
      <c r="AH49" s="1015"/>
      <c r="AI49" s="1015"/>
      <c r="AJ49" s="1014"/>
      <c r="AK49" s="1015"/>
      <c r="AL49" s="1015"/>
      <c r="AM49" s="1015"/>
      <c r="AN49" s="1015"/>
      <c r="AO49" s="1014"/>
      <c r="AP49" s="1015"/>
      <c r="AQ49" s="1015"/>
      <c r="AR49" s="1015"/>
      <c r="AS49" s="1015"/>
      <c r="AT49" s="1014"/>
      <c r="AU49" s="1015"/>
      <c r="AV49" s="1015"/>
      <c r="AW49" s="1016"/>
      <c r="AX49" s="1015"/>
      <c r="AY49" s="1014"/>
      <c r="AZ49" s="1015"/>
      <c r="BA49" s="1015"/>
      <c r="BB49" s="1015"/>
      <c r="BC49" s="1015"/>
      <c r="BD49" s="1014"/>
      <c r="BE49" s="1014"/>
      <c r="BF49" s="1014"/>
      <c r="BG49" s="1014"/>
      <c r="BH49" s="963"/>
    </row>
    <row r="50" spans="1:60" s="374" customFormat="1" x14ac:dyDescent="0.25">
      <c r="A50" s="173" t="s">
        <v>424</v>
      </c>
      <c r="B50" s="962"/>
      <c r="C50" s="1012"/>
      <c r="D50" s="1012"/>
      <c r="E50" s="1012"/>
      <c r="F50" s="1012"/>
      <c r="G50" s="1012"/>
      <c r="H50" s="1012"/>
      <c r="I50" s="1012"/>
      <c r="J50" s="1012"/>
      <c r="K50" s="1012"/>
      <c r="L50" s="1012"/>
      <c r="M50" s="1012"/>
      <c r="N50" s="1012"/>
      <c r="O50" s="1012"/>
      <c r="P50" s="1012"/>
      <c r="Q50" s="1012"/>
      <c r="R50" s="1012"/>
      <c r="S50" s="1012"/>
      <c r="T50" s="1012"/>
      <c r="U50" s="1012"/>
      <c r="V50" s="1012"/>
      <c r="W50" s="1012"/>
      <c r="X50" s="1012"/>
      <c r="Y50" s="1012"/>
      <c r="Z50" s="1012"/>
      <c r="AA50" s="1012"/>
      <c r="AB50" s="1012"/>
      <c r="AC50" s="1012"/>
      <c r="AD50" s="1012"/>
      <c r="AE50" s="1012"/>
      <c r="AF50" s="1012"/>
      <c r="AG50" s="1012"/>
      <c r="AH50" s="1012"/>
      <c r="AI50" s="1012"/>
      <c r="AJ50" s="1012"/>
      <c r="AK50" s="1012"/>
      <c r="AL50" s="1012"/>
      <c r="AM50" s="1012"/>
      <c r="AN50" s="1012"/>
      <c r="AO50" s="1012"/>
      <c r="AP50" s="1012"/>
      <c r="AQ50" s="1012"/>
      <c r="AR50" s="1012"/>
      <c r="AS50" s="1012"/>
      <c r="AT50" s="1012"/>
      <c r="AU50" s="1012"/>
      <c r="AV50" s="1012"/>
      <c r="AW50" s="1013"/>
      <c r="AX50" s="1012"/>
      <c r="AY50" s="1012"/>
      <c r="AZ50" s="1012"/>
      <c r="BA50" s="1012"/>
      <c r="BB50" s="1012"/>
      <c r="BC50" s="1012"/>
      <c r="BD50" s="1012"/>
      <c r="BE50" s="1012"/>
      <c r="BF50" s="1012"/>
      <c r="BG50" s="1012"/>
      <c r="BH50" s="961"/>
    </row>
    <row r="51" spans="1:60" s="378" customFormat="1" x14ac:dyDescent="0.25">
      <c r="A51" s="249" t="str">
        <f>INDEX(MO_RIS_REV,0,COLUMN())</f>
        <v>Net Revenue</v>
      </c>
      <c r="B51" s="250"/>
      <c r="C51" s="157">
        <f t="shared" ref="C51:AH51" si="27">INDEX(MO_RIS_REV,0,COLUMN())</f>
        <v>36149</v>
      </c>
      <c r="D51" s="157">
        <f t="shared" si="27"/>
        <v>38063</v>
      </c>
      <c r="E51" s="157">
        <f t="shared" si="27"/>
        <v>40893</v>
      </c>
      <c r="F51" s="157">
        <f t="shared" si="27"/>
        <v>42278</v>
      </c>
      <c r="G51" s="158">
        <f t="shared" si="27"/>
        <v>11341</v>
      </c>
      <c r="H51" s="158">
        <f t="shared" si="27"/>
        <v>10554</v>
      </c>
      <c r="I51" s="158">
        <f t="shared" si="27"/>
        <v>11578</v>
      </c>
      <c r="J51" s="158">
        <f t="shared" si="27"/>
        <v>11568</v>
      </c>
      <c r="K51" s="157">
        <f t="shared" si="27"/>
        <v>45041</v>
      </c>
      <c r="L51" s="158">
        <f t="shared" si="27"/>
        <v>12309</v>
      </c>
      <c r="M51" s="158">
        <f t="shared" si="27"/>
        <v>11649</v>
      </c>
      <c r="N51" s="158">
        <f t="shared" si="27"/>
        <v>12466</v>
      </c>
      <c r="O51" s="158">
        <f t="shared" si="27"/>
        <v>12389</v>
      </c>
      <c r="P51" s="157">
        <f t="shared" si="27"/>
        <v>48813</v>
      </c>
      <c r="Q51" s="158">
        <f t="shared" si="27"/>
        <v>13391</v>
      </c>
      <c r="R51" s="158">
        <f t="shared" si="27"/>
        <v>12461</v>
      </c>
      <c r="S51" s="158">
        <f t="shared" si="27"/>
        <v>13101</v>
      </c>
      <c r="T51" s="158">
        <f t="shared" si="27"/>
        <v>13512</v>
      </c>
      <c r="U51" s="157">
        <f t="shared" si="27"/>
        <v>52465</v>
      </c>
      <c r="V51" s="158">
        <f t="shared" si="27"/>
        <v>15244</v>
      </c>
      <c r="W51" s="158">
        <f t="shared" si="27"/>
        <v>12969</v>
      </c>
      <c r="X51" s="158">
        <f t="shared" si="27"/>
        <v>14277</v>
      </c>
      <c r="Y51" s="158">
        <f t="shared" si="27"/>
        <v>13142</v>
      </c>
      <c r="Z51" s="157">
        <f t="shared" si="27"/>
        <v>55632</v>
      </c>
      <c r="AA51" s="158">
        <f t="shared" si="27"/>
        <v>14784</v>
      </c>
      <c r="AB51" s="158">
        <f t="shared" si="27"/>
        <v>13336</v>
      </c>
      <c r="AC51" s="158">
        <f t="shared" si="27"/>
        <v>14238</v>
      </c>
      <c r="AD51" s="158">
        <f t="shared" si="27"/>
        <v>12779</v>
      </c>
      <c r="AE51" s="157">
        <f t="shared" si="27"/>
        <v>55137</v>
      </c>
      <c r="AF51" s="158">
        <f t="shared" si="27"/>
        <v>15351</v>
      </c>
      <c r="AG51" s="158">
        <f t="shared" si="27"/>
        <v>14548</v>
      </c>
      <c r="AH51" s="158">
        <f t="shared" si="27"/>
        <v>15228</v>
      </c>
      <c r="AI51" s="158">
        <f t="shared" ref="AI51:AY51" si="28">INDEX(MO_RIS_REV,0,COLUMN())</f>
        <v>14307</v>
      </c>
      <c r="AJ51" s="157">
        <f t="shared" si="28"/>
        <v>59434</v>
      </c>
      <c r="AK51" s="158">
        <f t="shared" si="28"/>
        <v>15303</v>
      </c>
      <c r="AL51" s="158">
        <f t="shared" si="28"/>
        <v>14922</v>
      </c>
      <c r="AM51" s="158">
        <f t="shared" si="28"/>
        <v>20245</v>
      </c>
      <c r="AN51" s="158">
        <f t="shared" si="28"/>
        <v>19100</v>
      </c>
      <c r="AO51" s="157">
        <f t="shared" si="28"/>
        <v>69570</v>
      </c>
      <c r="AP51" s="158">
        <f t="shared" si="28"/>
        <v>20858</v>
      </c>
      <c r="AQ51" s="158">
        <f t="shared" si="28"/>
        <v>18009</v>
      </c>
      <c r="AR51" s="158">
        <f t="shared" si="28"/>
        <v>11779</v>
      </c>
      <c r="AS51" s="158">
        <f>INDEX(MO_RIS_REV,0,COLUMN())</f>
        <v>14707</v>
      </c>
      <c r="AT51" s="157">
        <f>INDEX(MO_RIS_REV,0,COLUMN())</f>
        <v>65388</v>
      </c>
      <c r="AU51" s="158">
        <f>INDEX(MO_RIS_REV,0,COLUMN())</f>
        <v>16249</v>
      </c>
      <c r="AV51" s="158">
        <f>INDEX(MO_RIS_REV,0,COLUMN())</f>
        <v>15613</v>
      </c>
      <c r="AW51" s="718">
        <f>INDEX(MO_RIS_REV,0,COLUMN())</f>
        <v>17022</v>
      </c>
      <c r="AX51" s="158">
        <f t="shared" si="28"/>
        <v>19833.5013225</v>
      </c>
      <c r="AY51" s="157">
        <f t="shared" si="28"/>
        <v>68717.5013225</v>
      </c>
      <c r="AZ51" s="158">
        <f t="shared" ref="AZ51:BG51" si="29">INDEX(MO_RIS_REV,0,COLUMN())</f>
        <v>20932.437952016</v>
      </c>
      <c r="BA51" s="158">
        <f t="shared" si="29"/>
        <v>20446.724239287385</v>
      </c>
      <c r="BB51" s="158">
        <f t="shared" si="29"/>
        <v>22902.64178097434</v>
      </c>
      <c r="BC51" s="158">
        <f t="shared" si="29"/>
        <v>24382.31607415363</v>
      </c>
      <c r="BD51" s="157">
        <f t="shared" si="29"/>
        <v>88664.120046431359</v>
      </c>
      <c r="BE51" s="157">
        <f t="shared" si="29"/>
        <v>97561.514043274918</v>
      </c>
      <c r="BF51" s="157">
        <f t="shared" si="29"/>
        <v>104590.22687280639</v>
      </c>
      <c r="BG51" s="157">
        <f t="shared" si="29"/>
        <v>113795.55201310637</v>
      </c>
      <c r="BH51" s="158"/>
    </row>
    <row r="52" spans="1:60" s="377" customFormat="1" x14ac:dyDescent="0.25">
      <c r="A52" s="240" t="str">
        <f>INDEX(MO_RIS_COGS,0,COLUMN())</f>
        <v>COGS</v>
      </c>
      <c r="B52" s="241"/>
      <c r="C52" s="153">
        <f t="shared" ref="C52:AH52" si="30">INDEX(MO_RIS_COGS,0,COLUMN())</f>
        <v>0</v>
      </c>
      <c r="D52" s="153">
        <f t="shared" si="30"/>
        <v>0</v>
      </c>
      <c r="E52" s="153">
        <f t="shared" si="30"/>
        <v>0</v>
      </c>
      <c r="F52" s="153">
        <f t="shared" si="30"/>
        <v>0</v>
      </c>
      <c r="G52" s="154">
        <f t="shared" si="30"/>
        <v>0</v>
      </c>
      <c r="H52" s="154">
        <f t="shared" si="30"/>
        <v>0</v>
      </c>
      <c r="I52" s="154">
        <f t="shared" si="30"/>
        <v>0</v>
      </c>
      <c r="J52" s="154">
        <f t="shared" si="30"/>
        <v>0</v>
      </c>
      <c r="K52" s="153">
        <f t="shared" si="30"/>
        <v>25034</v>
      </c>
      <c r="L52" s="154">
        <f t="shared" si="30"/>
        <v>7065</v>
      </c>
      <c r="M52" s="154">
        <f t="shared" si="30"/>
        <v>5972</v>
      </c>
      <c r="N52" s="154">
        <f t="shared" si="30"/>
        <v>6364</v>
      </c>
      <c r="O52" s="154">
        <f t="shared" si="30"/>
        <v>7019</v>
      </c>
      <c r="P52" s="153">
        <f t="shared" si="30"/>
        <v>26420</v>
      </c>
      <c r="Q52" s="154">
        <f t="shared" si="30"/>
        <v>7656</v>
      </c>
      <c r="R52" s="154">
        <f t="shared" si="30"/>
        <v>6690</v>
      </c>
      <c r="S52" s="154">
        <f t="shared" si="30"/>
        <v>6663</v>
      </c>
      <c r="T52" s="154">
        <f t="shared" si="30"/>
        <v>7355</v>
      </c>
      <c r="U52" s="153">
        <f t="shared" si="30"/>
        <v>28364</v>
      </c>
      <c r="V52" s="154">
        <f t="shared" si="30"/>
        <v>8623</v>
      </c>
      <c r="W52" s="154">
        <f t="shared" si="30"/>
        <v>6864</v>
      </c>
      <c r="X52" s="154">
        <f t="shared" si="30"/>
        <v>7201</v>
      </c>
      <c r="Y52" s="154">
        <f t="shared" si="30"/>
        <v>7305</v>
      </c>
      <c r="Z52" s="153">
        <f t="shared" si="30"/>
        <v>29993</v>
      </c>
      <c r="AA52" s="154">
        <f t="shared" si="30"/>
        <v>8406</v>
      </c>
      <c r="AB52" s="154">
        <f t="shared" si="30"/>
        <v>6969</v>
      </c>
      <c r="AC52" s="154">
        <f t="shared" si="30"/>
        <v>7717</v>
      </c>
      <c r="AD52" s="154">
        <f t="shared" si="30"/>
        <v>7214</v>
      </c>
      <c r="AE52" s="153">
        <f t="shared" si="30"/>
        <v>30306</v>
      </c>
      <c r="AF52" s="154">
        <f t="shared" si="30"/>
        <v>8737</v>
      </c>
      <c r="AG52" s="154">
        <f t="shared" si="30"/>
        <v>7533</v>
      </c>
      <c r="AH52" s="154">
        <f t="shared" si="30"/>
        <v>8348</v>
      </c>
      <c r="AI52" s="154">
        <f t="shared" ref="AI52:AY52" si="31">INDEX(MO_RIS_COGS,0,COLUMN())</f>
        <v>8108</v>
      </c>
      <c r="AJ52" s="153">
        <f t="shared" si="31"/>
        <v>32726</v>
      </c>
      <c r="AK52" s="154">
        <f t="shared" si="31"/>
        <v>9001</v>
      </c>
      <c r="AL52" s="154">
        <f t="shared" si="31"/>
        <v>8376</v>
      </c>
      <c r="AM52" s="154">
        <f t="shared" si="31"/>
        <v>12819</v>
      </c>
      <c r="AN52" s="154">
        <f t="shared" si="31"/>
        <v>11822</v>
      </c>
      <c r="AO52" s="153">
        <f t="shared" si="31"/>
        <v>42018</v>
      </c>
      <c r="AP52" s="154">
        <f t="shared" si="31"/>
        <v>13016</v>
      </c>
      <c r="AQ52" s="154">
        <f t="shared" si="31"/>
        <v>11918</v>
      </c>
      <c r="AR52" s="154">
        <f t="shared" si="31"/>
        <v>7896</v>
      </c>
      <c r="AS52" s="154">
        <f>INDEX(MO_RIS_COGS,0,COLUMN())</f>
        <v>11013</v>
      </c>
      <c r="AT52" s="153">
        <f>INDEX(MO_RIS_COGS,0,COLUMN())</f>
        <v>43880</v>
      </c>
      <c r="AU52" s="154">
        <f>INDEX(MO_RIS_COGS,0,COLUMN())</f>
        <v>11775</v>
      </c>
      <c r="AV52" s="154">
        <f>INDEX(MO_RIS_COGS,0,COLUMN())</f>
        <v>9782</v>
      </c>
      <c r="AW52" s="711">
        <f>INDEX(MO_RIS_COGS,0,COLUMN())</f>
        <v>11233</v>
      </c>
      <c r="AX52" s="154">
        <f t="shared" si="31"/>
        <v>13402.61143155</v>
      </c>
      <c r="AY52" s="153">
        <f t="shared" si="31"/>
        <v>46192.611431550002</v>
      </c>
      <c r="AZ52" s="154">
        <f t="shared" ref="AZ52:BG52" si="32">INDEX(MO_RIS_COGS,0,COLUMN())</f>
        <v>12838.23284353216</v>
      </c>
      <c r="BA52" s="154">
        <f t="shared" si="32"/>
        <v>13483.170421858413</v>
      </c>
      <c r="BB52" s="154">
        <f t="shared" si="32"/>
        <v>14830.012553540499</v>
      </c>
      <c r="BC52" s="154">
        <f t="shared" si="32"/>
        <v>15797.229312356758</v>
      </c>
      <c r="BD52" s="153">
        <f t="shared" si="32"/>
        <v>56948.645131287827</v>
      </c>
      <c r="BE52" s="153">
        <f t="shared" si="32"/>
        <v>60675.40619563793</v>
      </c>
      <c r="BF52" s="153">
        <f t="shared" si="32"/>
        <v>64994.919578948466</v>
      </c>
      <c r="BG52" s="153">
        <f t="shared" si="32"/>
        <v>70590.310044717829</v>
      </c>
      <c r="BH52" s="154"/>
    </row>
    <row r="53" spans="1:60" s="377" customFormat="1" x14ac:dyDescent="0.25">
      <c r="A53" s="240" t="str">
        <f>INDEX(MO_RIS_SGA,0,COLUMN())</f>
        <v>SG&amp;A (adj. for SBC)</v>
      </c>
      <c r="B53" s="241"/>
      <c r="C53" s="153">
        <f t="shared" ref="C53:AH53" si="33">INDEX(MO_RIS_SGA,0,COLUMN())</f>
        <v>30091</v>
      </c>
      <c r="D53" s="153">
        <f t="shared" si="33"/>
        <v>30946</v>
      </c>
      <c r="E53" s="153">
        <f t="shared" si="33"/>
        <v>32689</v>
      </c>
      <c r="F53" s="153">
        <f t="shared" si="33"/>
        <v>33007</v>
      </c>
      <c r="G53" s="154">
        <f t="shared" si="33"/>
        <v>9149</v>
      </c>
      <c r="H53" s="154">
        <f t="shared" si="33"/>
        <v>8251</v>
      </c>
      <c r="I53" s="154">
        <f t="shared" si="33"/>
        <v>8477</v>
      </c>
      <c r="J53" s="154">
        <f t="shared" si="33"/>
        <v>9312</v>
      </c>
      <c r="K53" s="153">
        <f t="shared" si="33"/>
        <v>7963</v>
      </c>
      <c r="L53" s="154">
        <f t="shared" si="33"/>
        <v>1922</v>
      </c>
      <c r="M53" s="154">
        <f t="shared" si="33"/>
        <v>2004</v>
      </c>
      <c r="N53" s="154">
        <f t="shared" si="33"/>
        <v>1947</v>
      </c>
      <c r="O53" s="154">
        <f t="shared" si="33"/>
        <v>2284</v>
      </c>
      <c r="P53" s="153">
        <f t="shared" si="33"/>
        <v>8157</v>
      </c>
      <c r="Q53" s="154">
        <f t="shared" si="33"/>
        <v>1831</v>
      </c>
      <c r="R53" s="154">
        <f t="shared" si="33"/>
        <v>1972</v>
      </c>
      <c r="S53" s="154">
        <f t="shared" si="33"/>
        <v>2005</v>
      </c>
      <c r="T53" s="154">
        <f t="shared" si="33"/>
        <v>2305</v>
      </c>
      <c r="U53" s="153">
        <f t="shared" si="33"/>
        <v>8113</v>
      </c>
      <c r="V53" s="154">
        <f t="shared" si="33"/>
        <v>1919</v>
      </c>
      <c r="W53" s="154">
        <f t="shared" si="33"/>
        <v>2038</v>
      </c>
      <c r="X53" s="154">
        <f t="shared" si="33"/>
        <v>2205</v>
      </c>
      <c r="Y53" s="154">
        <f t="shared" si="33"/>
        <v>2199</v>
      </c>
      <c r="Z53" s="153">
        <f t="shared" si="33"/>
        <v>8361</v>
      </c>
      <c r="AA53" s="154">
        <f t="shared" si="33"/>
        <v>1888</v>
      </c>
      <c r="AB53" s="154">
        <f t="shared" si="33"/>
        <v>1849</v>
      </c>
      <c r="AC53" s="154">
        <f t="shared" si="33"/>
        <v>1933</v>
      </c>
      <c r="AD53" s="154">
        <f t="shared" si="33"/>
        <v>2142</v>
      </c>
      <c r="AE53" s="153">
        <f t="shared" si="33"/>
        <v>7812</v>
      </c>
      <c r="AF53" s="154">
        <f t="shared" si="33"/>
        <v>1985</v>
      </c>
      <c r="AG53" s="154">
        <f t="shared" si="33"/>
        <v>2147</v>
      </c>
      <c r="AH53" s="154">
        <f t="shared" si="33"/>
        <v>2099</v>
      </c>
      <c r="AI53" s="154">
        <f t="shared" ref="AI53:AY53" si="34">INDEX(MO_RIS_SGA,0,COLUMN())</f>
        <v>2236</v>
      </c>
      <c r="AJ53" s="153">
        <f t="shared" si="34"/>
        <v>8467</v>
      </c>
      <c r="AK53" s="154">
        <f t="shared" si="34"/>
        <v>2060</v>
      </c>
      <c r="AL53" s="154">
        <f t="shared" si="34"/>
        <v>1944</v>
      </c>
      <c r="AM53" s="154">
        <f t="shared" si="34"/>
        <v>3246</v>
      </c>
      <c r="AN53" s="154">
        <f t="shared" si="34"/>
        <v>3577</v>
      </c>
      <c r="AO53" s="153">
        <f t="shared" si="34"/>
        <v>10830</v>
      </c>
      <c r="AP53" s="154">
        <f t="shared" si="34"/>
        <v>3588</v>
      </c>
      <c r="AQ53" s="154">
        <f t="shared" si="34"/>
        <v>3257</v>
      </c>
      <c r="AR53" s="154">
        <f t="shared" si="34"/>
        <v>2313</v>
      </c>
      <c r="AS53" s="154">
        <f>INDEX(MO_RIS_SGA,0,COLUMN())</f>
        <v>2675</v>
      </c>
      <c r="AT53" s="153">
        <f>INDEX(MO_RIS_SGA,0,COLUMN())</f>
        <v>11844</v>
      </c>
      <c r="AU53" s="154">
        <f>INDEX(MO_RIS_SGA,0,COLUMN())</f>
        <v>2783</v>
      </c>
      <c r="AV53" s="154">
        <f>INDEX(MO_RIS_SGA,0,COLUMN())</f>
        <v>2977</v>
      </c>
      <c r="AW53" s="711">
        <f>INDEX(MO_RIS_SGA,0,COLUMN())</f>
        <v>3010</v>
      </c>
      <c r="AX53" s="154">
        <f t="shared" si="34"/>
        <v>3128.8886306250001</v>
      </c>
      <c r="AY53" s="153">
        <f t="shared" si="34"/>
        <v>11898.888630625001</v>
      </c>
      <c r="AZ53" s="154">
        <f t="shared" ref="AZ53:BG53" si="35">INDEX(MO_RIS_SGA,0,COLUMN())</f>
        <v>3189.90210848384</v>
      </c>
      <c r="BA53" s="154">
        <f t="shared" si="35"/>
        <v>3284.1918174289722</v>
      </c>
      <c r="BB53" s="154">
        <f t="shared" si="35"/>
        <v>3678.0518274338415</v>
      </c>
      <c r="BC53" s="154">
        <f t="shared" si="35"/>
        <v>3865.1210967968705</v>
      </c>
      <c r="BD53" s="153">
        <f t="shared" si="35"/>
        <v>14017.266850143524</v>
      </c>
      <c r="BE53" s="153">
        <f t="shared" si="35"/>
        <v>15318.555294173229</v>
      </c>
      <c r="BF53" s="153">
        <f t="shared" si="35"/>
        <v>16766.87479285707</v>
      </c>
      <c r="BG53" s="153">
        <f t="shared" si="35"/>
        <v>19306.890774298095</v>
      </c>
      <c r="BH53" s="154"/>
    </row>
    <row r="54" spans="1:60" s="378" customFormat="1" x14ac:dyDescent="0.25">
      <c r="A54" s="242" t="str">
        <f>INDEX(MO_RIS_EBITDA,0,COLUMN())</f>
        <v>EBITDA</v>
      </c>
      <c r="B54" s="243"/>
      <c r="C54" s="155">
        <f t="shared" ref="C54:AH54" si="36">INDEX(SP_GF_Rev,0,COLUMN())-INDEX(SP_GF_COGS,0,COLUMN())-INDEX(SP_GF_SGA,0,COLUMN())</f>
        <v>6058</v>
      </c>
      <c r="D54" s="155">
        <f t="shared" si="36"/>
        <v>7117</v>
      </c>
      <c r="E54" s="155">
        <f t="shared" si="36"/>
        <v>8204</v>
      </c>
      <c r="F54" s="155">
        <f t="shared" si="36"/>
        <v>9271</v>
      </c>
      <c r="G54" s="156">
        <f t="shared" si="36"/>
        <v>2192</v>
      </c>
      <c r="H54" s="156">
        <f t="shared" si="36"/>
        <v>2303</v>
      </c>
      <c r="I54" s="156">
        <f t="shared" si="36"/>
        <v>3101</v>
      </c>
      <c r="J54" s="156">
        <f t="shared" si="36"/>
        <v>2256</v>
      </c>
      <c r="K54" s="155">
        <f t="shared" si="36"/>
        <v>12044</v>
      </c>
      <c r="L54" s="156">
        <f t="shared" si="36"/>
        <v>3322</v>
      </c>
      <c r="M54" s="156">
        <f t="shared" si="36"/>
        <v>3673</v>
      </c>
      <c r="N54" s="156">
        <f t="shared" si="36"/>
        <v>4155</v>
      </c>
      <c r="O54" s="156">
        <f t="shared" si="36"/>
        <v>3086</v>
      </c>
      <c r="P54" s="155">
        <f t="shared" si="36"/>
        <v>14236</v>
      </c>
      <c r="Q54" s="156">
        <f t="shared" si="36"/>
        <v>3904</v>
      </c>
      <c r="R54" s="156">
        <f t="shared" si="36"/>
        <v>3799</v>
      </c>
      <c r="S54" s="156">
        <f t="shared" si="36"/>
        <v>4433</v>
      </c>
      <c r="T54" s="156">
        <f t="shared" si="36"/>
        <v>3852</v>
      </c>
      <c r="U54" s="155">
        <f t="shared" si="36"/>
        <v>15988</v>
      </c>
      <c r="V54" s="156">
        <f t="shared" si="36"/>
        <v>4702</v>
      </c>
      <c r="W54" s="156">
        <f t="shared" si="36"/>
        <v>4067</v>
      </c>
      <c r="X54" s="156">
        <f t="shared" si="36"/>
        <v>4871</v>
      </c>
      <c r="Y54" s="156">
        <f t="shared" si="36"/>
        <v>3638</v>
      </c>
      <c r="Z54" s="155">
        <f t="shared" si="36"/>
        <v>17278</v>
      </c>
      <c r="AA54" s="156">
        <f t="shared" si="36"/>
        <v>4490</v>
      </c>
      <c r="AB54" s="156">
        <f t="shared" si="36"/>
        <v>4518</v>
      </c>
      <c r="AC54" s="156">
        <f t="shared" si="36"/>
        <v>4588</v>
      </c>
      <c r="AD54" s="156">
        <f t="shared" si="36"/>
        <v>3423</v>
      </c>
      <c r="AE54" s="155">
        <f t="shared" si="36"/>
        <v>17019</v>
      </c>
      <c r="AF54" s="156">
        <f t="shared" si="36"/>
        <v>4629</v>
      </c>
      <c r="AG54" s="156">
        <f t="shared" si="36"/>
        <v>4868</v>
      </c>
      <c r="AH54" s="156">
        <f t="shared" si="36"/>
        <v>4781</v>
      </c>
      <c r="AI54" s="156">
        <f t="shared" ref="AI54:AY54" si="37">INDEX(SP_GF_Rev,0,COLUMN())-INDEX(SP_GF_COGS,0,COLUMN())-INDEX(SP_GF_SGA,0,COLUMN())</f>
        <v>3963</v>
      </c>
      <c r="AJ54" s="155">
        <f t="shared" si="37"/>
        <v>18241</v>
      </c>
      <c r="AK54" s="156">
        <f t="shared" si="37"/>
        <v>4242</v>
      </c>
      <c r="AL54" s="156">
        <f t="shared" si="37"/>
        <v>4602</v>
      </c>
      <c r="AM54" s="156">
        <f t="shared" si="37"/>
        <v>4180</v>
      </c>
      <c r="AN54" s="156">
        <f t="shared" si="37"/>
        <v>3701</v>
      </c>
      <c r="AO54" s="155">
        <f t="shared" si="37"/>
        <v>16722</v>
      </c>
      <c r="AP54" s="156">
        <f t="shared" si="37"/>
        <v>4254</v>
      </c>
      <c r="AQ54" s="156">
        <f t="shared" si="37"/>
        <v>2834</v>
      </c>
      <c r="AR54" s="156">
        <f t="shared" si="37"/>
        <v>1570</v>
      </c>
      <c r="AS54" s="156">
        <f>INDEX(SP_GF_Rev,0,COLUMN())-INDEX(SP_GF_COGS,0,COLUMN())-INDEX(SP_GF_SGA,0,COLUMN())</f>
        <v>1019</v>
      </c>
      <c r="AT54" s="155">
        <f>INDEX(SP_GF_Rev,0,COLUMN())-INDEX(SP_GF_COGS,0,COLUMN())-INDEX(SP_GF_SGA,0,COLUMN())</f>
        <v>9664</v>
      </c>
      <c r="AU54" s="156">
        <f>INDEX(SP_GF_Rev,0,COLUMN())-INDEX(SP_GF_COGS,0,COLUMN())-INDEX(SP_GF_SGA,0,COLUMN())</f>
        <v>1691</v>
      </c>
      <c r="AV54" s="156">
        <f>INDEX(SP_GF_Rev,0,COLUMN())-INDEX(SP_GF_COGS,0,COLUMN())-INDEX(SP_GF_SGA,0,COLUMN())</f>
        <v>2854</v>
      </c>
      <c r="AW54" s="712">
        <f>INDEX(SP_GF_Rev,0,COLUMN())-INDEX(SP_GF_COGS,0,COLUMN())-INDEX(SP_GF_SGA,0,COLUMN())</f>
        <v>2779</v>
      </c>
      <c r="AX54" s="156">
        <f t="shared" si="37"/>
        <v>3302.0012603250002</v>
      </c>
      <c r="AY54" s="155">
        <f t="shared" si="37"/>
        <v>10626.001260324998</v>
      </c>
      <c r="AZ54" s="156">
        <f t="shared" ref="AZ54:BG54" si="38">INDEX(SP_GF_Rev,0,COLUMN())-INDEX(SP_GF_COGS,0,COLUMN())-INDEX(SP_GF_SGA,0,COLUMN())</f>
        <v>4904.3029999999999</v>
      </c>
      <c r="BA54" s="156">
        <f t="shared" si="38"/>
        <v>3679.3620000000001</v>
      </c>
      <c r="BB54" s="156">
        <f t="shared" si="38"/>
        <v>4394.5774000000001</v>
      </c>
      <c r="BC54" s="156">
        <f t="shared" si="38"/>
        <v>4719.9656650000015</v>
      </c>
      <c r="BD54" s="155">
        <f t="shared" si="38"/>
        <v>17698.208065000006</v>
      </c>
      <c r="BE54" s="155">
        <f t="shared" si="38"/>
        <v>21567.552553463756</v>
      </c>
      <c r="BF54" s="155">
        <f t="shared" si="38"/>
        <v>22828.432501000858</v>
      </c>
      <c r="BG54" s="155">
        <f t="shared" si="38"/>
        <v>23898.351194090443</v>
      </c>
      <c r="BH54" s="158"/>
    </row>
    <row r="55" spans="1:60" s="377" customFormat="1" x14ac:dyDescent="0.25">
      <c r="A55" s="240" t="str">
        <f>INDEX(MO_RIS_SBC,0,COLUMN())</f>
        <v>SBC</v>
      </c>
      <c r="B55" s="241"/>
      <c r="C55" s="153">
        <f t="shared" ref="C55:AH55" si="39">INDEX(MO_RIS_SBC,0,COLUMN())</f>
        <v>361</v>
      </c>
      <c r="D55" s="153">
        <f t="shared" si="39"/>
        <v>391</v>
      </c>
      <c r="E55" s="153">
        <f t="shared" si="39"/>
        <v>423</v>
      </c>
      <c r="F55" s="153">
        <f t="shared" si="39"/>
        <v>408</v>
      </c>
      <c r="G55" s="154">
        <f t="shared" si="39"/>
        <v>100</v>
      </c>
      <c r="H55" s="154">
        <f t="shared" si="39"/>
        <v>108</v>
      </c>
      <c r="I55" s="154">
        <f t="shared" si="39"/>
        <v>97</v>
      </c>
      <c r="J55" s="154">
        <f t="shared" si="39"/>
        <v>97</v>
      </c>
      <c r="K55" s="153">
        <f t="shared" si="39"/>
        <v>402</v>
      </c>
      <c r="L55" s="154">
        <f t="shared" si="39"/>
        <v>96</v>
      </c>
      <c r="M55" s="154">
        <f t="shared" si="39"/>
        <v>112</v>
      </c>
      <c r="N55" s="154">
        <f t="shared" si="39"/>
        <v>100</v>
      </c>
      <c r="O55" s="154">
        <f t="shared" si="39"/>
        <v>100</v>
      </c>
      <c r="P55" s="153">
        <f t="shared" si="39"/>
        <v>408</v>
      </c>
      <c r="Q55" s="154">
        <f t="shared" si="39"/>
        <v>104</v>
      </c>
      <c r="R55" s="154">
        <f t="shared" si="39"/>
        <v>109</v>
      </c>
      <c r="S55" s="154">
        <f t="shared" si="39"/>
        <v>96</v>
      </c>
      <c r="T55" s="154">
        <f t="shared" si="39"/>
        <v>101</v>
      </c>
      <c r="U55" s="153">
        <f t="shared" si="39"/>
        <v>410</v>
      </c>
      <c r="V55" s="154">
        <f t="shared" si="39"/>
        <v>106</v>
      </c>
      <c r="W55" s="154">
        <f t="shared" si="39"/>
        <v>99</v>
      </c>
      <c r="X55" s="154">
        <f t="shared" si="39"/>
        <v>100</v>
      </c>
      <c r="Y55" s="154">
        <f t="shared" si="39"/>
        <v>88</v>
      </c>
      <c r="Z55" s="153">
        <f t="shared" si="39"/>
        <v>393</v>
      </c>
      <c r="AA55" s="154">
        <f t="shared" si="39"/>
        <v>97</v>
      </c>
      <c r="AB55" s="154">
        <f t="shared" si="39"/>
        <v>92</v>
      </c>
      <c r="AC55" s="154">
        <f t="shared" si="39"/>
        <v>89</v>
      </c>
      <c r="AD55" s="154">
        <f t="shared" si="39"/>
        <v>86</v>
      </c>
      <c r="AE55" s="153">
        <f t="shared" si="39"/>
        <v>364</v>
      </c>
      <c r="AF55" s="154">
        <f t="shared" si="39"/>
        <v>94</v>
      </c>
      <c r="AG55" s="154">
        <f t="shared" si="39"/>
        <v>100</v>
      </c>
      <c r="AH55" s="154">
        <f t="shared" si="39"/>
        <v>113</v>
      </c>
      <c r="AI55" s="154">
        <f t="shared" ref="AI55:AY55" si="40">INDEX(MO_RIS_SBC,0,COLUMN())</f>
        <v>86</v>
      </c>
      <c r="AJ55" s="153">
        <f t="shared" si="40"/>
        <v>393</v>
      </c>
      <c r="AK55" s="154">
        <f t="shared" si="40"/>
        <v>92</v>
      </c>
      <c r="AL55" s="154">
        <f t="shared" si="40"/>
        <v>383</v>
      </c>
      <c r="AM55" s="154">
        <f t="shared" si="40"/>
        <v>116</v>
      </c>
      <c r="AN55" s="154">
        <f t="shared" si="40"/>
        <v>120</v>
      </c>
      <c r="AO55" s="153">
        <f t="shared" si="40"/>
        <v>711</v>
      </c>
      <c r="AP55" s="154">
        <f t="shared" si="40"/>
        <v>115</v>
      </c>
      <c r="AQ55" s="154">
        <f t="shared" si="40"/>
        <v>131</v>
      </c>
      <c r="AR55" s="154">
        <f t="shared" si="40"/>
        <v>142</v>
      </c>
      <c r="AS55" s="154">
        <f>INDEX(MO_RIS_SBC,0,COLUMN())</f>
        <v>137</v>
      </c>
      <c r="AT55" s="153">
        <f>INDEX(MO_RIS_SBC,0,COLUMN())</f>
        <v>525</v>
      </c>
      <c r="AU55" s="154">
        <f>INDEX(MO_RIS_SBC,0,COLUMN())</f>
        <v>134</v>
      </c>
      <c r="AV55" s="154">
        <f>INDEX(MO_RIS_SBC,0,COLUMN())</f>
        <v>136</v>
      </c>
      <c r="AW55" s="711">
        <f>INDEX(MO_RIS_SBC,0,COLUMN())</f>
        <v>158</v>
      </c>
      <c r="AX55" s="154">
        <f t="shared" si="40"/>
        <v>150</v>
      </c>
      <c r="AY55" s="153">
        <f t="shared" si="40"/>
        <v>578</v>
      </c>
      <c r="AZ55" s="154">
        <f t="shared" ref="AZ55:BG55" si="41">INDEX(MO_RIS_SBC,0,COLUMN())</f>
        <v>150</v>
      </c>
      <c r="BA55" s="154">
        <f t="shared" si="41"/>
        <v>150</v>
      </c>
      <c r="BB55" s="154">
        <f t="shared" si="41"/>
        <v>150</v>
      </c>
      <c r="BC55" s="154">
        <f t="shared" si="41"/>
        <v>150</v>
      </c>
      <c r="BD55" s="153">
        <f t="shared" si="41"/>
        <v>600</v>
      </c>
      <c r="BE55" s="153">
        <f t="shared" si="41"/>
        <v>600</v>
      </c>
      <c r="BF55" s="153">
        <f t="shared" si="41"/>
        <v>600</v>
      </c>
      <c r="BG55" s="153">
        <f t="shared" si="41"/>
        <v>600</v>
      </c>
      <c r="BH55" s="154"/>
    </row>
    <row r="56" spans="1:60" s="377" customFormat="1" x14ac:dyDescent="0.25">
      <c r="A56" s="240" t="str">
        <f>INDEX(MO_RIS_DA,0,COLUMN())</f>
        <v>D&amp;A</v>
      </c>
      <c r="B56" s="241"/>
      <c r="C56" s="153">
        <f t="shared" ref="C56:AH56" si="42">INDEX(MO_RIS_DA,0,COLUMN())+INDEX(MO_RIS_DAintangibles,0,COLUMN())</f>
        <v>0</v>
      </c>
      <c r="D56" s="153">
        <f t="shared" si="42"/>
        <v>0</v>
      </c>
      <c r="E56" s="153">
        <f t="shared" si="42"/>
        <v>0</v>
      </c>
      <c r="F56" s="153">
        <f t="shared" si="42"/>
        <v>0</v>
      </c>
      <c r="G56" s="154">
        <f t="shared" si="42"/>
        <v>0</v>
      </c>
      <c r="H56" s="154">
        <f t="shared" si="42"/>
        <v>0</v>
      </c>
      <c r="I56" s="154">
        <f t="shared" si="42"/>
        <v>0</v>
      </c>
      <c r="J56" s="154">
        <f t="shared" si="42"/>
        <v>0</v>
      </c>
      <c r="K56" s="153">
        <f t="shared" si="42"/>
        <v>2192</v>
      </c>
      <c r="L56" s="154">
        <f t="shared" si="42"/>
        <v>561</v>
      </c>
      <c r="M56" s="154">
        <f t="shared" si="42"/>
        <v>580</v>
      </c>
      <c r="N56" s="154">
        <f t="shared" si="42"/>
        <v>557</v>
      </c>
      <c r="O56" s="154">
        <f t="shared" si="42"/>
        <v>590</v>
      </c>
      <c r="P56" s="153">
        <f t="shared" si="42"/>
        <v>2288</v>
      </c>
      <c r="Q56" s="154">
        <f t="shared" si="42"/>
        <v>592</v>
      </c>
      <c r="R56" s="154">
        <f t="shared" si="42"/>
        <v>584</v>
      </c>
      <c r="S56" s="154">
        <f t="shared" si="42"/>
        <v>575</v>
      </c>
      <c r="T56" s="154">
        <f t="shared" si="42"/>
        <v>603</v>
      </c>
      <c r="U56" s="153">
        <f t="shared" si="42"/>
        <v>2354</v>
      </c>
      <c r="V56" s="154">
        <f t="shared" si="42"/>
        <v>607</v>
      </c>
      <c r="W56" s="154">
        <f t="shared" si="42"/>
        <v>605</v>
      </c>
      <c r="X56" s="154">
        <f t="shared" si="42"/>
        <v>626</v>
      </c>
      <c r="Y56" s="154">
        <f t="shared" si="42"/>
        <v>689</v>
      </c>
      <c r="Z56" s="153">
        <f t="shared" si="42"/>
        <v>2527</v>
      </c>
      <c r="AA56" s="154">
        <f t="shared" si="42"/>
        <v>687</v>
      </c>
      <c r="AB56" s="154">
        <f t="shared" si="42"/>
        <v>676</v>
      </c>
      <c r="AC56" s="154">
        <f t="shared" si="42"/>
        <v>711</v>
      </c>
      <c r="AD56" s="154">
        <f t="shared" si="42"/>
        <v>708</v>
      </c>
      <c r="AE56" s="153">
        <f t="shared" si="42"/>
        <v>2782</v>
      </c>
      <c r="AF56" s="154">
        <f t="shared" si="42"/>
        <v>742</v>
      </c>
      <c r="AG56" s="154">
        <f t="shared" si="42"/>
        <v>731</v>
      </c>
      <c r="AH56" s="154">
        <f t="shared" si="42"/>
        <v>744</v>
      </c>
      <c r="AI56" s="154">
        <f t="shared" ref="AI56:AY56" si="43">INDEX(MO_RIS_DA,0,COLUMN())+INDEX(MO_RIS_DAintangibles,0,COLUMN())</f>
        <v>794</v>
      </c>
      <c r="AJ56" s="153">
        <f t="shared" si="43"/>
        <v>3011</v>
      </c>
      <c r="AK56" s="154">
        <f t="shared" si="43"/>
        <v>732</v>
      </c>
      <c r="AL56" s="154">
        <f t="shared" si="43"/>
        <v>828</v>
      </c>
      <c r="AM56" s="154">
        <f t="shared" si="43"/>
        <v>1304</v>
      </c>
      <c r="AN56" s="154">
        <f t="shared" si="43"/>
        <v>1296</v>
      </c>
      <c r="AO56" s="153">
        <f t="shared" si="43"/>
        <v>4160</v>
      </c>
      <c r="AP56" s="154">
        <f t="shared" si="43"/>
        <v>1298</v>
      </c>
      <c r="AQ56" s="154">
        <f t="shared" si="43"/>
        <v>1333</v>
      </c>
      <c r="AR56" s="154">
        <f t="shared" si="43"/>
        <v>1377</v>
      </c>
      <c r="AS56" s="154">
        <f>INDEX(MO_RIS_DA,0,COLUMN())+INDEX(MO_RIS_DAintangibles,0,COLUMN())</f>
        <v>1335</v>
      </c>
      <c r="AT56" s="153">
        <f>INDEX(MO_RIS_DA,0,COLUMN())+INDEX(MO_RIS_DAintangibles,0,COLUMN())</f>
        <v>5345</v>
      </c>
      <c r="AU56" s="154">
        <f>INDEX(MO_RIS_DA,0,COLUMN())+INDEX(MO_RIS_DAintangibles,0,COLUMN())</f>
        <v>1298</v>
      </c>
      <c r="AV56" s="154">
        <f>INDEX(MO_RIS_DA,0,COLUMN())+INDEX(MO_RIS_DAintangibles,0,COLUMN())</f>
        <v>1272</v>
      </c>
      <c r="AW56" s="711">
        <f>INDEX(MO_RIS_DA,0,COLUMN())+INDEX(MO_RIS_DAintangibles,0,COLUMN())</f>
        <v>1266</v>
      </c>
      <c r="AX56" s="154">
        <f t="shared" si="43"/>
        <v>1330</v>
      </c>
      <c r="AY56" s="153">
        <f t="shared" si="43"/>
        <v>5166</v>
      </c>
      <c r="AZ56" s="154">
        <f t="shared" ref="AZ56:BG56" si="44">INDEX(MO_RIS_DA,0,COLUMN())+INDEX(MO_RIS_DAintangibles,0,COLUMN())</f>
        <v>1330</v>
      </c>
      <c r="BA56" s="154">
        <f t="shared" si="44"/>
        <v>1330</v>
      </c>
      <c r="BB56" s="154">
        <f t="shared" si="44"/>
        <v>1330</v>
      </c>
      <c r="BC56" s="154">
        <f t="shared" si="44"/>
        <v>1330</v>
      </c>
      <c r="BD56" s="153">
        <f t="shared" si="44"/>
        <v>5320</v>
      </c>
      <c r="BE56" s="153">
        <f t="shared" si="44"/>
        <v>5220</v>
      </c>
      <c r="BF56" s="153">
        <f t="shared" si="44"/>
        <v>5220</v>
      </c>
      <c r="BG56" s="153">
        <f t="shared" si="44"/>
        <v>5220</v>
      </c>
      <c r="BH56" s="154"/>
    </row>
    <row r="57" spans="1:60" s="377" customFormat="1" x14ac:dyDescent="0.25">
      <c r="A57" s="240" t="str">
        <f>INDEX(MO_RIS_IE,0,COLUMN())</f>
        <v>Interest expense</v>
      </c>
      <c r="B57" s="241"/>
      <c r="C57" s="153">
        <f>IFERROR(INDEX(MO_RIS_IE_Net,0,COLUMN()),INDEX(MO_RIS_IE,0,COLUMN())+INDEX(MO_RIS_II,0,COLUMN()))</f>
        <v>466</v>
      </c>
      <c r="D57" s="153">
        <f>IFERROR(INDEX(MO_RIS_IE_Net,0,COLUMN()),INDEX(MO_RIS_IE,0,COLUMN())+INDEX(MO_RIS_II,0,COLUMN()))</f>
        <v>409</v>
      </c>
      <c r="E57" s="153">
        <f>IFERROR(INDEX(MO_RIS_IE_Net,0,COLUMN()),INDEX(MO_RIS_IE,0,COLUMN())+INDEX(MO_RIS_II,0,COLUMN()))</f>
        <v>343</v>
      </c>
      <c r="F57" s="153">
        <f>IFERROR(INDEX(MO_RIS_IE_Net,0,COLUMN()),INDEX(MO_RIS_IE,0,COLUMN())+INDEX(MO_RIS_II,0,COLUMN()))</f>
        <v>369</v>
      </c>
      <c r="G57" s="154">
        <f>IFERROR(INDEX(MO_RIS_IE_Net,0,COLUMN()),INDEX(MO_RIS_IE,0,COLUMN())+INDEX(MO_RIS_II,0,COLUMN()))</f>
        <v>72</v>
      </c>
      <c r="H57" s="154">
        <f>IFERROR(INDEX(MO_RIS_IE_Net,0,COLUMN()),INDEX(MO_RIS_IE,0,COLUMN())+INDEX(MO_RIS_II,0,COLUMN()))</f>
        <v>54</v>
      </c>
      <c r="I57" s="154">
        <f>IFERROR(INDEX(MO_RIS_IE_Net,0,COLUMN()),INDEX(MO_RIS_IE,0,COLUMN())+INDEX(MO_RIS_II,0,COLUMN()))</f>
        <v>83</v>
      </c>
      <c r="J57" s="154">
        <f>IFERROR(INDEX(MO_RIS_IE_Net,0,COLUMN()),INDEX(MO_RIS_IE,0,COLUMN())+INDEX(MO_RIS_II,0,COLUMN()))</f>
        <v>26</v>
      </c>
      <c r="K57" s="153">
        <f>IFERROR(INDEX(MO_RIS_IE_Net,0,COLUMN()),INDEX(MO_RIS_IE,0,COLUMN())+INDEX(MO_RIS_II,0,COLUMN()))</f>
        <v>235</v>
      </c>
      <c r="L57" s="154">
        <f>IFERROR(INDEX(MO_RIS_IE_Net,0,COLUMN()),INDEX(MO_RIS_IE,0,COLUMN())+INDEX(MO_RIS_II,0,COLUMN()))</f>
        <v>-49</v>
      </c>
      <c r="M57" s="154">
        <f>IFERROR(INDEX(MO_RIS_IE_Net,0,COLUMN()),INDEX(MO_RIS_IE,0,COLUMN())+INDEX(MO_RIS_II,0,COLUMN()))</f>
        <v>-62</v>
      </c>
      <c r="N57" s="154">
        <f>IFERROR(INDEX(MO_RIS_IE_Net,0,COLUMN()),INDEX(MO_RIS_IE,0,COLUMN())+INDEX(MO_RIS_II,0,COLUMN()))</f>
        <v>50</v>
      </c>
      <c r="O57" s="154">
        <f>IFERROR(INDEX(MO_RIS_IE_Net,0,COLUMN()),INDEX(MO_RIS_IE,0,COLUMN())+INDEX(MO_RIS_II,0,COLUMN()))</f>
        <v>38</v>
      </c>
      <c r="P57" s="153">
        <f>IFERROR(INDEX(MO_RIS_IE_Net,0,COLUMN()),INDEX(MO_RIS_IE,0,COLUMN())+INDEX(MO_RIS_II,0,COLUMN()))</f>
        <v>-23</v>
      </c>
      <c r="Q57" s="154">
        <f>IFERROR(INDEX(MO_RIS_IE_Net,0,COLUMN()),INDEX(MO_RIS_IE,0,COLUMN())+INDEX(MO_RIS_II,0,COLUMN()))</f>
        <v>58</v>
      </c>
      <c r="R57" s="154">
        <f>IFERROR(INDEX(MO_RIS_IE_Net,0,COLUMN()),INDEX(MO_RIS_IE,0,COLUMN())+INDEX(MO_RIS_II,0,COLUMN()))</f>
        <v>-8</v>
      </c>
      <c r="S57" s="154">
        <f>IFERROR(INDEX(MO_RIS_IE_Net,0,COLUMN()),INDEX(MO_RIS_IE,0,COLUMN())+INDEX(MO_RIS_II,0,COLUMN()))</f>
        <v>12</v>
      </c>
      <c r="T57" s="154">
        <f>IFERROR(INDEX(MO_RIS_IE_Net,0,COLUMN()),INDEX(MO_RIS_IE,0,COLUMN())+INDEX(MO_RIS_II,0,COLUMN()))</f>
        <v>55</v>
      </c>
      <c r="U57" s="153">
        <f>IFERROR(INDEX(MO_RIS_IE_Net,0,COLUMN()),INDEX(MO_RIS_IE,0,COLUMN())+INDEX(MO_RIS_II,0,COLUMN()))</f>
        <v>117</v>
      </c>
      <c r="V57" s="154">
        <f>IFERROR(INDEX(MO_RIS_IE_Net,0,COLUMN()),INDEX(MO_RIS_IE,0,COLUMN())+INDEX(MO_RIS_II,0,COLUMN()))</f>
        <v>24</v>
      </c>
      <c r="W57" s="154">
        <f>IFERROR(INDEX(MO_RIS_IE_Net,0,COLUMN()),INDEX(MO_RIS_IE,0,COLUMN())+INDEX(MO_RIS_II,0,COLUMN()))</f>
        <v>67</v>
      </c>
      <c r="X57" s="154">
        <f>IFERROR(INDEX(MO_RIS_IE_Net,0,COLUMN()),INDEX(MO_RIS_IE,0,COLUMN())+INDEX(MO_RIS_II,0,COLUMN()))</f>
        <v>70</v>
      </c>
      <c r="Y57" s="154">
        <f>IFERROR(INDEX(MO_RIS_IE_Net,0,COLUMN()),INDEX(MO_RIS_IE,0,COLUMN())+INDEX(MO_RIS_II,0,COLUMN()))</f>
        <v>99</v>
      </c>
      <c r="Z57" s="153">
        <f>IFERROR(INDEX(MO_RIS_IE_Net,0,COLUMN()),INDEX(MO_RIS_IE,0,COLUMN())+INDEX(MO_RIS_II,0,COLUMN()))</f>
        <v>260</v>
      </c>
      <c r="AA57" s="154">
        <f>IFERROR(INDEX(MO_RIS_IE_Net,0,COLUMN()),INDEX(MO_RIS_IE,0,COLUMN())+INDEX(MO_RIS_II,0,COLUMN()))</f>
        <v>99</v>
      </c>
      <c r="AB57" s="154">
        <f>IFERROR(INDEX(MO_RIS_IE_Net,0,COLUMN()),INDEX(MO_RIS_IE,0,COLUMN())+INDEX(MO_RIS_II,0,COLUMN()))</f>
        <v>84</v>
      </c>
      <c r="AC57" s="154">
        <f>IFERROR(INDEX(MO_RIS_IE_Net,0,COLUMN()),INDEX(MO_RIS_IE,0,COLUMN())+INDEX(MO_RIS_II,0,COLUMN()))</f>
        <v>117</v>
      </c>
      <c r="AD57" s="154">
        <f>IFERROR(INDEX(MO_RIS_IE_Net,0,COLUMN()),INDEX(MO_RIS_IE,0,COLUMN())+INDEX(MO_RIS_II,0,COLUMN()))</f>
        <v>85</v>
      </c>
      <c r="AE57" s="153">
        <f>IFERROR(INDEX(MO_RIS_IE_Net,0,COLUMN()),INDEX(MO_RIS_IE,0,COLUMN())+INDEX(MO_RIS_II,0,COLUMN()))</f>
        <v>385</v>
      </c>
      <c r="AF57" s="154">
        <f>IFERROR(INDEX(MO_RIS_IE_Net,0,COLUMN()),INDEX(MO_RIS_IE,0,COLUMN())+INDEX(MO_RIS_II,0,COLUMN()))</f>
        <v>129</v>
      </c>
      <c r="AG57" s="154">
        <f>IFERROR(INDEX(MO_RIS_IE_Net,0,COLUMN()),INDEX(MO_RIS_IE,0,COLUMN())+INDEX(MO_RIS_II,0,COLUMN()))</f>
        <v>143</v>
      </c>
      <c r="AH57" s="154">
        <f>IFERROR(INDEX(MO_RIS_IE_Net,0,COLUMN()),INDEX(MO_RIS_IE,0,COLUMN())+INDEX(MO_RIS_II,0,COLUMN()))</f>
        <v>143</v>
      </c>
      <c r="AI57" s="154">
        <f>IFERROR(INDEX(MO_RIS_IE_Net,0,COLUMN()),INDEX(MO_RIS_IE,0,COLUMN())+INDEX(MO_RIS_II,0,COLUMN()))</f>
        <v>159</v>
      </c>
      <c r="AJ57" s="153">
        <f>IFERROR(INDEX(MO_RIS_IE_Net,0,COLUMN()),INDEX(MO_RIS_IE,0,COLUMN())+INDEX(MO_RIS_II,0,COLUMN()))</f>
        <v>574</v>
      </c>
      <c r="AK57" s="154">
        <f>IFERROR(INDEX(MO_RIS_IE_Net,0,COLUMN()),INDEX(MO_RIS_IE,0,COLUMN())+INDEX(MO_RIS_II,0,COLUMN()))</f>
        <v>63</v>
      </c>
      <c r="AL57" s="154">
        <f>IFERROR(INDEX(MO_RIS_IE_Net,0,COLUMN()),INDEX(MO_RIS_IE,0,COLUMN())+INDEX(MO_RIS_II,0,COLUMN()))</f>
        <v>143</v>
      </c>
      <c r="AM57" s="154">
        <f>IFERROR(INDEX(MO_RIS_IE_Net,0,COLUMN()),INDEX(MO_RIS_IE,0,COLUMN())+INDEX(MO_RIS_II,0,COLUMN()))</f>
        <v>411</v>
      </c>
      <c r="AN57" s="154">
        <f>IFERROR(INDEX(MO_RIS_IE_Net,0,COLUMN()),INDEX(MO_RIS_IE,0,COLUMN())+INDEX(MO_RIS_II,0,COLUMN()))</f>
        <v>361</v>
      </c>
      <c r="AO57" s="153">
        <f>IFERROR(INDEX(MO_RIS_IE_Net,0,COLUMN()),INDEX(MO_RIS_IE,0,COLUMN())+INDEX(MO_RIS_II,0,COLUMN()))</f>
        <v>978</v>
      </c>
      <c r="AP57" s="154">
        <f>IFERROR(INDEX(MO_RIS_IE_Net,0,COLUMN()),INDEX(MO_RIS_IE,0,COLUMN())+INDEX(MO_RIS_II,0,COLUMN()))</f>
        <v>283</v>
      </c>
      <c r="AQ57" s="154">
        <f>IFERROR(INDEX(MO_RIS_IE_Net,0,COLUMN()),INDEX(MO_RIS_IE,0,COLUMN())+INDEX(MO_RIS_II,0,COLUMN()))</f>
        <v>300</v>
      </c>
      <c r="AR57" s="154">
        <f>IFERROR(INDEX(MO_RIS_IE_Net,0,COLUMN()),INDEX(MO_RIS_IE,0,COLUMN())+INDEX(MO_RIS_II,0,COLUMN()))</f>
        <v>412</v>
      </c>
      <c r="AS57" s="154">
        <f>IFERROR(INDEX(MO_RIS_IE_Net,0,COLUMN()),INDEX(MO_RIS_IE,0,COLUMN())+INDEX(MO_RIS_II,0,COLUMN()))</f>
        <v>496</v>
      </c>
      <c r="AT57" s="153">
        <f>IFERROR(INDEX(MO_RIS_IE_Net,0,COLUMN()),INDEX(MO_RIS_IE,0,COLUMN())+INDEX(MO_RIS_II,0,COLUMN()))</f>
        <v>1491</v>
      </c>
      <c r="AU57" s="154">
        <f>IFERROR(INDEX(MO_RIS_IE_Net,0,COLUMN()),INDEX(MO_RIS_IE,0,COLUMN())+INDEX(MO_RIS_II,0,COLUMN()))</f>
        <v>324</v>
      </c>
      <c r="AV57" s="154">
        <f>IFERROR(INDEX(MO_RIS_IE_Net,0,COLUMN()),INDEX(MO_RIS_IE,0,COLUMN())+INDEX(MO_RIS_II,0,COLUMN()))</f>
        <v>320</v>
      </c>
      <c r="AW57" s="711">
        <f>IFERROR(INDEX(MO_RIS_IE_Net,0,COLUMN()),INDEX(MO_RIS_IE,0,COLUMN())+INDEX(MO_RIS_II,0,COLUMN()))</f>
        <v>445</v>
      </c>
      <c r="AX57" s="154">
        <f>IFERROR(INDEX(MO_RIS_IE_Net,0,COLUMN()),INDEX(MO_RIS_IE,0,COLUMN())+INDEX(MO_RIS_II,0,COLUMN()))</f>
        <v>381.6084383561643</v>
      </c>
      <c r="AY57" s="153">
        <f>IFERROR(INDEX(MO_RIS_IE_Net,0,COLUMN()),INDEX(MO_RIS_IE,0,COLUMN())+INDEX(MO_RIS_II,0,COLUMN()))</f>
        <v>1470.6084383561642</v>
      </c>
      <c r="AZ57" s="154">
        <f ca="1">IFERROR(INDEX(MO_RIS_IE_Net,0,COLUMN()),INDEX(MO_RIS_IE,0,COLUMN())+INDEX(MO_RIS_II,0,COLUMN()))</f>
        <v>379.16740834251539</v>
      </c>
      <c r="BA57" s="154">
        <f ca="1">IFERROR(INDEX(MO_RIS_IE_Net,0,COLUMN()),INDEX(MO_RIS_IE,0,COLUMN())+INDEX(MO_RIS_II,0,COLUMN()))</f>
        <v>371.65300825819008</v>
      </c>
      <c r="BB57" s="154">
        <f ca="1">IFERROR(INDEX(MO_RIS_IE_Net,0,COLUMN()),INDEX(MO_RIS_IE,0,COLUMN())+INDEX(MO_RIS_II,0,COLUMN()))</f>
        <v>369.10359146116662</v>
      </c>
      <c r="BC57" s="154">
        <f ca="1">IFERROR(INDEX(MO_RIS_IE_Net,0,COLUMN()),INDEX(MO_RIS_IE,0,COLUMN())+INDEX(MO_RIS_II,0,COLUMN()))</f>
        <v>365.98699211227176</v>
      </c>
      <c r="BD57" s="153">
        <f ca="1">IFERROR(INDEX(MO_RIS_IE_Net,0,COLUMN()),INDEX(MO_RIS_IE,0,COLUMN())+INDEX(MO_RIS_II,0,COLUMN()))</f>
        <v>1485.9110001741437</v>
      </c>
      <c r="BE57" s="153">
        <f ca="1">IFERROR(INDEX(MO_RIS_IE_Net,0,COLUMN()),INDEX(MO_RIS_IE,0,COLUMN())+INDEX(MO_RIS_II,0,COLUMN()))</f>
        <v>1456.7473932149737</v>
      </c>
      <c r="BF57" s="153">
        <f ca="1">IFERROR(INDEX(MO_RIS_IE_Net,0,COLUMN()),INDEX(MO_RIS_IE,0,COLUMN())+INDEX(MO_RIS_II,0,COLUMN()))</f>
        <v>1363.9720275873988</v>
      </c>
      <c r="BG57" s="153">
        <f ca="1">IFERROR(INDEX(MO_RIS_IE_Net,0,COLUMN()),INDEX(MO_RIS_IE,0,COLUMN())+INDEX(MO_RIS_II,0,COLUMN()))</f>
        <v>1261.2204857386503</v>
      </c>
      <c r="BH57" s="154"/>
    </row>
    <row r="58" spans="1:60" s="377" customFormat="1" x14ac:dyDescent="0.25">
      <c r="A58" s="247" t="str">
        <f>INDEX(MO_RIS_EI,0,COLUMN())</f>
        <v>Earnings from Equity Investments</v>
      </c>
      <c r="B58" s="241"/>
      <c r="C58" s="153">
        <f t="shared" ref="C58:AH58" si="45">INDEX(MO_RIS_EI,0,COLUMN())</f>
        <v>-577</v>
      </c>
      <c r="D58" s="153">
        <f t="shared" si="45"/>
        <v>-440</v>
      </c>
      <c r="E58" s="153">
        <f t="shared" si="45"/>
        <v>-585</v>
      </c>
      <c r="F58" s="153">
        <f t="shared" si="45"/>
        <v>-627</v>
      </c>
      <c r="G58" s="154">
        <f t="shared" si="45"/>
        <v>-110</v>
      </c>
      <c r="H58" s="154">
        <f t="shared" si="45"/>
        <v>-185</v>
      </c>
      <c r="I58" s="154">
        <f t="shared" si="45"/>
        <v>-232</v>
      </c>
      <c r="J58" s="154">
        <f t="shared" si="45"/>
        <v>-161</v>
      </c>
      <c r="K58" s="153">
        <f t="shared" si="45"/>
        <v>-688</v>
      </c>
      <c r="L58" s="154">
        <f t="shared" si="45"/>
        <v>-239</v>
      </c>
      <c r="M58" s="154">
        <f t="shared" si="45"/>
        <v>-217</v>
      </c>
      <c r="N58" s="154">
        <f t="shared" si="45"/>
        <v>-222</v>
      </c>
      <c r="O58" s="154">
        <f t="shared" si="45"/>
        <v>-176</v>
      </c>
      <c r="P58" s="153">
        <f t="shared" si="45"/>
        <v>-854</v>
      </c>
      <c r="Q58" s="154">
        <f t="shared" si="45"/>
        <v>-212</v>
      </c>
      <c r="R58" s="154">
        <f t="shared" si="45"/>
        <v>-206</v>
      </c>
      <c r="S58" s="154">
        <f t="shared" si="45"/>
        <v>-212</v>
      </c>
      <c r="T58" s="154">
        <f t="shared" si="45"/>
        <v>-184</v>
      </c>
      <c r="U58" s="153">
        <f t="shared" si="45"/>
        <v>-814</v>
      </c>
      <c r="V58" s="154">
        <f t="shared" si="45"/>
        <v>-474</v>
      </c>
      <c r="W58" s="154">
        <f t="shared" si="45"/>
        <v>-150</v>
      </c>
      <c r="X58" s="154">
        <f t="shared" si="45"/>
        <v>-152</v>
      </c>
      <c r="Y58" s="154">
        <f t="shared" si="45"/>
        <v>-150</v>
      </c>
      <c r="Z58" s="153">
        <f t="shared" si="45"/>
        <v>-926</v>
      </c>
      <c r="AA58" s="154">
        <f t="shared" si="45"/>
        <v>-118</v>
      </c>
      <c r="AB58" s="154">
        <f t="shared" si="45"/>
        <v>-85</v>
      </c>
      <c r="AC58" s="154">
        <f t="shared" si="45"/>
        <v>-124</v>
      </c>
      <c r="AD58" s="154">
        <f t="shared" si="45"/>
        <v>7</v>
      </c>
      <c r="AE58" s="153">
        <f t="shared" si="45"/>
        <v>-320</v>
      </c>
      <c r="AF58" s="154">
        <f t="shared" si="45"/>
        <v>-43</v>
      </c>
      <c r="AG58" s="154">
        <f t="shared" si="45"/>
        <v>-6</v>
      </c>
      <c r="AH58" s="154">
        <f t="shared" si="45"/>
        <v>-73</v>
      </c>
      <c r="AI58" s="154">
        <f t="shared" ref="AI58:AY58" si="46">INDEX(MO_RIS_EI,0,COLUMN())</f>
        <v>224</v>
      </c>
      <c r="AJ58" s="153">
        <f t="shared" si="46"/>
        <v>102</v>
      </c>
      <c r="AK58" s="154">
        <f t="shared" si="46"/>
        <v>-76</v>
      </c>
      <c r="AL58" s="154">
        <f t="shared" si="46"/>
        <v>312</v>
      </c>
      <c r="AM58" s="154">
        <f t="shared" si="46"/>
        <v>1</v>
      </c>
      <c r="AN58" s="154">
        <f t="shared" si="46"/>
        <v>-131</v>
      </c>
      <c r="AO58" s="153">
        <f t="shared" si="46"/>
        <v>103</v>
      </c>
      <c r="AP58" s="154">
        <f t="shared" si="46"/>
        <v>-224</v>
      </c>
      <c r="AQ58" s="154">
        <f t="shared" si="46"/>
        <v>-135</v>
      </c>
      <c r="AR58" s="154">
        <f t="shared" si="46"/>
        <v>-186</v>
      </c>
      <c r="AS58" s="154">
        <f>INDEX(MO_RIS_EI,0,COLUMN())</f>
        <v>-106</v>
      </c>
      <c r="AT58" s="153">
        <f>INDEX(MO_RIS_EI,0,COLUMN())</f>
        <v>-651</v>
      </c>
      <c r="AU58" s="154">
        <f>INDEX(MO_RIS_EI,0,COLUMN())</f>
        <v>-224</v>
      </c>
      <c r="AV58" s="154">
        <f>INDEX(MO_RIS_EI,0,COLUMN())</f>
        <v>-213</v>
      </c>
      <c r="AW58" s="711">
        <f>INDEX(MO_RIS_EI,0,COLUMN())</f>
        <v>-211</v>
      </c>
      <c r="AX58" s="154">
        <f t="shared" si="46"/>
        <v>-186</v>
      </c>
      <c r="AY58" s="153">
        <f t="shared" si="46"/>
        <v>-834</v>
      </c>
      <c r="AZ58" s="154">
        <f t="shared" ref="AZ58:BG58" si="47">INDEX(MO_RIS_EI,0,COLUMN())</f>
        <v>-186</v>
      </c>
      <c r="BA58" s="154">
        <f t="shared" si="47"/>
        <v>-186</v>
      </c>
      <c r="BB58" s="154">
        <f t="shared" si="47"/>
        <v>-186</v>
      </c>
      <c r="BC58" s="154">
        <f t="shared" si="47"/>
        <v>-186</v>
      </c>
      <c r="BD58" s="153">
        <f t="shared" si="47"/>
        <v>-744</v>
      </c>
      <c r="BE58" s="153">
        <f t="shared" si="47"/>
        <v>-744</v>
      </c>
      <c r="BF58" s="153">
        <f t="shared" si="47"/>
        <v>-744</v>
      </c>
      <c r="BG58" s="153">
        <f t="shared" si="47"/>
        <v>-744</v>
      </c>
      <c r="BH58" s="154"/>
    </row>
    <row r="59" spans="1:60" s="377" customFormat="1" x14ac:dyDescent="0.25">
      <c r="A59" s="240" t="s">
        <v>425</v>
      </c>
      <c r="B59" s="241"/>
      <c r="C59" s="153">
        <f t="shared" ref="C59:AH59" si="48">INDEX(MO_RIS_OI,0,COLUMN())+INDEX(MO_RIS_OTI,0,COLUMN())</f>
        <v>150</v>
      </c>
      <c r="D59" s="153">
        <f t="shared" si="48"/>
        <v>130</v>
      </c>
      <c r="E59" s="153">
        <f t="shared" si="48"/>
        <v>-20</v>
      </c>
      <c r="F59" s="153">
        <f t="shared" si="48"/>
        <v>-139</v>
      </c>
      <c r="G59" s="154">
        <f t="shared" si="48"/>
        <v>102</v>
      </c>
      <c r="H59" s="154">
        <f t="shared" si="48"/>
        <v>51</v>
      </c>
      <c r="I59" s="154">
        <f t="shared" si="48"/>
        <v>60</v>
      </c>
      <c r="J59" s="154">
        <f t="shared" si="48"/>
        <v>70</v>
      </c>
      <c r="K59" s="153">
        <f t="shared" si="48"/>
        <v>283</v>
      </c>
      <c r="L59" s="154">
        <f t="shared" si="48"/>
        <v>13</v>
      </c>
      <c r="M59" s="154">
        <f t="shared" si="48"/>
        <v>85</v>
      </c>
      <c r="N59" s="154">
        <f t="shared" si="48"/>
        <v>0</v>
      </c>
      <c r="O59" s="154">
        <f t="shared" si="48"/>
        <v>73</v>
      </c>
      <c r="P59" s="153">
        <f t="shared" si="48"/>
        <v>171</v>
      </c>
      <c r="Q59" s="154">
        <f t="shared" si="48"/>
        <v>0</v>
      </c>
      <c r="R59" s="154">
        <f t="shared" si="48"/>
        <v>0</v>
      </c>
      <c r="S59" s="154">
        <f t="shared" si="48"/>
        <v>0</v>
      </c>
      <c r="T59" s="154">
        <f t="shared" si="48"/>
        <v>53</v>
      </c>
      <c r="U59" s="153">
        <f t="shared" si="48"/>
        <v>53</v>
      </c>
      <c r="V59" s="154">
        <f t="shared" si="48"/>
        <v>81</v>
      </c>
      <c r="W59" s="154">
        <f t="shared" si="48"/>
        <v>0</v>
      </c>
      <c r="X59" s="154">
        <f t="shared" si="48"/>
        <v>44</v>
      </c>
      <c r="Y59" s="154">
        <f t="shared" si="48"/>
        <v>31</v>
      </c>
      <c r="Z59" s="153">
        <f t="shared" si="48"/>
        <v>156</v>
      </c>
      <c r="AA59" s="154">
        <f t="shared" si="48"/>
        <v>0</v>
      </c>
      <c r="AB59" s="154">
        <f t="shared" si="48"/>
        <v>0</v>
      </c>
      <c r="AC59" s="154">
        <f t="shared" si="48"/>
        <v>177</v>
      </c>
      <c r="AD59" s="154">
        <f t="shared" si="48"/>
        <v>-157</v>
      </c>
      <c r="AE59" s="153">
        <f t="shared" si="48"/>
        <v>20</v>
      </c>
      <c r="AF59" s="154">
        <f t="shared" si="48"/>
        <v>-38</v>
      </c>
      <c r="AG59" s="154">
        <f t="shared" si="48"/>
        <v>-28</v>
      </c>
      <c r="AH59" s="154">
        <f t="shared" si="48"/>
        <v>0</v>
      </c>
      <c r="AI59" s="154">
        <f t="shared" ref="AI59:AY59" si="49">INDEX(MO_RIS_OI,0,COLUMN())+INDEX(MO_RIS_OTI,0,COLUMN())</f>
        <v>-502</v>
      </c>
      <c r="AJ59" s="153">
        <f t="shared" si="49"/>
        <v>-568</v>
      </c>
      <c r="AK59" s="154">
        <f t="shared" si="49"/>
        <v>0</v>
      </c>
      <c r="AL59" s="154">
        <f t="shared" si="49"/>
        <v>-4301</v>
      </c>
      <c r="AM59" s="154">
        <f t="shared" si="49"/>
        <v>330</v>
      </c>
      <c r="AN59" s="154">
        <f t="shared" si="49"/>
        <v>797</v>
      </c>
      <c r="AO59" s="153">
        <f t="shared" si="49"/>
        <v>-3174</v>
      </c>
      <c r="AP59" s="154">
        <f t="shared" si="49"/>
        <v>150</v>
      </c>
      <c r="AQ59" s="154">
        <f t="shared" si="49"/>
        <v>145</v>
      </c>
      <c r="AR59" s="154">
        <f t="shared" si="49"/>
        <v>4665</v>
      </c>
      <c r="AS59" s="154">
        <f>INDEX(MO_RIS_OI,0,COLUMN())+INDEX(MO_RIS_OTI,0,COLUMN())</f>
        <v>-263</v>
      </c>
      <c r="AT59" s="153">
        <f>INDEX(MO_RIS_OI,0,COLUMN())+INDEX(MO_RIS_OTI,0,COLUMN())</f>
        <v>4697</v>
      </c>
      <c r="AU59" s="154">
        <f>INDEX(MO_RIS_OI,0,COLUMN())+INDEX(MO_RIS_OTI,0,COLUMN())</f>
        <v>113</v>
      </c>
      <c r="AV59" s="154">
        <f>INDEX(MO_RIS_OI,0,COLUMN())+INDEX(MO_RIS_OTI,0,COLUMN())</f>
        <v>109</v>
      </c>
      <c r="AW59" s="711">
        <f>INDEX(MO_RIS_OI,0,COLUMN())+INDEX(MO_RIS_OTI,0,COLUMN())</f>
        <v>126</v>
      </c>
      <c r="AX59" s="154">
        <f t="shared" si="49"/>
        <v>195</v>
      </c>
      <c r="AY59" s="153">
        <f t="shared" si="49"/>
        <v>543</v>
      </c>
      <c r="AZ59" s="154">
        <f t="shared" ref="AZ59:BG59" si="50">INDEX(MO_RIS_OI,0,COLUMN())+INDEX(MO_RIS_OTI,0,COLUMN())</f>
        <v>50</v>
      </c>
      <c r="BA59" s="154">
        <f t="shared" si="50"/>
        <v>50</v>
      </c>
      <c r="BB59" s="154">
        <f t="shared" si="50"/>
        <v>50</v>
      </c>
      <c r="BC59" s="154">
        <f t="shared" si="50"/>
        <v>50</v>
      </c>
      <c r="BD59" s="153">
        <f t="shared" si="50"/>
        <v>200</v>
      </c>
      <c r="BE59" s="153">
        <f t="shared" si="50"/>
        <v>200</v>
      </c>
      <c r="BF59" s="153">
        <f t="shared" si="50"/>
        <v>200</v>
      </c>
      <c r="BG59" s="153">
        <f t="shared" si="50"/>
        <v>200</v>
      </c>
      <c r="BH59" s="154"/>
    </row>
    <row r="60" spans="1:60" s="378" customFormat="1" x14ac:dyDescent="0.25">
      <c r="A60" s="242" t="str">
        <f>INDEX(MO_RIS_EBT,0,COLUMN())</f>
        <v>EBT</v>
      </c>
      <c r="B60" s="243"/>
      <c r="C60" s="155">
        <f t="shared" ref="C60:AH60" si="51">INDEX(SP_GF_EBITDA,0,COLUMN())-INDEX(SP_GF_SBC,0,COLUMN())-INDEX(SP_GF_DA,0,COLUMN())-INDEX(SP_GF_IE,0,COLUMN())-INDEX(SP_GF_EI,0,COLUMN())-INDEX(SP_GF_OI,0,COLUMN())</f>
        <v>5658</v>
      </c>
      <c r="D60" s="155">
        <f t="shared" si="51"/>
        <v>6627</v>
      </c>
      <c r="E60" s="155">
        <f t="shared" si="51"/>
        <v>8043</v>
      </c>
      <c r="F60" s="155">
        <f t="shared" si="51"/>
        <v>9260</v>
      </c>
      <c r="G60" s="156">
        <f t="shared" si="51"/>
        <v>2028</v>
      </c>
      <c r="H60" s="156">
        <f t="shared" si="51"/>
        <v>2275</v>
      </c>
      <c r="I60" s="156">
        <f t="shared" si="51"/>
        <v>3093</v>
      </c>
      <c r="J60" s="156">
        <f t="shared" si="51"/>
        <v>2224</v>
      </c>
      <c r="K60" s="155">
        <f t="shared" si="51"/>
        <v>9620</v>
      </c>
      <c r="L60" s="156">
        <f t="shared" si="51"/>
        <v>2940</v>
      </c>
      <c r="M60" s="156">
        <f t="shared" si="51"/>
        <v>3175</v>
      </c>
      <c r="N60" s="156">
        <f t="shared" si="51"/>
        <v>3670</v>
      </c>
      <c r="O60" s="156">
        <f t="shared" si="51"/>
        <v>2461</v>
      </c>
      <c r="P60" s="155">
        <f t="shared" si="51"/>
        <v>12246</v>
      </c>
      <c r="Q60" s="156">
        <f t="shared" si="51"/>
        <v>3362</v>
      </c>
      <c r="R60" s="156">
        <f t="shared" si="51"/>
        <v>3320</v>
      </c>
      <c r="S60" s="156">
        <f t="shared" si="51"/>
        <v>3962</v>
      </c>
      <c r="T60" s="156">
        <f t="shared" si="51"/>
        <v>3224</v>
      </c>
      <c r="U60" s="155">
        <f t="shared" si="51"/>
        <v>13868</v>
      </c>
      <c r="V60" s="156">
        <f t="shared" si="51"/>
        <v>4358</v>
      </c>
      <c r="W60" s="156">
        <f t="shared" si="51"/>
        <v>3446</v>
      </c>
      <c r="X60" s="156">
        <f t="shared" si="51"/>
        <v>4183</v>
      </c>
      <c r="Y60" s="156">
        <f t="shared" si="51"/>
        <v>2881</v>
      </c>
      <c r="Z60" s="155">
        <f t="shared" si="51"/>
        <v>14868</v>
      </c>
      <c r="AA60" s="156">
        <f t="shared" si="51"/>
        <v>3725</v>
      </c>
      <c r="AB60" s="156">
        <f t="shared" si="51"/>
        <v>3751</v>
      </c>
      <c r="AC60" s="156">
        <f t="shared" si="51"/>
        <v>3618</v>
      </c>
      <c r="AD60" s="156">
        <f t="shared" si="51"/>
        <v>2694</v>
      </c>
      <c r="AE60" s="155">
        <f t="shared" si="51"/>
        <v>13788</v>
      </c>
      <c r="AF60" s="156">
        <f t="shared" si="51"/>
        <v>3745</v>
      </c>
      <c r="AG60" s="156">
        <f t="shared" si="51"/>
        <v>3928</v>
      </c>
      <c r="AH60" s="156">
        <f t="shared" si="51"/>
        <v>3854</v>
      </c>
      <c r="AI60" s="156">
        <f t="shared" ref="AI60:AY60" si="52">INDEX(SP_GF_EBITDA,0,COLUMN())-INDEX(SP_GF_SBC,0,COLUMN())-INDEX(SP_GF_DA,0,COLUMN())-INDEX(SP_GF_IE,0,COLUMN())-INDEX(SP_GF_EI,0,COLUMN())-INDEX(SP_GF_OI,0,COLUMN())</f>
        <v>3202</v>
      </c>
      <c r="AJ60" s="155">
        <f t="shared" si="52"/>
        <v>14729</v>
      </c>
      <c r="AK60" s="156">
        <f t="shared" si="52"/>
        <v>3431</v>
      </c>
      <c r="AL60" s="156">
        <f t="shared" si="52"/>
        <v>7237</v>
      </c>
      <c r="AM60" s="156">
        <f t="shared" si="52"/>
        <v>2018</v>
      </c>
      <c r="AN60" s="156">
        <f t="shared" si="52"/>
        <v>1258</v>
      </c>
      <c r="AO60" s="155">
        <f t="shared" si="52"/>
        <v>13944</v>
      </c>
      <c r="AP60" s="156">
        <f t="shared" si="52"/>
        <v>2632</v>
      </c>
      <c r="AQ60" s="156">
        <f t="shared" si="52"/>
        <v>1060</v>
      </c>
      <c r="AR60" s="156">
        <f t="shared" si="52"/>
        <v>-4840</v>
      </c>
      <c r="AS60" s="156">
        <f>INDEX(SP_GF_EBITDA,0,COLUMN())-INDEX(SP_GF_SBC,0,COLUMN())-INDEX(SP_GF_DA,0,COLUMN())-INDEX(SP_GF_IE,0,COLUMN())-INDEX(SP_GF_EI,0,COLUMN())-INDEX(SP_GF_OI,0,COLUMN())</f>
        <v>-580</v>
      </c>
      <c r="AT60" s="155">
        <f>INDEX(SP_GF_EBITDA,0,COLUMN())-INDEX(SP_GF_SBC,0,COLUMN())-INDEX(SP_GF_DA,0,COLUMN())-INDEX(SP_GF_IE,0,COLUMN())-INDEX(SP_GF_EI,0,COLUMN())-INDEX(SP_GF_OI,0,COLUMN())</f>
        <v>-1743</v>
      </c>
      <c r="AU60" s="156">
        <f>INDEX(SP_GF_EBITDA,0,COLUMN())-INDEX(SP_GF_SBC,0,COLUMN())-INDEX(SP_GF_DA,0,COLUMN())-INDEX(SP_GF_IE,0,COLUMN())-INDEX(SP_GF_EI,0,COLUMN())-INDEX(SP_GF_OI,0,COLUMN())</f>
        <v>46</v>
      </c>
      <c r="AV60" s="156">
        <f>INDEX(SP_GF_EBITDA,0,COLUMN())-INDEX(SP_GF_SBC,0,COLUMN())-INDEX(SP_GF_DA,0,COLUMN())-INDEX(SP_GF_IE,0,COLUMN())-INDEX(SP_GF_EI,0,COLUMN())-INDEX(SP_GF_OI,0,COLUMN())</f>
        <v>1230</v>
      </c>
      <c r="AW60" s="712">
        <f>INDEX(SP_GF_EBITDA,0,COLUMN())-INDEX(SP_GF_SBC,0,COLUMN())-INDEX(SP_GF_DA,0,COLUMN())-INDEX(SP_GF_IE,0,COLUMN())-INDEX(SP_GF_EI,0,COLUMN())-INDEX(SP_GF_OI,0,COLUMN())</f>
        <v>995</v>
      </c>
      <c r="AX60" s="156">
        <f t="shared" si="52"/>
        <v>1431.392821968836</v>
      </c>
      <c r="AY60" s="155">
        <f t="shared" si="52"/>
        <v>3702.3928219688332</v>
      </c>
      <c r="AZ60" s="156">
        <f t="shared" ref="AZ60:BG60" ca="1" si="53">INDEX(SP_GF_EBITDA,0,COLUMN())-INDEX(SP_GF_SBC,0,COLUMN())-INDEX(SP_GF_DA,0,COLUMN())-INDEX(SP_GF_IE,0,COLUMN())-INDEX(SP_GF_EI,0,COLUMN())-INDEX(SP_GF_OI,0,COLUMN())</f>
        <v>3181.1355916574844</v>
      </c>
      <c r="BA60" s="156">
        <f t="shared" ca="1" si="53"/>
        <v>1963.70899174181</v>
      </c>
      <c r="BB60" s="156">
        <f t="shared" ca="1" si="53"/>
        <v>2681.4738085388335</v>
      </c>
      <c r="BC60" s="156">
        <f t="shared" ca="1" si="53"/>
        <v>3009.9786728877298</v>
      </c>
      <c r="BD60" s="155">
        <f t="shared" ca="1" si="53"/>
        <v>10836.297064825863</v>
      </c>
      <c r="BE60" s="155">
        <f t="shared" ca="1" si="53"/>
        <v>14834.805160248783</v>
      </c>
      <c r="BF60" s="155">
        <f t="shared" ca="1" si="53"/>
        <v>16188.460473413459</v>
      </c>
      <c r="BG60" s="155">
        <f t="shared" ca="1" si="53"/>
        <v>17361.130708351793</v>
      </c>
      <c r="BH60" s="158"/>
    </row>
    <row r="61" spans="1:60" s="377" customFormat="1" x14ac:dyDescent="0.25">
      <c r="A61" s="240" t="s">
        <v>426</v>
      </c>
      <c r="B61" s="241"/>
      <c r="C61" s="153">
        <f t="shared" ref="C61:AH61" si="54">INDEX(MO_RIS_Tax_Current,0,COLUMN())+INDEX(MO_RIS_Tax_Deferred,0,COLUMN())</f>
        <v>2049</v>
      </c>
      <c r="D61" s="153">
        <f t="shared" si="54"/>
        <v>2314</v>
      </c>
      <c r="E61" s="153">
        <f t="shared" si="54"/>
        <v>2785</v>
      </c>
      <c r="F61" s="153">
        <f t="shared" si="54"/>
        <v>3087</v>
      </c>
      <c r="G61" s="154">
        <f t="shared" si="54"/>
        <v>590</v>
      </c>
      <c r="H61" s="154">
        <f t="shared" si="54"/>
        <v>654</v>
      </c>
      <c r="I61" s="154">
        <f t="shared" si="54"/>
        <v>1059</v>
      </c>
      <c r="J61" s="154">
        <f t="shared" si="54"/>
        <v>681</v>
      </c>
      <c r="K61" s="153">
        <f t="shared" si="54"/>
        <v>2984</v>
      </c>
      <c r="L61" s="154">
        <f t="shared" si="54"/>
        <v>1036</v>
      </c>
      <c r="M61" s="154">
        <f t="shared" si="54"/>
        <v>1119</v>
      </c>
      <c r="N61" s="154">
        <f t="shared" si="54"/>
        <v>1251</v>
      </c>
      <c r="O61" s="154">
        <f t="shared" si="54"/>
        <v>836</v>
      </c>
      <c r="P61" s="153">
        <f t="shared" si="54"/>
        <v>4242</v>
      </c>
      <c r="Q61" s="154">
        <f t="shared" si="54"/>
        <v>1118</v>
      </c>
      <c r="R61" s="154">
        <f t="shared" si="54"/>
        <v>1092</v>
      </c>
      <c r="S61" s="154">
        <f t="shared" si="54"/>
        <v>1323</v>
      </c>
      <c r="T61" s="154">
        <f t="shared" si="54"/>
        <v>1483</v>
      </c>
      <c r="U61" s="153">
        <f t="shared" si="54"/>
        <v>5016</v>
      </c>
      <c r="V61" s="154">
        <f t="shared" si="54"/>
        <v>1448</v>
      </c>
      <c r="W61" s="154">
        <f t="shared" si="54"/>
        <v>1170</v>
      </c>
      <c r="X61" s="154">
        <f t="shared" si="54"/>
        <v>1471</v>
      </c>
      <c r="Y61" s="154">
        <f t="shared" si="54"/>
        <v>989</v>
      </c>
      <c r="Z61" s="153">
        <f t="shared" si="54"/>
        <v>5078</v>
      </c>
      <c r="AA61" s="154">
        <f t="shared" si="54"/>
        <v>1237</v>
      </c>
      <c r="AB61" s="154">
        <f t="shared" si="54"/>
        <v>1212</v>
      </c>
      <c r="AC61" s="154">
        <f t="shared" si="54"/>
        <v>1144</v>
      </c>
      <c r="AD61" s="154">
        <f t="shared" si="54"/>
        <v>829</v>
      </c>
      <c r="AE61" s="153">
        <f t="shared" si="54"/>
        <v>4422</v>
      </c>
      <c r="AF61" s="154">
        <f t="shared" si="54"/>
        <v>-728</v>
      </c>
      <c r="AG61" s="154">
        <f t="shared" si="54"/>
        <v>813</v>
      </c>
      <c r="AH61" s="154">
        <f t="shared" si="54"/>
        <v>795</v>
      </c>
      <c r="AI61" s="154">
        <f t="shared" ref="AI61:AY61" si="55">INDEX(MO_RIS_Tax_Current,0,COLUMN())+INDEX(MO_RIS_Tax_Deferred,0,COLUMN())</f>
        <v>783</v>
      </c>
      <c r="AJ61" s="153">
        <f t="shared" si="55"/>
        <v>1663</v>
      </c>
      <c r="AK61" s="154">
        <f t="shared" si="55"/>
        <v>645</v>
      </c>
      <c r="AL61" s="154">
        <f t="shared" si="55"/>
        <v>1647</v>
      </c>
      <c r="AM61" s="154">
        <f t="shared" si="55"/>
        <v>395</v>
      </c>
      <c r="AN61" s="154">
        <f t="shared" si="55"/>
        <v>344</v>
      </c>
      <c r="AO61" s="153">
        <f t="shared" si="55"/>
        <v>3031</v>
      </c>
      <c r="AP61" s="154">
        <f t="shared" si="55"/>
        <v>459</v>
      </c>
      <c r="AQ61" s="154">
        <f t="shared" si="55"/>
        <v>525</v>
      </c>
      <c r="AR61" s="154">
        <f t="shared" si="55"/>
        <v>-331</v>
      </c>
      <c r="AS61" s="154">
        <f>INDEX(MO_RIS_Tax_Current,0,COLUMN())+INDEX(MO_RIS_Tax_Deferred,0,COLUMN())</f>
        <v>49</v>
      </c>
      <c r="AT61" s="153">
        <f>INDEX(MO_RIS_Tax_Current,0,COLUMN())+INDEX(MO_RIS_Tax_Deferred,0,COLUMN())</f>
        <v>699</v>
      </c>
      <c r="AU61" s="154">
        <f>INDEX(MO_RIS_Tax_Current,0,COLUMN())+INDEX(MO_RIS_Tax_Deferred,0,COLUMN())</f>
        <v>16</v>
      </c>
      <c r="AV61" s="154">
        <f>INDEX(MO_RIS_Tax_Current,0,COLUMN())+INDEX(MO_RIS_Tax_Deferred,0,COLUMN())</f>
        <v>108</v>
      </c>
      <c r="AW61" s="711">
        <f>INDEX(MO_RIS_Tax_Current,0,COLUMN())+INDEX(MO_RIS_Tax_Deferred,0,COLUMN())</f>
        <v>-133</v>
      </c>
      <c r="AX61" s="154">
        <f t="shared" si="55"/>
        <v>329.22034905283226</v>
      </c>
      <c r="AY61" s="153">
        <f t="shared" si="55"/>
        <v>320.22034905283226</v>
      </c>
      <c r="AZ61" s="154">
        <f t="shared" ref="AZ61:BG61" ca="1" si="56">INDEX(MO_RIS_Tax_Current,0,COLUMN())+INDEX(MO_RIS_Tax_Deferred,0,COLUMN())</f>
        <v>731.66118608122133</v>
      </c>
      <c r="BA61" s="154">
        <f t="shared" ca="1" si="56"/>
        <v>451.65306810061628</v>
      </c>
      <c r="BB61" s="154">
        <f t="shared" ca="1" si="56"/>
        <v>616.73897596393169</v>
      </c>
      <c r="BC61" s="154">
        <f t="shared" ca="1" si="56"/>
        <v>692.29509476417786</v>
      </c>
      <c r="BD61" s="153">
        <f t="shared" ca="1" si="56"/>
        <v>2492.3483249099472</v>
      </c>
      <c r="BE61" s="153">
        <f t="shared" ca="1" si="56"/>
        <v>3412.00518685722</v>
      </c>
      <c r="BF61" s="153">
        <f t="shared" ca="1" si="56"/>
        <v>3723.3459088850955</v>
      </c>
      <c r="BG61" s="153">
        <f t="shared" ca="1" si="56"/>
        <v>3993.0600629209121</v>
      </c>
      <c r="BH61" s="154"/>
    </row>
    <row r="62" spans="1:60" s="377" customFormat="1" x14ac:dyDescent="0.25">
      <c r="A62" s="240" t="str">
        <f>INDEX(MO_RIS_DisCont,0,COLUMN())</f>
        <v>Discontinued Operations</v>
      </c>
      <c r="B62" s="241"/>
      <c r="C62" s="153">
        <f t="shared" ref="C62:AH62" si="57">INDEX(MO_RIS_DisCont,0,COLUMN())</f>
        <v>0</v>
      </c>
      <c r="D62" s="153">
        <f t="shared" si="57"/>
        <v>0</v>
      </c>
      <c r="E62" s="153">
        <f t="shared" si="57"/>
        <v>0</v>
      </c>
      <c r="F62" s="153">
        <f t="shared" si="57"/>
        <v>0</v>
      </c>
      <c r="G62" s="154">
        <f t="shared" si="57"/>
        <v>0</v>
      </c>
      <c r="H62" s="154">
        <f t="shared" si="57"/>
        <v>0</v>
      </c>
      <c r="I62" s="154">
        <f t="shared" si="57"/>
        <v>0</v>
      </c>
      <c r="J62" s="154">
        <f t="shared" si="57"/>
        <v>0</v>
      </c>
      <c r="K62" s="153">
        <f t="shared" si="57"/>
        <v>0</v>
      </c>
      <c r="L62" s="154">
        <f t="shared" si="57"/>
        <v>0</v>
      </c>
      <c r="M62" s="154">
        <f t="shared" si="57"/>
        <v>0</v>
      </c>
      <c r="N62" s="154">
        <f t="shared" si="57"/>
        <v>0</v>
      </c>
      <c r="O62" s="154">
        <f t="shared" si="57"/>
        <v>0</v>
      </c>
      <c r="P62" s="153">
        <f t="shared" si="57"/>
        <v>0</v>
      </c>
      <c r="Q62" s="154">
        <f t="shared" si="57"/>
        <v>0</v>
      </c>
      <c r="R62" s="154">
        <f t="shared" si="57"/>
        <v>0</v>
      </c>
      <c r="S62" s="154">
        <f t="shared" si="57"/>
        <v>0</v>
      </c>
      <c r="T62" s="154">
        <f t="shared" si="57"/>
        <v>0</v>
      </c>
      <c r="U62" s="153">
        <f t="shared" si="57"/>
        <v>0</v>
      </c>
      <c r="V62" s="154">
        <f t="shared" si="57"/>
        <v>0</v>
      </c>
      <c r="W62" s="154">
        <f t="shared" si="57"/>
        <v>0</v>
      </c>
      <c r="X62" s="154">
        <f t="shared" si="57"/>
        <v>0</v>
      </c>
      <c r="Y62" s="154">
        <f t="shared" si="57"/>
        <v>0</v>
      </c>
      <c r="Z62" s="153">
        <f t="shared" si="57"/>
        <v>0</v>
      </c>
      <c r="AA62" s="154">
        <f t="shared" si="57"/>
        <v>0</v>
      </c>
      <c r="AB62" s="154">
        <f t="shared" si="57"/>
        <v>0</v>
      </c>
      <c r="AC62" s="154">
        <f t="shared" si="57"/>
        <v>0</v>
      </c>
      <c r="AD62" s="154">
        <f t="shared" si="57"/>
        <v>0</v>
      </c>
      <c r="AE62" s="153">
        <f t="shared" si="57"/>
        <v>0</v>
      </c>
      <c r="AF62" s="154">
        <f t="shared" si="57"/>
        <v>0</v>
      </c>
      <c r="AG62" s="154">
        <f t="shared" si="57"/>
        <v>0</v>
      </c>
      <c r="AH62" s="154">
        <f t="shared" si="57"/>
        <v>0</v>
      </c>
      <c r="AI62" s="154">
        <f t="shared" ref="AI62:AY62" si="58">INDEX(MO_RIS_DisCont,0,COLUMN())</f>
        <v>0</v>
      </c>
      <c r="AJ62" s="153">
        <f t="shared" si="58"/>
        <v>0</v>
      </c>
      <c r="AK62" s="154">
        <f t="shared" si="58"/>
        <v>0</v>
      </c>
      <c r="AL62" s="154">
        <f t="shared" si="58"/>
        <v>-21</v>
      </c>
      <c r="AM62" s="154">
        <f t="shared" si="58"/>
        <v>-323</v>
      </c>
      <c r="AN62" s="154">
        <f t="shared" si="58"/>
        <v>-269</v>
      </c>
      <c r="AO62" s="153">
        <f t="shared" si="58"/>
        <v>-613</v>
      </c>
      <c r="AP62" s="154">
        <f t="shared" si="58"/>
        <v>26</v>
      </c>
      <c r="AQ62" s="154">
        <f t="shared" si="58"/>
        <v>15</v>
      </c>
      <c r="AR62" s="154">
        <f t="shared" si="58"/>
        <v>3</v>
      </c>
      <c r="AS62" s="154">
        <f>INDEX(MO_RIS_DisCont,0,COLUMN())</f>
        <v>0</v>
      </c>
      <c r="AT62" s="153">
        <f>INDEX(MO_RIS_DisCont,0,COLUMN())</f>
        <v>32</v>
      </c>
      <c r="AU62" s="154">
        <f>INDEX(MO_RIS_DisCont,0,COLUMN())</f>
        <v>12</v>
      </c>
      <c r="AV62" s="154">
        <f>INDEX(MO_RIS_DisCont,0,COLUMN())</f>
        <v>11</v>
      </c>
      <c r="AW62" s="711">
        <f>INDEX(MO_RIS_DisCont,0,COLUMN())</f>
        <v>5</v>
      </c>
      <c r="AX62" s="154">
        <f t="shared" si="58"/>
        <v>0</v>
      </c>
      <c r="AY62" s="153">
        <f t="shared" si="58"/>
        <v>28</v>
      </c>
      <c r="AZ62" s="154">
        <f t="shared" ref="AZ62:BG62" si="59">INDEX(MO_RIS_DisCont,0,COLUMN())</f>
        <v>0</v>
      </c>
      <c r="BA62" s="154">
        <f t="shared" si="59"/>
        <v>0</v>
      </c>
      <c r="BB62" s="154">
        <f t="shared" si="59"/>
        <v>0</v>
      </c>
      <c r="BC62" s="154">
        <f t="shared" si="59"/>
        <v>0</v>
      </c>
      <c r="BD62" s="153">
        <f t="shared" si="59"/>
        <v>0</v>
      </c>
      <c r="BE62" s="153">
        <f t="shared" si="59"/>
        <v>0</v>
      </c>
      <c r="BF62" s="153">
        <f t="shared" si="59"/>
        <v>0</v>
      </c>
      <c r="BG62" s="153">
        <f t="shared" si="59"/>
        <v>0</v>
      </c>
      <c r="BH62" s="154"/>
    </row>
    <row r="63" spans="1:60" s="377" customFormat="1" x14ac:dyDescent="0.25">
      <c r="A63" s="240" t="str">
        <f>INDEX(MO_RIS_NCI,0,COLUMN())</f>
        <v>Net Income to NCI</v>
      </c>
      <c r="B63" s="241"/>
      <c r="C63" s="153">
        <f t="shared" ref="C63:AH63" si="60">INDEX(MO_RIS_NCI,0,COLUMN())</f>
        <v>302</v>
      </c>
      <c r="D63" s="153">
        <f t="shared" si="60"/>
        <v>350</v>
      </c>
      <c r="E63" s="153">
        <f t="shared" si="60"/>
        <v>451</v>
      </c>
      <c r="F63" s="153">
        <f t="shared" si="60"/>
        <v>491</v>
      </c>
      <c r="G63" s="154">
        <f t="shared" si="60"/>
        <v>56</v>
      </c>
      <c r="H63" s="154">
        <f t="shared" si="60"/>
        <v>108</v>
      </c>
      <c r="I63" s="154">
        <f t="shared" si="60"/>
        <v>187</v>
      </c>
      <c r="J63" s="154">
        <f t="shared" si="60"/>
        <v>149</v>
      </c>
      <c r="K63" s="153">
        <f t="shared" si="60"/>
        <v>500</v>
      </c>
      <c r="L63" s="154">
        <f t="shared" si="60"/>
        <v>64</v>
      </c>
      <c r="M63" s="154">
        <f t="shared" si="60"/>
        <v>139</v>
      </c>
      <c r="N63" s="154">
        <f t="shared" si="60"/>
        <v>174</v>
      </c>
      <c r="O63" s="154">
        <f t="shared" si="60"/>
        <v>126</v>
      </c>
      <c r="P63" s="153">
        <f t="shared" si="60"/>
        <v>503</v>
      </c>
      <c r="Q63" s="154">
        <f t="shared" si="60"/>
        <v>62</v>
      </c>
      <c r="R63" s="154">
        <f t="shared" si="60"/>
        <v>120</v>
      </c>
      <c r="S63" s="154">
        <f t="shared" si="60"/>
        <v>156</v>
      </c>
      <c r="T63" s="154">
        <f t="shared" si="60"/>
        <v>132</v>
      </c>
      <c r="U63" s="153">
        <f t="shared" si="60"/>
        <v>470</v>
      </c>
      <c r="V63" s="154">
        <f t="shared" si="60"/>
        <v>30</v>
      </c>
      <c r="W63" s="154">
        <f t="shared" si="60"/>
        <v>133</v>
      </c>
      <c r="X63" s="154">
        <f t="shared" si="60"/>
        <v>115</v>
      </c>
      <c r="Y63" s="154">
        <f t="shared" si="60"/>
        <v>121</v>
      </c>
      <c r="Z63" s="153">
        <f t="shared" si="60"/>
        <v>399</v>
      </c>
      <c r="AA63" s="154">
        <f t="shared" si="60"/>
        <v>9</v>
      </c>
      <c r="AB63" s="154">
        <f t="shared" si="60"/>
        <v>151</v>
      </c>
      <c r="AC63" s="154">
        <f t="shared" si="60"/>
        <v>108</v>
      </c>
      <c r="AD63" s="154">
        <f t="shared" si="60"/>
        <v>118</v>
      </c>
      <c r="AE63" s="153">
        <f t="shared" si="60"/>
        <v>386</v>
      </c>
      <c r="AF63" s="154">
        <f t="shared" si="60"/>
        <v>50</v>
      </c>
      <c r="AG63" s="154">
        <f t="shared" si="60"/>
        <v>178</v>
      </c>
      <c r="AH63" s="154">
        <f t="shared" si="60"/>
        <v>143</v>
      </c>
      <c r="AI63" s="154">
        <f t="shared" ref="AI63:AY63" si="61">INDEX(MO_RIS_NCI,0,COLUMN())</f>
        <v>97</v>
      </c>
      <c r="AJ63" s="153">
        <f t="shared" si="61"/>
        <v>468</v>
      </c>
      <c r="AK63" s="154">
        <f t="shared" si="61"/>
        <v>-2</v>
      </c>
      <c r="AL63" s="154">
        <f t="shared" si="61"/>
        <v>159</v>
      </c>
      <c r="AM63" s="154">
        <f t="shared" si="61"/>
        <v>186</v>
      </c>
      <c r="AN63" s="154">
        <f t="shared" si="61"/>
        <v>129</v>
      </c>
      <c r="AO63" s="153">
        <f t="shared" si="61"/>
        <v>472</v>
      </c>
      <c r="AP63" s="154">
        <f t="shared" si="61"/>
        <v>40</v>
      </c>
      <c r="AQ63" s="154">
        <f t="shared" si="61"/>
        <v>60</v>
      </c>
      <c r="AR63" s="154">
        <f t="shared" si="61"/>
        <v>209</v>
      </c>
      <c r="AS63" s="154">
        <f>INDEX(MO_RIS_NCI,0,COLUMN())</f>
        <v>81</v>
      </c>
      <c r="AT63" s="153">
        <f>INDEX(MO_RIS_NCI,0,COLUMN())</f>
        <v>390</v>
      </c>
      <c r="AU63" s="154">
        <f>INDEX(MO_RIS_NCI,0,COLUMN())</f>
        <v>1</v>
      </c>
      <c r="AV63" s="154">
        <f>INDEX(MO_RIS_NCI,0,COLUMN())</f>
        <v>210</v>
      </c>
      <c r="AW63" s="711">
        <f>INDEX(MO_RIS_NCI,0,COLUMN())</f>
        <v>205</v>
      </c>
      <c r="AX63" s="154">
        <f t="shared" si="61"/>
        <v>185</v>
      </c>
      <c r="AY63" s="153">
        <f t="shared" si="61"/>
        <v>601</v>
      </c>
      <c r="AZ63" s="154">
        <f t="shared" ref="AZ63:BG63" si="62">INDEX(MO_RIS_NCI,0,COLUMN())</f>
        <v>185</v>
      </c>
      <c r="BA63" s="154">
        <f t="shared" si="62"/>
        <v>185</v>
      </c>
      <c r="BB63" s="154">
        <f t="shared" si="62"/>
        <v>185</v>
      </c>
      <c r="BC63" s="154">
        <f t="shared" si="62"/>
        <v>185</v>
      </c>
      <c r="BD63" s="153">
        <f t="shared" si="62"/>
        <v>740</v>
      </c>
      <c r="BE63" s="153">
        <f t="shared" si="62"/>
        <v>740</v>
      </c>
      <c r="BF63" s="153">
        <f t="shared" si="62"/>
        <v>740</v>
      </c>
      <c r="BG63" s="153">
        <f t="shared" si="62"/>
        <v>740</v>
      </c>
      <c r="BH63" s="154"/>
    </row>
    <row r="64" spans="1:60" s="377" customFormat="1" x14ac:dyDescent="0.25">
      <c r="A64" s="240" t="str">
        <f>INDEX(MO_RIS_Dividend_Prefs,0,COLUMN())</f>
        <v>Earnings to Preferred and Other Securities</v>
      </c>
      <c r="B64" s="241"/>
      <c r="C64" s="153">
        <f t="shared" ref="C64:AH64" si="63">INDEX(MO_RIS_Dividend_Prefs,0,COLUMN())</f>
        <v>0</v>
      </c>
      <c r="D64" s="153">
        <f t="shared" si="63"/>
        <v>0</v>
      </c>
      <c r="E64" s="153">
        <f t="shared" si="63"/>
        <v>0</v>
      </c>
      <c r="F64" s="153">
        <f t="shared" si="63"/>
        <v>0</v>
      </c>
      <c r="G64" s="154">
        <f t="shared" si="63"/>
        <v>0</v>
      </c>
      <c r="H64" s="154">
        <f t="shared" si="63"/>
        <v>0</v>
      </c>
      <c r="I64" s="154">
        <f t="shared" si="63"/>
        <v>0</v>
      </c>
      <c r="J64" s="154">
        <f t="shared" si="63"/>
        <v>0</v>
      </c>
      <c r="K64" s="153">
        <f t="shared" si="63"/>
        <v>0</v>
      </c>
      <c r="L64" s="154">
        <f t="shared" si="63"/>
        <v>0</v>
      </c>
      <c r="M64" s="154">
        <f t="shared" si="63"/>
        <v>0</v>
      </c>
      <c r="N64" s="154">
        <f t="shared" si="63"/>
        <v>0</v>
      </c>
      <c r="O64" s="154">
        <f t="shared" si="63"/>
        <v>0</v>
      </c>
      <c r="P64" s="153">
        <f t="shared" si="63"/>
        <v>0</v>
      </c>
      <c r="Q64" s="154">
        <f t="shared" si="63"/>
        <v>0</v>
      </c>
      <c r="R64" s="154">
        <f t="shared" si="63"/>
        <v>0</v>
      </c>
      <c r="S64" s="154">
        <f t="shared" si="63"/>
        <v>0</v>
      </c>
      <c r="T64" s="154">
        <f t="shared" si="63"/>
        <v>0</v>
      </c>
      <c r="U64" s="153">
        <f t="shared" si="63"/>
        <v>0</v>
      </c>
      <c r="V64" s="154">
        <f t="shared" si="63"/>
        <v>0</v>
      </c>
      <c r="W64" s="154">
        <f t="shared" si="63"/>
        <v>0</v>
      </c>
      <c r="X64" s="154">
        <f t="shared" si="63"/>
        <v>0</v>
      </c>
      <c r="Y64" s="154">
        <f t="shared" si="63"/>
        <v>0</v>
      </c>
      <c r="Z64" s="153">
        <f t="shared" si="63"/>
        <v>0</v>
      </c>
      <c r="AA64" s="154">
        <f t="shared" si="63"/>
        <v>0</v>
      </c>
      <c r="AB64" s="154">
        <f t="shared" si="63"/>
        <v>0</v>
      </c>
      <c r="AC64" s="154">
        <f t="shared" si="63"/>
        <v>0</v>
      </c>
      <c r="AD64" s="154">
        <f t="shared" si="63"/>
        <v>0</v>
      </c>
      <c r="AE64" s="153">
        <f t="shared" si="63"/>
        <v>0</v>
      </c>
      <c r="AF64" s="154">
        <f t="shared" si="63"/>
        <v>0</v>
      </c>
      <c r="AG64" s="154">
        <f t="shared" si="63"/>
        <v>0</v>
      </c>
      <c r="AH64" s="154">
        <f t="shared" si="63"/>
        <v>0</v>
      </c>
      <c r="AI64" s="154">
        <f t="shared" ref="AI64:AY64" si="64">INDEX(MO_RIS_Dividend_Prefs,0,COLUMN())</f>
        <v>0</v>
      </c>
      <c r="AJ64" s="153">
        <f t="shared" si="64"/>
        <v>0</v>
      </c>
      <c r="AK64" s="154">
        <f t="shared" si="64"/>
        <v>0</v>
      </c>
      <c r="AL64" s="154">
        <f t="shared" si="64"/>
        <v>0</v>
      </c>
      <c r="AM64" s="154">
        <f t="shared" si="64"/>
        <v>0</v>
      </c>
      <c r="AN64" s="154">
        <f t="shared" si="64"/>
        <v>0</v>
      </c>
      <c r="AO64" s="153">
        <f t="shared" si="64"/>
        <v>0</v>
      </c>
      <c r="AP64" s="154">
        <f t="shared" si="64"/>
        <v>0</v>
      </c>
      <c r="AQ64" s="154">
        <f t="shared" si="64"/>
        <v>0</v>
      </c>
      <c r="AR64" s="154">
        <f t="shared" si="64"/>
        <v>0</v>
      </c>
      <c r="AS64" s="154">
        <f>INDEX(MO_RIS_Dividend_Prefs,0,COLUMN())</f>
        <v>0</v>
      </c>
      <c r="AT64" s="153">
        <f>INDEX(MO_RIS_Dividend_Prefs,0,COLUMN())</f>
        <v>0</v>
      </c>
      <c r="AU64" s="154">
        <f>INDEX(MO_RIS_Dividend_Prefs,0,COLUMN())</f>
        <v>0</v>
      </c>
      <c r="AV64" s="154">
        <f>INDEX(MO_RIS_Dividend_Prefs,0,COLUMN())</f>
        <v>0</v>
      </c>
      <c r="AW64" s="711">
        <f>INDEX(MO_RIS_Dividend_Prefs,0,COLUMN())</f>
        <v>0</v>
      </c>
      <c r="AX64" s="154">
        <f t="shared" si="64"/>
        <v>0</v>
      </c>
      <c r="AY64" s="153">
        <f t="shared" si="64"/>
        <v>0</v>
      </c>
      <c r="AZ64" s="154">
        <f t="shared" ref="AZ64:BG64" si="65">INDEX(MO_RIS_Dividend_Prefs,0,COLUMN())</f>
        <v>0</v>
      </c>
      <c r="BA64" s="154">
        <f t="shared" si="65"/>
        <v>0</v>
      </c>
      <c r="BB64" s="154">
        <f t="shared" si="65"/>
        <v>0</v>
      </c>
      <c r="BC64" s="154">
        <f t="shared" si="65"/>
        <v>0</v>
      </c>
      <c r="BD64" s="153">
        <f t="shared" si="65"/>
        <v>0</v>
      </c>
      <c r="BE64" s="153">
        <f t="shared" si="65"/>
        <v>0</v>
      </c>
      <c r="BF64" s="153">
        <f t="shared" si="65"/>
        <v>0</v>
      </c>
      <c r="BG64" s="153">
        <f t="shared" si="65"/>
        <v>0</v>
      </c>
      <c r="BH64" s="154"/>
    </row>
    <row r="65" spans="1:60" s="378" customFormat="1" x14ac:dyDescent="0.25">
      <c r="A65" s="242" t="str">
        <f>INDEX(MO_RIS_NI_ContinOp,0,COLUMN())</f>
        <v>Net Income from Continued Operation</v>
      </c>
      <c r="B65" s="243"/>
      <c r="C65" s="155">
        <f t="shared" ref="C65:AH65" si="66">INDEX(SP_GF_EBT,0,COLUMN())-INDEX(SP_GF_Tax,0,COLUMN())-INDEX(SP_GF_DisCont,0,COLUMN())-INDEX(SP_GF_NCI,0,COLUMN())-INDEX(SP_GF_Div_Prefs,0,COLUMN())</f>
        <v>3307</v>
      </c>
      <c r="D65" s="155">
        <f t="shared" si="66"/>
        <v>3963</v>
      </c>
      <c r="E65" s="155">
        <f t="shared" si="66"/>
        <v>4807</v>
      </c>
      <c r="F65" s="155">
        <f t="shared" si="66"/>
        <v>5682</v>
      </c>
      <c r="G65" s="156">
        <f t="shared" si="66"/>
        <v>1382</v>
      </c>
      <c r="H65" s="156">
        <f t="shared" si="66"/>
        <v>1513</v>
      </c>
      <c r="I65" s="156">
        <f t="shared" si="66"/>
        <v>1847</v>
      </c>
      <c r="J65" s="156">
        <f t="shared" si="66"/>
        <v>1394</v>
      </c>
      <c r="K65" s="155">
        <f t="shared" si="66"/>
        <v>6136</v>
      </c>
      <c r="L65" s="156">
        <f t="shared" si="66"/>
        <v>1840</v>
      </c>
      <c r="M65" s="156">
        <f t="shared" si="66"/>
        <v>1917</v>
      </c>
      <c r="N65" s="156">
        <f t="shared" si="66"/>
        <v>2245</v>
      </c>
      <c r="O65" s="156">
        <f t="shared" si="66"/>
        <v>1499</v>
      </c>
      <c r="P65" s="155">
        <f t="shared" si="66"/>
        <v>7501</v>
      </c>
      <c r="Q65" s="156">
        <f t="shared" si="66"/>
        <v>2182</v>
      </c>
      <c r="R65" s="156">
        <f t="shared" si="66"/>
        <v>2108</v>
      </c>
      <c r="S65" s="156">
        <f t="shared" si="66"/>
        <v>2483</v>
      </c>
      <c r="T65" s="156">
        <f t="shared" si="66"/>
        <v>1609</v>
      </c>
      <c r="U65" s="155">
        <f t="shared" si="66"/>
        <v>8382</v>
      </c>
      <c r="V65" s="156">
        <f t="shared" si="66"/>
        <v>2880</v>
      </c>
      <c r="W65" s="156">
        <f t="shared" si="66"/>
        <v>2143</v>
      </c>
      <c r="X65" s="156">
        <f t="shared" si="66"/>
        <v>2597</v>
      </c>
      <c r="Y65" s="156">
        <f t="shared" si="66"/>
        <v>1771</v>
      </c>
      <c r="Z65" s="155">
        <f t="shared" si="66"/>
        <v>9391</v>
      </c>
      <c r="AA65" s="156">
        <f t="shared" si="66"/>
        <v>2479</v>
      </c>
      <c r="AB65" s="156">
        <f t="shared" si="66"/>
        <v>2388</v>
      </c>
      <c r="AC65" s="156">
        <f t="shared" si="66"/>
        <v>2366</v>
      </c>
      <c r="AD65" s="156">
        <f t="shared" si="66"/>
        <v>1747</v>
      </c>
      <c r="AE65" s="155">
        <f t="shared" si="66"/>
        <v>8980</v>
      </c>
      <c r="AF65" s="156">
        <f t="shared" si="66"/>
        <v>4423</v>
      </c>
      <c r="AG65" s="156">
        <f t="shared" si="66"/>
        <v>2937</v>
      </c>
      <c r="AH65" s="156">
        <f t="shared" si="66"/>
        <v>2916</v>
      </c>
      <c r="AI65" s="156">
        <f t="shared" ref="AI65:AY65" si="67">INDEX(SP_GF_EBT,0,COLUMN())-INDEX(SP_GF_Tax,0,COLUMN())-INDEX(SP_GF_DisCont,0,COLUMN())-INDEX(SP_GF_NCI,0,COLUMN())-INDEX(SP_GF_Div_Prefs,0,COLUMN())</f>
        <v>2322</v>
      </c>
      <c r="AJ65" s="155">
        <f t="shared" si="67"/>
        <v>12598</v>
      </c>
      <c r="AK65" s="156">
        <f t="shared" si="67"/>
        <v>2788</v>
      </c>
      <c r="AL65" s="156">
        <f t="shared" si="67"/>
        <v>5452</v>
      </c>
      <c r="AM65" s="156">
        <f t="shared" si="67"/>
        <v>1760</v>
      </c>
      <c r="AN65" s="156">
        <f t="shared" si="67"/>
        <v>1054</v>
      </c>
      <c r="AO65" s="155">
        <f t="shared" si="67"/>
        <v>11054</v>
      </c>
      <c r="AP65" s="156">
        <f t="shared" si="67"/>
        <v>2107</v>
      </c>
      <c r="AQ65" s="156">
        <f t="shared" si="67"/>
        <v>460</v>
      </c>
      <c r="AR65" s="156">
        <f t="shared" si="67"/>
        <v>-4721</v>
      </c>
      <c r="AS65" s="156">
        <f>INDEX(SP_GF_EBT,0,COLUMN())-INDEX(SP_GF_Tax,0,COLUMN())-INDEX(SP_GF_DisCont,0,COLUMN())-INDEX(SP_GF_NCI,0,COLUMN())-INDEX(SP_GF_Div_Prefs,0,COLUMN())</f>
        <v>-710</v>
      </c>
      <c r="AT65" s="155">
        <f>INDEX(SP_GF_EBT,0,COLUMN())-INDEX(SP_GF_Tax,0,COLUMN())-INDEX(SP_GF_DisCont,0,COLUMN())-INDEX(SP_GF_NCI,0,COLUMN())-INDEX(SP_GF_Div_Prefs,0,COLUMN())</f>
        <v>-2864</v>
      </c>
      <c r="AU65" s="156">
        <f>INDEX(SP_GF_EBT,0,COLUMN())-INDEX(SP_GF_Tax,0,COLUMN())-INDEX(SP_GF_DisCont,0,COLUMN())-INDEX(SP_GF_NCI,0,COLUMN())-INDEX(SP_GF_Div_Prefs,0,COLUMN())</f>
        <v>17</v>
      </c>
      <c r="AV65" s="156">
        <f>INDEX(SP_GF_EBT,0,COLUMN())-INDEX(SP_GF_Tax,0,COLUMN())-INDEX(SP_GF_DisCont,0,COLUMN())-INDEX(SP_GF_NCI,0,COLUMN())-INDEX(SP_GF_Div_Prefs,0,COLUMN())</f>
        <v>901</v>
      </c>
      <c r="AW65" s="712">
        <f>INDEX(SP_GF_EBT,0,COLUMN())-INDEX(SP_GF_Tax,0,COLUMN())-INDEX(SP_GF_DisCont,0,COLUMN())-INDEX(SP_GF_NCI,0,COLUMN())-INDEX(SP_GF_Div_Prefs,0,COLUMN())</f>
        <v>918</v>
      </c>
      <c r="AX65" s="156">
        <f t="shared" si="67"/>
        <v>917.1724729160037</v>
      </c>
      <c r="AY65" s="155">
        <f t="shared" si="67"/>
        <v>2753.172472916001</v>
      </c>
      <c r="AZ65" s="156">
        <f t="shared" ref="AZ65:BG65" ca="1" si="68">INDEX(SP_GF_EBT,0,COLUMN())-INDEX(SP_GF_Tax,0,COLUMN())-INDEX(SP_GF_DisCont,0,COLUMN())-INDEX(SP_GF_NCI,0,COLUMN())-INDEX(SP_GF_Div_Prefs,0,COLUMN())</f>
        <v>2264.4744055762631</v>
      </c>
      <c r="BA65" s="156">
        <f t="shared" ca="1" si="68"/>
        <v>1327.0559236411937</v>
      </c>
      <c r="BB65" s="156">
        <f t="shared" ca="1" si="68"/>
        <v>1879.7348325749017</v>
      </c>
      <c r="BC65" s="156">
        <f t="shared" ca="1" si="68"/>
        <v>2132.6835781235518</v>
      </c>
      <c r="BD65" s="155">
        <f t="shared" ca="1" si="68"/>
        <v>7603.9487399159152</v>
      </c>
      <c r="BE65" s="155">
        <f t="shared" ca="1" si="68"/>
        <v>10682.799973391564</v>
      </c>
      <c r="BF65" s="155">
        <f t="shared" ca="1" si="68"/>
        <v>11725.114564528363</v>
      </c>
      <c r="BG65" s="155">
        <f t="shared" ca="1" si="68"/>
        <v>12628.070645430882</v>
      </c>
      <c r="BH65" s="158"/>
    </row>
    <row r="66" spans="1:60" s="376" customFormat="1" x14ac:dyDescent="0.25">
      <c r="A66" s="251" t="s">
        <v>427</v>
      </c>
      <c r="B66" s="252"/>
      <c r="C66" s="126">
        <f t="shared" ref="C66:AH66" si="69">INDEX(SP_GF_NI,0,COLUMN())/INDEX(SP_CS_ShareCount,0,COLUMN())</f>
        <v>1.7637333333333334</v>
      </c>
      <c r="D66" s="126">
        <f t="shared" si="69"/>
        <v>2.0343942505133472</v>
      </c>
      <c r="E66" s="126">
        <f t="shared" si="69"/>
        <v>2.5180722891566263</v>
      </c>
      <c r="F66" s="126">
        <f t="shared" si="69"/>
        <v>3.1254125412541254</v>
      </c>
      <c r="G66" s="128">
        <f t="shared" si="69"/>
        <v>0.76777777777777778</v>
      </c>
      <c r="H66" s="128">
        <f t="shared" si="69"/>
        <v>0.82904109589041097</v>
      </c>
      <c r="I66" s="128">
        <f t="shared" si="69"/>
        <v>1.0142778693025809</v>
      </c>
      <c r="J66" s="128">
        <f t="shared" si="69"/>
        <v>0.77229916897506923</v>
      </c>
      <c r="K66" s="126">
        <f t="shared" si="69"/>
        <v>3.3844456701599559</v>
      </c>
      <c r="L66" s="128">
        <f t="shared" si="69"/>
        <v>1.0313901345291481</v>
      </c>
      <c r="M66" s="128">
        <f t="shared" si="69"/>
        <v>1.083050847457627</v>
      </c>
      <c r="N66" s="128">
        <f t="shared" si="69"/>
        <v>1.284324942791762</v>
      </c>
      <c r="O66" s="128">
        <f t="shared" si="69"/>
        <v>0.86447520184544402</v>
      </c>
      <c r="P66" s="126">
        <f t="shared" si="69"/>
        <v>4.26435474701535</v>
      </c>
      <c r="Q66" s="128">
        <f t="shared" si="69"/>
        <v>1.2708211997670356</v>
      </c>
      <c r="R66" s="128">
        <f t="shared" si="69"/>
        <v>1.2291545189504374</v>
      </c>
      <c r="S66" s="128">
        <f t="shared" si="69"/>
        <v>1.4511981297486849</v>
      </c>
      <c r="T66" s="128">
        <f t="shared" si="69"/>
        <v>0.94982290436835892</v>
      </c>
      <c r="U66" s="126">
        <f t="shared" si="69"/>
        <v>4.9046225863077826</v>
      </c>
      <c r="V66" s="128">
        <f t="shared" si="69"/>
        <v>1.7266187050359711</v>
      </c>
      <c r="W66" s="128">
        <f t="shared" si="69"/>
        <v>1.3043213633597079</v>
      </c>
      <c r="X66" s="128">
        <f t="shared" si="69"/>
        <v>1.592274678111588</v>
      </c>
      <c r="Y66" s="128">
        <f t="shared" si="69"/>
        <v>1.096594427244582</v>
      </c>
      <c r="Z66" s="126">
        <f t="shared" si="69"/>
        <v>5.7297132397803541</v>
      </c>
      <c r="AA66" s="128">
        <f t="shared" si="69"/>
        <v>1.5464753587024329</v>
      </c>
      <c r="AB66" s="128">
        <f t="shared" si="69"/>
        <v>1.5009428032683847</v>
      </c>
      <c r="AC66" s="128">
        <f t="shared" si="69"/>
        <v>1.505089058524173</v>
      </c>
      <c r="AD66" s="128">
        <f t="shared" si="69"/>
        <v>1.1292824822236587</v>
      </c>
      <c r="AE66" s="126">
        <f t="shared" si="69"/>
        <v>5.6907477820025347</v>
      </c>
      <c r="AF66" s="128">
        <f t="shared" si="69"/>
        <v>2.9079552925706773</v>
      </c>
      <c r="AG66" s="128">
        <f t="shared" si="69"/>
        <v>1.9450331125827816</v>
      </c>
      <c r="AH66" s="128">
        <f t="shared" si="69"/>
        <v>1.9465954606141522</v>
      </c>
      <c r="AI66" s="128">
        <f t="shared" ref="AI66:AY66" si="70">INDEX(SP_GF_NI,0,COLUMN())/INDEX(SP_CS_ShareCount,0,COLUMN())</f>
        <v>1.5511022044088176</v>
      </c>
      <c r="AJ66" s="126">
        <f t="shared" si="70"/>
        <v>8.3596549435965493</v>
      </c>
      <c r="AK66" s="128">
        <f t="shared" si="70"/>
        <v>1.8611481975967956</v>
      </c>
      <c r="AL66" s="128">
        <f t="shared" si="70"/>
        <v>3.5471698113207548</v>
      </c>
      <c r="AM66" s="128">
        <f t="shared" si="70"/>
        <v>0.97023153252480709</v>
      </c>
      <c r="AN66" s="128">
        <f t="shared" si="70"/>
        <v>0.58039647577092512</v>
      </c>
      <c r="AO66" s="126">
        <f t="shared" si="70"/>
        <v>6.6350540216086431</v>
      </c>
      <c r="AP66" s="128">
        <f t="shared" si="70"/>
        <v>1.1596037424325811</v>
      </c>
      <c r="AQ66" s="128">
        <f t="shared" si="70"/>
        <v>0.25330396475770928</v>
      </c>
      <c r="AR66" s="128">
        <f t="shared" si="70"/>
        <v>-2.6097291321171916</v>
      </c>
      <c r="AS66" s="128">
        <f>INDEX(SP_GF_NI,0,COLUMN())/INDEX(SP_CS_ShareCount,0,COLUMN())</f>
        <v>-0.39248203427307904</v>
      </c>
      <c r="AT66" s="126">
        <f>INDEX(SP_GF_NI,0,COLUMN())/INDEX(SP_CS_ShareCount,0,COLUMN())</f>
        <v>-1.584070796460177</v>
      </c>
      <c r="AU66" s="128">
        <f>INDEX(SP_GF_NI,0,COLUMN())/INDEX(SP_CS_ShareCount,0,COLUMN())</f>
        <v>9.3252879868348879E-3</v>
      </c>
      <c r="AV66" s="128">
        <f>INDEX(SP_GF_NI,0,COLUMN())/INDEX(SP_CS_ShareCount,0,COLUMN())</f>
        <v>0.49261891744122471</v>
      </c>
      <c r="AW66" s="719">
        <f>INDEX(SP_GF_NI,0,COLUMN())/INDEX(SP_CS_ShareCount,0,COLUMN())</f>
        <v>0.50163934426229506</v>
      </c>
      <c r="AX66" s="128">
        <f t="shared" ca="1" si="70"/>
        <v>0.50118714366994732</v>
      </c>
      <c r="AY66" s="126">
        <f t="shared" ca="1" si="70"/>
        <v>1.5061118560809634</v>
      </c>
      <c r="AZ66" s="128">
        <f t="shared" ref="AZ66:BG66" ca="1" si="71">INDEX(SP_GF_NI,0,COLUMN())/INDEX(SP_CS_ShareCount,0,COLUMN())</f>
        <v>1.2374177079651711</v>
      </c>
      <c r="BA66" s="128">
        <f t="shared" ca="1" si="71"/>
        <v>0.7251671713886304</v>
      </c>
      <c r="BB66" s="128">
        <f t="shared" ca="1" si="71"/>
        <v>1.0271775041392905</v>
      </c>
      <c r="BC66" s="128">
        <f t="shared" ca="1" si="71"/>
        <v>1.1654008623625967</v>
      </c>
      <c r="BD66" s="126">
        <f t="shared" ca="1" si="71"/>
        <v>4.1551632458556913</v>
      </c>
      <c r="BE66" s="126">
        <f t="shared" ca="1" si="71"/>
        <v>5.8375956138751715</v>
      </c>
      <c r="BF66" s="126">
        <f t="shared" ca="1" si="71"/>
        <v>6.4071664287040235</v>
      </c>
      <c r="BG66" s="126">
        <f t="shared" ca="1" si="71"/>
        <v>6.9005850521480232</v>
      </c>
      <c r="BH66" s="128"/>
    </row>
    <row r="67" spans="1:60" s="375" customFormat="1" x14ac:dyDescent="0.25">
      <c r="A67" s="247"/>
      <c r="B67" s="253"/>
      <c r="C67" s="1014"/>
      <c r="D67" s="1014"/>
      <c r="E67" s="1014"/>
      <c r="F67" s="1014"/>
      <c r="G67" s="1015"/>
      <c r="H67" s="1015"/>
      <c r="I67" s="1015"/>
      <c r="J67" s="1015"/>
      <c r="K67" s="1014"/>
      <c r="L67" s="1015"/>
      <c r="M67" s="1015"/>
      <c r="N67" s="1015"/>
      <c r="O67" s="1015"/>
      <c r="P67" s="1014"/>
      <c r="Q67" s="1015"/>
      <c r="R67" s="1015"/>
      <c r="S67" s="1015"/>
      <c r="T67" s="1015"/>
      <c r="U67" s="1014"/>
      <c r="V67" s="1015"/>
      <c r="W67" s="1015"/>
      <c r="X67" s="1015"/>
      <c r="Y67" s="1015"/>
      <c r="Z67" s="1014"/>
      <c r="AA67" s="1015"/>
      <c r="AB67" s="1015"/>
      <c r="AC67" s="1015"/>
      <c r="AD67" s="1015"/>
      <c r="AE67" s="1014"/>
      <c r="AF67" s="1015"/>
      <c r="AG67" s="1015"/>
      <c r="AH67" s="1015"/>
      <c r="AI67" s="1015"/>
      <c r="AJ67" s="1014"/>
      <c r="AK67" s="1015"/>
      <c r="AL67" s="1015"/>
      <c r="AM67" s="1015"/>
      <c r="AN67" s="1015"/>
      <c r="AO67" s="1014"/>
      <c r="AP67" s="1015"/>
      <c r="AQ67" s="1015"/>
      <c r="AR67" s="1015"/>
      <c r="AS67" s="1015"/>
      <c r="AT67" s="1014"/>
      <c r="AU67" s="1015"/>
      <c r="AV67" s="1015"/>
      <c r="AW67" s="1016"/>
      <c r="AX67" s="1015"/>
      <c r="AY67" s="1014"/>
      <c r="AZ67" s="1015"/>
      <c r="BA67" s="1015"/>
      <c r="BB67" s="1015"/>
      <c r="BC67" s="1015"/>
      <c r="BD67" s="1014"/>
      <c r="BE67" s="1014"/>
      <c r="BF67" s="1014"/>
      <c r="BG67" s="1014"/>
      <c r="BH67" s="963"/>
    </row>
    <row r="68" spans="1:60" s="374" customFormat="1" x14ac:dyDescent="0.25">
      <c r="A68" s="174" t="s">
        <v>428</v>
      </c>
      <c r="B68" s="175"/>
      <c r="C68" s="175"/>
      <c r="D68" s="175"/>
      <c r="E68" s="175"/>
      <c r="F68" s="175"/>
      <c r="G68" s="175"/>
      <c r="H68" s="175"/>
      <c r="I68" s="17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533"/>
      <c r="AX68" s="175"/>
      <c r="AY68" s="175"/>
      <c r="AZ68" s="175"/>
      <c r="BA68" s="175"/>
      <c r="BB68" s="175"/>
      <c r="BC68" s="175"/>
      <c r="BD68" s="175"/>
      <c r="BE68" s="175"/>
      <c r="BF68" s="175"/>
      <c r="BG68" s="175"/>
      <c r="BH68" s="254"/>
    </row>
    <row r="69" spans="1:60" s="378" customFormat="1" x14ac:dyDescent="0.25">
      <c r="A69" s="249" t="str">
        <f>INDEX(MO_RIS_EBITDA_Adj,0,COLUMN())</f>
        <v>Adjusted EBITDA</v>
      </c>
      <c r="B69" s="250"/>
      <c r="C69" s="157">
        <f t="shared" ref="C69:AH69" si="72">INDEX(MO_RIS_EBITDA_Adj,0,COLUMN())</f>
        <v>6058</v>
      </c>
      <c r="D69" s="157">
        <f t="shared" si="72"/>
        <v>7117</v>
      </c>
      <c r="E69" s="157">
        <f t="shared" si="72"/>
        <v>8204</v>
      </c>
      <c r="F69" s="157">
        <f t="shared" si="72"/>
        <v>9271</v>
      </c>
      <c r="G69" s="158">
        <f t="shared" si="72"/>
        <v>2192</v>
      </c>
      <c r="H69" s="158">
        <f t="shared" si="72"/>
        <v>2303</v>
      </c>
      <c r="I69" s="158">
        <f t="shared" si="72"/>
        <v>3101</v>
      </c>
      <c r="J69" s="158">
        <f t="shared" si="72"/>
        <v>2256</v>
      </c>
      <c r="K69" s="157">
        <f t="shared" si="72"/>
        <v>12044</v>
      </c>
      <c r="L69" s="158">
        <f t="shared" si="72"/>
        <v>3322</v>
      </c>
      <c r="M69" s="158">
        <f t="shared" si="72"/>
        <v>3673</v>
      </c>
      <c r="N69" s="158">
        <f t="shared" si="72"/>
        <v>4155</v>
      </c>
      <c r="O69" s="158">
        <f t="shared" si="72"/>
        <v>3086</v>
      </c>
      <c r="P69" s="157">
        <f t="shared" si="72"/>
        <v>14236</v>
      </c>
      <c r="Q69" s="158">
        <f t="shared" si="72"/>
        <v>3904</v>
      </c>
      <c r="R69" s="158">
        <f t="shared" si="72"/>
        <v>3799</v>
      </c>
      <c r="S69" s="158">
        <f t="shared" si="72"/>
        <v>4433</v>
      </c>
      <c r="T69" s="158">
        <f t="shared" si="72"/>
        <v>3852</v>
      </c>
      <c r="U69" s="157">
        <f t="shared" si="72"/>
        <v>15988</v>
      </c>
      <c r="V69" s="158">
        <f t="shared" si="72"/>
        <v>4702</v>
      </c>
      <c r="W69" s="158">
        <f t="shared" si="72"/>
        <v>4067</v>
      </c>
      <c r="X69" s="158">
        <f t="shared" si="72"/>
        <v>4871</v>
      </c>
      <c r="Y69" s="158">
        <f t="shared" si="72"/>
        <v>3638</v>
      </c>
      <c r="Z69" s="157">
        <f t="shared" si="72"/>
        <v>17278</v>
      </c>
      <c r="AA69" s="158">
        <f t="shared" si="72"/>
        <v>4490</v>
      </c>
      <c r="AB69" s="158">
        <f t="shared" si="72"/>
        <v>4518</v>
      </c>
      <c r="AC69" s="158">
        <f t="shared" si="72"/>
        <v>4588</v>
      </c>
      <c r="AD69" s="158">
        <f t="shared" si="72"/>
        <v>3423</v>
      </c>
      <c r="AE69" s="157">
        <f t="shared" si="72"/>
        <v>17019</v>
      </c>
      <c r="AF69" s="158">
        <f t="shared" si="72"/>
        <v>4629</v>
      </c>
      <c r="AG69" s="158">
        <f t="shared" si="72"/>
        <v>4868</v>
      </c>
      <c r="AH69" s="158">
        <f t="shared" si="72"/>
        <v>4781</v>
      </c>
      <c r="AI69" s="158">
        <f t="shared" ref="AI69:AY69" si="73">INDEX(MO_RIS_EBITDA_Adj,0,COLUMN())</f>
        <v>3963</v>
      </c>
      <c r="AJ69" s="157">
        <f t="shared" si="73"/>
        <v>18241</v>
      </c>
      <c r="AK69" s="158">
        <f t="shared" si="73"/>
        <v>4242</v>
      </c>
      <c r="AL69" s="158">
        <f t="shared" si="73"/>
        <v>4602</v>
      </c>
      <c r="AM69" s="158">
        <f t="shared" si="73"/>
        <v>4180</v>
      </c>
      <c r="AN69" s="158">
        <f t="shared" si="73"/>
        <v>3701</v>
      </c>
      <c r="AO69" s="157">
        <f t="shared" si="73"/>
        <v>16722</v>
      </c>
      <c r="AP69" s="158">
        <f t="shared" si="73"/>
        <v>4254</v>
      </c>
      <c r="AQ69" s="158">
        <f t="shared" si="73"/>
        <v>2834</v>
      </c>
      <c r="AR69" s="158">
        <f t="shared" si="73"/>
        <v>1570</v>
      </c>
      <c r="AS69" s="158">
        <f>INDEX(MO_RIS_EBITDA_Adj,0,COLUMN())</f>
        <v>1019</v>
      </c>
      <c r="AT69" s="157">
        <f>INDEX(MO_RIS_EBITDA_Adj,0,COLUMN())</f>
        <v>9664</v>
      </c>
      <c r="AU69" s="158">
        <f>INDEX(MO_RIS_EBITDA_Adj,0,COLUMN())</f>
        <v>1691</v>
      </c>
      <c r="AV69" s="158">
        <f>INDEX(MO_RIS_EBITDA_Adj,0,COLUMN())</f>
        <v>2854</v>
      </c>
      <c r="AW69" s="718">
        <f>INDEX(MO_RIS_EBITDA_Adj,0,COLUMN())</f>
        <v>2779</v>
      </c>
      <c r="AX69" s="158">
        <f t="shared" si="73"/>
        <v>3302.0012603250002</v>
      </c>
      <c r="AY69" s="157">
        <f t="shared" si="73"/>
        <v>10626.001260325</v>
      </c>
      <c r="AZ69" s="158">
        <f t="shared" ref="AZ69:BG69" si="74">INDEX(MO_RIS_EBITDA_Adj,0,COLUMN())</f>
        <v>4754.3029999999999</v>
      </c>
      <c r="BA69" s="158">
        <f t="shared" si="74"/>
        <v>3679.3620000000001</v>
      </c>
      <c r="BB69" s="158">
        <f t="shared" si="74"/>
        <v>4394.5774000000001</v>
      </c>
      <c r="BC69" s="158">
        <f t="shared" si="74"/>
        <v>4719.9656650000015</v>
      </c>
      <c r="BD69" s="157">
        <f t="shared" si="74"/>
        <v>17548.208065000003</v>
      </c>
      <c r="BE69" s="157">
        <f t="shared" si="74"/>
        <v>21567.552553463756</v>
      </c>
      <c r="BF69" s="157">
        <f t="shared" si="74"/>
        <v>22828.432501000858</v>
      </c>
      <c r="BG69" s="157">
        <f t="shared" si="74"/>
        <v>23898.351194090443</v>
      </c>
      <c r="BH69" s="158"/>
    </row>
    <row r="70" spans="1:60" s="378" customFormat="1" x14ac:dyDescent="0.25">
      <c r="A70" s="249" t="str">
        <f>INDEX(MO_RIS_NI_NONGAAP_Diluted,0,COLUMN())</f>
        <v>Adjusted Net Income</v>
      </c>
      <c r="B70" s="250"/>
      <c r="C70" s="157">
        <f t="shared" ref="C70:AH70" si="75">INDEX(MO_RIS_NI_NONGAAP_Diluted,0,COLUMN())</f>
        <v>3419.5</v>
      </c>
      <c r="D70" s="157">
        <f t="shared" si="75"/>
        <v>4040.92</v>
      </c>
      <c r="E70" s="157">
        <f t="shared" si="75"/>
        <v>4845.18</v>
      </c>
      <c r="F70" s="157">
        <f t="shared" si="75"/>
        <v>5572.92</v>
      </c>
      <c r="G70" s="158">
        <f t="shared" si="75"/>
        <v>1418</v>
      </c>
      <c r="H70" s="158">
        <f t="shared" si="75"/>
        <v>1440</v>
      </c>
      <c r="I70" s="158">
        <f t="shared" si="75"/>
        <v>1883.42</v>
      </c>
      <c r="J70" s="158">
        <f t="shared" si="75"/>
        <v>1394</v>
      </c>
      <c r="K70" s="157">
        <f t="shared" si="75"/>
        <v>6136</v>
      </c>
      <c r="L70" s="158">
        <f t="shared" si="75"/>
        <v>1857.84</v>
      </c>
      <c r="M70" s="158">
        <f t="shared" si="75"/>
        <v>1970.1</v>
      </c>
      <c r="N70" s="158">
        <f t="shared" si="75"/>
        <v>2245</v>
      </c>
      <c r="O70" s="158">
        <f t="shared" si="75"/>
        <v>1551.02</v>
      </c>
      <c r="P70" s="157">
        <f t="shared" si="75"/>
        <v>7606.54</v>
      </c>
      <c r="Q70" s="158">
        <f t="shared" si="75"/>
        <v>2182</v>
      </c>
      <c r="R70" s="158">
        <f t="shared" si="75"/>
        <v>2108</v>
      </c>
      <c r="S70" s="158">
        <f t="shared" si="75"/>
        <v>2483</v>
      </c>
      <c r="T70" s="158">
        <f t="shared" si="75"/>
        <v>2049.44</v>
      </c>
      <c r="U70" s="157">
        <f t="shared" si="75"/>
        <v>8809.25</v>
      </c>
      <c r="V70" s="158">
        <f t="shared" si="75"/>
        <v>2713.2</v>
      </c>
      <c r="W70" s="158">
        <f t="shared" si="75"/>
        <v>2241.58</v>
      </c>
      <c r="X70" s="158">
        <f t="shared" si="75"/>
        <v>2597</v>
      </c>
      <c r="Y70" s="158">
        <f t="shared" si="75"/>
        <v>1771</v>
      </c>
      <c r="Z70" s="157">
        <f t="shared" si="75"/>
        <v>9374.61</v>
      </c>
      <c r="AA70" s="158">
        <f t="shared" si="75"/>
        <v>2479</v>
      </c>
      <c r="AB70" s="158">
        <f t="shared" si="75"/>
        <v>2388</v>
      </c>
      <c r="AC70" s="158">
        <f t="shared" si="75"/>
        <v>2476.04</v>
      </c>
      <c r="AD70" s="158">
        <f t="shared" si="75"/>
        <v>1654.18</v>
      </c>
      <c r="AE70" s="157">
        <f t="shared" si="75"/>
        <v>8995.7800000000007</v>
      </c>
      <c r="AF70" s="158">
        <f t="shared" si="75"/>
        <v>2871.58</v>
      </c>
      <c r="AG70" s="158">
        <f t="shared" si="75"/>
        <v>2786</v>
      </c>
      <c r="AH70" s="158">
        <f t="shared" si="75"/>
        <v>2811.14</v>
      </c>
      <c r="AI70" s="158">
        <f t="shared" ref="AI70:AY70" si="76">INDEX(MO_RIS_NI_NONGAAP_Diluted,0,COLUMN())</f>
        <v>2202.2399999999998</v>
      </c>
      <c r="AJ70" s="157">
        <f t="shared" si="76"/>
        <v>10669.04</v>
      </c>
      <c r="AK70" s="158">
        <f t="shared" si="76"/>
        <v>2758.04</v>
      </c>
      <c r="AL70" s="158">
        <f t="shared" si="76"/>
        <v>2479.96</v>
      </c>
      <c r="AM70" s="158">
        <f t="shared" si="76"/>
        <v>2452.84</v>
      </c>
      <c r="AN70" s="158">
        <f t="shared" si="76"/>
        <v>1947.2399999999998</v>
      </c>
      <c r="AO70" s="157">
        <f t="shared" si="76"/>
        <v>9624.66</v>
      </c>
      <c r="AP70" s="158">
        <f t="shared" si="76"/>
        <v>2787.12</v>
      </c>
      <c r="AQ70" s="158">
        <f t="shared" si="76"/>
        <v>1092.44</v>
      </c>
      <c r="AR70" s="158">
        <f t="shared" si="76"/>
        <v>130.11999999999989</v>
      </c>
      <c r="AS70" s="158">
        <f>INDEX(MO_RIS_NI_NONGAAP_Diluted,0,COLUMN())</f>
        <v>-366.29</v>
      </c>
      <c r="AT70" s="157">
        <f>INDEX(MO_RIS_NI_NONGAAP_Diluted,0,COLUMN())</f>
        <v>3658.7199999999993</v>
      </c>
      <c r="AU70" s="158">
        <f>INDEX(MO_RIS_NI_NONGAAP_Diluted,0,COLUMN())</f>
        <v>575.9</v>
      </c>
      <c r="AV70" s="158">
        <f>INDEX(MO_RIS_NI_NONGAAP_Diluted,0,COLUMN())</f>
        <v>1424.12</v>
      </c>
      <c r="AW70" s="718">
        <f>INDEX(MO_RIS_NI_NONGAAP_Diluted,0,COLUMN())</f>
        <v>1472</v>
      </c>
      <c r="AX70" s="158">
        <f t="shared" si="76"/>
        <v>1317.1724729160037</v>
      </c>
      <c r="AY70" s="157">
        <f t="shared" si="76"/>
        <v>4761.1924729160019</v>
      </c>
      <c r="AZ70" s="158">
        <f t="shared" ref="AZ70:BG70" ca="1" si="77">INDEX(MO_RIS_NI_NONGAAP_Diluted,0,COLUMN())</f>
        <v>1464.4744055762631</v>
      </c>
      <c r="BA70" s="158">
        <f t="shared" ca="1" si="77"/>
        <v>1727.0559236411937</v>
      </c>
      <c r="BB70" s="158">
        <f t="shared" ca="1" si="77"/>
        <v>2479.7348325749017</v>
      </c>
      <c r="BC70" s="158">
        <f t="shared" ca="1" si="77"/>
        <v>2732.6835781235518</v>
      </c>
      <c r="BD70" s="157">
        <f t="shared" ca="1" si="77"/>
        <v>8403.9487399159152</v>
      </c>
      <c r="BE70" s="157">
        <f t="shared" ca="1" si="77"/>
        <v>10682.799973391564</v>
      </c>
      <c r="BF70" s="157">
        <f t="shared" ca="1" si="77"/>
        <v>12725.114564528363</v>
      </c>
      <c r="BG70" s="157">
        <f t="shared" ca="1" si="77"/>
        <v>14628.070645430882</v>
      </c>
      <c r="BH70" s="158"/>
    </row>
    <row r="71" spans="1:60" s="376" customFormat="1" x14ac:dyDescent="0.25">
      <c r="A71" s="251" t="str">
        <f>INDEX(MO_RIS_EPS_WAD_Adj,0,COLUMN())</f>
        <v>Adjusted Earnings Per Share - WAD</v>
      </c>
      <c r="B71" s="252"/>
      <c r="C71" s="126">
        <f t="shared" ref="C71:AH71" si="78">INDEX(MO_RIS_EPS_WAD_Adj,0,COLUMN())</f>
        <v>1.8237333333333334</v>
      </c>
      <c r="D71" s="126">
        <f t="shared" si="78"/>
        <v>2.0743942505133472</v>
      </c>
      <c r="E71" s="126">
        <f t="shared" si="78"/>
        <v>2.5380722891566267</v>
      </c>
      <c r="F71" s="126">
        <f t="shared" si="78"/>
        <v>3.0654125412541253</v>
      </c>
      <c r="G71" s="128">
        <f t="shared" si="78"/>
        <v>0.7877777777777778</v>
      </c>
      <c r="H71" s="128">
        <f t="shared" si="78"/>
        <v>0.78904109589041094</v>
      </c>
      <c r="I71" s="128">
        <f t="shared" si="78"/>
        <v>1.0342778693025811</v>
      </c>
      <c r="J71" s="128">
        <f t="shared" si="78"/>
        <v>0.77229916897506923</v>
      </c>
      <c r="K71" s="126">
        <f t="shared" si="78"/>
        <v>3.3844456701599559</v>
      </c>
      <c r="L71" s="128">
        <f t="shared" si="78"/>
        <v>1.0413901345291479</v>
      </c>
      <c r="M71" s="128">
        <f t="shared" si="78"/>
        <v>1.1130508474576271</v>
      </c>
      <c r="N71" s="128">
        <f t="shared" si="78"/>
        <v>1.284324942791762</v>
      </c>
      <c r="O71" s="128">
        <f t="shared" si="78"/>
        <v>0.89447520184544405</v>
      </c>
      <c r="P71" s="126">
        <f t="shared" si="78"/>
        <v>4.3243547470153496</v>
      </c>
      <c r="Q71" s="128">
        <f t="shared" si="78"/>
        <v>1.2708211997670356</v>
      </c>
      <c r="R71" s="128">
        <f t="shared" si="78"/>
        <v>1.2291545189504374</v>
      </c>
      <c r="S71" s="128">
        <f t="shared" si="78"/>
        <v>1.4511981297486849</v>
      </c>
      <c r="T71" s="128">
        <f t="shared" si="78"/>
        <v>1.209822904368359</v>
      </c>
      <c r="U71" s="126">
        <f t="shared" si="78"/>
        <v>5.1546225863077826</v>
      </c>
      <c r="V71" s="128">
        <f t="shared" si="78"/>
        <v>1.6266187050359711</v>
      </c>
      <c r="W71" s="128">
        <f t="shared" si="78"/>
        <v>1.3643213633597078</v>
      </c>
      <c r="X71" s="128">
        <f t="shared" si="78"/>
        <v>1.592274678111588</v>
      </c>
      <c r="Y71" s="128">
        <f t="shared" si="78"/>
        <v>1.096594427244582</v>
      </c>
      <c r="Z71" s="126">
        <f t="shared" si="78"/>
        <v>5.7197132397803543</v>
      </c>
      <c r="AA71" s="128">
        <f t="shared" si="78"/>
        <v>1.5464753587024329</v>
      </c>
      <c r="AB71" s="128">
        <f t="shared" si="78"/>
        <v>1.5009428032683847</v>
      </c>
      <c r="AC71" s="128">
        <f t="shared" si="78"/>
        <v>1.575089058524173</v>
      </c>
      <c r="AD71" s="128">
        <f t="shared" si="78"/>
        <v>1.0692824822236586</v>
      </c>
      <c r="AE71" s="126">
        <f t="shared" si="78"/>
        <v>5.7007477820025354</v>
      </c>
      <c r="AF71" s="128">
        <f t="shared" si="78"/>
        <v>1.8879552925706771</v>
      </c>
      <c r="AG71" s="128">
        <f t="shared" si="78"/>
        <v>1.8450331125827815</v>
      </c>
      <c r="AH71" s="128">
        <f t="shared" si="78"/>
        <v>1.8765954606141522</v>
      </c>
      <c r="AI71" s="128">
        <f t="shared" ref="AI71:AY71" si="79">INDEX(MO_RIS_EPS_WAD_Adj,0,COLUMN())</f>
        <v>1.4711022044088176</v>
      </c>
      <c r="AJ71" s="126">
        <f t="shared" si="79"/>
        <v>7.0796549435965499</v>
      </c>
      <c r="AK71" s="128">
        <f t="shared" si="79"/>
        <v>1.8411481975967956</v>
      </c>
      <c r="AL71" s="128">
        <f t="shared" si="79"/>
        <v>1.6135068314899155</v>
      </c>
      <c r="AM71" s="128">
        <f t="shared" si="79"/>
        <v>1.3521719955898568</v>
      </c>
      <c r="AN71" s="128">
        <f t="shared" si="79"/>
        <v>1.0722687224669603</v>
      </c>
      <c r="AO71" s="126">
        <f t="shared" si="79"/>
        <v>5.7771068427370951</v>
      </c>
      <c r="AP71" s="128">
        <f t="shared" si="79"/>
        <v>1.5339130434782609</v>
      </c>
      <c r="AQ71" s="128">
        <f t="shared" si="79"/>
        <v>0.60156387665198241</v>
      </c>
      <c r="AR71" s="128">
        <f t="shared" si="79"/>
        <v>7.1929242675511276E-2</v>
      </c>
      <c r="AS71" s="128">
        <f>INDEX(MO_RIS_EPS_WAD_Adj,0,COLUMN())</f>
        <v>-0.20248203427307906</v>
      </c>
      <c r="AT71" s="126">
        <f>INDEX(MO_RIS_EPS_WAD_Adj,0,COLUMN())</f>
        <v>2.0236283185840702</v>
      </c>
      <c r="AU71" s="128">
        <f>INDEX(MO_RIS_EPS_WAD_Adj,0,COLUMN())</f>
        <v>0.31590784421283596</v>
      </c>
      <c r="AV71" s="128">
        <f>INDEX(MO_RIS_EPS_WAD_Adj,0,COLUMN())</f>
        <v>0.77863313285948599</v>
      </c>
      <c r="AW71" s="719">
        <f>INDEX(MO_RIS_EPS_WAD_Adj,0,COLUMN())</f>
        <v>0.80437158469945358</v>
      </c>
      <c r="AX71" s="128">
        <f t="shared" ca="1" si="79"/>
        <v>0.71976637864262494</v>
      </c>
      <c r="AY71" s="126">
        <f t="shared" ca="1" si="79"/>
        <v>2.604591068334793</v>
      </c>
      <c r="AZ71" s="128">
        <f t="shared" ref="AZ71:BG71" ca="1" si="80">INDEX(MO_RIS_EPS_WAD_Adj,0,COLUMN())</f>
        <v>0.80025923801981591</v>
      </c>
      <c r="BA71" s="128">
        <f t="shared" ca="1" si="80"/>
        <v>0.94374640636130802</v>
      </c>
      <c r="BB71" s="128">
        <f t="shared" ca="1" si="80"/>
        <v>1.3550463565983069</v>
      </c>
      <c r="BC71" s="128">
        <f t="shared" ca="1" si="80"/>
        <v>1.493269714821613</v>
      </c>
      <c r="BD71" s="126">
        <f t="shared" ca="1" si="80"/>
        <v>4.592321715801047</v>
      </c>
      <c r="BE71" s="126">
        <f t="shared" ca="1" si="80"/>
        <v>5.8375956138751715</v>
      </c>
      <c r="BF71" s="126">
        <f t="shared" ca="1" si="80"/>
        <v>6.9536145161357172</v>
      </c>
      <c r="BG71" s="126">
        <f t="shared" ca="1" si="80"/>
        <v>7.9934812270114106</v>
      </c>
      <c r="BH71" s="128"/>
    </row>
    <row r="72" spans="1:60" s="374" customFormat="1" x14ac:dyDescent="0.25">
      <c r="A72" s="254"/>
      <c r="B72" s="245"/>
      <c r="C72" s="129"/>
      <c r="D72" s="129"/>
      <c r="E72" s="129"/>
      <c r="F72" s="129"/>
      <c r="G72" s="130"/>
      <c r="H72" s="130"/>
      <c r="I72" s="130"/>
      <c r="J72" s="130"/>
      <c r="K72" s="129"/>
      <c r="L72" s="130"/>
      <c r="M72" s="130"/>
      <c r="N72" s="130"/>
      <c r="O72" s="130"/>
      <c r="P72" s="129"/>
      <c r="Q72" s="130"/>
      <c r="R72" s="130"/>
      <c r="S72" s="130"/>
      <c r="T72" s="130"/>
      <c r="U72" s="129"/>
      <c r="V72" s="130"/>
      <c r="W72" s="130"/>
      <c r="X72" s="130"/>
      <c r="Y72" s="131"/>
      <c r="Z72" s="132"/>
      <c r="AA72" s="130"/>
      <c r="AB72" s="130"/>
      <c r="AC72" s="130"/>
      <c r="AD72" s="131"/>
      <c r="AE72" s="132"/>
      <c r="AF72" s="130"/>
      <c r="AG72" s="130"/>
      <c r="AH72" s="130"/>
      <c r="AI72" s="131"/>
      <c r="AJ72" s="132"/>
      <c r="AK72" s="130"/>
      <c r="AL72" s="130"/>
      <c r="AM72" s="130"/>
      <c r="AN72" s="131"/>
      <c r="AO72" s="132"/>
      <c r="AP72" s="130"/>
      <c r="AQ72" s="130"/>
      <c r="AR72" s="130"/>
      <c r="AS72" s="131"/>
      <c r="AT72" s="132"/>
      <c r="AU72" s="130"/>
      <c r="AV72" s="130"/>
      <c r="AW72" s="720"/>
      <c r="AX72" s="131"/>
      <c r="AY72" s="132"/>
      <c r="AZ72" s="130"/>
      <c r="BA72" s="130"/>
      <c r="BB72" s="130"/>
      <c r="BC72" s="131"/>
      <c r="BD72" s="132"/>
      <c r="BE72" s="132"/>
      <c r="BF72" s="132"/>
      <c r="BG72" s="132"/>
      <c r="BH72" s="254"/>
    </row>
    <row r="73" spans="1:60" s="374" customFormat="1" x14ac:dyDescent="0.25">
      <c r="A73" s="176" t="s">
        <v>181</v>
      </c>
      <c r="B73" s="962"/>
      <c r="C73" s="1012"/>
      <c r="D73" s="1012"/>
      <c r="E73" s="1012"/>
      <c r="F73" s="1012"/>
      <c r="G73" s="1012"/>
      <c r="H73" s="1012"/>
      <c r="I73" s="1012"/>
      <c r="J73" s="1012"/>
      <c r="K73" s="1012"/>
      <c r="L73" s="1012"/>
      <c r="M73" s="1012"/>
      <c r="N73" s="1012"/>
      <c r="O73" s="1012"/>
      <c r="P73" s="1012"/>
      <c r="Q73" s="1012"/>
      <c r="R73" s="1012"/>
      <c r="S73" s="1012"/>
      <c r="T73" s="1012"/>
      <c r="U73" s="1012"/>
      <c r="V73" s="1012"/>
      <c r="W73" s="1012"/>
      <c r="X73" s="1012"/>
      <c r="Y73" s="1012"/>
      <c r="Z73" s="1012"/>
      <c r="AA73" s="1012"/>
      <c r="AB73" s="1012"/>
      <c r="AC73" s="1012"/>
      <c r="AD73" s="1012"/>
      <c r="AE73" s="1012"/>
      <c r="AF73" s="1012"/>
      <c r="AG73" s="1012"/>
      <c r="AH73" s="1012"/>
      <c r="AI73" s="1012"/>
      <c r="AJ73" s="1012"/>
      <c r="AK73" s="1012"/>
      <c r="AL73" s="1012"/>
      <c r="AM73" s="1012"/>
      <c r="AN73" s="1012"/>
      <c r="AO73" s="1012"/>
      <c r="AP73" s="1012"/>
      <c r="AQ73" s="1012"/>
      <c r="AR73" s="1012"/>
      <c r="AS73" s="1012"/>
      <c r="AT73" s="1012"/>
      <c r="AU73" s="1012"/>
      <c r="AV73" s="1012"/>
      <c r="AW73" s="1013"/>
      <c r="AX73" s="1012"/>
      <c r="AY73" s="1012"/>
      <c r="AZ73" s="1012"/>
      <c r="BA73" s="1012"/>
      <c r="BB73" s="1012"/>
      <c r="BC73" s="1012"/>
      <c r="BD73" s="1012"/>
      <c r="BE73" s="1012"/>
      <c r="BF73" s="1012"/>
      <c r="BG73" s="1012"/>
      <c r="BH73" s="963"/>
    </row>
    <row r="74" spans="1:60" s="380" customFormat="1" x14ac:dyDescent="0.25">
      <c r="A74" s="255" t="str">
        <f>INDEX(MO_MA_COGS,0,COLUMN())</f>
        <v>COGS Margin, %</v>
      </c>
      <c r="B74" s="245"/>
      <c r="C74" s="133">
        <f t="shared" ref="C74:AH74" si="81">INDEX(SP_GF_COGS,0,COLUMN())/INDEX(SP_GF_Rev,0,COLUMN())</f>
        <v>0</v>
      </c>
      <c r="D74" s="133">
        <f t="shared" si="81"/>
        <v>0</v>
      </c>
      <c r="E74" s="133">
        <f t="shared" si="81"/>
        <v>0</v>
      </c>
      <c r="F74" s="133">
        <f t="shared" si="81"/>
        <v>0</v>
      </c>
      <c r="G74" s="134">
        <f t="shared" si="81"/>
        <v>0</v>
      </c>
      <c r="H74" s="134">
        <f t="shared" si="81"/>
        <v>0</v>
      </c>
      <c r="I74" s="134">
        <f t="shared" si="81"/>
        <v>0</v>
      </c>
      <c r="J74" s="134">
        <f t="shared" si="81"/>
        <v>0</v>
      </c>
      <c r="K74" s="133">
        <f t="shared" si="81"/>
        <v>0.5558047112630714</v>
      </c>
      <c r="L74" s="134">
        <f t="shared" si="81"/>
        <v>0.57397026565927367</v>
      </c>
      <c r="M74" s="134">
        <f t="shared" si="81"/>
        <v>0.5126620310756288</v>
      </c>
      <c r="N74" s="134">
        <f t="shared" si="81"/>
        <v>0.51050858334670302</v>
      </c>
      <c r="O74" s="134">
        <f t="shared" si="81"/>
        <v>0.5665509726370167</v>
      </c>
      <c r="P74" s="133">
        <f t="shared" si="81"/>
        <v>0.54124925736996288</v>
      </c>
      <c r="Q74" s="134">
        <f t="shared" si="81"/>
        <v>0.57172727951609292</v>
      </c>
      <c r="R74" s="134">
        <f t="shared" si="81"/>
        <v>0.53687505015648829</v>
      </c>
      <c r="S74" s="134">
        <f t="shared" si="81"/>
        <v>0.50858713075337758</v>
      </c>
      <c r="T74" s="134">
        <f t="shared" si="81"/>
        <v>0.54433096506808765</v>
      </c>
      <c r="U74" s="133">
        <f t="shared" si="81"/>
        <v>0.5406270847231488</v>
      </c>
      <c r="V74" s="134">
        <f t="shared" si="81"/>
        <v>0.56566517974284969</v>
      </c>
      <c r="W74" s="134">
        <f t="shared" si="81"/>
        <v>0.52926208651399487</v>
      </c>
      <c r="X74" s="134">
        <f t="shared" si="81"/>
        <v>0.50437767037893111</v>
      </c>
      <c r="Y74" s="134">
        <f t="shared" si="81"/>
        <v>0.55585146857403744</v>
      </c>
      <c r="Z74" s="133">
        <f t="shared" si="81"/>
        <v>0.53913215415588156</v>
      </c>
      <c r="AA74" s="134">
        <f t="shared" si="81"/>
        <v>0.56858766233766234</v>
      </c>
      <c r="AB74" s="134">
        <f t="shared" si="81"/>
        <v>0.5225704859028194</v>
      </c>
      <c r="AC74" s="134">
        <f t="shared" si="81"/>
        <v>0.54200028093833408</v>
      </c>
      <c r="AD74" s="134">
        <f t="shared" si="81"/>
        <v>0.56451991548634484</v>
      </c>
      <c r="AE74" s="133">
        <f t="shared" si="81"/>
        <v>0.54964905598781222</v>
      </c>
      <c r="AF74" s="134">
        <f t="shared" si="81"/>
        <v>0.56914858966842552</v>
      </c>
      <c r="AG74" s="134">
        <f t="shared" si="81"/>
        <v>0.51780313445147097</v>
      </c>
      <c r="AH74" s="134">
        <f t="shared" si="81"/>
        <v>0.54820068295245605</v>
      </c>
      <c r="AI74" s="134">
        <f t="shared" ref="AI74:AY74" si="82">INDEX(SP_GF_COGS,0,COLUMN())/INDEX(SP_GF_Rev,0,COLUMN())</f>
        <v>0.56671559376528968</v>
      </c>
      <c r="AJ74" s="133">
        <f t="shared" si="82"/>
        <v>0.55062758690311941</v>
      </c>
      <c r="AK74" s="134">
        <f t="shared" si="82"/>
        <v>0.58818532313925376</v>
      </c>
      <c r="AL74" s="134">
        <f t="shared" si="82"/>
        <v>0.56131885806192194</v>
      </c>
      <c r="AM74" s="134">
        <f t="shared" si="82"/>
        <v>0.63319338108174861</v>
      </c>
      <c r="AN74" s="134">
        <f t="shared" si="82"/>
        <v>0.61895287958115186</v>
      </c>
      <c r="AO74" s="133">
        <f t="shared" si="82"/>
        <v>0.60396722725312635</v>
      </c>
      <c r="AP74" s="134">
        <f t="shared" si="82"/>
        <v>0.62402914948700738</v>
      </c>
      <c r="AQ74" s="134">
        <f t="shared" si="82"/>
        <v>0.66178022100061085</v>
      </c>
      <c r="AR74" s="134">
        <f t="shared" si="82"/>
        <v>0.67034553018083032</v>
      </c>
      <c r="AS74" s="134">
        <f>INDEX(SP_GF_COGS,0,COLUMN())/INDEX(SP_GF_Rev,0,COLUMN())</f>
        <v>0.74882708914122531</v>
      </c>
      <c r="AT74" s="133">
        <f>INDEX(SP_GF_COGS,0,COLUMN())/INDEX(SP_GF_Rev,0,COLUMN())</f>
        <v>0.67107114455251726</v>
      </c>
      <c r="AU74" s="134">
        <f>INDEX(SP_GF_COGS,0,COLUMN())/INDEX(SP_GF_Rev,0,COLUMN())</f>
        <v>0.7246599790756354</v>
      </c>
      <c r="AV74" s="134">
        <f>INDEX(SP_GF_COGS,0,COLUMN())/INDEX(SP_GF_Rev,0,COLUMN())</f>
        <v>0.6265291744059438</v>
      </c>
      <c r="AW74" s="721">
        <f>INDEX(SP_GF_COGS,0,COLUMN())/INDEX(SP_GF_Rev,0,COLUMN())</f>
        <v>0.65991070379508876</v>
      </c>
      <c r="AX74" s="134">
        <f t="shared" si="82"/>
        <v>0.67575619723510372</v>
      </c>
      <c r="AY74" s="133">
        <f t="shared" si="82"/>
        <v>0.67221028911924752</v>
      </c>
      <c r="AZ74" s="134">
        <f t="shared" ref="AZ74:BG74" si="83">INDEX(SP_GF_COGS,0,COLUMN())/INDEX(SP_GF_Rev,0,COLUMN())</f>
        <v>0.61331761130555318</v>
      </c>
      <c r="BA74" s="134">
        <f t="shared" si="83"/>
        <v>0.65942936697660148</v>
      </c>
      <c r="BB74" s="134">
        <f t="shared" si="83"/>
        <v>0.647524102038747</v>
      </c>
      <c r="BC74" s="134">
        <f t="shared" si="83"/>
        <v>0.64789699486762631</v>
      </c>
      <c r="BD74" s="133">
        <f t="shared" si="83"/>
        <v>0.64229640018380751</v>
      </c>
      <c r="BE74" s="132">
        <f t="shared" si="83"/>
        <v>0.62191948116676843</v>
      </c>
      <c r="BF74" s="132">
        <f t="shared" si="83"/>
        <v>0.62142440572377455</v>
      </c>
      <c r="BG74" s="132">
        <f t="shared" si="83"/>
        <v>0.62032574029420418</v>
      </c>
      <c r="BH74" s="254"/>
    </row>
    <row r="75" spans="1:60" s="380" customFormat="1" x14ac:dyDescent="0.25">
      <c r="A75" s="255" t="str">
        <f>INDEX(MO_MA_SGA,0,COLUMN())</f>
        <v>SG&amp;A (adj. for SBC) Margin, %</v>
      </c>
      <c r="B75" s="245"/>
      <c r="C75" s="133">
        <f t="shared" ref="C75:AH75" si="84">INDEX(SP_GF_SGA,0,COLUMN())/INDEX(SP_GF_Rev,0,COLUMN())</f>
        <v>0.83241583446291734</v>
      </c>
      <c r="D75" s="133">
        <f t="shared" si="84"/>
        <v>0.81302051861387703</v>
      </c>
      <c r="E75" s="133">
        <f t="shared" si="84"/>
        <v>0.79937886679871861</v>
      </c>
      <c r="F75" s="133">
        <f t="shared" si="84"/>
        <v>0.78071337338568525</v>
      </c>
      <c r="G75" s="134">
        <f t="shared" si="84"/>
        <v>0.80671898421655941</v>
      </c>
      <c r="H75" s="134">
        <f t="shared" si="84"/>
        <v>0.78178889520560924</v>
      </c>
      <c r="I75" s="134">
        <f t="shared" si="84"/>
        <v>0.7321644498186215</v>
      </c>
      <c r="J75" s="134">
        <f t="shared" si="84"/>
        <v>0.80497925311203322</v>
      </c>
      <c r="K75" s="133">
        <f t="shared" si="84"/>
        <v>0.17679447614395774</v>
      </c>
      <c r="L75" s="134">
        <f t="shared" si="84"/>
        <v>0.15614590949711593</v>
      </c>
      <c r="M75" s="134">
        <f t="shared" si="84"/>
        <v>0.17203193407159412</v>
      </c>
      <c r="N75" s="134">
        <f t="shared" si="84"/>
        <v>0.15618482271779238</v>
      </c>
      <c r="O75" s="134">
        <f t="shared" si="84"/>
        <v>0.18435709096779401</v>
      </c>
      <c r="P75" s="133">
        <f t="shared" si="84"/>
        <v>0.16710712310245221</v>
      </c>
      <c r="Q75" s="134">
        <f t="shared" si="84"/>
        <v>0.13673362706295272</v>
      </c>
      <c r="R75" s="134">
        <f t="shared" si="84"/>
        <v>0.15825375170532061</v>
      </c>
      <c r="S75" s="134">
        <f t="shared" si="84"/>
        <v>0.1530417525379742</v>
      </c>
      <c r="T75" s="134">
        <f t="shared" si="84"/>
        <v>0.17058910597986973</v>
      </c>
      <c r="U75" s="133">
        <f t="shared" si="84"/>
        <v>0.15463642428285523</v>
      </c>
      <c r="V75" s="134">
        <f t="shared" si="84"/>
        <v>0.12588559433219629</v>
      </c>
      <c r="W75" s="134">
        <f t="shared" si="84"/>
        <v>0.15714395867067624</v>
      </c>
      <c r="X75" s="134">
        <f t="shared" si="84"/>
        <v>0.1544442109686909</v>
      </c>
      <c r="Y75" s="134">
        <f t="shared" si="84"/>
        <v>0.16732612996499771</v>
      </c>
      <c r="Z75" s="133">
        <f t="shared" si="84"/>
        <v>0.1502911993097498</v>
      </c>
      <c r="AA75" s="134">
        <f t="shared" si="84"/>
        <v>0.12770562770562771</v>
      </c>
      <c r="AB75" s="134">
        <f t="shared" si="84"/>
        <v>0.13864727054589082</v>
      </c>
      <c r="AC75" s="134">
        <f t="shared" si="84"/>
        <v>0.13576344992274195</v>
      </c>
      <c r="AD75" s="134">
        <f t="shared" si="84"/>
        <v>0.16761874951091635</v>
      </c>
      <c r="AE75" s="133">
        <f t="shared" si="84"/>
        <v>0.14168344306001415</v>
      </c>
      <c r="AF75" s="134">
        <f t="shared" si="84"/>
        <v>0.12930753696827568</v>
      </c>
      <c r="AG75" s="134">
        <f t="shared" si="84"/>
        <v>0.14758042342590047</v>
      </c>
      <c r="AH75" s="134">
        <f t="shared" si="84"/>
        <v>0.1378381928027318</v>
      </c>
      <c r="AI75" s="134">
        <f t="shared" ref="AI75:AY75" si="85">INDEX(SP_GF_SGA,0,COLUMN())/INDEX(SP_GF_Rev,0,COLUMN())</f>
        <v>0.15628713217306214</v>
      </c>
      <c r="AJ75" s="133">
        <f t="shared" si="85"/>
        <v>0.14246054446949558</v>
      </c>
      <c r="AK75" s="134">
        <f t="shared" si="85"/>
        <v>0.1346141279487682</v>
      </c>
      <c r="AL75" s="134">
        <f t="shared" si="85"/>
        <v>0.13027744270205066</v>
      </c>
      <c r="AM75" s="134">
        <f t="shared" si="85"/>
        <v>0.16033588540380342</v>
      </c>
      <c r="AN75" s="134">
        <f t="shared" si="85"/>
        <v>0.18727748691099477</v>
      </c>
      <c r="AO75" s="133">
        <f t="shared" si="85"/>
        <v>0.15567054764984908</v>
      </c>
      <c r="AP75" s="134">
        <f t="shared" si="85"/>
        <v>0.17202032793172883</v>
      </c>
      <c r="AQ75" s="134">
        <f t="shared" si="85"/>
        <v>0.18085401743572657</v>
      </c>
      <c r="AR75" s="134">
        <f t="shared" si="85"/>
        <v>0.19636641480601069</v>
      </c>
      <c r="AS75" s="134">
        <f>INDEX(SP_GF_SGA,0,COLUMN())/INDEX(SP_GF_Rev,0,COLUMN())</f>
        <v>0.18188617665057455</v>
      </c>
      <c r="AT75" s="133">
        <f>INDEX(SP_GF_SGA,0,COLUMN())/INDEX(SP_GF_Rev,0,COLUMN())</f>
        <v>0.18113415305560654</v>
      </c>
      <c r="AU75" s="134">
        <f>INDEX(SP_GF_SGA,0,COLUMN())/INDEX(SP_GF_Rev,0,COLUMN())</f>
        <v>0.1712720782817404</v>
      </c>
      <c r="AV75" s="134">
        <f>INDEX(SP_GF_SGA,0,COLUMN())/INDEX(SP_GF_Rev,0,COLUMN())</f>
        <v>0.1906744379683597</v>
      </c>
      <c r="AW75" s="721">
        <f>INDEX(SP_GF_SGA,0,COLUMN())/INDEX(SP_GF_Rev,0,COLUMN())</f>
        <v>0.17682998472564915</v>
      </c>
      <c r="AX75" s="134">
        <f t="shared" si="85"/>
        <v>0.15775775440493961</v>
      </c>
      <c r="AY75" s="133">
        <f t="shared" si="85"/>
        <v>0.17315659623277044</v>
      </c>
      <c r="AZ75" s="134">
        <f t="shared" ref="AZ75:BG75" si="86">INDEX(SP_GF_SGA,0,COLUMN())/INDEX(SP_GF_Rev,0,COLUMN())</f>
        <v>0.15239037687803686</v>
      </c>
      <c r="BA75" s="134">
        <f t="shared" si="86"/>
        <v>0.16062190593437739</v>
      </c>
      <c r="BB75" s="134">
        <f t="shared" si="86"/>
        <v>0.16059509040958189</v>
      </c>
      <c r="BC75" s="134">
        <f t="shared" si="86"/>
        <v>0.15852149094622212</v>
      </c>
      <c r="BD75" s="133">
        <f t="shared" si="86"/>
        <v>0.15809401641614448</v>
      </c>
      <c r="BE75" s="132">
        <f t="shared" si="86"/>
        <v>0.1570143252120754</v>
      </c>
      <c r="BF75" s="132">
        <f t="shared" si="86"/>
        <v>0.16031014841613736</v>
      </c>
      <c r="BG75" s="132">
        <f t="shared" si="86"/>
        <v>0.16966296514009993</v>
      </c>
      <c r="BH75" s="254"/>
    </row>
    <row r="76" spans="1:60" s="381" customFormat="1" x14ac:dyDescent="0.25">
      <c r="A76" s="256" t="str">
        <f>INDEX(MO_MA_EBITDA,0,COLUMN())</f>
        <v>EBITDA Margin, %</v>
      </c>
      <c r="B76" s="179"/>
      <c r="C76" s="135">
        <f t="shared" ref="C76:AH76" si="87">INDEX(SP_GF_EBITDA,0,COLUMN())/INDEX(SP_GF_Rev,0,COLUMN())</f>
        <v>0.16758416553708264</v>
      </c>
      <c r="D76" s="135">
        <f t="shared" si="87"/>
        <v>0.186979481386123</v>
      </c>
      <c r="E76" s="135">
        <f t="shared" si="87"/>
        <v>0.20062113320128139</v>
      </c>
      <c r="F76" s="135">
        <f t="shared" si="87"/>
        <v>0.21928662661431478</v>
      </c>
      <c r="G76" s="136">
        <f t="shared" si="87"/>
        <v>0.19328101578344062</v>
      </c>
      <c r="H76" s="136">
        <f t="shared" si="87"/>
        <v>0.21821110479439076</v>
      </c>
      <c r="I76" s="136">
        <f t="shared" si="87"/>
        <v>0.2678355501813785</v>
      </c>
      <c r="J76" s="136">
        <f t="shared" si="87"/>
        <v>0.19502074688796681</v>
      </c>
      <c r="K76" s="135">
        <f t="shared" si="87"/>
        <v>0.26740081259297083</v>
      </c>
      <c r="L76" s="136">
        <f t="shared" si="87"/>
        <v>0.26988382484361034</v>
      </c>
      <c r="M76" s="136">
        <f t="shared" si="87"/>
        <v>0.31530603485277708</v>
      </c>
      <c r="N76" s="136">
        <f t="shared" si="87"/>
        <v>0.33330659393550455</v>
      </c>
      <c r="O76" s="136">
        <f t="shared" si="87"/>
        <v>0.24909193639518928</v>
      </c>
      <c r="P76" s="135">
        <f t="shared" si="87"/>
        <v>0.29164361952758489</v>
      </c>
      <c r="Q76" s="136">
        <f t="shared" si="87"/>
        <v>0.29153909342095435</v>
      </c>
      <c r="R76" s="136">
        <f t="shared" si="87"/>
        <v>0.30487119813819114</v>
      </c>
      <c r="S76" s="136">
        <f t="shared" si="87"/>
        <v>0.33837111670864817</v>
      </c>
      <c r="T76" s="136">
        <f t="shared" si="87"/>
        <v>0.28507992895204265</v>
      </c>
      <c r="U76" s="135">
        <f t="shared" si="87"/>
        <v>0.30473649099399602</v>
      </c>
      <c r="V76" s="136">
        <f t="shared" si="87"/>
        <v>0.30844922592495411</v>
      </c>
      <c r="W76" s="136">
        <f t="shared" si="87"/>
        <v>0.31359395481532887</v>
      </c>
      <c r="X76" s="136">
        <f t="shared" si="87"/>
        <v>0.34117811865237796</v>
      </c>
      <c r="Y76" s="136">
        <f t="shared" si="87"/>
        <v>0.27682240146096487</v>
      </c>
      <c r="Z76" s="135">
        <f t="shared" si="87"/>
        <v>0.31057664653436873</v>
      </c>
      <c r="AA76" s="136">
        <f t="shared" si="87"/>
        <v>0.30370670995670995</v>
      </c>
      <c r="AB76" s="136">
        <f t="shared" si="87"/>
        <v>0.33878224355128972</v>
      </c>
      <c r="AC76" s="136">
        <f t="shared" si="87"/>
        <v>0.322236269138924</v>
      </c>
      <c r="AD76" s="136">
        <f t="shared" si="87"/>
        <v>0.26786133500273884</v>
      </c>
      <c r="AE76" s="135">
        <f t="shared" si="87"/>
        <v>0.30866750095217366</v>
      </c>
      <c r="AF76" s="136">
        <f t="shared" si="87"/>
        <v>0.3015438733632988</v>
      </c>
      <c r="AG76" s="136">
        <f t="shared" si="87"/>
        <v>0.33461644212262853</v>
      </c>
      <c r="AH76" s="136">
        <f t="shared" si="87"/>
        <v>0.31396112424481221</v>
      </c>
      <c r="AI76" s="136">
        <f t="shared" ref="AI76:AY76" si="88">INDEX(SP_GF_EBITDA,0,COLUMN())/INDEX(SP_GF_Rev,0,COLUMN())</f>
        <v>0.27699727406164815</v>
      </c>
      <c r="AJ76" s="135">
        <f t="shared" si="88"/>
        <v>0.30691186862738501</v>
      </c>
      <c r="AK76" s="136">
        <f t="shared" si="88"/>
        <v>0.27720054891197804</v>
      </c>
      <c r="AL76" s="136">
        <f t="shared" si="88"/>
        <v>0.30840369923602734</v>
      </c>
      <c r="AM76" s="136">
        <f t="shared" si="88"/>
        <v>0.206470733514448</v>
      </c>
      <c r="AN76" s="136">
        <f t="shared" si="88"/>
        <v>0.19376963350785339</v>
      </c>
      <c r="AO76" s="135">
        <f t="shared" si="88"/>
        <v>0.24036222509702457</v>
      </c>
      <c r="AP76" s="136">
        <f t="shared" si="88"/>
        <v>0.20395052258126378</v>
      </c>
      <c r="AQ76" s="136">
        <f t="shared" si="88"/>
        <v>0.15736576156366261</v>
      </c>
      <c r="AR76" s="136">
        <f t="shared" si="88"/>
        <v>0.13328805501315902</v>
      </c>
      <c r="AS76" s="136">
        <f>INDEX(SP_GF_EBITDA,0,COLUMN())/INDEX(SP_GF_Rev,0,COLUMN())</f>
        <v>6.9286734208200182E-2</v>
      </c>
      <c r="AT76" s="135">
        <f>INDEX(SP_GF_EBITDA,0,COLUMN())/INDEX(SP_GF_Rev,0,COLUMN())</f>
        <v>0.1477947023918762</v>
      </c>
      <c r="AU76" s="136">
        <f>INDEX(SP_GF_EBITDA,0,COLUMN())/INDEX(SP_GF_Rev,0,COLUMN())</f>
        <v>0.10406794264262416</v>
      </c>
      <c r="AV76" s="136">
        <f>INDEX(SP_GF_EBITDA,0,COLUMN())/INDEX(SP_GF_Rev,0,COLUMN())</f>
        <v>0.18279638762569653</v>
      </c>
      <c r="AW76" s="722">
        <f>INDEX(SP_GF_EBITDA,0,COLUMN())/INDEX(SP_GF_Rev,0,COLUMN())</f>
        <v>0.16325931147926212</v>
      </c>
      <c r="AX76" s="136">
        <f t="shared" si="88"/>
        <v>0.1664860483599567</v>
      </c>
      <c r="AY76" s="135">
        <f t="shared" si="88"/>
        <v>0.15463311464798202</v>
      </c>
      <c r="AZ76" s="136">
        <f t="shared" ref="AZ76:BG76" si="89">INDEX(SP_GF_EBITDA,0,COLUMN())/INDEX(SP_GF_Rev,0,COLUMN())</f>
        <v>0.23429201181640991</v>
      </c>
      <c r="BA76" s="136">
        <f t="shared" si="89"/>
        <v>0.17994872708902118</v>
      </c>
      <c r="BB76" s="136">
        <f t="shared" si="89"/>
        <v>0.19188080755167114</v>
      </c>
      <c r="BC76" s="136">
        <f t="shared" si="89"/>
        <v>0.19358151418615152</v>
      </c>
      <c r="BD76" s="135">
        <f t="shared" si="89"/>
        <v>0.19960958340004797</v>
      </c>
      <c r="BE76" s="135">
        <f t="shared" si="89"/>
        <v>0.22106619362115615</v>
      </c>
      <c r="BF76" s="135">
        <f t="shared" si="89"/>
        <v>0.21826544586008811</v>
      </c>
      <c r="BG76" s="135">
        <f t="shared" si="89"/>
        <v>0.21001129456569584</v>
      </c>
      <c r="BH76" s="293"/>
    </row>
    <row r="77" spans="1:60" s="381" customFormat="1" x14ac:dyDescent="0.25">
      <c r="A77" s="257" t="str">
        <f>INDEX(MO_MA_EBITDA_Adj,0,COLUMN())</f>
        <v>Adjusted EBITDA Margin, %</v>
      </c>
      <c r="B77" s="246"/>
      <c r="C77" s="137">
        <f t="shared" ref="C77:AH77" si="90">INDEX(SP_NGF_EBITDA,0,COLUMN())/INDEX(SP_GF_Rev,0,COLUMN())</f>
        <v>0.16758416553708264</v>
      </c>
      <c r="D77" s="137">
        <f t="shared" si="90"/>
        <v>0.186979481386123</v>
      </c>
      <c r="E77" s="137">
        <f t="shared" si="90"/>
        <v>0.20062113320128139</v>
      </c>
      <c r="F77" s="137">
        <f t="shared" si="90"/>
        <v>0.21928662661431478</v>
      </c>
      <c r="G77" s="138">
        <f t="shared" si="90"/>
        <v>0.19328101578344062</v>
      </c>
      <c r="H77" s="138">
        <f t="shared" si="90"/>
        <v>0.21821110479439076</v>
      </c>
      <c r="I77" s="138">
        <f t="shared" si="90"/>
        <v>0.2678355501813785</v>
      </c>
      <c r="J77" s="138">
        <f t="shared" si="90"/>
        <v>0.19502074688796681</v>
      </c>
      <c r="K77" s="137">
        <f t="shared" si="90"/>
        <v>0.26740081259297083</v>
      </c>
      <c r="L77" s="138">
        <f t="shared" si="90"/>
        <v>0.26988382484361034</v>
      </c>
      <c r="M77" s="138">
        <f t="shared" si="90"/>
        <v>0.31530603485277708</v>
      </c>
      <c r="N77" s="138">
        <f t="shared" si="90"/>
        <v>0.33330659393550455</v>
      </c>
      <c r="O77" s="138">
        <f t="shared" si="90"/>
        <v>0.24909193639518928</v>
      </c>
      <c r="P77" s="137">
        <f t="shared" si="90"/>
        <v>0.29164361952758489</v>
      </c>
      <c r="Q77" s="138">
        <f t="shared" si="90"/>
        <v>0.29153909342095435</v>
      </c>
      <c r="R77" s="138">
        <f t="shared" si="90"/>
        <v>0.30487119813819114</v>
      </c>
      <c r="S77" s="138">
        <f t="shared" si="90"/>
        <v>0.33837111670864817</v>
      </c>
      <c r="T77" s="138">
        <f t="shared" si="90"/>
        <v>0.28507992895204265</v>
      </c>
      <c r="U77" s="137">
        <f t="shared" si="90"/>
        <v>0.30473649099399602</v>
      </c>
      <c r="V77" s="138">
        <f t="shared" si="90"/>
        <v>0.30844922592495411</v>
      </c>
      <c r="W77" s="138">
        <f t="shared" si="90"/>
        <v>0.31359395481532887</v>
      </c>
      <c r="X77" s="138">
        <f t="shared" si="90"/>
        <v>0.34117811865237796</v>
      </c>
      <c r="Y77" s="138">
        <f t="shared" si="90"/>
        <v>0.27682240146096487</v>
      </c>
      <c r="Z77" s="137">
        <f t="shared" si="90"/>
        <v>0.31057664653436873</v>
      </c>
      <c r="AA77" s="138">
        <f t="shared" si="90"/>
        <v>0.30370670995670995</v>
      </c>
      <c r="AB77" s="138">
        <f t="shared" si="90"/>
        <v>0.33878224355128972</v>
      </c>
      <c r="AC77" s="138">
        <f t="shared" si="90"/>
        <v>0.322236269138924</v>
      </c>
      <c r="AD77" s="138">
        <f t="shared" si="90"/>
        <v>0.26786133500273884</v>
      </c>
      <c r="AE77" s="137">
        <f t="shared" si="90"/>
        <v>0.30866750095217366</v>
      </c>
      <c r="AF77" s="138">
        <f t="shared" si="90"/>
        <v>0.3015438733632988</v>
      </c>
      <c r="AG77" s="138">
        <f t="shared" si="90"/>
        <v>0.33461644212262853</v>
      </c>
      <c r="AH77" s="138">
        <f t="shared" si="90"/>
        <v>0.31396112424481221</v>
      </c>
      <c r="AI77" s="138">
        <f t="shared" ref="AI77:AY77" si="91">INDEX(SP_NGF_EBITDA,0,COLUMN())/INDEX(SP_GF_Rev,0,COLUMN())</f>
        <v>0.27699727406164815</v>
      </c>
      <c r="AJ77" s="137">
        <f t="shared" si="91"/>
        <v>0.30691186862738501</v>
      </c>
      <c r="AK77" s="138">
        <f t="shared" si="91"/>
        <v>0.27720054891197804</v>
      </c>
      <c r="AL77" s="138">
        <f t="shared" si="91"/>
        <v>0.30840369923602734</v>
      </c>
      <c r="AM77" s="138">
        <f t="shared" si="91"/>
        <v>0.206470733514448</v>
      </c>
      <c r="AN77" s="138">
        <f t="shared" si="91"/>
        <v>0.19376963350785339</v>
      </c>
      <c r="AO77" s="137">
        <f t="shared" si="91"/>
        <v>0.24036222509702457</v>
      </c>
      <c r="AP77" s="138">
        <f t="shared" si="91"/>
        <v>0.20395052258126378</v>
      </c>
      <c r="AQ77" s="138">
        <f t="shared" si="91"/>
        <v>0.15736576156366261</v>
      </c>
      <c r="AR77" s="138">
        <f t="shared" si="91"/>
        <v>0.13328805501315902</v>
      </c>
      <c r="AS77" s="138">
        <f>INDEX(SP_NGF_EBITDA,0,COLUMN())/INDEX(SP_GF_Rev,0,COLUMN())</f>
        <v>6.9286734208200182E-2</v>
      </c>
      <c r="AT77" s="137">
        <f>INDEX(SP_NGF_EBITDA,0,COLUMN())/INDEX(SP_GF_Rev,0,COLUMN())</f>
        <v>0.1477947023918762</v>
      </c>
      <c r="AU77" s="138">
        <f>INDEX(SP_NGF_EBITDA,0,COLUMN())/INDEX(SP_GF_Rev,0,COLUMN())</f>
        <v>0.10406794264262416</v>
      </c>
      <c r="AV77" s="138">
        <f>INDEX(SP_NGF_EBITDA,0,COLUMN())/INDEX(SP_GF_Rev,0,COLUMN())</f>
        <v>0.18279638762569653</v>
      </c>
      <c r="AW77" s="723">
        <f>INDEX(SP_NGF_EBITDA,0,COLUMN())/INDEX(SP_GF_Rev,0,COLUMN())</f>
        <v>0.16325931147926212</v>
      </c>
      <c r="AX77" s="138">
        <f t="shared" si="91"/>
        <v>0.1664860483599567</v>
      </c>
      <c r="AY77" s="137">
        <f t="shared" si="91"/>
        <v>0.15463311464798205</v>
      </c>
      <c r="AZ77" s="138">
        <f t="shared" ref="AZ77:BG77" si="92">INDEX(SP_NGF_EBITDA,0,COLUMN())/INDEX(SP_GF_Rev,0,COLUMN())</f>
        <v>0.22712610021338264</v>
      </c>
      <c r="BA77" s="138">
        <f t="shared" si="92"/>
        <v>0.17994872708902118</v>
      </c>
      <c r="BB77" s="138">
        <f t="shared" si="92"/>
        <v>0.19188080755167114</v>
      </c>
      <c r="BC77" s="138">
        <f t="shared" si="92"/>
        <v>0.19358151418615152</v>
      </c>
      <c r="BD77" s="137">
        <f t="shared" si="92"/>
        <v>0.19791780548671109</v>
      </c>
      <c r="BE77" s="137">
        <f t="shared" si="92"/>
        <v>0.22106619362115615</v>
      </c>
      <c r="BF77" s="137">
        <f t="shared" si="92"/>
        <v>0.21826544586008811</v>
      </c>
      <c r="BG77" s="137">
        <f t="shared" si="92"/>
        <v>0.21001129456569584</v>
      </c>
      <c r="BH77" s="293"/>
    </row>
    <row r="78" spans="1:60" s="374" customFormat="1" x14ac:dyDescent="0.25">
      <c r="A78" s="251"/>
      <c r="B78" s="244"/>
      <c r="C78" s="1009"/>
      <c r="D78" s="1009"/>
      <c r="E78" s="1009"/>
      <c r="F78" s="1009"/>
      <c r="G78" s="1010"/>
      <c r="H78" s="1010"/>
      <c r="I78" s="1010"/>
      <c r="J78" s="1010"/>
      <c r="K78" s="1009"/>
      <c r="L78" s="1010"/>
      <c r="M78" s="1010"/>
      <c r="N78" s="1010"/>
      <c r="O78" s="1010"/>
      <c r="P78" s="1009"/>
      <c r="Q78" s="1010"/>
      <c r="R78" s="1010"/>
      <c r="S78" s="1010"/>
      <c r="T78" s="1010"/>
      <c r="U78" s="1009"/>
      <c r="V78" s="1010"/>
      <c r="W78" s="1010"/>
      <c r="X78" s="1010"/>
      <c r="Y78" s="1010"/>
      <c r="Z78" s="1009"/>
      <c r="AA78" s="1010"/>
      <c r="AB78" s="1010"/>
      <c r="AC78" s="1010"/>
      <c r="AD78" s="1010"/>
      <c r="AE78" s="1009"/>
      <c r="AF78" s="1010"/>
      <c r="AG78" s="1010"/>
      <c r="AH78" s="1010"/>
      <c r="AI78" s="1010"/>
      <c r="AJ78" s="1009"/>
      <c r="AK78" s="1010"/>
      <c r="AL78" s="1010"/>
      <c r="AM78" s="1010"/>
      <c r="AN78" s="1010"/>
      <c r="AO78" s="1009"/>
      <c r="AP78" s="1010"/>
      <c r="AQ78" s="1010"/>
      <c r="AR78" s="1010"/>
      <c r="AS78" s="1010"/>
      <c r="AT78" s="1009"/>
      <c r="AU78" s="1010"/>
      <c r="AV78" s="1010"/>
      <c r="AW78" s="1011"/>
      <c r="AX78" s="1010"/>
      <c r="AY78" s="1009"/>
      <c r="AZ78" s="1010"/>
      <c r="BA78" s="1010"/>
      <c r="BB78" s="1010"/>
      <c r="BC78" s="1010"/>
      <c r="BD78" s="1009"/>
      <c r="BE78" s="1009"/>
      <c r="BF78" s="1009"/>
      <c r="BG78" s="1009"/>
      <c r="BH78" s="961"/>
    </row>
    <row r="79" spans="1:60" s="374" customFormat="1" x14ac:dyDescent="0.25">
      <c r="A79" s="176" t="s">
        <v>429</v>
      </c>
      <c r="B79" s="962"/>
      <c r="C79" s="1012"/>
      <c r="D79" s="1012"/>
      <c r="E79" s="1012"/>
      <c r="F79" s="1012"/>
      <c r="G79" s="1012"/>
      <c r="H79" s="1012"/>
      <c r="I79" s="1012"/>
      <c r="J79" s="1012"/>
      <c r="K79" s="1012"/>
      <c r="L79" s="1012"/>
      <c r="M79" s="1012"/>
      <c r="N79" s="1012"/>
      <c r="O79" s="1012"/>
      <c r="P79" s="1012"/>
      <c r="Q79" s="1012"/>
      <c r="R79" s="1012"/>
      <c r="S79" s="1012"/>
      <c r="T79" s="1012"/>
      <c r="U79" s="1012"/>
      <c r="V79" s="1012"/>
      <c r="W79" s="1012"/>
      <c r="X79" s="1012"/>
      <c r="Y79" s="1012"/>
      <c r="Z79" s="1012"/>
      <c r="AA79" s="1012"/>
      <c r="AB79" s="1012"/>
      <c r="AC79" s="1012"/>
      <c r="AD79" s="1012"/>
      <c r="AE79" s="1012"/>
      <c r="AF79" s="1012"/>
      <c r="AG79" s="1012"/>
      <c r="AH79" s="1012"/>
      <c r="AI79" s="1012"/>
      <c r="AJ79" s="1012"/>
      <c r="AK79" s="1012"/>
      <c r="AL79" s="1012"/>
      <c r="AM79" s="1012"/>
      <c r="AN79" s="1012"/>
      <c r="AO79" s="1012"/>
      <c r="AP79" s="1012"/>
      <c r="AQ79" s="1012"/>
      <c r="AR79" s="1012"/>
      <c r="AS79" s="1012"/>
      <c r="AT79" s="1012"/>
      <c r="AU79" s="1012"/>
      <c r="AV79" s="1012"/>
      <c r="AW79" s="1013"/>
      <c r="AX79" s="1012"/>
      <c r="AY79" s="1012"/>
      <c r="AZ79" s="1012"/>
      <c r="BA79" s="1012"/>
      <c r="BB79" s="1012"/>
      <c r="BC79" s="1012"/>
      <c r="BD79" s="1012"/>
      <c r="BE79" s="1012"/>
      <c r="BF79" s="1012"/>
      <c r="BG79" s="1012"/>
      <c r="BH79" s="963"/>
    </row>
    <row r="80" spans="1:60" s="378" customFormat="1" x14ac:dyDescent="0.25">
      <c r="A80" s="249" t="str">
        <f>INDEX(MO_CFSum_CFO_BeforeWC,0,COLUMN())</f>
        <v>Operating Cash Flow before WC</v>
      </c>
      <c r="B80" s="250"/>
      <c r="C80" s="157">
        <f t="shared" ref="C80:AH80" si="93">INDEX(MO_CFSum_CFO_BeforeWC,0,COLUMN())</f>
        <v>5775</v>
      </c>
      <c r="D80" s="157">
        <f t="shared" si="93"/>
        <v>6844</v>
      </c>
      <c r="E80" s="157">
        <f t="shared" si="93"/>
        <v>8133</v>
      </c>
      <c r="F80" s="157">
        <f t="shared" si="93"/>
        <v>9057</v>
      </c>
      <c r="G80" s="158">
        <f t="shared" si="93"/>
        <v>1578</v>
      </c>
      <c r="H80" s="158">
        <f t="shared" si="93"/>
        <v>1881</v>
      </c>
      <c r="I80" s="158">
        <f t="shared" si="93"/>
        <v>3381</v>
      </c>
      <c r="J80" s="158">
        <f t="shared" si="93"/>
        <v>2509</v>
      </c>
      <c r="K80" s="157">
        <f t="shared" si="93"/>
        <v>9349</v>
      </c>
      <c r="L80" s="158">
        <f t="shared" si="93"/>
        <v>2041</v>
      </c>
      <c r="M80" s="158">
        <f t="shared" si="93"/>
        <v>2377</v>
      </c>
      <c r="N80" s="158">
        <f t="shared" si="93"/>
        <v>2886</v>
      </c>
      <c r="O80" s="158">
        <f t="shared" si="93"/>
        <v>2748</v>
      </c>
      <c r="P80" s="157">
        <f t="shared" si="93"/>
        <v>10052</v>
      </c>
      <c r="Q80" s="158">
        <f t="shared" si="93"/>
        <v>3500</v>
      </c>
      <c r="R80" s="158">
        <f t="shared" si="93"/>
        <v>2580</v>
      </c>
      <c r="S80" s="158">
        <f t="shared" si="93"/>
        <v>2349</v>
      </c>
      <c r="T80" s="158">
        <f t="shared" si="93"/>
        <v>2351</v>
      </c>
      <c r="U80" s="157">
        <f t="shared" si="93"/>
        <v>10780</v>
      </c>
      <c r="V80" s="158">
        <f t="shared" si="93"/>
        <v>4728</v>
      </c>
      <c r="W80" s="158">
        <f t="shared" si="93"/>
        <v>2563</v>
      </c>
      <c r="X80" s="158">
        <f t="shared" si="93"/>
        <v>3605</v>
      </c>
      <c r="Y80" s="158">
        <f t="shared" si="93"/>
        <v>3219</v>
      </c>
      <c r="Z80" s="157">
        <f t="shared" si="93"/>
        <v>14115</v>
      </c>
      <c r="AA80" s="158">
        <f t="shared" si="93"/>
        <v>3908</v>
      </c>
      <c r="AB80" s="158">
        <f t="shared" si="93"/>
        <v>2824</v>
      </c>
      <c r="AC80" s="158">
        <f t="shared" si="93"/>
        <v>3300</v>
      </c>
      <c r="AD80" s="158">
        <f t="shared" si="93"/>
        <v>2421</v>
      </c>
      <c r="AE80" s="157">
        <f t="shared" si="93"/>
        <v>12453</v>
      </c>
      <c r="AF80" s="158">
        <f t="shared" si="93"/>
        <v>3883</v>
      </c>
      <c r="AG80" s="158">
        <f t="shared" si="93"/>
        <v>3754</v>
      </c>
      <c r="AH80" s="158">
        <f t="shared" si="93"/>
        <v>4284</v>
      </c>
      <c r="AI80" s="158">
        <f t="shared" ref="AI80:AY80" si="94">INDEX(MO_CFSum_CFO_BeforeWC,0,COLUMN())</f>
        <v>3211</v>
      </c>
      <c r="AJ80" s="157">
        <f t="shared" si="94"/>
        <v>15132</v>
      </c>
      <c r="AK80" s="158">
        <f t="shared" si="94"/>
        <v>4279</v>
      </c>
      <c r="AL80" s="158">
        <f t="shared" si="94"/>
        <v>2851</v>
      </c>
      <c r="AM80" s="158">
        <f t="shared" si="94"/>
        <v>4239</v>
      </c>
      <c r="AN80" s="158">
        <f t="shared" si="94"/>
        <v>259</v>
      </c>
      <c r="AO80" s="157">
        <f t="shared" si="94"/>
        <v>11628</v>
      </c>
      <c r="AP80" s="158">
        <f t="shared" si="94"/>
        <v>4103</v>
      </c>
      <c r="AQ80" s="158">
        <f t="shared" si="94"/>
        <v>960</v>
      </c>
      <c r="AR80" s="158">
        <f t="shared" si="94"/>
        <v>583</v>
      </c>
      <c r="AS80" s="158">
        <f>INDEX(MO_CFSum_CFO_BeforeWC,0,COLUMN())</f>
        <v>2615</v>
      </c>
      <c r="AT80" s="157">
        <f>INDEX(MO_CFSum_CFO_BeforeWC,0,COLUMN())</f>
        <v>8261</v>
      </c>
      <c r="AU80" s="158">
        <f>INDEX(MO_CFSum_CFO_BeforeWC,0,COLUMN())</f>
        <v>2143</v>
      </c>
      <c r="AV80" s="158">
        <f>INDEX(MO_CFSum_CFO_BeforeWC,0,COLUMN())</f>
        <v>-302</v>
      </c>
      <c r="AW80" s="718">
        <f>INDEX(MO_CFSum_CFO_BeforeWC,0,COLUMN())</f>
        <v>1190</v>
      </c>
      <c r="AX80" s="158">
        <f t="shared" si="94"/>
        <v>2424.8003293553802</v>
      </c>
      <c r="AY80" s="157">
        <f t="shared" si="94"/>
        <v>5455.8003293553802</v>
      </c>
      <c r="AZ80" s="158">
        <f t="shared" ref="AZ80:BG80" ca="1" si="95">INDEX(MO_CFSum_CFO_BeforeWC,0,COLUMN())</f>
        <v>3807.0971174094129</v>
      </c>
      <c r="BA80" s="158">
        <f t="shared" ca="1" si="95"/>
        <v>2845.3301034760298</v>
      </c>
      <c r="BB80" s="158">
        <f t="shared" ca="1" si="95"/>
        <v>3412.3643087456785</v>
      </c>
      <c r="BC80" s="158">
        <f t="shared" ca="1" si="95"/>
        <v>3671.8831515813063</v>
      </c>
      <c r="BD80" s="157">
        <f t="shared" ca="1" si="95"/>
        <v>13736.674681212427</v>
      </c>
      <c r="BE80" s="157">
        <f t="shared" ca="1" si="95"/>
        <v>16795.496076596541</v>
      </c>
      <c r="BF80" s="157">
        <f t="shared" ca="1" si="95"/>
        <v>17864.883773996629</v>
      </c>
      <c r="BG80" s="157">
        <f t="shared" ca="1" si="95"/>
        <v>18791.293259597918</v>
      </c>
      <c r="BH80" s="158"/>
    </row>
    <row r="81" spans="1:60" s="377" customFormat="1" x14ac:dyDescent="0.25">
      <c r="A81" s="240" t="str">
        <f>INDEX(MO_CFSum_Capex,0,COLUMN())</f>
        <v>Capex</v>
      </c>
      <c r="B81" s="241"/>
      <c r="C81" s="153">
        <f t="shared" ref="C81:AH81" si="96">INDEX(MO_CFSum_Capex,0,COLUMN())</f>
        <v>-1753</v>
      </c>
      <c r="D81" s="153">
        <f t="shared" si="96"/>
        <v>-2110</v>
      </c>
      <c r="E81" s="153">
        <f t="shared" si="96"/>
        <v>-3559</v>
      </c>
      <c r="F81" s="153">
        <f t="shared" si="96"/>
        <v>-3784</v>
      </c>
      <c r="G81" s="154">
        <f t="shared" si="96"/>
        <v>-545</v>
      </c>
      <c r="H81" s="154">
        <f t="shared" si="96"/>
        <v>-574</v>
      </c>
      <c r="I81" s="154">
        <f t="shared" si="96"/>
        <v>-690</v>
      </c>
      <c r="J81" s="154">
        <f t="shared" si="96"/>
        <v>-987</v>
      </c>
      <c r="K81" s="153">
        <f t="shared" si="96"/>
        <v>-2796</v>
      </c>
      <c r="L81" s="154">
        <f t="shared" si="96"/>
        <v>-658</v>
      </c>
      <c r="M81" s="154">
        <f t="shared" si="96"/>
        <v>-701</v>
      </c>
      <c r="N81" s="154">
        <f t="shared" si="96"/>
        <v>-889</v>
      </c>
      <c r="O81" s="154">
        <f t="shared" si="96"/>
        <v>-1063</v>
      </c>
      <c r="P81" s="153">
        <f t="shared" si="96"/>
        <v>-3311</v>
      </c>
      <c r="Q81" s="154">
        <f t="shared" si="96"/>
        <v>-998</v>
      </c>
      <c r="R81" s="154">
        <f t="shared" si="96"/>
        <v>-907</v>
      </c>
      <c r="S81" s="154">
        <f t="shared" si="96"/>
        <v>-1156</v>
      </c>
      <c r="T81" s="154">
        <f t="shared" si="96"/>
        <v>-1204</v>
      </c>
      <c r="U81" s="153">
        <f t="shared" si="96"/>
        <v>-4265</v>
      </c>
      <c r="V81" s="154">
        <f t="shared" si="96"/>
        <v>-1406</v>
      </c>
      <c r="W81" s="154">
        <f t="shared" si="96"/>
        <v>-1150</v>
      </c>
      <c r="X81" s="154">
        <f t="shared" si="96"/>
        <v>-1135</v>
      </c>
      <c r="Y81" s="154">
        <f t="shared" si="96"/>
        <v>-1082</v>
      </c>
      <c r="Z81" s="153">
        <f t="shared" si="96"/>
        <v>-4773</v>
      </c>
      <c r="AA81" s="154">
        <f t="shared" si="96"/>
        <v>-1040</v>
      </c>
      <c r="AB81" s="154">
        <f t="shared" si="96"/>
        <v>-883</v>
      </c>
      <c r="AC81" s="154">
        <f t="shared" si="96"/>
        <v>-805</v>
      </c>
      <c r="AD81" s="154">
        <f t="shared" si="96"/>
        <v>-895</v>
      </c>
      <c r="AE81" s="153">
        <f t="shared" si="96"/>
        <v>-3623</v>
      </c>
      <c r="AF81" s="154">
        <f t="shared" si="96"/>
        <v>-981</v>
      </c>
      <c r="AG81" s="154">
        <f t="shared" si="96"/>
        <v>-1063</v>
      </c>
      <c r="AH81" s="154">
        <f t="shared" si="96"/>
        <v>-1220</v>
      </c>
      <c r="AI81" s="154">
        <f t="shared" ref="AI81:AY81" si="97">INDEX(MO_CFSum_Capex,0,COLUMN())</f>
        <v>-1201</v>
      </c>
      <c r="AJ81" s="153">
        <f t="shared" si="97"/>
        <v>-4465</v>
      </c>
      <c r="AK81" s="154">
        <f t="shared" si="97"/>
        <v>-1195</v>
      </c>
      <c r="AL81" s="154">
        <f t="shared" si="97"/>
        <v>-1195</v>
      </c>
      <c r="AM81" s="154">
        <f t="shared" si="97"/>
        <v>-1177</v>
      </c>
      <c r="AN81" s="154">
        <f t="shared" si="97"/>
        <v>-1309</v>
      </c>
      <c r="AO81" s="153">
        <f t="shared" si="97"/>
        <v>-4876</v>
      </c>
      <c r="AP81" s="154">
        <f t="shared" si="97"/>
        <v>-1338</v>
      </c>
      <c r="AQ81" s="154">
        <f t="shared" si="97"/>
        <v>-1247</v>
      </c>
      <c r="AR81" s="154">
        <f t="shared" si="97"/>
        <v>-708</v>
      </c>
      <c r="AS81" s="154">
        <f>INDEX(MO_CFSum_Capex,0,COLUMN())</f>
        <v>-729</v>
      </c>
      <c r="AT81" s="153">
        <f>INDEX(MO_CFSum_Capex,0,COLUMN())</f>
        <v>-4022</v>
      </c>
      <c r="AU81" s="154">
        <f>INDEX(MO_CFSum_Capex,0,COLUMN())</f>
        <v>-760</v>
      </c>
      <c r="AV81" s="154">
        <f>INDEX(MO_CFSum_Capex,0,COLUMN())</f>
        <v>-770</v>
      </c>
      <c r="AW81" s="711">
        <f>INDEX(MO_CFSum_Capex,0,COLUMN())</f>
        <v>-938</v>
      </c>
      <c r="AX81" s="154">
        <f t="shared" si="97"/>
        <v>-765</v>
      </c>
      <c r="AY81" s="153">
        <f t="shared" si="97"/>
        <v>-3233</v>
      </c>
      <c r="AZ81" s="154">
        <f t="shared" ref="AZ81:BG81" si="98">INDEX(MO_CFSum_Capex,0,COLUMN())</f>
        <v>-1165</v>
      </c>
      <c r="BA81" s="154">
        <f t="shared" si="98"/>
        <v>-1165</v>
      </c>
      <c r="BB81" s="154">
        <f t="shared" si="98"/>
        <v>-1165</v>
      </c>
      <c r="BC81" s="154">
        <f t="shared" si="98"/>
        <v>-1165</v>
      </c>
      <c r="BD81" s="153">
        <f t="shared" si="98"/>
        <v>-4660</v>
      </c>
      <c r="BE81" s="153">
        <f t="shared" si="98"/>
        <v>-4660</v>
      </c>
      <c r="BF81" s="153">
        <f t="shared" si="98"/>
        <v>-4660</v>
      </c>
      <c r="BG81" s="153">
        <f t="shared" si="98"/>
        <v>-4660</v>
      </c>
      <c r="BH81" s="154"/>
    </row>
    <row r="82" spans="1:60" s="378" customFormat="1" x14ac:dyDescent="0.25">
      <c r="A82" s="242" t="s">
        <v>430</v>
      </c>
      <c r="B82" s="243"/>
      <c r="C82" s="155">
        <f t="shared" ref="C82:AH82" si="99">SUM(C80:C81)</f>
        <v>4022</v>
      </c>
      <c r="D82" s="155">
        <f t="shared" si="99"/>
        <v>4734</v>
      </c>
      <c r="E82" s="155">
        <f t="shared" si="99"/>
        <v>4574</v>
      </c>
      <c r="F82" s="155">
        <f t="shared" si="99"/>
        <v>5273</v>
      </c>
      <c r="G82" s="156">
        <f t="shared" si="99"/>
        <v>1033</v>
      </c>
      <c r="H82" s="156">
        <f t="shared" si="99"/>
        <v>1307</v>
      </c>
      <c r="I82" s="156">
        <f t="shared" si="99"/>
        <v>2691</v>
      </c>
      <c r="J82" s="156">
        <f t="shared" si="99"/>
        <v>1522</v>
      </c>
      <c r="K82" s="155">
        <f t="shared" si="99"/>
        <v>6553</v>
      </c>
      <c r="L82" s="156">
        <f t="shared" si="99"/>
        <v>1383</v>
      </c>
      <c r="M82" s="156">
        <f t="shared" si="99"/>
        <v>1676</v>
      </c>
      <c r="N82" s="156">
        <f t="shared" si="99"/>
        <v>1997</v>
      </c>
      <c r="O82" s="156">
        <f t="shared" si="99"/>
        <v>1685</v>
      </c>
      <c r="P82" s="155">
        <f t="shared" si="99"/>
        <v>6741</v>
      </c>
      <c r="Q82" s="156">
        <f t="shared" si="99"/>
        <v>2502</v>
      </c>
      <c r="R82" s="156">
        <f t="shared" si="99"/>
        <v>1673</v>
      </c>
      <c r="S82" s="156">
        <f t="shared" si="99"/>
        <v>1193</v>
      </c>
      <c r="T82" s="156">
        <f t="shared" si="99"/>
        <v>1147</v>
      </c>
      <c r="U82" s="155">
        <f t="shared" si="99"/>
        <v>6515</v>
      </c>
      <c r="V82" s="156">
        <f t="shared" si="99"/>
        <v>3322</v>
      </c>
      <c r="W82" s="156">
        <f t="shared" si="99"/>
        <v>1413</v>
      </c>
      <c r="X82" s="156">
        <f t="shared" si="99"/>
        <v>2470</v>
      </c>
      <c r="Y82" s="156">
        <f t="shared" si="99"/>
        <v>2137</v>
      </c>
      <c r="Z82" s="155">
        <f t="shared" si="99"/>
        <v>9342</v>
      </c>
      <c r="AA82" s="156">
        <f t="shared" si="99"/>
        <v>2868</v>
      </c>
      <c r="AB82" s="156">
        <f t="shared" si="99"/>
        <v>1941</v>
      </c>
      <c r="AC82" s="156">
        <f t="shared" si="99"/>
        <v>2495</v>
      </c>
      <c r="AD82" s="156">
        <f t="shared" si="99"/>
        <v>1526</v>
      </c>
      <c r="AE82" s="155">
        <f t="shared" si="99"/>
        <v>8830</v>
      </c>
      <c r="AF82" s="156">
        <f t="shared" si="99"/>
        <v>2902</v>
      </c>
      <c r="AG82" s="156">
        <f t="shared" si="99"/>
        <v>2691</v>
      </c>
      <c r="AH82" s="156">
        <f t="shared" si="99"/>
        <v>3064</v>
      </c>
      <c r="AI82" s="156">
        <f t="shared" ref="AI82:AY82" si="100">SUM(AI80:AI81)</f>
        <v>2010</v>
      </c>
      <c r="AJ82" s="155">
        <f t="shared" si="100"/>
        <v>10667</v>
      </c>
      <c r="AK82" s="156">
        <f t="shared" si="100"/>
        <v>3084</v>
      </c>
      <c r="AL82" s="156">
        <f t="shared" si="100"/>
        <v>1656</v>
      </c>
      <c r="AM82" s="156">
        <f t="shared" si="100"/>
        <v>3062</v>
      </c>
      <c r="AN82" s="156">
        <f t="shared" si="100"/>
        <v>-1050</v>
      </c>
      <c r="AO82" s="155">
        <f t="shared" si="100"/>
        <v>6752</v>
      </c>
      <c r="AP82" s="156">
        <f t="shared" si="100"/>
        <v>2765</v>
      </c>
      <c r="AQ82" s="156">
        <f t="shared" si="100"/>
        <v>-287</v>
      </c>
      <c r="AR82" s="156">
        <f t="shared" si="100"/>
        <v>-125</v>
      </c>
      <c r="AS82" s="156">
        <f>SUM(AS80:AS81)</f>
        <v>1886</v>
      </c>
      <c r="AT82" s="155">
        <f>SUM(AT80:AT81)</f>
        <v>4239</v>
      </c>
      <c r="AU82" s="156">
        <f>SUM(AU80:AU81)</f>
        <v>1383</v>
      </c>
      <c r="AV82" s="156">
        <f>SUM(AV80:AV81)</f>
        <v>-1072</v>
      </c>
      <c r="AW82" s="712">
        <f>SUM(AW80:AW81)</f>
        <v>252</v>
      </c>
      <c r="AX82" s="156">
        <f t="shared" si="100"/>
        <v>1659.8003293553802</v>
      </c>
      <c r="AY82" s="155">
        <f t="shared" si="100"/>
        <v>2222.8003293553802</v>
      </c>
      <c r="AZ82" s="156">
        <f t="shared" ref="AZ82:BG82" ca="1" si="101">SUM(AZ80:AZ81)</f>
        <v>2642.0971174094129</v>
      </c>
      <c r="BA82" s="156">
        <f t="shared" ca="1" si="101"/>
        <v>1680.3301034760298</v>
      </c>
      <c r="BB82" s="156">
        <f t="shared" ca="1" si="101"/>
        <v>2247.3643087456785</v>
      </c>
      <c r="BC82" s="156">
        <f t="shared" ca="1" si="101"/>
        <v>2506.8831515813063</v>
      </c>
      <c r="BD82" s="155">
        <f t="shared" ca="1" si="101"/>
        <v>9076.6746812124275</v>
      </c>
      <c r="BE82" s="155">
        <f t="shared" ca="1" si="101"/>
        <v>12135.496076596541</v>
      </c>
      <c r="BF82" s="155">
        <f t="shared" ca="1" si="101"/>
        <v>13204.883773996629</v>
      </c>
      <c r="BG82" s="155">
        <f t="shared" ca="1" si="101"/>
        <v>14131.293259597918</v>
      </c>
      <c r="BH82" s="158"/>
    </row>
    <row r="83" spans="1:60" s="377" customFormat="1" x14ac:dyDescent="0.25">
      <c r="A83" s="240" t="str">
        <f>INDEX(MO_CFSum_Dividend,0,COLUMN())</f>
        <v>Dividend Paid</v>
      </c>
      <c r="B83" s="241"/>
      <c r="C83" s="153">
        <f t="shared" ref="C83:AH83" si="102">INDEX(MO_CFSum_Dividend,0,COLUMN())</f>
        <v>-648</v>
      </c>
      <c r="D83" s="153">
        <f t="shared" si="102"/>
        <v>-653</v>
      </c>
      <c r="E83" s="153">
        <f t="shared" si="102"/>
        <v>-756</v>
      </c>
      <c r="F83" s="153">
        <f t="shared" si="102"/>
        <v>-1076</v>
      </c>
      <c r="G83" s="154">
        <f t="shared" si="102"/>
        <v>-1300</v>
      </c>
      <c r="H83" s="154">
        <f t="shared" si="102"/>
        <v>-24</v>
      </c>
      <c r="I83" s="154">
        <f t="shared" si="102"/>
        <v>0</v>
      </c>
      <c r="J83" s="154">
        <f t="shared" si="102"/>
        <v>0</v>
      </c>
      <c r="K83" s="153">
        <f t="shared" si="102"/>
        <v>-1324</v>
      </c>
      <c r="L83" s="154">
        <f t="shared" si="102"/>
        <v>0</v>
      </c>
      <c r="M83" s="154">
        <f t="shared" si="102"/>
        <v>-1508</v>
      </c>
      <c r="N83" s="154">
        <f t="shared" si="102"/>
        <v>0</v>
      </c>
      <c r="O83" s="154">
        <f t="shared" si="102"/>
        <v>0</v>
      </c>
      <c r="P83" s="153">
        <f t="shared" si="102"/>
        <v>-1508</v>
      </c>
      <c r="Q83" s="154">
        <f t="shared" si="102"/>
        <v>0</v>
      </c>
      <c r="R83" s="154">
        <f t="shared" si="102"/>
        <v>-1948</v>
      </c>
      <c r="S83" s="154">
        <f t="shared" si="102"/>
        <v>0</v>
      </c>
      <c r="T83" s="154">
        <f t="shared" si="102"/>
        <v>-1115</v>
      </c>
      <c r="U83" s="153">
        <f t="shared" si="102"/>
        <v>-3063</v>
      </c>
      <c r="V83" s="154">
        <f t="shared" si="102"/>
        <v>0</v>
      </c>
      <c r="W83" s="154">
        <f t="shared" si="102"/>
        <v>-1168</v>
      </c>
      <c r="X83" s="154">
        <f t="shared" si="102"/>
        <v>0</v>
      </c>
      <c r="Y83" s="154">
        <f t="shared" si="102"/>
        <v>-1145</v>
      </c>
      <c r="Z83" s="153">
        <f t="shared" si="102"/>
        <v>-2313</v>
      </c>
      <c r="AA83" s="154">
        <f t="shared" si="102"/>
        <v>0</v>
      </c>
      <c r="AB83" s="154">
        <f t="shared" si="102"/>
        <v>-1237</v>
      </c>
      <c r="AC83" s="154">
        <f t="shared" si="102"/>
        <v>0</v>
      </c>
      <c r="AD83" s="154">
        <f t="shared" si="102"/>
        <v>-1208</v>
      </c>
      <c r="AE83" s="153">
        <f t="shared" si="102"/>
        <v>-2445</v>
      </c>
      <c r="AF83" s="154">
        <f t="shared" si="102"/>
        <v>0</v>
      </c>
      <c r="AG83" s="154">
        <f t="shared" si="102"/>
        <v>-1266</v>
      </c>
      <c r="AH83" s="154">
        <f t="shared" si="102"/>
        <v>0</v>
      </c>
      <c r="AI83" s="154">
        <f t="shared" ref="AI83:AY83" si="103">INDEX(MO_CFSum_Dividend,0,COLUMN())</f>
        <v>-1249</v>
      </c>
      <c r="AJ83" s="153">
        <f t="shared" si="103"/>
        <v>-2515</v>
      </c>
      <c r="AK83" s="154">
        <f t="shared" si="103"/>
        <v>0</v>
      </c>
      <c r="AL83" s="154">
        <f t="shared" si="103"/>
        <v>-1310</v>
      </c>
      <c r="AM83" s="154">
        <f t="shared" si="103"/>
        <v>0</v>
      </c>
      <c r="AN83" s="154">
        <f t="shared" si="103"/>
        <v>-1585</v>
      </c>
      <c r="AO83" s="153">
        <f t="shared" si="103"/>
        <v>-2895</v>
      </c>
      <c r="AP83" s="154">
        <f t="shared" si="103"/>
        <v>0</v>
      </c>
      <c r="AQ83" s="154">
        <f t="shared" si="103"/>
        <v>-1587</v>
      </c>
      <c r="AR83" s="154">
        <f t="shared" si="103"/>
        <v>0</v>
      </c>
      <c r="AS83" s="154">
        <f>INDEX(MO_CFSum_Dividend,0,COLUMN())</f>
        <v>0</v>
      </c>
      <c r="AT83" s="153">
        <f>INDEX(MO_CFSum_Dividend,0,COLUMN())</f>
        <v>-1587</v>
      </c>
      <c r="AU83" s="154">
        <f>INDEX(MO_CFSum_Dividend,0,COLUMN())</f>
        <v>0</v>
      </c>
      <c r="AV83" s="154">
        <f>INDEX(MO_CFSum_Dividend,0,COLUMN())</f>
        <v>0</v>
      </c>
      <c r="AW83" s="711">
        <f>INDEX(MO_CFSum_Dividend,0,COLUMN())</f>
        <v>0</v>
      </c>
      <c r="AX83" s="154">
        <f t="shared" ca="1" si="103"/>
        <v>-1599.84</v>
      </c>
      <c r="AY83" s="153">
        <f t="shared" ca="1" si="103"/>
        <v>-1599.84</v>
      </c>
      <c r="AZ83" s="154">
        <f t="shared" ref="AZ83:BG83" ca="1" si="104">INDEX(MO_CFSum_Dividend,0,COLUMN())</f>
        <v>0</v>
      </c>
      <c r="BA83" s="154">
        <f t="shared" ca="1" si="104"/>
        <v>-1599.84</v>
      </c>
      <c r="BB83" s="154">
        <f t="shared" ca="1" si="104"/>
        <v>0</v>
      </c>
      <c r="BC83" s="154">
        <f t="shared" ca="1" si="104"/>
        <v>-1599.84</v>
      </c>
      <c r="BD83" s="153">
        <f t="shared" ca="1" si="104"/>
        <v>-3199.68</v>
      </c>
      <c r="BE83" s="153">
        <f t="shared" ca="1" si="104"/>
        <v>-3199.68</v>
      </c>
      <c r="BF83" s="153">
        <f t="shared" ca="1" si="104"/>
        <v>-3199.68</v>
      </c>
      <c r="BG83" s="153">
        <f t="shared" ca="1" si="104"/>
        <v>-3199.68</v>
      </c>
      <c r="BH83" s="154"/>
    </row>
    <row r="84" spans="1:60" s="378" customFormat="1" x14ac:dyDescent="0.25">
      <c r="A84" s="242" t="s">
        <v>431</v>
      </c>
      <c r="B84" s="243"/>
      <c r="C84" s="155">
        <f t="shared" ref="C84:AH84" si="105">SUM(C82:C83)</f>
        <v>3374</v>
      </c>
      <c r="D84" s="155">
        <f t="shared" si="105"/>
        <v>4081</v>
      </c>
      <c r="E84" s="155">
        <f t="shared" si="105"/>
        <v>3818</v>
      </c>
      <c r="F84" s="155">
        <f t="shared" si="105"/>
        <v>4197</v>
      </c>
      <c r="G84" s="156">
        <f t="shared" si="105"/>
        <v>-267</v>
      </c>
      <c r="H84" s="156">
        <f t="shared" si="105"/>
        <v>1283</v>
      </c>
      <c r="I84" s="156">
        <f t="shared" si="105"/>
        <v>2691</v>
      </c>
      <c r="J84" s="156">
        <f t="shared" si="105"/>
        <v>1522</v>
      </c>
      <c r="K84" s="155">
        <f t="shared" si="105"/>
        <v>5229</v>
      </c>
      <c r="L84" s="156">
        <f t="shared" si="105"/>
        <v>1383</v>
      </c>
      <c r="M84" s="156">
        <f t="shared" si="105"/>
        <v>168</v>
      </c>
      <c r="N84" s="156">
        <f t="shared" si="105"/>
        <v>1997</v>
      </c>
      <c r="O84" s="156">
        <f t="shared" si="105"/>
        <v>1685</v>
      </c>
      <c r="P84" s="155">
        <f t="shared" si="105"/>
        <v>5233</v>
      </c>
      <c r="Q84" s="156">
        <f t="shared" si="105"/>
        <v>2502</v>
      </c>
      <c r="R84" s="156">
        <f t="shared" si="105"/>
        <v>-275</v>
      </c>
      <c r="S84" s="156">
        <f t="shared" si="105"/>
        <v>1193</v>
      </c>
      <c r="T84" s="156">
        <f t="shared" si="105"/>
        <v>32</v>
      </c>
      <c r="U84" s="155">
        <f t="shared" si="105"/>
        <v>3452</v>
      </c>
      <c r="V84" s="156">
        <f t="shared" si="105"/>
        <v>3322</v>
      </c>
      <c r="W84" s="156">
        <f t="shared" si="105"/>
        <v>245</v>
      </c>
      <c r="X84" s="156">
        <f t="shared" si="105"/>
        <v>2470</v>
      </c>
      <c r="Y84" s="156">
        <f t="shared" si="105"/>
        <v>992</v>
      </c>
      <c r="Z84" s="155">
        <f t="shared" si="105"/>
        <v>7029</v>
      </c>
      <c r="AA84" s="156">
        <f t="shared" si="105"/>
        <v>2868</v>
      </c>
      <c r="AB84" s="156">
        <f t="shared" si="105"/>
        <v>704</v>
      </c>
      <c r="AC84" s="156">
        <f t="shared" si="105"/>
        <v>2495</v>
      </c>
      <c r="AD84" s="156">
        <f t="shared" si="105"/>
        <v>318</v>
      </c>
      <c r="AE84" s="155">
        <f t="shared" si="105"/>
        <v>6385</v>
      </c>
      <c r="AF84" s="156">
        <f t="shared" si="105"/>
        <v>2902</v>
      </c>
      <c r="AG84" s="156">
        <f t="shared" si="105"/>
        <v>1425</v>
      </c>
      <c r="AH84" s="156">
        <f t="shared" si="105"/>
        <v>3064</v>
      </c>
      <c r="AI84" s="156">
        <f t="shared" ref="AI84:AY84" si="106">SUM(AI82:AI83)</f>
        <v>761</v>
      </c>
      <c r="AJ84" s="155">
        <f t="shared" si="106"/>
        <v>8152</v>
      </c>
      <c r="AK84" s="156">
        <f t="shared" si="106"/>
        <v>3084</v>
      </c>
      <c r="AL84" s="156">
        <f t="shared" si="106"/>
        <v>346</v>
      </c>
      <c r="AM84" s="156">
        <f t="shared" si="106"/>
        <v>3062</v>
      </c>
      <c r="AN84" s="156">
        <f t="shared" si="106"/>
        <v>-2635</v>
      </c>
      <c r="AO84" s="155">
        <f t="shared" si="106"/>
        <v>3857</v>
      </c>
      <c r="AP84" s="156">
        <f t="shared" si="106"/>
        <v>2765</v>
      </c>
      <c r="AQ84" s="156">
        <f t="shared" si="106"/>
        <v>-1874</v>
      </c>
      <c r="AR84" s="156">
        <f t="shared" si="106"/>
        <v>-125</v>
      </c>
      <c r="AS84" s="156">
        <f>SUM(AS82:AS83)</f>
        <v>1886</v>
      </c>
      <c r="AT84" s="155">
        <f>SUM(AT82:AT83)</f>
        <v>2652</v>
      </c>
      <c r="AU84" s="156">
        <f>SUM(AU82:AU83)</f>
        <v>1383</v>
      </c>
      <c r="AV84" s="156">
        <f>SUM(AV82:AV83)</f>
        <v>-1072</v>
      </c>
      <c r="AW84" s="712">
        <f>SUM(AW82:AW83)</f>
        <v>252</v>
      </c>
      <c r="AX84" s="156">
        <f t="shared" ca="1" si="106"/>
        <v>59.960329355380281</v>
      </c>
      <c r="AY84" s="155">
        <f t="shared" ca="1" si="106"/>
        <v>622.96032935538028</v>
      </c>
      <c r="AZ84" s="156">
        <f t="shared" ref="AZ84:BG84" ca="1" si="107">SUM(AZ82:AZ83)</f>
        <v>2642.0971174094129</v>
      </c>
      <c r="BA84" s="156">
        <f t="shared" ca="1" si="107"/>
        <v>80.490103476029844</v>
      </c>
      <c r="BB84" s="156">
        <f t="shared" ca="1" si="107"/>
        <v>2247.3643087456785</v>
      </c>
      <c r="BC84" s="156">
        <f t="shared" ca="1" si="107"/>
        <v>907.04315158130635</v>
      </c>
      <c r="BD84" s="155">
        <f t="shared" ca="1" si="107"/>
        <v>5876.9946812124272</v>
      </c>
      <c r="BE84" s="155">
        <f t="shared" ca="1" si="107"/>
        <v>8935.8160765965404</v>
      </c>
      <c r="BF84" s="155">
        <f t="shared" ca="1" si="107"/>
        <v>10005.203773996629</v>
      </c>
      <c r="BG84" s="155">
        <f t="shared" ca="1" si="107"/>
        <v>10931.613259597918</v>
      </c>
      <c r="BH84" s="158"/>
    </row>
    <row r="85" spans="1:60" s="377" customFormat="1" x14ac:dyDescent="0.25">
      <c r="A85" s="240" t="str">
        <f>INDEX(MO_CFSum_Acquisition,0,COLUMN())</f>
        <v>Acquisitions</v>
      </c>
      <c r="B85" s="241"/>
      <c r="C85" s="153">
        <f t="shared" ref="C85:AH85" si="108">INDEX(MO_CFSum_Acquisition,0,COLUMN())</f>
        <v>-176</v>
      </c>
      <c r="D85" s="153">
        <f t="shared" si="108"/>
        <v>-2493</v>
      </c>
      <c r="E85" s="153">
        <f t="shared" si="108"/>
        <v>-184</v>
      </c>
      <c r="F85" s="153">
        <f t="shared" si="108"/>
        <v>-1088</v>
      </c>
      <c r="G85" s="154">
        <f t="shared" si="108"/>
        <v>-2265</v>
      </c>
      <c r="H85" s="154">
        <f t="shared" si="108"/>
        <v>-45</v>
      </c>
      <c r="I85" s="154">
        <f t="shared" si="108"/>
        <v>0</v>
      </c>
      <c r="J85" s="154">
        <f t="shared" si="108"/>
        <v>-133</v>
      </c>
      <c r="K85" s="153">
        <f t="shared" si="108"/>
        <v>-2443</v>
      </c>
      <c r="L85" s="154">
        <f t="shared" si="108"/>
        <v>0</v>
      </c>
      <c r="M85" s="154">
        <f t="shared" si="108"/>
        <v>0</v>
      </c>
      <c r="N85" s="154">
        <f t="shared" si="108"/>
        <v>-402</v>
      </c>
      <c r="O85" s="154">
        <f t="shared" si="108"/>
        <v>0</v>
      </c>
      <c r="P85" s="153">
        <f t="shared" si="108"/>
        <v>-402</v>
      </c>
      <c r="Q85" s="154">
        <f t="shared" si="108"/>
        <v>0</v>
      </c>
      <c r="R85" s="154">
        <f t="shared" si="108"/>
        <v>0</v>
      </c>
      <c r="S85" s="154">
        <f t="shared" si="108"/>
        <v>0</v>
      </c>
      <c r="T85" s="154">
        <f t="shared" si="108"/>
        <v>0</v>
      </c>
      <c r="U85" s="153">
        <f t="shared" si="108"/>
        <v>0</v>
      </c>
      <c r="V85" s="154">
        <f t="shared" si="108"/>
        <v>-400</v>
      </c>
      <c r="W85" s="154">
        <f t="shared" si="108"/>
        <v>0</v>
      </c>
      <c r="X85" s="154">
        <f t="shared" si="108"/>
        <v>0</v>
      </c>
      <c r="Y85" s="154">
        <f t="shared" si="108"/>
        <v>-450</v>
      </c>
      <c r="Z85" s="153">
        <f t="shared" si="108"/>
        <v>-850</v>
      </c>
      <c r="AA85" s="154">
        <f t="shared" si="108"/>
        <v>0</v>
      </c>
      <c r="AB85" s="154">
        <f t="shared" si="108"/>
        <v>-557</v>
      </c>
      <c r="AC85" s="154">
        <f t="shared" si="108"/>
        <v>0</v>
      </c>
      <c r="AD85" s="154">
        <f t="shared" si="108"/>
        <v>140</v>
      </c>
      <c r="AE85" s="153">
        <f t="shared" si="108"/>
        <v>-417</v>
      </c>
      <c r="AF85" s="154">
        <f t="shared" si="108"/>
        <v>0</v>
      </c>
      <c r="AG85" s="154">
        <f t="shared" si="108"/>
        <v>-1581</v>
      </c>
      <c r="AH85" s="154">
        <f t="shared" si="108"/>
        <v>0</v>
      </c>
      <c r="AI85" s="154">
        <f t="shared" ref="AI85:AY85" si="109">INDEX(MO_CFSum_Acquisition,0,COLUMN())</f>
        <v>0</v>
      </c>
      <c r="AJ85" s="153">
        <f t="shared" si="109"/>
        <v>-1581</v>
      </c>
      <c r="AK85" s="154">
        <f t="shared" si="109"/>
        <v>0</v>
      </c>
      <c r="AL85" s="154">
        <f t="shared" si="109"/>
        <v>-9901</v>
      </c>
      <c r="AM85" s="154">
        <f t="shared" si="109"/>
        <v>-1430</v>
      </c>
      <c r="AN85" s="154">
        <f t="shared" si="109"/>
        <v>0</v>
      </c>
      <c r="AO85" s="153">
        <f t="shared" si="109"/>
        <v>-11331</v>
      </c>
      <c r="AP85" s="154">
        <f t="shared" si="109"/>
        <v>0</v>
      </c>
      <c r="AQ85" s="154">
        <f t="shared" si="109"/>
        <v>0</v>
      </c>
      <c r="AR85" s="154">
        <f t="shared" si="109"/>
        <v>0</v>
      </c>
      <c r="AS85" s="154">
        <f>INDEX(MO_CFSum_Acquisition,0,COLUMN())</f>
        <v>0</v>
      </c>
      <c r="AT85" s="153">
        <f>INDEX(MO_CFSum_Acquisition,0,COLUMN())</f>
        <v>0</v>
      </c>
      <c r="AU85" s="154">
        <f>INDEX(MO_CFSum_Acquisition,0,COLUMN())</f>
        <v>0</v>
      </c>
      <c r="AV85" s="154">
        <f>INDEX(MO_CFSum_Acquisition,0,COLUMN())</f>
        <v>0</v>
      </c>
      <c r="AW85" s="711">
        <f>INDEX(MO_CFSum_Acquisition,0,COLUMN())</f>
        <v>0</v>
      </c>
      <c r="AX85" s="154">
        <f t="shared" si="109"/>
        <v>0</v>
      </c>
      <c r="AY85" s="153">
        <f t="shared" si="109"/>
        <v>0</v>
      </c>
      <c r="AZ85" s="154">
        <f t="shared" ref="AZ85:BG85" si="110">INDEX(MO_CFSum_Acquisition,0,COLUMN())</f>
        <v>0</v>
      </c>
      <c r="BA85" s="154">
        <f t="shared" si="110"/>
        <v>0</v>
      </c>
      <c r="BB85" s="154">
        <f t="shared" si="110"/>
        <v>0</v>
      </c>
      <c r="BC85" s="154">
        <f t="shared" si="110"/>
        <v>0</v>
      </c>
      <c r="BD85" s="153">
        <f t="shared" si="110"/>
        <v>0</v>
      </c>
      <c r="BE85" s="153">
        <f t="shared" si="110"/>
        <v>0</v>
      </c>
      <c r="BF85" s="153">
        <f t="shared" si="110"/>
        <v>0</v>
      </c>
      <c r="BG85" s="153">
        <f t="shared" si="110"/>
        <v>0</v>
      </c>
      <c r="BH85" s="154"/>
    </row>
    <row r="86" spans="1:60" s="377" customFormat="1" x14ac:dyDescent="0.25">
      <c r="A86" s="240" t="str">
        <f>INDEX(MO_CFSum_Divestiture,0,COLUMN())</f>
        <v>Divestiture</v>
      </c>
      <c r="B86" s="241"/>
      <c r="C86" s="153">
        <f t="shared" ref="C86:AH86" si="111">INDEX(MO_CFSum_Divestiture,0,COLUMN())</f>
        <v>185</v>
      </c>
      <c r="D86" s="153">
        <f t="shared" si="111"/>
        <v>170</v>
      </c>
      <c r="E86" s="153">
        <f t="shared" si="111"/>
        <v>564</v>
      </c>
      <c r="F86" s="153">
        <f t="shared" si="111"/>
        <v>110</v>
      </c>
      <c r="G86" s="154">
        <f t="shared" si="111"/>
        <v>340</v>
      </c>
      <c r="H86" s="154">
        <f t="shared" si="111"/>
        <v>10</v>
      </c>
      <c r="I86" s="154">
        <f t="shared" si="111"/>
        <v>17</v>
      </c>
      <c r="J86" s="154">
        <f t="shared" si="111"/>
        <v>112</v>
      </c>
      <c r="K86" s="153">
        <f t="shared" si="111"/>
        <v>479</v>
      </c>
      <c r="L86" s="154">
        <f t="shared" si="111"/>
        <v>136</v>
      </c>
      <c r="M86" s="154">
        <f t="shared" si="111"/>
        <v>230</v>
      </c>
      <c r="N86" s="154">
        <f t="shared" si="111"/>
        <v>16</v>
      </c>
      <c r="O86" s="154">
        <f t="shared" si="111"/>
        <v>13</v>
      </c>
      <c r="P86" s="153">
        <f t="shared" si="111"/>
        <v>395</v>
      </c>
      <c r="Q86" s="154">
        <f t="shared" si="111"/>
        <v>0</v>
      </c>
      <c r="R86" s="154">
        <f t="shared" si="111"/>
        <v>81</v>
      </c>
      <c r="S86" s="154">
        <f t="shared" si="111"/>
        <v>62</v>
      </c>
      <c r="T86" s="154">
        <f t="shared" si="111"/>
        <v>23</v>
      </c>
      <c r="U86" s="153">
        <f t="shared" si="111"/>
        <v>166</v>
      </c>
      <c r="V86" s="154">
        <f t="shared" si="111"/>
        <v>40</v>
      </c>
      <c r="W86" s="154">
        <f t="shared" si="111"/>
        <v>2</v>
      </c>
      <c r="X86" s="154">
        <f t="shared" si="111"/>
        <v>2</v>
      </c>
      <c r="Y86" s="154">
        <f t="shared" si="111"/>
        <v>1</v>
      </c>
      <c r="Z86" s="153">
        <f t="shared" si="111"/>
        <v>45</v>
      </c>
      <c r="AA86" s="154">
        <f t="shared" si="111"/>
        <v>0</v>
      </c>
      <c r="AB86" s="154">
        <f t="shared" si="111"/>
        <v>0</v>
      </c>
      <c r="AC86" s="154">
        <f t="shared" si="111"/>
        <v>0</v>
      </c>
      <c r="AD86" s="154">
        <f t="shared" si="111"/>
        <v>0</v>
      </c>
      <c r="AE86" s="153">
        <f t="shared" si="111"/>
        <v>0</v>
      </c>
      <c r="AF86" s="154">
        <f t="shared" si="111"/>
        <v>0</v>
      </c>
      <c r="AG86" s="154">
        <f t="shared" si="111"/>
        <v>0</v>
      </c>
      <c r="AH86" s="154">
        <f t="shared" si="111"/>
        <v>0</v>
      </c>
      <c r="AI86" s="154">
        <f t="shared" ref="AI86:AY86" si="112">INDEX(MO_CFSum_Divestiture,0,COLUMN())</f>
        <v>0</v>
      </c>
      <c r="AJ86" s="153">
        <f t="shared" si="112"/>
        <v>0</v>
      </c>
      <c r="AK86" s="154">
        <f t="shared" si="112"/>
        <v>0</v>
      </c>
      <c r="AL86" s="154">
        <f t="shared" si="112"/>
        <v>0</v>
      </c>
      <c r="AM86" s="154">
        <f t="shared" si="112"/>
        <v>0</v>
      </c>
      <c r="AN86" s="154">
        <f t="shared" si="112"/>
        <v>0</v>
      </c>
      <c r="AO86" s="153">
        <f t="shared" si="112"/>
        <v>0</v>
      </c>
      <c r="AP86" s="154">
        <f t="shared" si="112"/>
        <v>0</v>
      </c>
      <c r="AQ86" s="154">
        <f t="shared" si="112"/>
        <v>0</v>
      </c>
      <c r="AR86" s="154">
        <f t="shared" si="112"/>
        <v>0</v>
      </c>
      <c r="AS86" s="154">
        <f>INDEX(MO_CFSum_Divestiture,0,COLUMN())</f>
        <v>0</v>
      </c>
      <c r="AT86" s="153">
        <f>INDEX(MO_CFSum_Divestiture,0,COLUMN())</f>
        <v>0</v>
      </c>
      <c r="AU86" s="154">
        <f>INDEX(MO_CFSum_Divestiture,0,COLUMN())</f>
        <v>0</v>
      </c>
      <c r="AV86" s="154">
        <f>INDEX(MO_CFSum_Divestiture,0,COLUMN())</f>
        <v>0</v>
      </c>
      <c r="AW86" s="711">
        <f>INDEX(MO_CFSum_Divestiture,0,COLUMN())</f>
        <v>0</v>
      </c>
      <c r="AX86" s="154">
        <f t="shared" si="112"/>
        <v>0</v>
      </c>
      <c r="AY86" s="153">
        <f t="shared" si="112"/>
        <v>0</v>
      </c>
      <c r="AZ86" s="154">
        <f t="shared" ref="AZ86:BG86" si="113">INDEX(MO_CFSum_Divestiture,0,COLUMN())</f>
        <v>0</v>
      </c>
      <c r="BA86" s="154">
        <f t="shared" si="113"/>
        <v>0</v>
      </c>
      <c r="BB86" s="154">
        <f t="shared" si="113"/>
        <v>0</v>
      </c>
      <c r="BC86" s="154">
        <f t="shared" si="113"/>
        <v>0</v>
      </c>
      <c r="BD86" s="153">
        <f t="shared" si="113"/>
        <v>0</v>
      </c>
      <c r="BE86" s="153">
        <f t="shared" si="113"/>
        <v>0</v>
      </c>
      <c r="BF86" s="153">
        <f t="shared" si="113"/>
        <v>0</v>
      </c>
      <c r="BG86" s="153">
        <f t="shared" si="113"/>
        <v>0</v>
      </c>
      <c r="BH86" s="154"/>
    </row>
    <row r="87" spans="1:60" s="377" customFormat="1" x14ac:dyDescent="0.25">
      <c r="A87" s="240" t="s">
        <v>432</v>
      </c>
      <c r="B87" s="241"/>
      <c r="C87" s="153">
        <f t="shared" ref="C87:AH87" ca="1" si="114">SUM(OFFSET(INDEX(MO_CFS_CFO_BeforeWC,0,COLUMN()),1,0,ROW(INDEX(MO_CFS_CFO,0,COLUMN()))-ROW(INDEX(MO_CFS_CFO_BeforeWC,0,COLUMN()))-2,1))</f>
        <v>-456</v>
      </c>
      <c r="D87" s="153">
        <f t="shared" ca="1" si="114"/>
        <v>-266</v>
      </c>
      <c r="E87" s="153">
        <f t="shared" ca="1" si="114"/>
        <v>-1139</v>
      </c>
      <c r="F87" s="153">
        <f t="shared" ca="1" si="114"/>
        <v>-1091</v>
      </c>
      <c r="G87" s="154">
        <f t="shared" ca="1" si="114"/>
        <v>-434</v>
      </c>
      <c r="H87" s="154">
        <f t="shared" ca="1" si="114"/>
        <v>279</v>
      </c>
      <c r="I87" s="154">
        <f t="shared" ca="1" si="114"/>
        <v>32</v>
      </c>
      <c r="J87" s="154">
        <f t="shared" ca="1" si="114"/>
        <v>226</v>
      </c>
      <c r="K87" s="153">
        <f t="shared" ca="1" si="114"/>
        <v>103</v>
      </c>
      <c r="L87" s="154">
        <f t="shared" ca="1" si="114"/>
        <v>-829</v>
      </c>
      <c r="M87" s="154">
        <f t="shared" ca="1" si="114"/>
        <v>150</v>
      </c>
      <c r="N87" s="154">
        <f t="shared" ca="1" si="114"/>
        <v>50</v>
      </c>
      <c r="O87" s="154">
        <f t="shared" ca="1" si="114"/>
        <v>357</v>
      </c>
      <c r="P87" s="153">
        <f t="shared" ca="1" si="114"/>
        <v>-272</v>
      </c>
      <c r="Q87" s="154">
        <f t="shared" ca="1" si="114"/>
        <v>-1645</v>
      </c>
      <c r="R87" s="154">
        <f t="shared" ca="1" si="114"/>
        <v>338</v>
      </c>
      <c r="S87" s="154">
        <f t="shared" ca="1" si="114"/>
        <v>459</v>
      </c>
      <c r="T87" s="154">
        <f t="shared" ca="1" si="114"/>
        <v>977</v>
      </c>
      <c r="U87" s="153">
        <f t="shared" ca="1" si="114"/>
        <v>129</v>
      </c>
      <c r="V87" s="154">
        <f t="shared" ca="1" si="114"/>
        <v>-2366</v>
      </c>
      <c r="W87" s="154">
        <f t="shared" ca="1" si="114"/>
        <v>837</v>
      </c>
      <c r="X87" s="154">
        <f t="shared" ca="1" si="114"/>
        <v>19</v>
      </c>
      <c r="Y87" s="154">
        <f t="shared" ca="1" si="114"/>
        <v>608</v>
      </c>
      <c r="Z87" s="153">
        <f t="shared" ca="1" si="114"/>
        <v>-902</v>
      </c>
      <c r="AA87" s="154">
        <f t="shared" ca="1" si="114"/>
        <v>-2648</v>
      </c>
      <c r="AB87" s="154">
        <f t="shared" ca="1" si="114"/>
        <v>614</v>
      </c>
      <c r="AC87" s="154">
        <f t="shared" ca="1" si="114"/>
        <v>833</v>
      </c>
      <c r="AD87" s="154">
        <f t="shared" ca="1" si="114"/>
        <v>1091</v>
      </c>
      <c r="AE87" s="153">
        <f t="shared" ca="1" si="114"/>
        <v>-110</v>
      </c>
      <c r="AF87" s="154">
        <f t="shared" ca="1" si="114"/>
        <v>-1646</v>
      </c>
      <c r="AG87" s="154">
        <f t="shared" ca="1" si="114"/>
        <v>772</v>
      </c>
      <c r="AH87" s="154">
        <f t="shared" ca="1" si="114"/>
        <v>-605</v>
      </c>
      <c r="AI87" s="154">
        <f t="shared" ref="AI87:AY87" ca="1" si="115">SUM(OFFSET(INDEX(MO_CFS_CFO_BeforeWC,0,COLUMN()),1,0,ROW(INDEX(MO_CFS_CFO,0,COLUMN()))-ROW(INDEX(MO_CFS_CFO_BeforeWC,0,COLUMN()))-2,1))</f>
        <v>642</v>
      </c>
      <c r="AJ87" s="153">
        <f t="shared" ca="1" si="115"/>
        <v>-837</v>
      </c>
      <c r="AK87" s="154">
        <f t="shared" ca="1" si="115"/>
        <v>-2180</v>
      </c>
      <c r="AL87" s="154">
        <f t="shared" ca="1" si="115"/>
        <v>1064</v>
      </c>
      <c r="AM87" s="154">
        <f t="shared" ca="1" si="115"/>
        <v>-5987</v>
      </c>
      <c r="AN87" s="154">
        <f t="shared" ca="1" si="115"/>
        <v>1459</v>
      </c>
      <c r="AO87" s="153">
        <f t="shared" ca="1" si="115"/>
        <v>-5644</v>
      </c>
      <c r="AP87" s="154">
        <f t="shared" ca="1" si="115"/>
        <v>-2473</v>
      </c>
      <c r="AQ87" s="154">
        <f t="shared" ca="1" si="115"/>
        <v>2197</v>
      </c>
      <c r="AR87" s="154">
        <f t="shared" ca="1" si="115"/>
        <v>579</v>
      </c>
      <c r="AS87" s="154">
        <f ca="1">SUM(OFFSET(INDEX(MO_CFS_CFO_BeforeWC,0,COLUMN()),1,0,ROW(INDEX(MO_CFS_CFO,0,COLUMN()))-ROW(INDEX(MO_CFS_CFO_BeforeWC,0,COLUMN()))-2,1))</f>
        <v>-948</v>
      </c>
      <c r="AT87" s="153">
        <f ca="1">SUM(OFFSET(INDEX(MO_CFS_CFO_BeforeWC,0,COLUMN()),1,0,ROW(INDEX(MO_CFS_CFO,0,COLUMN()))-ROW(INDEX(MO_CFS_CFO_BeforeWC,0,COLUMN()))-2,1))</f>
        <v>-645</v>
      </c>
      <c r="AU87" s="154">
        <f ca="1">SUM(OFFSET(INDEX(MO_CFS_CFO_BeforeWC,0,COLUMN()),1,0,ROW(INDEX(MO_CFS_CFO,0,COLUMN()))-ROW(INDEX(MO_CFS_CFO_BeforeWC,0,COLUMN()))-2,1))</f>
        <v>-2068</v>
      </c>
      <c r="AV87" s="154">
        <f ca="1">SUM(OFFSET(INDEX(MO_CFS_CFO_BeforeWC,0,COLUMN()),1,0,ROW(INDEX(MO_CFS_CFO,0,COLUMN()))-ROW(INDEX(MO_CFS_CFO_BeforeWC,0,COLUMN()))-2,1))</f>
        <v>1695</v>
      </c>
      <c r="AW87" s="711">
        <f ca="1">SUM(OFFSET(INDEX(MO_CFS_CFO_BeforeWC,0,COLUMN()),1,0,ROW(INDEX(MO_CFS_CFO,0,COLUMN()))-ROW(INDEX(MO_CFS_CFO_BeforeWC,0,COLUMN()))-2,1))</f>
        <v>276</v>
      </c>
      <c r="AX87" s="154">
        <f t="shared" ca="1" si="115"/>
        <v>908.49179562491372</v>
      </c>
      <c r="AY87" s="153">
        <f t="shared" ca="1" si="115"/>
        <v>811.49179562491372</v>
      </c>
      <c r="AZ87" s="154">
        <f t="shared" ref="AZ87:BG87" ca="1" si="116">SUM(OFFSET(INDEX(MO_CFS_CFO_BeforeWC,0,COLUMN()),1,0,ROW(INDEX(MO_CFS_CFO,0,COLUMN()))-ROW(INDEX(MO_CFS_CFO_BeforeWC,0,COLUMN()))-2,1))</f>
        <v>-2937.4914804334821</v>
      </c>
      <c r="BA87" s="154">
        <f t="shared" ca="1" si="116"/>
        <v>2598.4072078360614</v>
      </c>
      <c r="BB87" s="154">
        <f t="shared" ca="1" si="116"/>
        <v>598.31961692164555</v>
      </c>
      <c r="BC87" s="154">
        <f t="shared" ca="1" si="116"/>
        <v>-1380.4214720143407</v>
      </c>
      <c r="BD87" s="153">
        <f t="shared" ca="1" si="116"/>
        <v>-1121.1861276901154</v>
      </c>
      <c r="BE87" s="153">
        <f t="shared" ca="1" si="116"/>
        <v>341.72048616096163</v>
      </c>
      <c r="BF87" s="153">
        <f t="shared" ca="1" si="116"/>
        <v>269.95041087821528</v>
      </c>
      <c r="BG87" s="153">
        <f t="shared" ca="1" si="116"/>
        <v>353.54713788430536</v>
      </c>
      <c r="BH87" s="154"/>
    </row>
    <row r="88" spans="1:60" s="377" customFormat="1" x14ac:dyDescent="0.25">
      <c r="A88" s="240" t="s">
        <v>433</v>
      </c>
      <c r="B88" s="241"/>
      <c r="C88" s="153">
        <f t="shared" ref="C88:AH88" si="117">INDEX(MO_CFSum_NetShares,0,COLUMN())</f>
        <v>-19</v>
      </c>
      <c r="D88" s="153">
        <f t="shared" si="117"/>
        <v>-1536</v>
      </c>
      <c r="E88" s="153">
        <f t="shared" si="117"/>
        <v>-3865</v>
      </c>
      <c r="F88" s="153">
        <f t="shared" si="117"/>
        <v>-2007</v>
      </c>
      <c r="G88" s="154">
        <f t="shared" si="117"/>
        <v>-920</v>
      </c>
      <c r="H88" s="154">
        <f t="shared" si="117"/>
        <v>-620</v>
      </c>
      <c r="I88" s="154">
        <f t="shared" si="117"/>
        <v>-636</v>
      </c>
      <c r="J88" s="154">
        <f t="shared" si="117"/>
        <v>-1324</v>
      </c>
      <c r="K88" s="153">
        <f t="shared" si="117"/>
        <v>-3500</v>
      </c>
      <c r="L88" s="154">
        <f t="shared" si="117"/>
        <v>-1624</v>
      </c>
      <c r="M88" s="154">
        <f t="shared" si="117"/>
        <v>-1335</v>
      </c>
      <c r="N88" s="154">
        <f t="shared" si="117"/>
        <v>-1780</v>
      </c>
      <c r="O88" s="154">
        <f t="shared" si="117"/>
        <v>-1384</v>
      </c>
      <c r="P88" s="153">
        <f t="shared" si="117"/>
        <v>-6123</v>
      </c>
      <c r="Q88" s="154">
        <f t="shared" si="117"/>
        <v>-1238</v>
      </c>
      <c r="R88" s="154">
        <f t="shared" si="117"/>
        <v>-315</v>
      </c>
      <c r="S88" s="154">
        <f t="shared" si="117"/>
        <v>-978</v>
      </c>
      <c r="T88" s="154">
        <f t="shared" si="117"/>
        <v>-3235</v>
      </c>
      <c r="U88" s="153">
        <f t="shared" si="117"/>
        <v>-5766</v>
      </c>
      <c r="V88" s="154">
        <f t="shared" si="117"/>
        <v>-2300</v>
      </c>
      <c r="W88" s="154">
        <f t="shared" si="117"/>
        <v>-1931</v>
      </c>
      <c r="X88" s="154">
        <f t="shared" si="117"/>
        <v>-1461</v>
      </c>
      <c r="Y88" s="154">
        <f t="shared" si="117"/>
        <v>-1548</v>
      </c>
      <c r="Z88" s="153">
        <f t="shared" si="117"/>
        <v>-7240</v>
      </c>
      <c r="AA88" s="154">
        <f t="shared" si="117"/>
        <v>-1400</v>
      </c>
      <c r="AB88" s="154">
        <f t="shared" si="117"/>
        <v>-1914</v>
      </c>
      <c r="AC88" s="154">
        <f t="shared" si="117"/>
        <v>-2374</v>
      </c>
      <c r="AD88" s="154">
        <f t="shared" si="117"/>
        <v>-3404</v>
      </c>
      <c r="AE88" s="153">
        <f t="shared" si="117"/>
        <v>-9092</v>
      </c>
      <c r="AF88" s="154">
        <f t="shared" si="117"/>
        <v>-1263</v>
      </c>
      <c r="AG88" s="154">
        <f t="shared" si="117"/>
        <v>-1254</v>
      </c>
      <c r="AH88" s="154">
        <f t="shared" si="117"/>
        <v>-931</v>
      </c>
      <c r="AI88" s="154">
        <f t="shared" ref="AI88:AY88" si="118">INDEX(MO_CFSum_NetShares,0,COLUMN())</f>
        <v>81</v>
      </c>
      <c r="AJ88" s="153">
        <f t="shared" si="118"/>
        <v>-3367</v>
      </c>
      <c r="AK88" s="154">
        <f t="shared" si="118"/>
        <v>37</v>
      </c>
      <c r="AL88" s="154">
        <f t="shared" si="118"/>
        <v>46</v>
      </c>
      <c r="AM88" s="154">
        <f t="shared" si="118"/>
        <v>195</v>
      </c>
      <c r="AN88" s="154">
        <f t="shared" si="118"/>
        <v>40</v>
      </c>
      <c r="AO88" s="153">
        <f t="shared" si="118"/>
        <v>318</v>
      </c>
      <c r="AP88" s="154">
        <f t="shared" si="118"/>
        <v>126</v>
      </c>
      <c r="AQ88" s="154">
        <f t="shared" si="118"/>
        <v>81</v>
      </c>
      <c r="AR88" s="154">
        <f t="shared" si="118"/>
        <v>31</v>
      </c>
      <c r="AS88" s="154">
        <f>INDEX(MO_CFSum_NetShares,0,COLUMN())</f>
        <v>67</v>
      </c>
      <c r="AT88" s="153">
        <f>INDEX(MO_CFSum_NetShares,0,COLUMN())</f>
        <v>305</v>
      </c>
      <c r="AU88" s="154">
        <f>INDEX(MO_CFSum_NetShares,0,COLUMN())</f>
        <v>209</v>
      </c>
      <c r="AV88" s="154">
        <f>INDEX(MO_CFSum_NetShares,0,COLUMN())</f>
        <v>185</v>
      </c>
      <c r="AW88" s="711">
        <f>INDEX(MO_CFSum_NetShares,0,COLUMN())</f>
        <v>11</v>
      </c>
      <c r="AX88" s="154">
        <f t="shared" si="118"/>
        <v>0</v>
      </c>
      <c r="AY88" s="153">
        <f t="shared" si="118"/>
        <v>405</v>
      </c>
      <c r="AZ88" s="154">
        <f t="shared" ref="AZ88:BG88" si="119">INDEX(MO_CFSum_NetShares,0,COLUMN())</f>
        <v>0</v>
      </c>
      <c r="BA88" s="154">
        <f t="shared" si="119"/>
        <v>0</v>
      </c>
      <c r="BB88" s="154">
        <f t="shared" si="119"/>
        <v>0</v>
      </c>
      <c r="BC88" s="154">
        <f t="shared" si="119"/>
        <v>0</v>
      </c>
      <c r="BD88" s="153">
        <f t="shared" si="119"/>
        <v>0</v>
      </c>
      <c r="BE88" s="153">
        <f t="shared" si="119"/>
        <v>0</v>
      </c>
      <c r="BF88" s="153">
        <f t="shared" si="119"/>
        <v>0</v>
      </c>
      <c r="BG88" s="153">
        <f t="shared" si="119"/>
        <v>0</v>
      </c>
      <c r="BH88" s="154"/>
    </row>
    <row r="89" spans="1:60" s="377" customFormat="1" x14ac:dyDescent="0.25">
      <c r="A89" s="240" t="s">
        <v>434</v>
      </c>
      <c r="B89" s="241"/>
      <c r="C89" s="153">
        <f t="shared" ref="C89:AH89" si="120">INDEX(MO_CFSum_NetDebtIssuance,0,COLUMN())</f>
        <v>-1852</v>
      </c>
      <c r="D89" s="153">
        <f t="shared" si="120"/>
        <v>-181</v>
      </c>
      <c r="E89" s="153">
        <f t="shared" si="120"/>
        <v>1647</v>
      </c>
      <c r="F89" s="153">
        <f t="shared" si="120"/>
        <v>424</v>
      </c>
      <c r="G89" s="154">
        <f t="shared" si="120"/>
        <v>3255</v>
      </c>
      <c r="H89" s="154">
        <f t="shared" si="120"/>
        <v>-410</v>
      </c>
      <c r="I89" s="154">
        <f t="shared" si="120"/>
        <v>-1762</v>
      </c>
      <c r="J89" s="154">
        <f t="shared" si="120"/>
        <v>-704</v>
      </c>
      <c r="K89" s="153">
        <f t="shared" si="120"/>
        <v>379</v>
      </c>
      <c r="L89" s="154">
        <f t="shared" si="120"/>
        <v>1169</v>
      </c>
      <c r="M89" s="154">
        <f t="shared" si="120"/>
        <v>201</v>
      </c>
      <c r="N89" s="154">
        <f t="shared" si="120"/>
        <v>514</v>
      </c>
      <c r="O89" s="154">
        <f t="shared" si="120"/>
        <v>-1251</v>
      </c>
      <c r="P89" s="153">
        <f t="shared" si="120"/>
        <v>633</v>
      </c>
      <c r="Q89" s="154">
        <f t="shared" si="120"/>
        <v>1718</v>
      </c>
      <c r="R89" s="154">
        <f t="shared" si="120"/>
        <v>-1600</v>
      </c>
      <c r="S89" s="154">
        <f t="shared" si="120"/>
        <v>409</v>
      </c>
      <c r="T89" s="154">
        <f t="shared" si="120"/>
        <v>2178</v>
      </c>
      <c r="U89" s="153">
        <f t="shared" si="120"/>
        <v>2705</v>
      </c>
      <c r="V89" s="154">
        <f t="shared" si="120"/>
        <v>1725</v>
      </c>
      <c r="W89" s="154">
        <f t="shared" si="120"/>
        <v>2124</v>
      </c>
      <c r="X89" s="154">
        <f t="shared" si="120"/>
        <v>-691</v>
      </c>
      <c r="Y89" s="154">
        <f t="shared" si="120"/>
        <v>-218</v>
      </c>
      <c r="Z89" s="153">
        <f t="shared" si="120"/>
        <v>2940</v>
      </c>
      <c r="AA89" s="154">
        <f t="shared" si="120"/>
        <v>580</v>
      </c>
      <c r="AB89" s="154">
        <f t="shared" si="120"/>
        <v>1154</v>
      </c>
      <c r="AC89" s="154">
        <f t="shared" si="120"/>
        <v>471</v>
      </c>
      <c r="AD89" s="154">
        <f t="shared" si="120"/>
        <v>1498</v>
      </c>
      <c r="AE89" s="153">
        <f t="shared" si="120"/>
        <v>3703</v>
      </c>
      <c r="AF89" s="154">
        <f t="shared" si="120"/>
        <v>835</v>
      </c>
      <c r="AG89" s="154">
        <f t="shared" si="120"/>
        <v>235</v>
      </c>
      <c r="AH89" s="154">
        <f t="shared" si="120"/>
        <v>-917</v>
      </c>
      <c r="AI89" s="154">
        <f t="shared" ref="AI89:AY89" si="121">INDEX(MO_CFSum_NetDebtIssuance,0,COLUMN())</f>
        <v>-2736</v>
      </c>
      <c r="AJ89" s="153">
        <f t="shared" si="121"/>
        <v>-2583</v>
      </c>
      <c r="AK89" s="154">
        <f t="shared" si="121"/>
        <v>-302</v>
      </c>
      <c r="AL89" s="154">
        <f t="shared" si="121"/>
        <v>14425</v>
      </c>
      <c r="AM89" s="154">
        <f t="shared" si="121"/>
        <v>1159</v>
      </c>
      <c r="AN89" s="154">
        <f t="shared" si="121"/>
        <v>-11605</v>
      </c>
      <c r="AO89" s="153">
        <f t="shared" si="121"/>
        <v>3677</v>
      </c>
      <c r="AP89" s="154">
        <f t="shared" si="121"/>
        <v>1177</v>
      </c>
      <c r="AQ89" s="154">
        <f t="shared" si="121"/>
        <v>6984</v>
      </c>
      <c r="AR89" s="154">
        <f t="shared" si="121"/>
        <v>8945</v>
      </c>
      <c r="AS89" s="154">
        <f>INDEX(MO_CFSum_NetDebtIssuance,0,COLUMN())</f>
        <v>-5873</v>
      </c>
      <c r="AT89" s="153">
        <f>INDEX(MO_CFSum_NetDebtIssuance,0,COLUMN())</f>
        <v>11233</v>
      </c>
      <c r="AU89" s="154">
        <f>INDEX(MO_CFSum_NetDebtIssuance,0,COLUMN())</f>
        <v>-317</v>
      </c>
      <c r="AV89" s="154">
        <f>INDEX(MO_CFSum_NetDebtIssuance,0,COLUMN())</f>
        <v>-1549</v>
      </c>
      <c r="AW89" s="711">
        <f>INDEX(MO_CFSum_NetDebtIssuance,0,COLUMN())</f>
        <v>-509</v>
      </c>
      <c r="AX89" s="154">
        <f t="shared" si="121"/>
        <v>0</v>
      </c>
      <c r="AY89" s="153">
        <f t="shared" si="121"/>
        <v>-2375</v>
      </c>
      <c r="AZ89" s="154">
        <f t="shared" ref="AZ89:BG89" si="122">INDEX(MO_CFSum_NetDebtIssuance,0,COLUMN())</f>
        <v>0</v>
      </c>
      <c r="BA89" s="154">
        <f t="shared" si="122"/>
        <v>0</v>
      </c>
      <c r="BB89" s="154">
        <f t="shared" si="122"/>
        <v>0</v>
      </c>
      <c r="BC89" s="154">
        <f t="shared" si="122"/>
        <v>0</v>
      </c>
      <c r="BD89" s="153">
        <f t="shared" si="122"/>
        <v>0</v>
      </c>
      <c r="BE89" s="153">
        <f t="shared" si="122"/>
        <v>0</v>
      </c>
      <c r="BF89" s="153">
        <f t="shared" si="122"/>
        <v>0</v>
      </c>
      <c r="BG89" s="153">
        <f t="shared" si="122"/>
        <v>0</v>
      </c>
      <c r="BH89" s="154"/>
    </row>
    <row r="90" spans="1:60" s="377" customFormat="1" x14ac:dyDescent="0.25">
      <c r="A90" s="240" t="s">
        <v>425</v>
      </c>
      <c r="B90" s="241"/>
      <c r="C90" s="153">
        <f>+Model!C944+Model!C955+Model!C957+Model!C962</f>
        <v>-640</v>
      </c>
      <c r="D90" s="153">
        <f>+Model!D944+Model!D955+Model!D957+Model!D962</f>
        <v>-470</v>
      </c>
      <c r="E90" s="153">
        <f>+Model!E944+Model!E955+Model!E957+Model!E962</f>
        <v>-378</v>
      </c>
      <c r="F90" s="153">
        <f>+Model!F944+Model!F955+Model!F957+Model!F962</f>
        <v>-343</v>
      </c>
      <c r="G90" s="154">
        <f>+Model!G944+Model!G955+Model!G957+Model!G962</f>
        <v>111</v>
      </c>
      <c r="H90" s="154">
        <f>+Model!H944+Model!H955+Model!H957+Model!H962</f>
        <v>248</v>
      </c>
      <c r="I90" s="154">
        <f>+Model!I944+Model!I955+Model!I957+Model!I962</f>
        <v>-362</v>
      </c>
      <c r="J90" s="154">
        <f>+Model!J944+Model!J955+Model!J957+Model!J962</f>
        <v>300</v>
      </c>
      <c r="K90" s="153">
        <f>+Model!K944+Model!K955+Model!K957+Model!K962</f>
        <v>297</v>
      </c>
      <c r="L90" s="154">
        <f>+Model!L944+Model!L955+Model!L957+Model!L962</f>
        <v>231</v>
      </c>
      <c r="M90" s="154">
        <f>+Model!M944+Model!M955+Model!M957+Model!M962</f>
        <v>267</v>
      </c>
      <c r="N90" s="154">
        <f>+Model!N944+Model!N955+Model!N957+Model!N962</f>
        <v>-383</v>
      </c>
      <c r="O90" s="154">
        <f>+Model!O944+Model!O955+Model!O957+Model!O962</f>
        <v>-89</v>
      </c>
      <c r="P90" s="153">
        <f>+Model!P944+Model!P955+Model!P957+Model!P962</f>
        <v>26</v>
      </c>
      <c r="Q90" s="154">
        <f>+Model!Q944+Model!Q955+Model!Q957+Model!Q962</f>
        <v>319</v>
      </c>
      <c r="R90" s="154">
        <f>+Model!R944+Model!R955+Model!R957+Model!R962</f>
        <v>439</v>
      </c>
      <c r="S90" s="154">
        <f>+Model!S944+Model!S955+Model!S957+Model!S962</f>
        <v>-415</v>
      </c>
      <c r="T90" s="154">
        <f>+Model!T944+Model!T955+Model!T957+Model!T962</f>
        <v>-181</v>
      </c>
      <c r="U90" s="153">
        <f>+Model!U944+Model!U955+Model!U957+Model!U962</f>
        <v>162</v>
      </c>
      <c r="V90" s="154">
        <f>+Model!V944+Model!V955+Model!V957+Model!V962</f>
        <v>11</v>
      </c>
      <c r="W90" s="154">
        <f>+Model!W944+Model!W955+Model!W957+Model!W962</f>
        <v>-563</v>
      </c>
      <c r="X90" s="154">
        <f>+Model!X944+Model!X955+Model!X957+Model!X962</f>
        <v>-127</v>
      </c>
      <c r="Y90" s="154">
        <f>+Model!Y944+Model!Y955+Model!Y957+Model!Y962</f>
        <v>-2</v>
      </c>
      <c r="Z90" s="153">
        <f>+Model!Z944+Model!Z955+Model!Z957+Model!Z962</f>
        <v>-681</v>
      </c>
      <c r="AA90" s="154">
        <f>+Model!AA944+Model!AA955+Model!AA957+Model!AA962</f>
        <v>-274</v>
      </c>
      <c r="AB90" s="154">
        <f>+Model!AB944+Model!AB955+Model!AB957+Model!AB962</f>
        <v>63</v>
      </c>
      <c r="AC90" s="154">
        <f>+Model!AC944+Model!AC955+Model!AC957+Model!AC962</f>
        <v>-889</v>
      </c>
      <c r="AD90" s="154">
        <f>+Model!AD944+Model!AD955+Model!AD957+Model!AD962</f>
        <v>-65</v>
      </c>
      <c r="AE90" s="153">
        <f>+Model!AE944+Model!AE955+Model!AE957+Model!AE962</f>
        <v>-1165</v>
      </c>
      <c r="AF90" s="154">
        <f>+Model!AF944+Model!AF955+Model!AF957+Model!AF962</f>
        <v>-197</v>
      </c>
      <c r="AG90" s="154">
        <f>+Model!AG944+Model!AG955+Model!AG957+Model!AG962</f>
        <v>-97</v>
      </c>
      <c r="AH90" s="154">
        <f>+Model!AH944+Model!AH955+Model!AH957+Model!AH962</f>
        <v>-475</v>
      </c>
      <c r="AI90" s="154">
        <f>+Model!AI944+Model!AI955+Model!AI957+Model!AI962</f>
        <v>1076</v>
      </c>
      <c r="AJ90" s="153">
        <f>+Model!AJ944+Model!AJ955+Model!AJ957+Model!AJ962</f>
        <v>307</v>
      </c>
      <c r="AK90" s="154">
        <f>+Model!AK944+Model!AK955+Model!AK957+Model!AK962</f>
        <v>-331</v>
      </c>
      <c r="AL90" s="154">
        <f>+Model!AL944+Model!AL955+Model!AL957+Model!AL962+Model!AL961</f>
        <v>-221</v>
      </c>
      <c r="AM90" s="154">
        <f>+Model!AM944+Model!AM955+Model!AM957+Model!AM962+Model!AM961+Model!AM945+Model!AM937+Model!AM958</f>
        <v>136</v>
      </c>
      <c r="AN90" s="154">
        <f>+Model!AN944+Model!AN955+Model!AN957+Model!AN962+Model!AN961+Model!AN945+Model!AN937+Model!AN958</f>
        <v>10839</v>
      </c>
      <c r="AO90" s="153">
        <f>+Model!AO944+Model!AO955+Model!AO957+Model!AO962+Model!AO961+Model!AO945+Model!AO937+Model!AO958</f>
        <v>10423</v>
      </c>
      <c r="AP90" s="154">
        <f>+Model!AP944+Model!AP955+Model!AP957+Model!AP962+Model!AP961+Model!AP945+Model!AP937+Model!AP958</f>
        <v>-176</v>
      </c>
      <c r="AQ90" s="154">
        <f>+Model!AQ944+Model!AQ955+Model!AQ957+Model!AQ962+Model!AQ961+Model!AQ945+Model!AQ937+Model!AQ958</f>
        <v>116</v>
      </c>
      <c r="AR90" s="154">
        <f>+Model!AR944+Model!AR955+Model!AR957+Model!AR962+Model!AR961+Model!AR945+Model!AR937+Model!AR958</f>
        <v>-654</v>
      </c>
      <c r="AS90" s="154">
        <f>+Model!AS944+Model!AS955+Model!AS957+Model!AS962+Model!AS961+Model!AS945+Model!AS937+Model!AS958</f>
        <v>-332</v>
      </c>
      <c r="AT90" s="153">
        <f>+Model!AT944+Model!AT955+Model!AT957+Model!AT962+Model!AT961+Model!AT945+Model!AT937+Model!AT958</f>
        <v>-1046</v>
      </c>
      <c r="AU90" s="154">
        <f>+Model!AU944+Model!AU955+Model!AU957+Model!AU962+Model!AU961+Model!AU945+Model!AU937+Model!AU958</f>
        <v>-49</v>
      </c>
      <c r="AV90" s="154">
        <f>+Model!AV944+Model!AV955+Model!AV957+Model!AV962+Model!AV961+Model!AV945+Model!AV937+Model!AV958</f>
        <v>-439</v>
      </c>
      <c r="AW90" s="711">
        <f>+Model!AW944+Model!AW955+Model!AW957+Model!AW962+Model!AW961+Model!AW945+Model!AW937+Model!AW958</f>
        <v>153</v>
      </c>
      <c r="AX90" s="154">
        <f>+Model!AX944+Model!AX955+Model!AX957+Model!AX962+Model!AX961+Model!AX945+Model!AX937+Model!AX958</f>
        <v>0</v>
      </c>
      <c r="AY90" s="153">
        <f>+Model!AY944+Model!AY955+Model!AY957+Model!AY962+Model!AY961+Model!AY945+Model!AY937+Model!AY958</f>
        <v>-335</v>
      </c>
      <c r="AZ90" s="154">
        <f>+Model!AZ944+Model!AZ955+Model!AZ957+Model!AZ962+Model!AZ961+Model!AZ945+Model!AZ937+Model!AZ958</f>
        <v>0</v>
      </c>
      <c r="BA90" s="154">
        <f>+Model!BA944+Model!BA955+Model!BA957+Model!BA962+Model!BA961+Model!BA945+Model!BA937+Model!BA958</f>
        <v>0</v>
      </c>
      <c r="BB90" s="154">
        <f>+Model!BB944+Model!BB955+Model!BB957+Model!BB962+Model!BB961+Model!BB945+Model!BB937+Model!BB958</f>
        <v>0</v>
      </c>
      <c r="BC90" s="154">
        <f>+Model!BC944+Model!BC955+Model!BC957+Model!BC962+Model!BC961+Model!BC945+Model!BC937+Model!BC958</f>
        <v>0</v>
      </c>
      <c r="BD90" s="153">
        <f>+Model!BD944+Model!BD955+Model!BD957+Model!BD962+Model!BD961+Model!BD945+Model!BD937+Model!BD958</f>
        <v>0</v>
      </c>
      <c r="BE90" s="153">
        <f>+Model!BE944+Model!BE955+Model!BE957+Model!BE962+Model!BE961+Model!BE945+Model!BE937+Model!BE958</f>
        <v>0</v>
      </c>
      <c r="BF90" s="153">
        <f>+Model!BF944+Model!BF955+Model!BF957+Model!BF962+Model!BF961+Model!BF945+Model!BF937+Model!BF958</f>
        <v>0</v>
      </c>
      <c r="BG90" s="153">
        <f>+Model!BG944+Model!BG955+Model!BG957+Model!BG962+Model!BG961+Model!BG945+Model!BG937+Model!BG958</f>
        <v>0</v>
      </c>
      <c r="BH90" s="154"/>
    </row>
    <row r="91" spans="1:60" s="378" customFormat="1" x14ac:dyDescent="0.25">
      <c r="A91" s="242" t="s">
        <v>435</v>
      </c>
      <c r="B91" s="243"/>
      <c r="C91" s="155">
        <f t="shared" ref="C91:AH91" ca="1" si="123">SUM(C84:C90)</f>
        <v>416</v>
      </c>
      <c r="D91" s="155">
        <f t="shared" ca="1" si="123"/>
        <v>-695</v>
      </c>
      <c r="E91" s="155">
        <f t="shared" ca="1" si="123"/>
        <v>463</v>
      </c>
      <c r="F91" s="155">
        <f t="shared" ca="1" si="123"/>
        <v>202</v>
      </c>
      <c r="G91" s="156">
        <f t="shared" ca="1" si="123"/>
        <v>-180</v>
      </c>
      <c r="H91" s="156">
        <f t="shared" ca="1" si="123"/>
        <v>745</v>
      </c>
      <c r="I91" s="156">
        <f t="shared" ca="1" si="123"/>
        <v>-20</v>
      </c>
      <c r="J91" s="156">
        <f t="shared" ca="1" si="123"/>
        <v>-1</v>
      </c>
      <c r="K91" s="155">
        <f t="shared" ca="1" si="123"/>
        <v>544</v>
      </c>
      <c r="L91" s="156">
        <f t="shared" ca="1" si="123"/>
        <v>466</v>
      </c>
      <c r="M91" s="156">
        <f t="shared" ca="1" si="123"/>
        <v>-319</v>
      </c>
      <c r="N91" s="156">
        <f t="shared" ca="1" si="123"/>
        <v>12</v>
      </c>
      <c r="O91" s="156">
        <f t="shared" ca="1" si="123"/>
        <v>-669</v>
      </c>
      <c r="P91" s="155">
        <f t="shared" ca="1" si="123"/>
        <v>-510</v>
      </c>
      <c r="Q91" s="156">
        <f t="shared" ca="1" si="123"/>
        <v>1656</v>
      </c>
      <c r="R91" s="156">
        <f t="shared" ca="1" si="123"/>
        <v>-1332</v>
      </c>
      <c r="S91" s="156">
        <f t="shared" ca="1" si="123"/>
        <v>730</v>
      </c>
      <c r="T91" s="156">
        <f t="shared" ca="1" si="123"/>
        <v>-206</v>
      </c>
      <c r="U91" s="155">
        <f t="shared" ca="1" si="123"/>
        <v>848</v>
      </c>
      <c r="V91" s="156">
        <f t="shared" ca="1" si="123"/>
        <v>32</v>
      </c>
      <c r="W91" s="156">
        <f t="shared" ca="1" si="123"/>
        <v>714</v>
      </c>
      <c r="X91" s="156">
        <f t="shared" ca="1" si="123"/>
        <v>212</v>
      </c>
      <c r="Y91" s="156">
        <f t="shared" ca="1" si="123"/>
        <v>-617</v>
      </c>
      <c r="Z91" s="155">
        <f t="shared" ca="1" si="123"/>
        <v>341</v>
      </c>
      <c r="AA91" s="156">
        <f t="shared" ca="1" si="123"/>
        <v>-874</v>
      </c>
      <c r="AB91" s="156">
        <f t="shared" ca="1" si="123"/>
        <v>64</v>
      </c>
      <c r="AC91" s="156">
        <f t="shared" ca="1" si="123"/>
        <v>536</v>
      </c>
      <c r="AD91" s="156">
        <f t="shared" ca="1" si="123"/>
        <v>-422</v>
      </c>
      <c r="AE91" s="155">
        <f t="shared" ca="1" si="123"/>
        <v>-696</v>
      </c>
      <c r="AF91" s="156">
        <f t="shared" ca="1" si="123"/>
        <v>631</v>
      </c>
      <c r="AG91" s="156">
        <f t="shared" ca="1" si="123"/>
        <v>-500</v>
      </c>
      <c r="AH91" s="156">
        <f t="shared" ca="1" si="123"/>
        <v>136</v>
      </c>
      <c r="AI91" s="156">
        <f t="shared" ref="AI91:AX91" ca="1" si="124">SUM(AI84:AI90)</f>
        <v>-176</v>
      </c>
      <c r="AJ91" s="155">
        <f t="shared" ca="1" si="124"/>
        <v>91</v>
      </c>
      <c r="AK91" s="156">
        <f t="shared" ca="1" si="124"/>
        <v>308</v>
      </c>
      <c r="AL91" s="156">
        <f t="shared" ca="1" si="124"/>
        <v>5759</v>
      </c>
      <c r="AM91" s="156">
        <f t="shared" ca="1" si="124"/>
        <v>-2865</v>
      </c>
      <c r="AN91" s="156">
        <f t="shared" ca="1" si="124"/>
        <v>-1902</v>
      </c>
      <c r="AO91" s="155">
        <f t="shared" ca="1" si="124"/>
        <v>1300</v>
      </c>
      <c r="AP91" s="156">
        <f t="shared" ca="1" si="124"/>
        <v>1419</v>
      </c>
      <c r="AQ91" s="156">
        <f t="shared" ca="1" si="124"/>
        <v>7504</v>
      </c>
      <c r="AR91" s="156">
        <f t="shared" ca="1" si="124"/>
        <v>8776</v>
      </c>
      <c r="AS91" s="156">
        <f ca="1">SUM(AS84:AS90)</f>
        <v>-5200</v>
      </c>
      <c r="AT91" s="155">
        <f ca="1">SUM(AT84:AT90)</f>
        <v>12499</v>
      </c>
      <c r="AU91" s="156">
        <f ca="1">SUM(AU84:AU90)</f>
        <v>-842</v>
      </c>
      <c r="AV91" s="156">
        <f ca="1">SUM(AV84:AV90)</f>
        <v>-1180</v>
      </c>
      <c r="AW91" s="712">
        <f ca="1">SUM(AW84:AW90)</f>
        <v>183</v>
      </c>
      <c r="AX91" s="156">
        <f t="shared" ca="1" si="124"/>
        <v>968.452124980294</v>
      </c>
      <c r="AY91" s="155">
        <f ca="1">SUM(AY84:AY90)</f>
        <v>-870.547875019706</v>
      </c>
      <c r="AZ91" s="156">
        <f t="shared" ref="AZ91:BG91" ca="1" si="125">SUM(AZ84:AZ90)</f>
        <v>-295.39436302406921</v>
      </c>
      <c r="BA91" s="156">
        <f t="shared" ca="1" si="125"/>
        <v>2678.897311312091</v>
      </c>
      <c r="BB91" s="156">
        <f t="shared" ca="1" si="125"/>
        <v>2845.6839256673238</v>
      </c>
      <c r="BC91" s="156">
        <f t="shared" ca="1" si="125"/>
        <v>-473.37832043303433</v>
      </c>
      <c r="BD91" s="155">
        <f t="shared" ca="1" si="125"/>
        <v>4755.8085535223117</v>
      </c>
      <c r="BE91" s="155">
        <f t="shared" ca="1" si="125"/>
        <v>9277.5365627575011</v>
      </c>
      <c r="BF91" s="155">
        <f t="shared" ca="1" si="125"/>
        <v>10275.154184874844</v>
      </c>
      <c r="BG91" s="155">
        <f t="shared" ca="1" si="125"/>
        <v>11285.160397482223</v>
      </c>
      <c r="BH91" s="158"/>
    </row>
    <row r="92" spans="1:60" s="379" customFormat="1" x14ac:dyDescent="0.25">
      <c r="A92" s="239"/>
      <c r="B92" s="244"/>
      <c r="C92" s="1009"/>
      <c r="D92" s="1009"/>
      <c r="E92" s="1009"/>
      <c r="F92" s="1009"/>
      <c r="G92" s="1010"/>
      <c r="H92" s="1010"/>
      <c r="I92" s="1010"/>
      <c r="J92" s="1010"/>
      <c r="K92" s="1009"/>
      <c r="L92" s="1010"/>
      <c r="M92" s="1010"/>
      <c r="N92" s="1010"/>
      <c r="O92" s="1010"/>
      <c r="P92" s="1009"/>
      <c r="Q92" s="1010"/>
      <c r="R92" s="1010"/>
      <c r="S92" s="1010"/>
      <c r="T92" s="1010"/>
      <c r="U92" s="1009"/>
      <c r="V92" s="1010"/>
      <c r="W92" s="1010"/>
      <c r="X92" s="1010"/>
      <c r="Y92" s="1010"/>
      <c r="Z92" s="1009"/>
      <c r="AA92" s="1010"/>
      <c r="AB92" s="1010"/>
      <c r="AC92" s="1010"/>
      <c r="AD92" s="1010"/>
      <c r="AE92" s="1009"/>
      <c r="AF92" s="1010"/>
      <c r="AG92" s="1010"/>
      <c r="AH92" s="1010"/>
      <c r="AI92" s="1010"/>
      <c r="AJ92" s="1009"/>
      <c r="AK92" s="1010"/>
      <c r="AL92" s="1010"/>
      <c r="AM92" s="1010"/>
      <c r="AN92" s="1010"/>
      <c r="AO92" s="1009"/>
      <c r="AP92" s="1010"/>
      <c r="AQ92" s="1010"/>
      <c r="AR92" s="1010"/>
      <c r="AS92" s="1010"/>
      <c r="AT92" s="1009"/>
      <c r="AU92" s="1010"/>
      <c r="AV92" s="1010"/>
      <c r="AW92" s="1011"/>
      <c r="AX92" s="1010"/>
      <c r="AY92" s="1009"/>
      <c r="AZ92" s="1010"/>
      <c r="BA92" s="1010"/>
      <c r="BB92" s="1010"/>
      <c r="BC92" s="1010"/>
      <c r="BD92" s="1009"/>
      <c r="BE92" s="1009"/>
      <c r="BF92" s="1009"/>
      <c r="BG92" s="1009"/>
      <c r="BH92" s="961"/>
    </row>
    <row r="93" spans="1:60" s="376" customFormat="1" x14ac:dyDescent="0.25">
      <c r="A93" s="251" t="s">
        <v>436</v>
      </c>
      <c r="B93" s="252"/>
      <c r="C93" s="126">
        <f t="shared" ref="C93:AH93" si="126">INDEX(SP_CFA_CFO_BeforeWC,0,COLUMN())/INDEX(SP_CS_ShareCount,0,COLUMN())</f>
        <v>3.08</v>
      </c>
      <c r="D93" s="126">
        <f t="shared" si="126"/>
        <v>3.5133470225872689</v>
      </c>
      <c r="E93" s="126">
        <f t="shared" si="126"/>
        <v>4.2603457307490835</v>
      </c>
      <c r="F93" s="126">
        <f t="shared" si="126"/>
        <v>4.9818481848184817</v>
      </c>
      <c r="G93" s="128">
        <f t="shared" si="126"/>
        <v>0.87666666666666671</v>
      </c>
      <c r="H93" s="128">
        <f t="shared" si="126"/>
        <v>1.0306849315068494</v>
      </c>
      <c r="I93" s="128">
        <f t="shared" si="126"/>
        <v>1.85667215815486</v>
      </c>
      <c r="J93" s="128">
        <f t="shared" si="126"/>
        <v>1.3900277008310249</v>
      </c>
      <c r="K93" s="126">
        <f t="shared" si="126"/>
        <v>5.1566464423607279</v>
      </c>
      <c r="L93" s="128">
        <f t="shared" si="126"/>
        <v>1.1440582959641257</v>
      </c>
      <c r="M93" s="128">
        <f t="shared" si="126"/>
        <v>1.3429378531073446</v>
      </c>
      <c r="N93" s="128">
        <f t="shared" si="126"/>
        <v>1.6510297482837528</v>
      </c>
      <c r="O93" s="128">
        <f t="shared" si="126"/>
        <v>1.5847750865051904</v>
      </c>
      <c r="P93" s="126">
        <f t="shared" si="126"/>
        <v>5.7146105741898809</v>
      </c>
      <c r="Q93" s="128">
        <f t="shared" si="126"/>
        <v>2.0384391380314502</v>
      </c>
      <c r="R93" s="128">
        <f t="shared" si="126"/>
        <v>1.5043731778425655</v>
      </c>
      <c r="S93" s="128">
        <f t="shared" si="126"/>
        <v>1.3728813559322033</v>
      </c>
      <c r="T93" s="128">
        <f t="shared" si="126"/>
        <v>1.3878394332939787</v>
      </c>
      <c r="U93" s="126">
        <f t="shared" si="126"/>
        <v>6.3077823288472787</v>
      </c>
      <c r="V93" s="128">
        <f t="shared" si="126"/>
        <v>2.8345323741007196</v>
      </c>
      <c r="W93" s="128">
        <f t="shared" si="126"/>
        <v>1.5599513085818624</v>
      </c>
      <c r="X93" s="128">
        <f t="shared" si="126"/>
        <v>2.2103004291845494</v>
      </c>
      <c r="Y93" s="128">
        <f t="shared" si="126"/>
        <v>1.9931888544891641</v>
      </c>
      <c r="Z93" s="126">
        <f t="shared" si="126"/>
        <v>8.6119585112873711</v>
      </c>
      <c r="AA93" s="128">
        <f t="shared" si="126"/>
        <v>2.4379288833437305</v>
      </c>
      <c r="AB93" s="128">
        <f t="shared" si="126"/>
        <v>1.7749842866121937</v>
      </c>
      <c r="AC93" s="128">
        <f t="shared" si="126"/>
        <v>2.0992366412213741</v>
      </c>
      <c r="AD93" s="128">
        <f t="shared" si="126"/>
        <v>1.5649644473173885</v>
      </c>
      <c r="AE93" s="126">
        <f t="shared" si="126"/>
        <v>7.8916349809885933</v>
      </c>
      <c r="AF93" s="128">
        <f t="shared" si="126"/>
        <v>2.5529257067718607</v>
      </c>
      <c r="AG93" s="128">
        <f t="shared" si="126"/>
        <v>2.4860927152317882</v>
      </c>
      <c r="AH93" s="128">
        <f t="shared" si="126"/>
        <v>2.8598130841121496</v>
      </c>
      <c r="AI93" s="128">
        <f t="shared" ref="AI93:AY93" si="127">INDEX(SP_CFA_CFO_BeforeWC,0,COLUMN())/INDEX(SP_CS_ShareCount,0,COLUMN())</f>
        <v>2.1449565798263195</v>
      </c>
      <c r="AJ93" s="126">
        <f t="shared" si="127"/>
        <v>10.041141340411414</v>
      </c>
      <c r="AK93" s="128">
        <f t="shared" si="127"/>
        <v>2.8564753004005339</v>
      </c>
      <c r="AL93" s="128">
        <f t="shared" si="127"/>
        <v>1.8549121665582302</v>
      </c>
      <c r="AM93" s="128">
        <f t="shared" si="127"/>
        <v>2.3368246968026463</v>
      </c>
      <c r="AN93" s="128">
        <f t="shared" si="127"/>
        <v>0.14262114537444934</v>
      </c>
      <c r="AO93" s="126">
        <f t="shared" si="127"/>
        <v>6.9795918367346941</v>
      </c>
      <c r="AP93" s="128">
        <f t="shared" si="127"/>
        <v>2.2581177765547604</v>
      </c>
      <c r="AQ93" s="128">
        <f t="shared" si="127"/>
        <v>0.52863436123348018</v>
      </c>
      <c r="AR93" s="128">
        <f t="shared" si="127"/>
        <v>0.32227750138197897</v>
      </c>
      <c r="AS93" s="128">
        <f>INDEX(SP_CFA_CFO_BeforeWC,0,COLUMN())/INDEX(SP_CS_ShareCount,0,COLUMN())</f>
        <v>1.4455500276395798</v>
      </c>
      <c r="AT93" s="126">
        <f>INDEX(SP_CFA_CFO_BeforeWC,0,COLUMN())/INDEX(SP_CS_ShareCount,0,COLUMN())</f>
        <v>4.5691371681415927</v>
      </c>
      <c r="AU93" s="128">
        <f>INDEX(SP_CFA_CFO_BeforeWC,0,COLUMN())/INDEX(SP_CS_ShareCount,0,COLUMN())</f>
        <v>1.1755348326933626</v>
      </c>
      <c r="AV93" s="128">
        <f>INDEX(SP_CFA_CFO_BeforeWC,0,COLUMN())/INDEX(SP_CS_ShareCount,0,COLUMN())</f>
        <v>-0.1651175505740842</v>
      </c>
      <c r="AW93" s="719">
        <f>INDEX(SP_CFA_CFO_BeforeWC,0,COLUMN())/INDEX(SP_CS_ShareCount,0,COLUMN())</f>
        <v>0.65027322404371579</v>
      </c>
      <c r="AX93" s="128">
        <f t="shared" ca="1" si="127"/>
        <v>1.3250275023799891</v>
      </c>
      <c r="AY93" s="126">
        <f t="shared" ca="1" si="127"/>
        <v>2.9845734843300766</v>
      </c>
      <c r="AZ93" s="128">
        <f t="shared" ref="AZ93:BG93" ca="1" si="128">INDEX(SP_CFA_CFO_BeforeWC,0,COLUMN())/INDEX(SP_CS_ShareCount,0,COLUMN())</f>
        <v>2.0803809384750891</v>
      </c>
      <c r="BA93" s="128">
        <f t="shared" ca="1" si="128"/>
        <v>1.5548251931563004</v>
      </c>
      <c r="BB93" s="128">
        <f t="shared" ca="1" si="128"/>
        <v>1.8646799501342506</v>
      </c>
      <c r="BC93" s="128">
        <f t="shared" ca="1" si="128"/>
        <v>2.0064935254542657</v>
      </c>
      <c r="BD93" s="126">
        <f t="shared" ca="1" si="128"/>
        <v>7.5063796072199054</v>
      </c>
      <c r="BE93" s="126">
        <f t="shared" ca="1" si="128"/>
        <v>9.1778667085226999</v>
      </c>
      <c r="BF93" s="126">
        <f t="shared" ca="1" si="128"/>
        <v>9.7622315704899609</v>
      </c>
      <c r="BG93" s="126">
        <f t="shared" ca="1" si="128"/>
        <v>10.268466262075366</v>
      </c>
      <c r="BH93" s="128"/>
    </row>
    <row r="94" spans="1:60" s="376" customFormat="1" x14ac:dyDescent="0.25">
      <c r="A94" s="251" t="s">
        <v>437</v>
      </c>
      <c r="B94" s="252"/>
      <c r="C94" s="126">
        <f t="shared" ref="C94:AH94" si="129">INDEX(SP_CFA_FCF_PreDiv,0,COLUMN())/INDEX(SP_CS_ShareCount,0,COLUMN())</f>
        <v>2.1450666666666667</v>
      </c>
      <c r="D94" s="126">
        <f t="shared" si="129"/>
        <v>2.4301848049281314</v>
      </c>
      <c r="E94" s="126">
        <f t="shared" si="129"/>
        <v>2.396018858040859</v>
      </c>
      <c r="F94" s="126">
        <f t="shared" si="129"/>
        <v>2.9004400440044003</v>
      </c>
      <c r="G94" s="128">
        <f t="shared" si="129"/>
        <v>0.57388888888888889</v>
      </c>
      <c r="H94" s="128">
        <f t="shared" si="129"/>
        <v>0.7161643835616438</v>
      </c>
      <c r="I94" s="128">
        <f t="shared" si="129"/>
        <v>1.4777594728171335</v>
      </c>
      <c r="J94" s="128">
        <f t="shared" si="129"/>
        <v>0.84321329639889198</v>
      </c>
      <c r="K94" s="126">
        <f t="shared" si="129"/>
        <v>3.6144511858797572</v>
      </c>
      <c r="L94" s="128">
        <f t="shared" si="129"/>
        <v>0.77522421524663676</v>
      </c>
      <c r="M94" s="128">
        <f t="shared" si="129"/>
        <v>0.94689265536723166</v>
      </c>
      <c r="N94" s="128">
        <f t="shared" si="129"/>
        <v>1.1424485125858124</v>
      </c>
      <c r="O94" s="128">
        <f t="shared" si="129"/>
        <v>0.97174163783160328</v>
      </c>
      <c r="P94" s="126">
        <f t="shared" si="129"/>
        <v>3.8322910744741332</v>
      </c>
      <c r="Q94" s="128">
        <f t="shared" si="129"/>
        <v>1.4571927781013396</v>
      </c>
      <c r="R94" s="128">
        <f t="shared" si="129"/>
        <v>0.97551020408163269</v>
      </c>
      <c r="S94" s="128">
        <f t="shared" si="129"/>
        <v>0.69725306838106371</v>
      </c>
      <c r="T94" s="128">
        <f t="shared" si="129"/>
        <v>0.67709563164108622</v>
      </c>
      <c r="U94" s="126">
        <f t="shared" si="129"/>
        <v>3.8121708601521358</v>
      </c>
      <c r="V94" s="128">
        <f t="shared" si="129"/>
        <v>1.9916067146282974</v>
      </c>
      <c r="W94" s="128">
        <f t="shared" si="129"/>
        <v>0.86001217285453435</v>
      </c>
      <c r="X94" s="128">
        <f t="shared" si="129"/>
        <v>1.5144083384426732</v>
      </c>
      <c r="Y94" s="128">
        <f t="shared" si="129"/>
        <v>1.3232198142414862</v>
      </c>
      <c r="Z94" s="126">
        <f t="shared" si="129"/>
        <v>5.6998169615619281</v>
      </c>
      <c r="AA94" s="128">
        <f t="shared" si="129"/>
        <v>1.7891453524641296</v>
      </c>
      <c r="AB94" s="128">
        <f t="shared" si="129"/>
        <v>1.2199874292897548</v>
      </c>
      <c r="AC94" s="128">
        <f t="shared" si="129"/>
        <v>1.5871501272264632</v>
      </c>
      <c r="AD94" s="128">
        <f t="shared" si="129"/>
        <v>0.98642533936651589</v>
      </c>
      <c r="AE94" s="126">
        <f t="shared" si="129"/>
        <v>5.5956907477820028</v>
      </c>
      <c r="AF94" s="128">
        <f t="shared" si="129"/>
        <v>1.9079552925706771</v>
      </c>
      <c r="AG94" s="128">
        <f t="shared" si="129"/>
        <v>1.7821192052980133</v>
      </c>
      <c r="AH94" s="128">
        <f t="shared" si="129"/>
        <v>2.0453938584779707</v>
      </c>
      <c r="AI94" s="128">
        <f t="shared" ref="AI94:AY94" si="130">INDEX(SP_CFA_FCF_PreDiv,0,COLUMN())/INDEX(SP_CS_ShareCount,0,COLUMN())</f>
        <v>1.342685370741483</v>
      </c>
      <c r="AJ94" s="126">
        <f t="shared" si="130"/>
        <v>7.0783012607830127</v>
      </c>
      <c r="AK94" s="128">
        <f t="shared" si="130"/>
        <v>2.0587449933244324</v>
      </c>
      <c r="AL94" s="128">
        <f t="shared" si="130"/>
        <v>1.077423552374756</v>
      </c>
      <c r="AM94" s="128">
        <f t="shared" si="130"/>
        <v>1.6879823594266814</v>
      </c>
      <c r="AN94" s="128">
        <f t="shared" si="130"/>
        <v>-0.57819383259911894</v>
      </c>
      <c r="AO94" s="126">
        <f t="shared" si="130"/>
        <v>4.0528211284513809</v>
      </c>
      <c r="AP94" s="128">
        <f t="shared" si="130"/>
        <v>1.5217391304347827</v>
      </c>
      <c r="AQ94" s="128">
        <f t="shared" si="130"/>
        <v>-0.15803964757709252</v>
      </c>
      <c r="AR94" s="128">
        <f t="shared" si="130"/>
        <v>-6.9098949695964626E-2</v>
      </c>
      <c r="AS94" s="128">
        <f>INDEX(SP_CFA_FCF_PreDiv,0,COLUMN())/INDEX(SP_CS_ShareCount,0,COLUMN())</f>
        <v>1.0425649530127141</v>
      </c>
      <c r="AT94" s="126">
        <f>INDEX(SP_CFA_FCF_PreDiv,0,COLUMN())/INDEX(SP_CS_ShareCount,0,COLUMN())</f>
        <v>2.3445796460176993</v>
      </c>
      <c r="AU94" s="128">
        <f>INDEX(SP_CFA_FCF_PreDiv,0,COLUMN())/INDEX(SP_CS_ShareCount,0,COLUMN())</f>
        <v>0.75863960504662642</v>
      </c>
      <c r="AV94" s="128">
        <f>INDEX(SP_CFA_FCF_PreDiv,0,COLUMN())/INDEX(SP_CS_ShareCount,0,COLUMN())</f>
        <v>-0.58611262985237833</v>
      </c>
      <c r="AW94" s="719">
        <f>INDEX(SP_CFA_FCF_PreDiv,0,COLUMN())/INDEX(SP_CS_ShareCount,0,COLUMN())</f>
        <v>0.13770491803278689</v>
      </c>
      <c r="AX94" s="128">
        <f t="shared" ca="1" si="130"/>
        <v>0.90699471549474331</v>
      </c>
      <c r="AY94" s="126">
        <f t="shared" ca="1" si="130"/>
        <v>1.2159739219668382</v>
      </c>
      <c r="AZ94" s="128">
        <f t="shared" ref="AZ94:BG94" ca="1" si="131">INDEX(SP_CFA_FCF_PreDiv,0,COLUMN())/INDEX(SP_CS_ShareCount,0,COLUMN())</f>
        <v>1.4437689166171654</v>
      </c>
      <c r="BA94" s="128">
        <f t="shared" ca="1" si="131"/>
        <v>0.91821317129837687</v>
      </c>
      <c r="BB94" s="128">
        <f t="shared" ca="1" si="131"/>
        <v>1.2280679282763272</v>
      </c>
      <c r="BC94" s="128">
        <f t="shared" ca="1" si="131"/>
        <v>1.3698815035963423</v>
      </c>
      <c r="BD94" s="126">
        <f t="shared" ca="1" si="131"/>
        <v>4.9599315197882117</v>
      </c>
      <c r="BE94" s="126">
        <f t="shared" ca="1" si="131"/>
        <v>6.6314186210910062</v>
      </c>
      <c r="BF94" s="126">
        <f t="shared" ca="1" si="131"/>
        <v>7.2157834830582672</v>
      </c>
      <c r="BG94" s="126">
        <f t="shared" ca="1" si="131"/>
        <v>7.7220181746436714</v>
      </c>
      <c r="BH94" s="128"/>
    </row>
    <row r="95" spans="1:60" s="376" customFormat="1" x14ac:dyDescent="0.25">
      <c r="A95" s="251" t="s">
        <v>267</v>
      </c>
      <c r="B95" s="252"/>
      <c r="C95" s="126">
        <f t="shared" ref="C95:AH95" si="132">INDEX(MO_CFSum_DPS,0,COLUMN())</f>
        <v>0.35</v>
      </c>
      <c r="D95" s="126">
        <f t="shared" si="132"/>
        <v>0.35</v>
      </c>
      <c r="E95" s="126">
        <f t="shared" si="132"/>
        <v>0.4</v>
      </c>
      <c r="F95" s="126">
        <f t="shared" si="132"/>
        <v>0.6</v>
      </c>
      <c r="G95" s="128">
        <f t="shared" si="132"/>
        <v>0.75</v>
      </c>
      <c r="H95" s="128">
        <f t="shared" si="132"/>
        <v>0</v>
      </c>
      <c r="I95" s="128">
        <f t="shared" si="132"/>
        <v>0</v>
      </c>
      <c r="J95" s="128">
        <f t="shared" si="132"/>
        <v>0</v>
      </c>
      <c r="K95" s="126">
        <f t="shared" si="132"/>
        <v>0.75</v>
      </c>
      <c r="L95" s="128">
        <f t="shared" si="132"/>
        <v>0</v>
      </c>
      <c r="M95" s="128">
        <f t="shared" si="132"/>
        <v>0.86</v>
      </c>
      <c r="N95" s="128">
        <f t="shared" si="132"/>
        <v>0</v>
      </c>
      <c r="O95" s="128">
        <f t="shared" si="132"/>
        <v>0</v>
      </c>
      <c r="P95" s="126">
        <f t="shared" si="132"/>
        <v>0.86</v>
      </c>
      <c r="Q95" s="128">
        <f t="shared" si="132"/>
        <v>0</v>
      </c>
      <c r="R95" s="128">
        <f t="shared" si="132"/>
        <v>1.1499999999999999</v>
      </c>
      <c r="S95" s="128">
        <f t="shared" si="132"/>
        <v>0</v>
      </c>
      <c r="T95" s="128">
        <f t="shared" si="132"/>
        <v>0.66</v>
      </c>
      <c r="U95" s="126">
        <f t="shared" si="132"/>
        <v>1.81</v>
      </c>
      <c r="V95" s="128">
        <f t="shared" si="132"/>
        <v>0</v>
      </c>
      <c r="W95" s="128">
        <f t="shared" si="132"/>
        <v>0.71</v>
      </c>
      <c r="X95" s="128">
        <f t="shared" si="132"/>
        <v>0</v>
      </c>
      <c r="Y95" s="128">
        <f t="shared" si="132"/>
        <v>0.71</v>
      </c>
      <c r="Z95" s="126">
        <f t="shared" si="132"/>
        <v>1.42</v>
      </c>
      <c r="AA95" s="128">
        <f t="shared" si="132"/>
        <v>0</v>
      </c>
      <c r="AB95" s="128">
        <f t="shared" si="132"/>
        <v>0.78</v>
      </c>
      <c r="AC95" s="128">
        <f t="shared" si="132"/>
        <v>0</v>
      </c>
      <c r="AD95" s="128">
        <f t="shared" si="132"/>
        <v>0.78</v>
      </c>
      <c r="AE95" s="126">
        <f t="shared" si="132"/>
        <v>1.56</v>
      </c>
      <c r="AF95" s="128">
        <f t="shared" si="132"/>
        <v>0</v>
      </c>
      <c r="AG95" s="128">
        <f t="shared" si="132"/>
        <v>0.84</v>
      </c>
      <c r="AH95" s="128">
        <f t="shared" si="132"/>
        <v>0</v>
      </c>
      <c r="AI95" s="128">
        <f t="shared" ref="AI95:AY95" si="133">INDEX(MO_CFSum_DPS,0,COLUMN())</f>
        <v>0.84</v>
      </c>
      <c r="AJ95" s="126">
        <f t="shared" si="133"/>
        <v>1.68</v>
      </c>
      <c r="AK95" s="128">
        <f t="shared" si="133"/>
        <v>0</v>
      </c>
      <c r="AL95" s="128">
        <f t="shared" si="133"/>
        <v>0.88</v>
      </c>
      <c r="AM95" s="128">
        <f t="shared" si="133"/>
        <v>0</v>
      </c>
      <c r="AN95" s="128">
        <f t="shared" si="133"/>
        <v>0.88</v>
      </c>
      <c r="AO95" s="126">
        <f t="shared" si="133"/>
        <v>1.76</v>
      </c>
      <c r="AP95" s="128">
        <f t="shared" si="133"/>
        <v>0</v>
      </c>
      <c r="AQ95" s="128">
        <f t="shared" si="133"/>
        <v>0.88</v>
      </c>
      <c r="AR95" s="128">
        <f t="shared" si="133"/>
        <v>0</v>
      </c>
      <c r="AS95" s="128">
        <f>INDEX(MO_CFSum_DPS,0,COLUMN())</f>
        <v>0.88</v>
      </c>
      <c r="AT95" s="126">
        <f>INDEX(MO_CFSum_DPS,0,COLUMN())</f>
        <v>1.76</v>
      </c>
      <c r="AU95" s="128">
        <f>INDEX(MO_CFSum_DPS,0,COLUMN())</f>
        <v>0</v>
      </c>
      <c r="AV95" s="128">
        <f>INDEX(MO_CFSum_DPS,0,COLUMN())</f>
        <v>0.88</v>
      </c>
      <c r="AW95" s="719">
        <f>INDEX(MO_CFSum_DPS,0,COLUMN())</f>
        <v>0</v>
      </c>
      <c r="AX95" s="128">
        <f t="shared" si="133"/>
        <v>0.88</v>
      </c>
      <c r="AY95" s="126">
        <f t="shared" si="133"/>
        <v>1.76</v>
      </c>
      <c r="AZ95" s="128">
        <f t="shared" ref="AZ95:BG95" si="134">INDEX(MO_CFSum_DPS,0,COLUMN())</f>
        <v>0</v>
      </c>
      <c r="BA95" s="128">
        <f t="shared" si="134"/>
        <v>0.88</v>
      </c>
      <c r="BB95" s="128">
        <f t="shared" si="134"/>
        <v>0</v>
      </c>
      <c r="BC95" s="128">
        <f t="shared" si="134"/>
        <v>0.88</v>
      </c>
      <c r="BD95" s="126">
        <f t="shared" si="134"/>
        <v>1.76</v>
      </c>
      <c r="BE95" s="126">
        <f t="shared" si="134"/>
        <v>1.76</v>
      </c>
      <c r="BF95" s="126">
        <f t="shared" si="134"/>
        <v>1.76</v>
      </c>
      <c r="BG95" s="126">
        <f t="shared" si="134"/>
        <v>1.76</v>
      </c>
      <c r="BH95" s="128"/>
    </row>
    <row r="96" spans="1:60" s="382" customFormat="1" x14ac:dyDescent="0.25">
      <c r="A96" s="258" t="s">
        <v>438</v>
      </c>
      <c r="B96" s="259"/>
      <c r="C96" s="139">
        <f t="shared" ref="C96:AH96" si="135">C95/C94</f>
        <v>0.16316509199403281</v>
      </c>
      <c r="D96" s="139">
        <f t="shared" si="135"/>
        <v>0.14402196873679762</v>
      </c>
      <c r="E96" s="139">
        <f t="shared" si="135"/>
        <v>0.16694359422824662</v>
      </c>
      <c r="F96" s="139">
        <f t="shared" si="135"/>
        <v>0.20686516214678552</v>
      </c>
      <c r="G96" s="140">
        <f t="shared" si="135"/>
        <v>1.3068731848983544</v>
      </c>
      <c r="H96" s="140">
        <f t="shared" si="135"/>
        <v>0</v>
      </c>
      <c r="I96" s="140">
        <f t="shared" si="135"/>
        <v>0</v>
      </c>
      <c r="J96" s="140">
        <f t="shared" si="135"/>
        <v>0</v>
      </c>
      <c r="K96" s="139">
        <f t="shared" si="135"/>
        <v>0.20750038150465436</v>
      </c>
      <c r="L96" s="140">
        <f t="shared" si="135"/>
        <v>0</v>
      </c>
      <c r="M96" s="140">
        <f t="shared" si="135"/>
        <v>0.90823389021479706</v>
      </c>
      <c r="N96" s="140">
        <f t="shared" si="135"/>
        <v>0</v>
      </c>
      <c r="O96" s="140">
        <f t="shared" si="135"/>
        <v>0</v>
      </c>
      <c r="P96" s="139">
        <f t="shared" si="135"/>
        <v>0.2244088414181872</v>
      </c>
      <c r="Q96" s="140">
        <f t="shared" si="135"/>
        <v>0</v>
      </c>
      <c r="R96" s="140">
        <f t="shared" si="135"/>
        <v>1.1788702928870292</v>
      </c>
      <c r="S96" s="140">
        <f t="shared" si="135"/>
        <v>0</v>
      </c>
      <c r="T96" s="140">
        <f t="shared" si="135"/>
        <v>0.97475152571926771</v>
      </c>
      <c r="U96" s="139">
        <f t="shared" si="135"/>
        <v>0.47479508825786648</v>
      </c>
      <c r="V96" s="140">
        <f t="shared" si="135"/>
        <v>0</v>
      </c>
      <c r="W96" s="140">
        <f t="shared" si="135"/>
        <v>0.82556970983722577</v>
      </c>
      <c r="X96" s="140">
        <f t="shared" si="135"/>
        <v>0</v>
      </c>
      <c r="Y96" s="140">
        <f t="shared" si="135"/>
        <v>0.53656995788488526</v>
      </c>
      <c r="Z96" s="139">
        <f t="shared" si="135"/>
        <v>0.2491308071076857</v>
      </c>
      <c r="AA96" s="140">
        <f t="shared" si="135"/>
        <v>0</v>
      </c>
      <c r="AB96" s="140">
        <f t="shared" si="135"/>
        <v>0.63935085007727976</v>
      </c>
      <c r="AC96" s="140">
        <f t="shared" si="135"/>
        <v>0</v>
      </c>
      <c r="AD96" s="140">
        <f t="shared" si="135"/>
        <v>0.79073394495412841</v>
      </c>
      <c r="AE96" s="139">
        <f t="shared" si="135"/>
        <v>0.27878595696489239</v>
      </c>
      <c r="AF96" s="140">
        <f t="shared" si="135"/>
        <v>0</v>
      </c>
      <c r="AG96" s="140">
        <f t="shared" si="135"/>
        <v>0.4713489409141583</v>
      </c>
      <c r="AH96" s="140">
        <f t="shared" si="135"/>
        <v>0</v>
      </c>
      <c r="AI96" s="140">
        <f t="shared" ref="AI96:AY96" si="136">AI95/AI94</f>
        <v>0.62561194029850742</v>
      </c>
      <c r="AJ96" s="139">
        <f t="shared" si="136"/>
        <v>0.23734508296615731</v>
      </c>
      <c r="AK96" s="140">
        <f t="shared" si="136"/>
        <v>0</v>
      </c>
      <c r="AL96" s="140">
        <f t="shared" si="136"/>
        <v>0.81676328502415463</v>
      </c>
      <c r="AM96" s="140">
        <f t="shared" si="136"/>
        <v>0</v>
      </c>
      <c r="AN96" s="140">
        <f t="shared" si="136"/>
        <v>-1.5219809523809524</v>
      </c>
      <c r="AO96" s="139">
        <f t="shared" si="136"/>
        <v>0.43426540284360188</v>
      </c>
      <c r="AP96" s="140">
        <f t="shared" si="136"/>
        <v>0</v>
      </c>
      <c r="AQ96" s="140">
        <f t="shared" si="136"/>
        <v>-5.5682229965156793</v>
      </c>
      <c r="AR96" s="140">
        <f t="shared" si="136"/>
        <v>0</v>
      </c>
      <c r="AS96" s="140">
        <f>AS95/AS94</f>
        <v>0.84407211028632034</v>
      </c>
      <c r="AT96" s="139">
        <f>AT95/AT94</f>
        <v>0.7506676102854446</v>
      </c>
      <c r="AU96" s="140">
        <f>AU95/AU94</f>
        <v>0</v>
      </c>
      <c r="AV96" s="140">
        <f>AV95/AV94</f>
        <v>-1.5014179104477612</v>
      </c>
      <c r="AW96" s="724">
        <f>AW95/AW94</f>
        <v>0</v>
      </c>
      <c r="AX96" s="140">
        <f t="shared" ca="1" si="136"/>
        <v>0.9702371854724442</v>
      </c>
      <c r="AY96" s="139">
        <f t="shared" ca="1" si="136"/>
        <v>1.4473994616210186</v>
      </c>
      <c r="AZ96" s="140">
        <f t="shared" ref="AZ96:BG96" ca="1" si="137">AZ95/AZ94</f>
        <v>0</v>
      </c>
      <c r="BA96" s="140">
        <f t="shared" ca="1" si="137"/>
        <v>0.95838311571555601</v>
      </c>
      <c r="BB96" s="140">
        <f t="shared" ca="1" si="137"/>
        <v>0</v>
      </c>
      <c r="BC96" s="140">
        <f t="shared" ca="1" si="137"/>
        <v>0.64239132924252274</v>
      </c>
      <c r="BD96" s="139">
        <f t="shared" ca="1" si="137"/>
        <v>0.35484360882368626</v>
      </c>
      <c r="BE96" s="139">
        <f t="shared" ca="1" si="137"/>
        <v>0.26540324183461722</v>
      </c>
      <c r="BF96" s="139">
        <f t="shared" ca="1" si="137"/>
        <v>0.24390975756579364</v>
      </c>
      <c r="BG96" s="139">
        <f t="shared" ca="1" si="137"/>
        <v>0.22791969148417787</v>
      </c>
      <c r="BH96" s="294"/>
    </row>
    <row r="97" spans="1:60" s="382" customFormat="1" x14ac:dyDescent="0.25">
      <c r="A97" s="258" t="s">
        <v>439</v>
      </c>
      <c r="B97" s="259"/>
      <c r="C97" s="139">
        <f t="shared" ref="C97:AH97" si="138">C95/C71</f>
        <v>0.19191402251791195</v>
      </c>
      <c r="D97" s="139">
        <f t="shared" si="138"/>
        <v>0.16872395395108042</v>
      </c>
      <c r="E97" s="139">
        <f t="shared" si="138"/>
        <v>0.15759992404822937</v>
      </c>
      <c r="F97" s="139">
        <f t="shared" si="138"/>
        <v>0.19573221937512111</v>
      </c>
      <c r="G97" s="140">
        <f t="shared" si="138"/>
        <v>0.95204513399153734</v>
      </c>
      <c r="H97" s="140">
        <f t="shared" si="138"/>
        <v>0</v>
      </c>
      <c r="I97" s="140">
        <f t="shared" si="138"/>
        <v>0</v>
      </c>
      <c r="J97" s="140">
        <f t="shared" si="138"/>
        <v>0</v>
      </c>
      <c r="K97" s="139">
        <f t="shared" si="138"/>
        <v>0.22160202086049544</v>
      </c>
      <c r="L97" s="140">
        <f t="shared" si="138"/>
        <v>0</v>
      </c>
      <c r="M97" s="140">
        <f t="shared" si="138"/>
        <v>0.77265113446017974</v>
      </c>
      <c r="N97" s="140">
        <f t="shared" si="138"/>
        <v>0</v>
      </c>
      <c r="O97" s="140">
        <f t="shared" si="138"/>
        <v>0</v>
      </c>
      <c r="P97" s="139">
        <f t="shared" si="138"/>
        <v>0.19887360087503647</v>
      </c>
      <c r="Q97" s="140">
        <f t="shared" si="138"/>
        <v>0</v>
      </c>
      <c r="R97" s="140">
        <f t="shared" si="138"/>
        <v>0.93560246679316872</v>
      </c>
      <c r="S97" s="140">
        <f t="shared" si="138"/>
        <v>0</v>
      </c>
      <c r="T97" s="140">
        <f t="shared" si="138"/>
        <v>0.54553438988211411</v>
      </c>
      <c r="U97" s="139">
        <f t="shared" si="138"/>
        <v>0.35114113006215059</v>
      </c>
      <c r="V97" s="140">
        <f t="shared" si="138"/>
        <v>0</v>
      </c>
      <c r="W97" s="140">
        <f t="shared" si="138"/>
        <v>0.52040524986839642</v>
      </c>
      <c r="X97" s="140">
        <f t="shared" si="138"/>
        <v>0</v>
      </c>
      <c r="Y97" s="140">
        <f t="shared" si="138"/>
        <v>0.64745906267645392</v>
      </c>
      <c r="Z97" s="139">
        <f t="shared" si="138"/>
        <v>0.24826419445715606</v>
      </c>
      <c r="AA97" s="140">
        <f t="shared" si="138"/>
        <v>0</v>
      </c>
      <c r="AB97" s="140">
        <f t="shared" si="138"/>
        <v>0.51967336683417087</v>
      </c>
      <c r="AC97" s="140">
        <f t="shared" si="138"/>
        <v>0</v>
      </c>
      <c r="AD97" s="140">
        <f t="shared" si="138"/>
        <v>0.72946112273150454</v>
      </c>
      <c r="AE97" s="139">
        <f t="shared" si="138"/>
        <v>0.27364831065232809</v>
      </c>
      <c r="AF97" s="140">
        <f t="shared" si="138"/>
        <v>0</v>
      </c>
      <c r="AG97" s="140">
        <f t="shared" si="138"/>
        <v>0.45527638190954772</v>
      </c>
      <c r="AH97" s="140">
        <f t="shared" si="138"/>
        <v>0</v>
      </c>
      <c r="AI97" s="140">
        <f t="shared" ref="AI97:AY97" si="139">AI95/AI71</f>
        <v>0.57100043591979077</v>
      </c>
      <c r="AJ97" s="139">
        <f t="shared" si="139"/>
        <v>0.23729970081656829</v>
      </c>
      <c r="AK97" s="140">
        <f t="shared" si="139"/>
        <v>0</v>
      </c>
      <c r="AL97" s="140">
        <f t="shared" si="139"/>
        <v>0.54539589348215289</v>
      </c>
      <c r="AM97" s="140">
        <f t="shared" si="139"/>
        <v>0</v>
      </c>
      <c r="AN97" s="140">
        <f t="shared" si="139"/>
        <v>0.82068979684065657</v>
      </c>
      <c r="AO97" s="139">
        <f t="shared" si="139"/>
        <v>0.3046507616892441</v>
      </c>
      <c r="AP97" s="140">
        <f t="shared" si="139"/>
        <v>0</v>
      </c>
      <c r="AQ97" s="140">
        <f t="shared" si="139"/>
        <v>1.4628537951741056</v>
      </c>
      <c r="AR97" s="140">
        <f t="shared" si="139"/>
        <v>0</v>
      </c>
      <c r="AS97" s="140">
        <f>AS95/AS71</f>
        <v>-4.3460645936279994</v>
      </c>
      <c r="AT97" s="139">
        <f>AT95/AT71</f>
        <v>0.86972493112345328</v>
      </c>
      <c r="AU97" s="140">
        <f>AU95/AU71</f>
        <v>0</v>
      </c>
      <c r="AV97" s="140">
        <f>AV95/AV71</f>
        <v>1.1301856585119232</v>
      </c>
      <c r="AW97" s="724">
        <f>AW95/AW71</f>
        <v>0</v>
      </c>
      <c r="AX97" s="140">
        <f t="shared" ca="1" si="139"/>
        <v>1.2226189304084367</v>
      </c>
      <c r="AY97" s="139">
        <f t="shared" ca="1" si="139"/>
        <v>0.67572987613953162</v>
      </c>
      <c r="AZ97" s="140">
        <f t="shared" ref="AZ97:BG97" ca="1" si="140">AZ95/AZ71</f>
        <v>0</v>
      </c>
      <c r="BA97" s="140">
        <f t="shared" ca="1" si="140"/>
        <v>0.93245388175083221</v>
      </c>
      <c r="BB97" s="140">
        <f t="shared" ca="1" si="140"/>
        <v>0</v>
      </c>
      <c r="BC97" s="140">
        <f t="shared" ca="1" si="140"/>
        <v>0.5893108199178374</v>
      </c>
      <c r="BD97" s="139">
        <f t="shared" ca="1" si="140"/>
        <v>0.3832484109169168</v>
      </c>
      <c r="BE97" s="139">
        <f t="shared" ca="1" si="140"/>
        <v>0.30149399109056463</v>
      </c>
      <c r="BF97" s="139">
        <f t="shared" ca="1" si="140"/>
        <v>0.25310577627160047</v>
      </c>
      <c r="BG97" s="139">
        <f t="shared" ca="1" si="140"/>
        <v>0.22017941245081599</v>
      </c>
      <c r="BH97" s="294"/>
    </row>
    <row r="98" spans="1:60" s="376" customFormat="1" x14ac:dyDescent="0.25">
      <c r="A98" s="251"/>
      <c r="B98" s="252"/>
      <c r="C98" s="126"/>
      <c r="D98" s="126"/>
      <c r="E98" s="126"/>
      <c r="F98" s="126"/>
      <c r="G98" s="128"/>
      <c r="H98" s="128"/>
      <c r="I98" s="128"/>
      <c r="J98" s="128"/>
      <c r="K98" s="126"/>
      <c r="L98" s="128"/>
      <c r="M98" s="128"/>
      <c r="N98" s="128"/>
      <c r="O98" s="128"/>
      <c r="P98" s="126"/>
      <c r="Q98" s="128"/>
      <c r="R98" s="128"/>
      <c r="S98" s="128"/>
      <c r="T98" s="128"/>
      <c r="U98" s="126"/>
      <c r="V98" s="128"/>
      <c r="W98" s="128"/>
      <c r="X98" s="128"/>
      <c r="Y98" s="128"/>
      <c r="Z98" s="126"/>
      <c r="AA98" s="128"/>
      <c r="AB98" s="128"/>
      <c r="AC98" s="128"/>
      <c r="AD98" s="128"/>
      <c r="AE98" s="126"/>
      <c r="AF98" s="128"/>
      <c r="AG98" s="128"/>
      <c r="AH98" s="128"/>
      <c r="AI98" s="128"/>
      <c r="AJ98" s="126"/>
      <c r="AK98" s="128"/>
      <c r="AL98" s="128"/>
      <c r="AM98" s="128"/>
      <c r="AN98" s="128"/>
      <c r="AO98" s="126"/>
      <c r="AP98" s="128"/>
      <c r="AQ98" s="128"/>
      <c r="AR98" s="128"/>
      <c r="AS98" s="128"/>
      <c r="AT98" s="126"/>
      <c r="AU98" s="128"/>
      <c r="AV98" s="128"/>
      <c r="AW98" s="719"/>
      <c r="AX98" s="128"/>
      <c r="AY98" s="126"/>
      <c r="AZ98" s="128"/>
      <c r="BA98" s="128"/>
      <c r="BB98" s="128"/>
      <c r="BC98" s="128"/>
      <c r="BD98" s="126"/>
      <c r="BE98" s="126"/>
      <c r="BF98" s="126"/>
      <c r="BG98" s="126"/>
      <c r="BH98" s="128"/>
    </row>
    <row r="99" spans="1:60" s="374" customFormat="1" x14ac:dyDescent="0.25">
      <c r="A99" s="176" t="s">
        <v>511</v>
      </c>
      <c r="B99" s="962"/>
      <c r="C99" s="1012"/>
      <c r="D99" s="1012"/>
      <c r="E99" s="1012"/>
      <c r="F99" s="1012"/>
      <c r="G99" s="1012"/>
      <c r="H99" s="1012"/>
      <c r="I99" s="1012"/>
      <c r="J99" s="1012"/>
      <c r="K99" s="1012"/>
      <c r="L99" s="1012"/>
      <c r="M99" s="1012"/>
      <c r="N99" s="1012"/>
      <c r="O99" s="1012"/>
      <c r="P99" s="1012"/>
      <c r="Q99" s="1012"/>
      <c r="R99" s="1012"/>
      <c r="S99" s="1012"/>
      <c r="T99" s="1012"/>
      <c r="U99" s="1012"/>
      <c r="V99" s="1012"/>
      <c r="W99" s="1012"/>
      <c r="X99" s="1012"/>
      <c r="Y99" s="1012"/>
      <c r="Z99" s="1012"/>
      <c r="AA99" s="1012"/>
      <c r="AB99" s="1012"/>
      <c r="AC99" s="1012"/>
      <c r="AD99" s="1012"/>
      <c r="AE99" s="1012"/>
      <c r="AF99" s="1012"/>
      <c r="AG99" s="1012"/>
      <c r="AH99" s="1012"/>
      <c r="AI99" s="1012"/>
      <c r="AJ99" s="1012"/>
      <c r="AK99" s="1012"/>
      <c r="AL99" s="1012"/>
      <c r="AM99" s="1012"/>
      <c r="AN99" s="1012"/>
      <c r="AO99" s="1012"/>
      <c r="AP99" s="1012"/>
      <c r="AQ99" s="1012"/>
      <c r="AR99" s="1012"/>
      <c r="AS99" s="1012"/>
      <c r="AT99" s="1012"/>
      <c r="AU99" s="1012"/>
      <c r="AV99" s="1012"/>
      <c r="AW99" s="1013"/>
      <c r="AX99" s="1012"/>
      <c r="AY99" s="1012"/>
      <c r="AZ99" s="1012"/>
      <c r="BA99" s="1012"/>
      <c r="BB99" s="1012"/>
      <c r="BC99" s="1012"/>
      <c r="BD99" s="1012"/>
      <c r="BE99" s="1012"/>
      <c r="BF99" s="1012"/>
      <c r="BG99" s="1012"/>
      <c r="BH99" s="963"/>
    </row>
    <row r="100" spans="1:60" s="383" customFormat="1" x14ac:dyDescent="0.25">
      <c r="A100" s="260" t="s">
        <v>275</v>
      </c>
      <c r="B100" s="261"/>
      <c r="C100" s="612">
        <f>INDEX(MO_BSS_Debt_Net,0,COLUMN())/INDEX(SP_BSR_EBITDA_LTM,0,COLUMN())</f>
        <v>1.5325189831627599</v>
      </c>
      <c r="D100" s="612">
        <f>INDEX(MO_BSS_Debt_Net,0,COLUMN())/INDEX(SP_BSR_EBITDA_LTM,0,COLUMN())</f>
        <v>1.3710833216242799</v>
      </c>
      <c r="E100" s="612">
        <f>INDEX(MO_BSS_Debt_Net,0,COLUMN())/INDEX(SP_BSR_EBITDA_LTM,0,COLUMN())</f>
        <v>1.3154558751828376</v>
      </c>
      <c r="F100" s="612">
        <f>INDEX(MO_BSS_Debt_Net,0,COLUMN())/INDEX(SP_BSR_EBITDA_LTM,0,COLUMN())</f>
        <v>1.178297918239672</v>
      </c>
      <c r="G100" s="141"/>
      <c r="H100" s="141"/>
      <c r="I100" s="141"/>
      <c r="J100" s="141">
        <f t="shared" ref="J100:AY100" si="141">INDEX(MO_BSS_Debt_Net,0,COLUMN())/INDEX(SP_BSR_EBITDA_LTM,0,COLUMN())</f>
        <v>1.0512586276898093</v>
      </c>
      <c r="K100" s="612">
        <f t="shared" si="141"/>
        <v>0.85993025572899373</v>
      </c>
      <c r="L100" s="141">
        <f t="shared" si="141"/>
        <v>1.0020032780914223</v>
      </c>
      <c r="M100" s="141">
        <f t="shared" si="141"/>
        <v>0.9331282383419689</v>
      </c>
      <c r="N100" s="141">
        <f t="shared" si="141"/>
        <v>0.8985528867671192</v>
      </c>
      <c r="O100" s="141">
        <f t="shared" si="141"/>
        <v>0.7989603821298118</v>
      </c>
      <c r="P100" s="612">
        <f t="shared" si="141"/>
        <v>0.7989603821298118</v>
      </c>
      <c r="Q100" s="141">
        <f t="shared" si="141"/>
        <v>0.77378863544337972</v>
      </c>
      <c r="R100" s="141">
        <f t="shared" si="141"/>
        <v>0.75026766595289074</v>
      </c>
      <c r="S100" s="141">
        <f t="shared" si="141"/>
        <v>0.70936801997109444</v>
      </c>
      <c r="T100" s="141">
        <f t="shared" si="141"/>
        <v>0.8173004753565174</v>
      </c>
      <c r="U100" s="612">
        <f t="shared" si="141"/>
        <v>0.8173004753565174</v>
      </c>
      <c r="V100" s="141">
        <f t="shared" si="141"/>
        <v>0.87060645776242107</v>
      </c>
      <c r="W100" s="142">
        <f t="shared" si="141"/>
        <v>0.94447050545326605</v>
      </c>
      <c r="X100" s="142">
        <f t="shared" si="141"/>
        <v>0.86976903727418253</v>
      </c>
      <c r="Y100" s="142">
        <f t="shared" si="141"/>
        <v>0.90056719527723117</v>
      </c>
      <c r="Z100" s="612">
        <f t="shared" si="141"/>
        <v>0.90056719527723117</v>
      </c>
      <c r="AA100" s="142">
        <f t="shared" si="141"/>
        <v>0.98171803586077577</v>
      </c>
      <c r="AB100" s="142">
        <f t="shared" si="141"/>
        <v>1.0191813666723755</v>
      </c>
      <c r="AC100" s="142">
        <f t="shared" si="141"/>
        <v>1.0358013229662295</v>
      </c>
      <c r="AD100" s="142">
        <f t="shared" si="141"/>
        <v>1.2472530700981257</v>
      </c>
      <c r="AE100" s="612">
        <f t="shared" si="141"/>
        <v>1.2472530700981257</v>
      </c>
      <c r="AF100" s="142">
        <f t="shared" si="141"/>
        <v>1.2469984846718731</v>
      </c>
      <c r="AG100" s="142">
        <f t="shared" si="141"/>
        <v>1.1702650217043638</v>
      </c>
      <c r="AH100" s="142">
        <f t="shared" si="141"/>
        <v>1.0927066267442518</v>
      </c>
      <c r="AI100" s="142">
        <f t="shared" si="141"/>
        <v>0.91656159201798149</v>
      </c>
      <c r="AJ100" s="612">
        <f t="shared" si="141"/>
        <v>0.91656159201798149</v>
      </c>
      <c r="AK100" s="142">
        <f t="shared" si="141"/>
        <v>0.90747171502184387</v>
      </c>
      <c r="AL100" s="142">
        <f t="shared" si="141"/>
        <v>2.6639185808505799</v>
      </c>
      <c r="AM100" s="142">
        <f t="shared" si="141"/>
        <v>3.029846353093542</v>
      </c>
      <c r="AN100" s="142">
        <f t="shared" si="141"/>
        <v>2.4831689088191329</v>
      </c>
      <c r="AO100" s="612">
        <f t="shared" si="141"/>
        <v>2.4836144001913647</v>
      </c>
      <c r="AP100" s="142">
        <f t="shared" si="141"/>
        <v>2.4616717452351078</v>
      </c>
      <c r="AQ100" s="142">
        <f t="shared" si="141"/>
        <v>2.7435366423942815</v>
      </c>
      <c r="AR100" s="142">
        <f t="shared" si="141"/>
        <v>3.3390241928958653</v>
      </c>
      <c r="AS100" s="142">
        <f>INDEX(MO_BSS_Debt_Net,0,COLUMN())/INDEX(SP_BSR_EBITDA_LTM,0,COLUMN())</f>
        <v>4.203162137025938</v>
      </c>
      <c r="AT100" s="612">
        <f>INDEX(MO_BSS_Debt_Net,0,COLUMN())/INDEX(SP_BSR_EBITDA_LTM,0,COLUMN())</f>
        <v>4.2088162251655632</v>
      </c>
      <c r="AU100" s="142">
        <f>INDEX(MO_BSS_Debt_Net,0,COLUMN())/INDEX(SP_BSR_EBITDA_LTM,0,COLUMN())</f>
        <v>5.7861962327804326</v>
      </c>
      <c r="AV100" s="142">
        <f>INDEX(MO_BSS_Debt_Net,0,COLUMN())/INDEX(SP_BSR_EBITDA_LTM,0,COLUMN())</f>
        <v>5.63694981777404</v>
      </c>
      <c r="AW100" s="725">
        <f>INDEX(MO_BSS_Debt_Net,0,COLUMN())/INDEX(SP_BSR_EBITDA_LTM,0,COLUMN())</f>
        <v>4.7612369651204602</v>
      </c>
      <c r="AX100" s="142">
        <f t="shared" ca="1" si="141"/>
        <v>3.647143165672313</v>
      </c>
      <c r="AY100" s="612">
        <f t="shared" ca="1" si="141"/>
        <v>3.647143165672313</v>
      </c>
      <c r="AZ100" s="142">
        <f t="shared" ref="AZ100:BG100" ca="1" si="142">INDEX(MO_BSS_Debt_Net,0,COLUMN())/INDEX(SP_BSR_EBITDA_LTM,0,COLUMN())</f>
        <v>2.8525877937580946</v>
      </c>
      <c r="BA100" s="142">
        <f t="shared" ca="1" si="142"/>
        <v>2.5058133803702969</v>
      </c>
      <c r="BB100" s="142">
        <f t="shared" ca="1" si="142"/>
        <v>2.0784162785789486</v>
      </c>
      <c r="BC100" s="142">
        <f t="shared" ca="1" si="142"/>
        <v>1.937447926053947</v>
      </c>
      <c r="BD100" s="612">
        <f t="shared" ca="1" si="142"/>
        <v>1.937447926053947</v>
      </c>
      <c r="BE100" s="612">
        <f t="shared" ca="1" si="142"/>
        <v>1.1462219784770924</v>
      </c>
      <c r="BF100" s="612">
        <f t="shared" ca="1" si="142"/>
        <v>0.63280948322806196</v>
      </c>
      <c r="BG100" s="612">
        <f t="shared" ca="1" si="142"/>
        <v>0.13226385999233478</v>
      </c>
      <c r="BH100" s="142"/>
    </row>
    <row r="101" spans="1:60" s="383" customFormat="1" x14ac:dyDescent="0.25">
      <c r="A101" s="260" t="s">
        <v>276</v>
      </c>
      <c r="B101" s="261"/>
      <c r="C101" s="612">
        <f>INDEX(MO_BSS_Debt_Net,0,COLUMN())/INDEX(SP_BSR_CashFlow_LTM,0,COLUMN())</f>
        <v>1.6076190476190477</v>
      </c>
      <c r="D101" s="612">
        <f>INDEX(MO_BSS_Debt_Net,0,COLUMN())/INDEX(SP_BSR_CashFlow_LTM,0,COLUMN())</f>
        <v>1.4257744009351256</v>
      </c>
      <c r="E101" s="612">
        <f>INDEX(MO_BSS_Debt_Net,0,COLUMN())/INDEX(SP_BSR_CashFlow_LTM,0,COLUMN())</f>
        <v>1.3269396286733064</v>
      </c>
      <c r="F101" s="612">
        <f>INDEX(MO_BSS_Debt_Net,0,COLUMN())/INDEX(SP_BSR_CashFlow_LTM,0,COLUMN())</f>
        <v>1.2061388980898753</v>
      </c>
      <c r="G101" s="141"/>
      <c r="H101" s="141"/>
      <c r="I101" s="141"/>
      <c r="J101" s="141">
        <f t="shared" ref="J101:AY101" si="143">INDEX(MO_BSS_Debt_Net,0,COLUMN())/INDEX(SP_BSR_CashFlow_LTM,0,COLUMN())</f>
        <v>1.1078190180767997</v>
      </c>
      <c r="K101" s="612">
        <f t="shared" si="143"/>
        <v>1.1078190180767997</v>
      </c>
      <c r="L101" s="141">
        <f t="shared" si="143"/>
        <v>1.1214838972686507</v>
      </c>
      <c r="M101" s="141">
        <f t="shared" si="143"/>
        <v>1.1181606519208382</v>
      </c>
      <c r="N101" s="141">
        <f t="shared" si="143"/>
        <v>1.2275552838071946</v>
      </c>
      <c r="O101" s="141">
        <f t="shared" si="143"/>
        <v>1.1315161161957819</v>
      </c>
      <c r="P101" s="612">
        <f t="shared" si="143"/>
        <v>1.1315161161957819</v>
      </c>
      <c r="Q101" s="141">
        <f t="shared" si="143"/>
        <v>0.99609069585613763</v>
      </c>
      <c r="R101" s="141">
        <f t="shared" si="143"/>
        <v>0.95714529622673727</v>
      </c>
      <c r="S101" s="141">
        <f t="shared" si="143"/>
        <v>0.96609107989621545</v>
      </c>
      <c r="T101" s="141">
        <f t="shared" si="143"/>
        <v>1.2121521335807051</v>
      </c>
      <c r="U101" s="612">
        <f t="shared" si="143"/>
        <v>1.2121521335807051</v>
      </c>
      <c r="V101" s="141">
        <f t="shared" si="143"/>
        <v>1.2170219853431046</v>
      </c>
      <c r="W101" s="142">
        <f t="shared" si="143"/>
        <v>1.3432574430823117</v>
      </c>
      <c r="X101" s="142">
        <f t="shared" si="143"/>
        <v>1.1484864497622103</v>
      </c>
      <c r="Y101" s="142">
        <f t="shared" si="143"/>
        <v>1.1023733616719802</v>
      </c>
      <c r="Z101" s="612">
        <f t="shared" si="143"/>
        <v>1.1023733616719802</v>
      </c>
      <c r="AA101" s="142">
        <f t="shared" si="143"/>
        <v>1.2601729973674314</v>
      </c>
      <c r="AB101" s="142">
        <f t="shared" si="143"/>
        <v>1.3169814104455591</v>
      </c>
      <c r="AC101" s="142">
        <f t="shared" si="143"/>
        <v>1.3471436118028828</v>
      </c>
      <c r="AD101" s="142">
        <f t="shared" si="143"/>
        <v>1.7045691801172409</v>
      </c>
      <c r="AE101" s="612">
        <f t="shared" si="143"/>
        <v>1.7045691801172409</v>
      </c>
      <c r="AF101" s="142">
        <f t="shared" si="143"/>
        <v>1.7215963952365625</v>
      </c>
      <c r="AG101" s="142">
        <f t="shared" si="143"/>
        <v>1.5338374008085043</v>
      </c>
      <c r="AH101" s="142">
        <f t="shared" si="143"/>
        <v>1.3486264119369684</v>
      </c>
      <c r="AI101" s="142">
        <f t="shared" si="143"/>
        <v>1.1048770816812055</v>
      </c>
      <c r="AJ101" s="612">
        <f t="shared" si="143"/>
        <v>1.1048770816812055</v>
      </c>
      <c r="AK101" s="142">
        <f t="shared" si="143"/>
        <v>1.0434054611025245</v>
      </c>
      <c r="AL101" s="142">
        <f t="shared" si="143"/>
        <v>3.2036239316239317</v>
      </c>
      <c r="AM101" s="142">
        <f t="shared" si="143"/>
        <v>3.5300411522633746</v>
      </c>
      <c r="AN101" s="142">
        <f t="shared" si="143"/>
        <v>3.5716374269005846</v>
      </c>
      <c r="AO101" s="612">
        <f t="shared" si="143"/>
        <v>3.5716374269005846</v>
      </c>
      <c r="AP101" s="142">
        <f t="shared" si="143"/>
        <v>3.5977121900104785</v>
      </c>
      <c r="AQ101" s="142">
        <f t="shared" si="143"/>
        <v>4.2953665934525675</v>
      </c>
      <c r="AR101" s="142">
        <f t="shared" si="143"/>
        <v>6.9884843353090602</v>
      </c>
      <c r="AS101" s="142">
        <f>INDEX(MO_BSS_Debt_Net,0,COLUMN())/INDEX(SP_BSR_CashFlow_LTM,0,COLUMN())</f>
        <v>4.9236169955211233</v>
      </c>
      <c r="AT101" s="612">
        <f>INDEX(MO_BSS_Debt_Net,0,COLUMN())/INDEX(SP_BSR_CashFlow_LTM,0,COLUMN())</f>
        <v>4.9236169955211233</v>
      </c>
      <c r="AU101" s="142">
        <f>INDEX(MO_BSS_Debt_Net,0,COLUMN())/INDEX(SP_BSR_CashFlow_LTM,0,COLUMN())</f>
        <v>6.532772575781622</v>
      </c>
      <c r="AV101" s="142">
        <f>INDEX(MO_BSS_Debt_Net,0,COLUMN())/INDEX(SP_BSR_CashFlow_LTM,0,COLUMN())</f>
        <v>7.9805516967652315</v>
      </c>
      <c r="AW101" s="725">
        <f>INDEX(MO_BSS_Debt_Net,0,COLUMN())/INDEX(SP_BSR_CashFlow_LTM,0,COLUMN())</f>
        <v>7.0356004250797026</v>
      </c>
      <c r="AX101" s="142">
        <f t="shared" ca="1" si="143"/>
        <v>7.1033662406040943</v>
      </c>
      <c r="AY101" s="612">
        <f t="shared" ca="1" si="143"/>
        <v>7.1033662406040943</v>
      </c>
      <c r="AZ101" s="142">
        <f t="shared" ref="AZ101:BG101" ca="1" si="144">INDEX(MO_BSS_Debt_Net,0,COLUMN())/INDEX(SP_BSR_CashFlow_LTM,0,COLUMN())</f>
        <v>5.4846214471512731</v>
      </c>
      <c r="BA101" s="142">
        <f t="shared" ca="1" si="144"/>
        <v>3.5424407172000962</v>
      </c>
      <c r="BB101" s="142">
        <f t="shared" ca="1" si="144"/>
        <v>2.6842639358901241</v>
      </c>
      <c r="BC101" s="142">
        <f t="shared" ca="1" si="144"/>
        <v>2.4750341775216742</v>
      </c>
      <c r="BD101" s="612">
        <f t="shared" ca="1" si="144"/>
        <v>2.4750341775216738</v>
      </c>
      <c r="BE101" s="612">
        <f t="shared" ca="1" si="144"/>
        <v>1.4718947654774737</v>
      </c>
      <c r="BF101" s="612">
        <f t="shared" ca="1" si="144"/>
        <v>0.80862818681709558</v>
      </c>
      <c r="BG101" s="612">
        <f t="shared" ca="1" si="144"/>
        <v>0.16821025209472246</v>
      </c>
      <c r="BH101" s="142"/>
    </row>
    <row r="102" spans="1:60" s="384" customFormat="1" x14ac:dyDescent="0.25">
      <c r="A102" s="262" t="s">
        <v>440</v>
      </c>
      <c r="B102" s="263"/>
      <c r="C102" s="613">
        <f>INDEX(MO_BSS_Debt_Net,0,COLUMN())/SUM(INDEX(MO_BS_SE,0,COLUMN()),INDEX(MO_BSS_Debt,0,COLUMN()),IFERROR(INDEX(MO_BSS_OL,0,COLUMN()),0))</f>
        <v>0.19993539356089157</v>
      </c>
      <c r="D102" s="613">
        <f>INDEX(MO_BSS_Debt_Net,0,COLUMN())/SUM(INDEX(MO_BS_SE,0,COLUMN()),INDEX(MO_BSS_Debt,0,COLUMN()),IFERROR(INDEX(MO_BSS_OL,0,COLUMN()),0))</f>
        <v>0.19516390327806557</v>
      </c>
      <c r="E102" s="613">
        <f>INDEX(MO_BSS_Debt_Net,0,COLUMN())/SUM(INDEX(MO_BS_SE,0,COLUMN()),INDEX(MO_BSS_Debt,0,COLUMN()),IFERROR(INDEX(MO_BSS_OL,0,COLUMN()),0))</f>
        <v>0.21011642848798723</v>
      </c>
      <c r="F102" s="613">
        <f>INDEX(MO_BSS_Debt_Net,0,COLUMN())/SUM(INDEX(MO_BS_SE,0,COLUMN()),INDEX(MO_BSS_Debt,0,COLUMN()),IFERROR(INDEX(MO_BSS_OL,0,COLUMN()),0))</f>
        <v>0.20203439985204363</v>
      </c>
      <c r="G102" s="143"/>
      <c r="H102" s="143"/>
      <c r="I102" s="143"/>
      <c r="J102" s="143">
        <f>INDEX(MO_BSS_Debt_Net,0,COLUMN())/SUM(INDEX(MO_BS_SE,0,COLUMN()),INDEX(MO_BSS_Debt,0,COLUMN()),IFERROR(INDEX(MO_BSS_OL,0,COLUMN()),0))</f>
        <v>0.17343470033658756</v>
      </c>
      <c r="K102" s="613">
        <f>INDEX(MO_BSS_Debt_Net,0,COLUMN())/SUM(INDEX(MO_BS_SE,0,COLUMN()),INDEX(MO_BSS_Debt,0,COLUMN()),IFERROR(INDEX(MO_BSS_OL,0,COLUMN()),0))</f>
        <v>0.17343470033658756</v>
      </c>
      <c r="L102" s="143">
        <f>INDEX(MO_BSS_Debt_Net,0,COLUMN())/SUM(INDEX(MO_BS_SE,0,COLUMN()),INDEX(MO_BSS_Debt,0,COLUMN()),IFERROR(INDEX(MO_BSS_OL,0,COLUMN()),0))</f>
        <v>0.18424445374633738</v>
      </c>
      <c r="M102" s="143">
        <f>INDEX(MO_BSS_Debt_Net,0,COLUMN())/SUM(INDEX(MO_BS_SE,0,COLUMN()),INDEX(MO_BSS_Debt,0,COLUMN()),IFERROR(INDEX(MO_BSS_OL,0,COLUMN()),0))</f>
        <v>0.19053444200155389</v>
      </c>
      <c r="N102" s="143">
        <f>INDEX(MO_BSS_Debt_Net,0,COLUMN())/SUM(INDEX(MO_BS_SE,0,COLUMN()),INDEX(MO_BSS_Debt,0,COLUMN()),IFERROR(INDEX(MO_BSS_OL,0,COLUMN()),0))</f>
        <v>0.19537433502011159</v>
      </c>
      <c r="O102" s="143">
        <f>INDEX(MO_BSS_Debt_Net,0,COLUMN())/SUM(INDEX(MO_BS_SE,0,COLUMN()),INDEX(MO_BSS_Debt,0,COLUMN()),IFERROR(INDEX(MO_BSS_OL,0,COLUMN()),0))</f>
        <v>0.19035027529998494</v>
      </c>
      <c r="P102" s="613">
        <f>INDEX(MO_BSS_Debt_Net,0,COLUMN())/SUM(INDEX(MO_BS_SE,0,COLUMN()),INDEX(MO_BSS_Debt,0,COLUMN()),IFERROR(INDEX(MO_BSS_OL,0,COLUMN()),0))</f>
        <v>0.19035027529998494</v>
      </c>
      <c r="Q102" s="143">
        <f>INDEX(MO_BSS_Debt_Net,0,COLUMN())/SUM(INDEX(MO_BS_SE,0,COLUMN()),INDEX(MO_BSS_Debt,0,COLUMN()),IFERROR(INDEX(MO_BSS_OL,0,COLUMN()),0))</f>
        <v>0.18887131844237992</v>
      </c>
      <c r="R102" s="143">
        <f>INDEX(MO_BSS_Debt_Net,0,COLUMN())/SUM(INDEX(MO_BS_SE,0,COLUMN()),INDEX(MO_BSS_Debt,0,COLUMN()),IFERROR(INDEX(MO_BSS_OL,0,COLUMN()),0))</f>
        <v>0.18381834576604639</v>
      </c>
      <c r="S102" s="143">
        <f>INDEX(MO_BSS_Debt_Net,0,COLUMN())/SUM(INDEX(MO_BS_SE,0,COLUMN()),INDEX(MO_BSS_Debt,0,COLUMN()),IFERROR(INDEX(MO_BSS_OL,0,COLUMN()),0))</f>
        <v>0.17474754013464527</v>
      </c>
      <c r="T102" s="143">
        <f>INDEX(MO_BSS_Debt_Net,0,COLUMN())/SUM(INDEX(MO_BS_SE,0,COLUMN()),INDEX(MO_BSS_Debt,0,COLUMN()),IFERROR(INDEX(MO_BSS_OL,0,COLUMN()),0))</f>
        <v>0.21123163220769145</v>
      </c>
      <c r="U102" s="613">
        <f>INDEX(MO_BSS_Debt_Net,0,COLUMN())/SUM(INDEX(MO_BS_SE,0,COLUMN()),INDEX(MO_BSS_Debt,0,COLUMN()),IFERROR(INDEX(MO_BSS_OL,0,COLUMN()),0))</f>
        <v>0.21123163220769145</v>
      </c>
      <c r="V102" s="143">
        <f>INDEX(MO_BSS_Debt_Net,0,COLUMN())/SUM(INDEX(MO_BS_SE,0,COLUMN()),INDEX(MO_BSS_Debt,0,COLUMN()),IFERROR(INDEX(MO_BSS_OL,0,COLUMN()),0))</f>
        <v>0.23243681707569228</v>
      </c>
      <c r="W102" s="143">
        <f>INDEX(MO_BSS_Debt_Net,0,COLUMN())/SUM(INDEX(MO_BS_SE,0,COLUMN()),INDEX(MO_BSS_Debt,0,COLUMN()),IFERROR(INDEX(MO_BSS_OL,0,COLUMN()),0))</f>
        <v>0.24686570824265089</v>
      </c>
      <c r="X102" s="143">
        <f>INDEX(MO_BSS_Debt_Net,0,COLUMN())/SUM(INDEX(MO_BS_SE,0,COLUMN()),INDEX(MO_BSS_Debt,0,COLUMN()),IFERROR(INDEX(MO_BSS_OL,0,COLUMN()),0))</f>
        <v>0.23538694804592011</v>
      </c>
      <c r="Y102" s="143">
        <f>INDEX(MO_BSS_Debt_Net,0,COLUMN())/SUM(INDEX(MO_BS_SE,0,COLUMN()),INDEX(MO_BSS_Debt,0,COLUMN()),IFERROR(INDEX(MO_BSS_OL,0,COLUMN()),0))</f>
        <v>0.24529045479624814</v>
      </c>
      <c r="Z102" s="613">
        <f>INDEX(MO_BSS_Debt_Net,0,COLUMN())/SUM(INDEX(MO_BS_SE,0,COLUMN()),INDEX(MO_BSS_Debt,0,COLUMN()),IFERROR(INDEX(MO_BSS_OL,0,COLUMN()),0))</f>
        <v>0.24529045479624814</v>
      </c>
      <c r="AA102" s="143">
        <f>INDEX(MO_BSS_Debt_Net,0,COLUMN())/SUM(INDEX(MO_BS_SE,0,COLUMN()),INDEX(MO_BSS_Debt,0,COLUMN()),IFERROR(INDEX(MO_BSS_OL,0,COLUMN()),0))</f>
        <v>0.26301412872841445</v>
      </c>
      <c r="AB102" s="143">
        <f>INDEX(MO_BSS_Debt_Net,0,COLUMN())/SUM(INDEX(MO_BS_SE,0,COLUMN()),INDEX(MO_BSS_Debt,0,COLUMN()),IFERROR(INDEX(MO_BSS_OL,0,COLUMN()),0))</f>
        <v>0.27282729954001561</v>
      </c>
      <c r="AC102" s="143">
        <f>INDEX(MO_BSS_Debt_Net,0,COLUMN())/SUM(INDEX(MO_BS_SE,0,COLUMN()),INDEX(MO_BSS_Debt,0,COLUMN()),IFERROR(INDEX(MO_BSS_OL,0,COLUMN()),0))</f>
        <v>0.27582743595290338</v>
      </c>
      <c r="AD102" s="143">
        <f>INDEX(MO_BSS_Debt_Net,0,COLUMN())/SUM(INDEX(MO_BS_SE,0,COLUMN()),INDEX(MO_BSS_Debt,0,COLUMN()),IFERROR(INDEX(MO_BSS_OL,0,COLUMN()),0))</f>
        <v>0.3186950124613398</v>
      </c>
      <c r="AE102" s="613">
        <f>INDEX(MO_BSS_Debt_Net,0,COLUMN())/SUM(INDEX(MO_BS_SE,0,COLUMN()),INDEX(MO_BSS_Debt,0,COLUMN()),IFERROR(INDEX(MO_BSS_OL,0,COLUMN()),0))</f>
        <v>0.3186950124613398</v>
      </c>
      <c r="AF102" s="143">
        <f>INDEX(MO_BSS_Debt_Net,0,COLUMN())/SUM(INDEX(MO_BS_SE,0,COLUMN()),INDEX(MO_BSS_Debt,0,COLUMN()),IFERROR(INDEX(MO_BSS_OL,0,COLUMN()),0))</f>
        <v>0.30838858460651486</v>
      </c>
      <c r="AG102" s="143">
        <f>INDEX(MO_BSS_Debt_Net,0,COLUMN())/SUM(INDEX(MO_BS_SE,0,COLUMN()),INDEX(MO_BSS_Debt,0,COLUMN()),IFERROR(INDEX(MO_BSS_OL,0,COLUMN()),0))</f>
        <v>0.29339156583375098</v>
      </c>
      <c r="AH102" s="143">
        <f>INDEX(MO_BSS_Debt_Net,0,COLUMN())/SUM(INDEX(MO_BS_SE,0,COLUMN()),INDEX(MO_BSS_Debt,0,COLUMN()),IFERROR(INDEX(MO_BSS_OL,0,COLUMN()),0))</f>
        <v>0.27726093375955047</v>
      </c>
      <c r="AI102" s="143">
        <f>INDEX(MO_BSS_Debt_Net,0,COLUMN())/SUM(INDEX(MO_BS_SE,0,COLUMN()),INDEX(MO_BSS_Debt,0,COLUMN()),IFERROR(INDEX(MO_BSS_OL,0,COLUMN()),0))</f>
        <v>0.24005341220727383</v>
      </c>
      <c r="AJ102" s="613">
        <f>INDEX(MO_BSS_Debt_Net,0,COLUMN())/SUM(INDEX(MO_BS_SE,0,COLUMN()),INDEX(MO_BSS_Debt,0,COLUMN()),IFERROR(INDEX(MO_BSS_OL,0,COLUMN()),0))</f>
        <v>0.24005341220727383</v>
      </c>
      <c r="AK102" s="143">
        <f>INDEX(MO_BSS_Debt_Net,0,COLUMN())/SUM(INDEX(MO_BS_SE,0,COLUMN()),INDEX(MO_BSS_Debt,0,COLUMN()),IFERROR(INDEX(MO_BSS_OL,0,COLUMN()),0))</f>
        <v>0.22825826629661458</v>
      </c>
      <c r="AL102" s="143">
        <f>INDEX(MO_BSS_Debt_Net,0,COLUMN())/SUM(INDEX(MO_BS_SE,0,COLUMN()),INDEX(MO_BSS_Debt,0,COLUMN()),IFERROR(INDEX(MO_BSS_OL,0,COLUMN()),0))</f>
        <v>0.31894703163397981</v>
      </c>
      <c r="AM102" s="143">
        <f>INDEX(MO_BSS_Debt_Net,0,COLUMN())/SUM(INDEX(MO_BS_SE,0,COLUMN()),INDEX(MO_BSS_Debt,0,COLUMN()),IFERROR(INDEX(MO_BSS_OL,0,COLUMN()),0))</f>
        <v>0.34610573884039647</v>
      </c>
      <c r="AN102" s="143">
        <f>INDEX(MO_BSS_Debt_Net,0,COLUMN())/SUM(INDEX(MO_BS_SE,0,COLUMN()),INDEX(MO_BSS_Debt,0,COLUMN()),IFERROR(INDEX(MO_BSS_OL,0,COLUMN()),0))</f>
        <v>0.30568293059920654</v>
      </c>
      <c r="AO102" s="613">
        <f>INDEX(MO_BSS_Debt_Net,0,COLUMN())/SUM(INDEX(MO_BS_SE,0,COLUMN()),INDEX(MO_BSS_Debt,0,COLUMN()),IFERROR(INDEX(MO_BSS_OL,0,COLUMN()),0))</f>
        <v>0.30568293059920654</v>
      </c>
      <c r="AP102" s="143">
        <f>INDEX(MO_BSS_Debt_Net,0,COLUMN())/SUM(INDEX(MO_BS_SE,0,COLUMN()),INDEX(MO_BSS_Debt,0,COLUMN()),IFERROR(INDEX(MO_BSS_OL,0,COLUMN()),0))</f>
        <v>0.29892187590690117</v>
      </c>
      <c r="AQ102" s="143">
        <f>INDEX(MO_BSS_Debt_Net,0,COLUMN())/SUM(INDEX(MO_BS_SE,0,COLUMN()),INDEX(MO_BSS_Debt,0,COLUMN()),IFERROR(INDEX(MO_BSS_OL,0,COLUMN()),0))</f>
        <v>0.28157117097351442</v>
      </c>
      <c r="AR102" s="143">
        <f>INDEX(MO_BSS_Debt_Net,0,COLUMN())/SUM(INDEX(MO_BS_SE,0,COLUMN()),INDEX(MO_BSS_Debt,0,COLUMN()),IFERROR(INDEX(MO_BSS_OL,0,COLUMN()),0))</f>
        <v>0.27458795504601197</v>
      </c>
      <c r="AS102" s="143">
        <f>INDEX(MO_BSS_Debt_Net,0,COLUMN())/SUM(INDEX(MO_BS_SE,0,COLUMN()),INDEX(MO_BSS_Debt,0,COLUMN()),IFERROR(INDEX(MO_BSS_OL,0,COLUMN()),0))</f>
        <v>0.28601163060522744</v>
      </c>
      <c r="AT102" s="613">
        <f>INDEX(MO_BSS_Debt_Net,0,COLUMN())/SUM(INDEX(MO_BS_SE,0,COLUMN()),INDEX(MO_BSS_Debt,0,COLUMN()),IFERROR(INDEX(MO_BSS_OL,0,COLUMN()),0))</f>
        <v>0.28601163060522744</v>
      </c>
      <c r="AU102" s="143">
        <f>INDEX(MO_BSS_Debt_Net,0,COLUMN())/SUM(INDEX(MO_BS_SE,0,COLUMN()),INDEX(MO_BSS_Debt,0,COLUMN()),IFERROR(INDEX(MO_BSS_OL,0,COLUMN()),0))</f>
        <v>0.28917567054922511</v>
      </c>
      <c r="AV102" s="143">
        <f>INDEX(MO_BSS_Debt_Net,0,COLUMN())/SUM(INDEX(MO_BS_SE,0,COLUMN()),INDEX(MO_BSS_Debt,0,COLUMN()),IFERROR(INDEX(MO_BSS_OL,0,COLUMN()),0))</f>
        <v>0.28382479567494318</v>
      </c>
      <c r="AW102" s="726">
        <f>INDEX(MO_BSS_Debt_Net,0,COLUMN())/SUM(INDEX(MO_BS_SE,0,COLUMN()),INDEX(MO_BSS_Debt,0,COLUMN()),IFERROR(INDEX(MO_BSS_OL,0,COLUMN()),0))</f>
        <v>0.27860344089943118</v>
      </c>
      <c r="AX102" s="143">
        <f ca="1">INDEX(MO_BSS_Debt_Net,0,COLUMN())/SUM(INDEX(MO_BS_SE,0,COLUMN()),INDEX(MO_BSS_Debt,0,COLUMN()),IFERROR(INDEX(MO_BSS_OL,0,COLUMN()),0))</f>
        <v>0.27247546093544073</v>
      </c>
      <c r="AY102" s="613">
        <f ca="1">INDEX(MO_BSS_Debt_Net,0,COLUMN())/SUM(INDEX(MO_BS_SE,0,COLUMN()),INDEX(MO_BSS_Debt,0,COLUMN()),IFERROR(INDEX(MO_BSS_OL,0,COLUMN()),0))</f>
        <v>0.27247546093544073</v>
      </c>
      <c r="AZ102" s="143">
        <f ca="1">INDEX(MO_BSS_Debt_Net,0,COLUMN())/SUM(INDEX(MO_BS_SE,0,COLUMN()),INDEX(MO_BSS_Debt,0,COLUMN()),IFERROR(INDEX(MO_BSS_OL,0,COLUMN()),0))</f>
        <v>0.2696245576454272</v>
      </c>
      <c r="BA102" s="143">
        <f ca="1">INDEX(MO_BSS_Debt_Net,0,COLUMN())/SUM(INDEX(MO_BS_SE,0,COLUMN()),INDEX(MO_BSS_Debt,0,COLUMN()),IFERROR(INDEX(MO_BSS_OL,0,COLUMN()),0))</f>
        <v>0.2510199885635635</v>
      </c>
      <c r="BB102" s="143">
        <f ca="1">INDEX(MO_BSS_Debt_Net,0,COLUMN())/SUM(INDEX(MO_BS_SE,0,COLUMN()),INDEX(MO_BSS_Debt,0,COLUMN()),IFERROR(INDEX(MO_BSS_OL,0,COLUMN()),0))</f>
        <v>0.22789662176969</v>
      </c>
      <c r="BC102" s="143">
        <f ca="1">INDEX(MO_BSS_Debt_Net,0,COLUMN())/SUM(INDEX(MO_BS_SE,0,COLUMN()),INDEX(MO_BSS_Debt,0,COLUMN()),IFERROR(INDEX(MO_BSS_OL,0,COLUMN()),0))</f>
        <v>0.22975908895005828</v>
      </c>
      <c r="BD102" s="613">
        <f ca="1">INDEX(MO_BSS_Debt_Net,0,COLUMN())/SUM(INDEX(MO_BS_SE,0,COLUMN()),INDEX(MO_BSS_Debt,0,COLUMN()),IFERROR(INDEX(MO_BSS_OL,0,COLUMN()),0))</f>
        <v>0.22975908895005828</v>
      </c>
      <c r="BE102" s="613">
        <f ca="1">INDEX(MO_BSS_Debt_Net,0,COLUMN())/SUM(INDEX(MO_BS_SE,0,COLUMN()),INDEX(MO_BSS_Debt,0,COLUMN()),IFERROR(INDEX(MO_BSS_OL,0,COLUMN()),0))</f>
        <v>0.15766201772385327</v>
      </c>
      <c r="BF102" s="613">
        <f ca="1">INDEX(MO_BSS_Debt_Net,0,COLUMN())/SUM(INDEX(MO_BS_SE,0,COLUMN()),INDEX(MO_BSS_Debt,0,COLUMN()),IFERROR(INDEX(MO_BSS_OL,0,COLUMN()),0))</f>
        <v>8.667759728414115E-2</v>
      </c>
      <c r="BG102" s="613">
        <f ca="1">INDEX(MO_BSS_Debt_Net,0,COLUMN())/SUM(INDEX(MO_BS_SE,0,COLUMN()),INDEX(MO_BSS_Debt,0,COLUMN()),IFERROR(INDEX(MO_BSS_OL,0,COLUMN()),0))</f>
        <v>1.7814590618143934E-2</v>
      </c>
      <c r="BH102" s="295"/>
    </row>
    <row r="103" spans="1:60" s="378" customFormat="1" hidden="1" outlineLevel="1" x14ac:dyDescent="0.25">
      <c r="A103" s="249" t="s">
        <v>441</v>
      </c>
      <c r="B103" s="264"/>
      <c r="C103" s="153">
        <f>C69</f>
        <v>6058</v>
      </c>
      <c r="D103" s="153">
        <f>D69</f>
        <v>7117</v>
      </c>
      <c r="E103" s="153">
        <f>E69</f>
        <v>8204</v>
      </c>
      <c r="F103" s="153">
        <f>F69</f>
        <v>9271</v>
      </c>
      <c r="G103" s="154"/>
      <c r="H103" s="154"/>
      <c r="I103" s="154"/>
      <c r="J103" s="154">
        <f>SUM(J69,I69,H69,G69)</f>
        <v>9852</v>
      </c>
      <c r="K103" s="153">
        <f>K69</f>
        <v>12044</v>
      </c>
      <c r="L103" s="154">
        <f>SUM(L69,J69,I69,H69)</f>
        <v>10982</v>
      </c>
      <c r="M103" s="154">
        <f>SUM(M69,L69,J69,I69)</f>
        <v>12352</v>
      </c>
      <c r="N103" s="154">
        <f>SUM(N69,M69,L69,J69)</f>
        <v>13406</v>
      </c>
      <c r="O103" s="154">
        <f>SUM(O69,N69,M69,L69)</f>
        <v>14236</v>
      </c>
      <c r="P103" s="153">
        <f>P69</f>
        <v>14236</v>
      </c>
      <c r="Q103" s="154">
        <f>SUM(Q69,O69,N69,M69)</f>
        <v>14818</v>
      </c>
      <c r="R103" s="154">
        <f>SUM(R69,Q69,O69,N69)</f>
        <v>14944</v>
      </c>
      <c r="S103" s="154">
        <f>SUM(S69,R69,Q69,O69)</f>
        <v>15222</v>
      </c>
      <c r="T103" s="154">
        <f>SUM(T69,S69,R69,Q69)</f>
        <v>15988</v>
      </c>
      <c r="U103" s="153">
        <f>U69</f>
        <v>15988</v>
      </c>
      <c r="V103" s="154">
        <f>SUM(V69,T69,S69,R69)</f>
        <v>16786</v>
      </c>
      <c r="W103" s="154">
        <f>SUM(W69,V69,T69,S69)</f>
        <v>17054</v>
      </c>
      <c r="X103" s="154">
        <f>SUM(X69,W69,V69,T69)</f>
        <v>17492</v>
      </c>
      <c r="Y103" s="154">
        <f>SUM(Y69,X69,W69,V69)</f>
        <v>17278</v>
      </c>
      <c r="Z103" s="153">
        <f>Z69</f>
        <v>17278</v>
      </c>
      <c r="AA103" s="154">
        <f>SUM(AA69,Y69,X69,W69)</f>
        <v>17066</v>
      </c>
      <c r="AB103" s="154">
        <f>SUM(AB69,AA69,Y69,X69)</f>
        <v>17517</v>
      </c>
      <c r="AC103" s="154">
        <f>SUM(AC69,AB69,AA69,Y69)</f>
        <v>17234</v>
      </c>
      <c r="AD103" s="154">
        <f>SUM(AD69,AC69,AB69,AA69)</f>
        <v>17019</v>
      </c>
      <c r="AE103" s="153">
        <f>AE69</f>
        <v>17019</v>
      </c>
      <c r="AF103" s="154">
        <f>SUM(AF69,AD69,AC69,AB69)</f>
        <v>17158</v>
      </c>
      <c r="AG103" s="154">
        <f>SUM(AG69,AF69,AD69,AC69)</f>
        <v>17508</v>
      </c>
      <c r="AH103" s="154">
        <f>SUM(AH69,AG69,AF69,AD69)</f>
        <v>17701</v>
      </c>
      <c r="AI103" s="154">
        <f>SUM(AI69,AH69,AG69,AF69)</f>
        <v>18241</v>
      </c>
      <c r="AJ103" s="153">
        <f>AJ69</f>
        <v>18241</v>
      </c>
      <c r="AK103" s="154">
        <f>SUM(AK69,AI69,AH69,AG69)</f>
        <v>17854</v>
      </c>
      <c r="AL103" s="154">
        <f>SUM(AL69,AK69,AI69,AH69)</f>
        <v>17588</v>
      </c>
      <c r="AM103" s="154">
        <f>SUM(AM69,AL69,AK69,AI69)</f>
        <v>16987</v>
      </c>
      <c r="AN103" s="154">
        <f>SUM(AN69,AM69,AL69,AK69)</f>
        <v>16725</v>
      </c>
      <c r="AO103" s="153">
        <f>AO69</f>
        <v>16722</v>
      </c>
      <c r="AP103" s="154">
        <f>SUM(AP69,AN69,AM69,AL69)</f>
        <v>16737</v>
      </c>
      <c r="AQ103" s="154">
        <f>SUM(AQ69,AP69,AN69,AM69)</f>
        <v>14969</v>
      </c>
      <c r="AR103" s="154">
        <f>SUM(AR69,AQ69,AP69,AN69)</f>
        <v>12359</v>
      </c>
      <c r="AS103" s="154">
        <f>SUM(AS69,AR69,AQ69,AP69)</f>
        <v>9677</v>
      </c>
      <c r="AT103" s="153">
        <f>AT69</f>
        <v>9664</v>
      </c>
      <c r="AU103" s="154">
        <f>SUM(AU69,AS69,AR69,AQ69)</f>
        <v>7114</v>
      </c>
      <c r="AV103" s="154">
        <f>SUM(AV69,AU69,AS69,AR69)</f>
        <v>7134</v>
      </c>
      <c r="AW103" s="711">
        <f>SUM(AW69,AV69,AU69,AS69)</f>
        <v>8343</v>
      </c>
      <c r="AX103" s="154">
        <f>SUM(AX69,AW69,AV69,AU69)</f>
        <v>10626.001260325</v>
      </c>
      <c r="AY103" s="153">
        <f>AY69</f>
        <v>10626.001260325</v>
      </c>
      <c r="AZ103" s="154">
        <f>SUM(AZ69,AX69,AW69,AV69)</f>
        <v>13689.304260325</v>
      </c>
      <c r="BA103" s="154">
        <f>SUM(BA69,AZ69,AX69,AW69)</f>
        <v>14514.666260325001</v>
      </c>
      <c r="BB103" s="154">
        <f>SUM(BB69,BA69,AZ69,AX69)</f>
        <v>16130.243660324999</v>
      </c>
      <c r="BC103" s="154">
        <f>SUM(BC69,BB69,BA69,AZ69)</f>
        <v>17548.208065000003</v>
      </c>
      <c r="BD103" s="153">
        <f>BD69</f>
        <v>17548.208065000003</v>
      </c>
      <c r="BE103" s="153">
        <f>BE69</f>
        <v>21567.552553463756</v>
      </c>
      <c r="BF103" s="153">
        <f>BF69</f>
        <v>22828.432501000858</v>
      </c>
      <c r="BG103" s="153">
        <f>BG69</f>
        <v>23898.351194090443</v>
      </c>
      <c r="BH103" s="158"/>
    </row>
    <row r="104" spans="1:60" s="378" customFormat="1" hidden="1" outlineLevel="1" x14ac:dyDescent="0.25">
      <c r="A104" s="249" t="s">
        <v>442</v>
      </c>
      <c r="B104" s="264"/>
      <c r="C104" s="153">
        <f>C80</f>
        <v>5775</v>
      </c>
      <c r="D104" s="153">
        <f>D80</f>
        <v>6844</v>
      </c>
      <c r="E104" s="153">
        <f>E80</f>
        <v>8133</v>
      </c>
      <c r="F104" s="153">
        <f>F80</f>
        <v>9057</v>
      </c>
      <c r="G104" s="154"/>
      <c r="H104" s="154"/>
      <c r="I104" s="154"/>
      <c r="J104" s="154">
        <f>SUM(J80,I80,H80,G80)</f>
        <v>9349</v>
      </c>
      <c r="K104" s="153">
        <f>K80</f>
        <v>9349</v>
      </c>
      <c r="L104" s="154">
        <f>SUM(L80,J80,I80,H80)</f>
        <v>9812</v>
      </c>
      <c r="M104" s="154">
        <f>SUM(M80,L80,J80,I80)</f>
        <v>10308</v>
      </c>
      <c r="N104" s="154">
        <f>SUM(N80,M80,L80,J80)</f>
        <v>9813</v>
      </c>
      <c r="O104" s="154">
        <f>SUM(O80,N80,M80,L80)</f>
        <v>10052</v>
      </c>
      <c r="P104" s="153">
        <f>P80</f>
        <v>10052</v>
      </c>
      <c r="Q104" s="154">
        <f>SUM(Q80,O80,N80,M80)</f>
        <v>11511</v>
      </c>
      <c r="R104" s="154">
        <f>SUM(R80,Q80,O80,N80)</f>
        <v>11714</v>
      </c>
      <c r="S104" s="154">
        <f>SUM(S80,R80,Q80,O80)</f>
        <v>11177</v>
      </c>
      <c r="T104" s="154">
        <f>SUM(T80,S80,R80,Q80)</f>
        <v>10780</v>
      </c>
      <c r="U104" s="153">
        <f>U80</f>
        <v>10780</v>
      </c>
      <c r="V104" s="154">
        <f>SUM(V80,T80,S80,R80)</f>
        <v>12008</v>
      </c>
      <c r="W104" s="154">
        <f>SUM(W80,V80,T80,S80)</f>
        <v>11991</v>
      </c>
      <c r="X104" s="154">
        <f>SUM(X80,W80,V80,T80)</f>
        <v>13247</v>
      </c>
      <c r="Y104" s="154">
        <f>SUM(Y80,X80,W80,V80)</f>
        <v>14115</v>
      </c>
      <c r="Z104" s="153">
        <f>Z80</f>
        <v>14115</v>
      </c>
      <c r="AA104" s="154">
        <f>SUM(AA80,Y80,X80,W80)</f>
        <v>13295</v>
      </c>
      <c r="AB104" s="154">
        <f>SUM(AB80,AA80,Y80,X80)</f>
        <v>13556</v>
      </c>
      <c r="AC104" s="154">
        <f>SUM(AC80,AB80,AA80,Y80)</f>
        <v>13251</v>
      </c>
      <c r="AD104" s="154">
        <f>SUM(AD80,AC80,AB80,AA80)</f>
        <v>12453</v>
      </c>
      <c r="AE104" s="153">
        <f>AE80</f>
        <v>12453</v>
      </c>
      <c r="AF104" s="154">
        <f>SUM(AF80,AD80,AC80,AB80)</f>
        <v>12428</v>
      </c>
      <c r="AG104" s="154">
        <f>SUM(AG80,AF80,AD80,AC80)</f>
        <v>13358</v>
      </c>
      <c r="AH104" s="154">
        <f>SUM(AH80,AG80,AF80,AD80)</f>
        <v>14342</v>
      </c>
      <c r="AI104" s="154">
        <f>SUM(AI80,AH80,AG80,AF80)</f>
        <v>15132</v>
      </c>
      <c r="AJ104" s="153">
        <f>AJ80</f>
        <v>15132</v>
      </c>
      <c r="AK104" s="154">
        <f>SUM(AK80,AI80,AH80,AG80)</f>
        <v>15528</v>
      </c>
      <c r="AL104" s="154">
        <f>SUM(AL80,AK80,AI80,AH80)</f>
        <v>14625</v>
      </c>
      <c r="AM104" s="154">
        <f>SUM(AM80,AL80,AK80,AI80)</f>
        <v>14580</v>
      </c>
      <c r="AN104" s="154">
        <f>SUM(AN80,AM80,AL80,AK80)</f>
        <v>11628</v>
      </c>
      <c r="AO104" s="153">
        <f>AO80</f>
        <v>11628</v>
      </c>
      <c r="AP104" s="154">
        <f>SUM(AP80,AN80,AM80,AL80)</f>
        <v>11452</v>
      </c>
      <c r="AQ104" s="154">
        <f>SUM(AQ80,AP80,AN80,AM80)</f>
        <v>9561</v>
      </c>
      <c r="AR104" s="154">
        <f>SUM(AR80,AQ80,AP80,AN80)</f>
        <v>5905</v>
      </c>
      <c r="AS104" s="154">
        <f>SUM(AS80,AR80,AQ80,AP80)</f>
        <v>8261</v>
      </c>
      <c r="AT104" s="153">
        <f>AT80</f>
        <v>8261</v>
      </c>
      <c r="AU104" s="154">
        <f>SUM(AU80,AS80,AR80,AQ80)</f>
        <v>6301</v>
      </c>
      <c r="AV104" s="154">
        <f>SUM(AV80,AU80,AS80,AR80)</f>
        <v>5039</v>
      </c>
      <c r="AW104" s="711">
        <f>SUM(AW80,AV80,AU80,AS80)</f>
        <v>5646</v>
      </c>
      <c r="AX104" s="154">
        <f>SUM(AX80,AW80,AV80,AU80)</f>
        <v>5455.8003293553802</v>
      </c>
      <c r="AY104" s="153">
        <f>AY80</f>
        <v>5455.8003293553802</v>
      </c>
      <c r="AZ104" s="154">
        <f ca="1">SUM(AZ80,AX80,AW80,AV80)</f>
        <v>7119.8974467647931</v>
      </c>
      <c r="BA104" s="154">
        <f ca="1">SUM(BA80,AZ80,AX80,AW80)</f>
        <v>10267.227550240823</v>
      </c>
      <c r="BB104" s="154">
        <f ca="1">SUM(BB80,BA80,AZ80,AX80)</f>
        <v>12489.591858986503</v>
      </c>
      <c r="BC104" s="154">
        <f ca="1">SUM(BC80,BB80,BA80,AZ80)</f>
        <v>13736.674681212426</v>
      </c>
      <c r="BD104" s="153">
        <f ca="1">BD80</f>
        <v>13736.674681212427</v>
      </c>
      <c r="BE104" s="153">
        <f ca="1">BE80</f>
        <v>16795.496076596541</v>
      </c>
      <c r="BF104" s="153">
        <f ca="1">BF80</f>
        <v>17864.883773996629</v>
      </c>
      <c r="BG104" s="153">
        <f ca="1">BG80</f>
        <v>18791.293259597918</v>
      </c>
      <c r="BH104" s="158"/>
    </row>
    <row r="105" spans="1:60" s="374" customFormat="1" collapsed="1" x14ac:dyDescent="0.25">
      <c r="A105" s="239"/>
      <c r="B105" s="244"/>
      <c r="C105" s="1009"/>
      <c r="D105" s="1009"/>
      <c r="E105" s="1009"/>
      <c r="F105" s="1009"/>
      <c r="G105" s="1010"/>
      <c r="H105" s="1010"/>
      <c r="I105" s="1010"/>
      <c r="J105" s="1010"/>
      <c r="K105" s="1009"/>
      <c r="L105" s="1010"/>
      <c r="M105" s="1010"/>
      <c r="N105" s="1010"/>
      <c r="O105" s="1010"/>
      <c r="P105" s="1009"/>
      <c r="Q105" s="1010"/>
      <c r="R105" s="1010"/>
      <c r="S105" s="1010"/>
      <c r="T105" s="1010"/>
      <c r="U105" s="1009"/>
      <c r="V105" s="1010"/>
      <c r="W105" s="1010"/>
      <c r="X105" s="1010"/>
      <c r="Y105" s="1010"/>
      <c r="Z105" s="1009"/>
      <c r="AA105" s="1010"/>
      <c r="AB105" s="1010"/>
      <c r="AC105" s="1010"/>
      <c r="AD105" s="1010"/>
      <c r="AE105" s="1009"/>
      <c r="AF105" s="1010"/>
      <c r="AG105" s="1010"/>
      <c r="AH105" s="1010"/>
      <c r="AI105" s="1010"/>
      <c r="AJ105" s="1009"/>
      <c r="AK105" s="1010"/>
      <c r="AL105" s="1010"/>
      <c r="AM105" s="1010"/>
      <c r="AN105" s="1010"/>
      <c r="AO105" s="1009"/>
      <c r="AP105" s="1010"/>
      <c r="AQ105" s="1010"/>
      <c r="AR105" s="1010"/>
      <c r="AS105" s="1010"/>
      <c r="AT105" s="1009"/>
      <c r="AU105" s="1010"/>
      <c r="AV105" s="1010"/>
      <c r="AW105" s="1011"/>
      <c r="AX105" s="1010"/>
      <c r="AY105" s="1009"/>
      <c r="AZ105" s="1010"/>
      <c r="BA105" s="1010"/>
      <c r="BB105" s="1010"/>
      <c r="BC105" s="1010"/>
      <c r="BD105" s="1009"/>
      <c r="BE105" s="1009"/>
      <c r="BF105" s="1009"/>
      <c r="BG105" s="1009"/>
      <c r="BH105" s="961"/>
    </row>
    <row r="106" spans="1:60" s="374" customFormat="1" x14ac:dyDescent="0.25">
      <c r="A106" s="176" t="s">
        <v>512</v>
      </c>
      <c r="B106" s="962"/>
      <c r="C106" s="1012"/>
      <c r="D106" s="1012"/>
      <c r="E106" s="1012"/>
      <c r="F106" s="1012"/>
      <c r="G106" s="1012"/>
      <c r="H106" s="1012"/>
      <c r="I106" s="1012"/>
      <c r="J106" s="1012"/>
      <c r="K106" s="1012"/>
      <c r="L106" s="1012"/>
      <c r="M106" s="1012"/>
      <c r="N106" s="1012"/>
      <c r="O106" s="1012"/>
      <c r="P106" s="1012"/>
      <c r="Q106" s="1012"/>
      <c r="R106" s="1012"/>
      <c r="S106" s="1012"/>
      <c r="T106" s="1012"/>
      <c r="U106" s="1012"/>
      <c r="V106" s="1012"/>
      <c r="W106" s="1012"/>
      <c r="X106" s="1012"/>
      <c r="Y106" s="1012"/>
      <c r="Z106" s="1012"/>
      <c r="AA106" s="1012"/>
      <c r="AB106" s="1012"/>
      <c r="AC106" s="1012"/>
      <c r="AD106" s="1012"/>
      <c r="AE106" s="1012"/>
      <c r="AF106" s="1012"/>
      <c r="AG106" s="1012"/>
      <c r="AH106" s="1012"/>
      <c r="AI106" s="1012"/>
      <c r="AJ106" s="1012"/>
      <c r="AK106" s="1012"/>
      <c r="AL106" s="1012"/>
      <c r="AM106" s="1012"/>
      <c r="AN106" s="1012"/>
      <c r="AO106" s="1012"/>
      <c r="AP106" s="1012"/>
      <c r="AQ106" s="1012"/>
      <c r="AR106" s="1012"/>
      <c r="AS106" s="1012"/>
      <c r="AT106" s="1012"/>
      <c r="AU106" s="1012"/>
      <c r="AV106" s="1012"/>
      <c r="AW106" s="1013"/>
      <c r="AX106" s="1012"/>
      <c r="AY106" s="1012"/>
      <c r="AZ106" s="1012"/>
      <c r="BA106" s="1012"/>
      <c r="BB106" s="1012"/>
      <c r="BC106" s="1012"/>
      <c r="BD106" s="1012"/>
      <c r="BE106" s="1012"/>
      <c r="BF106" s="1012"/>
      <c r="BG106" s="1012"/>
      <c r="BH106" s="963"/>
    </row>
    <row r="107" spans="1:60" s="377" customFormat="1" hidden="1" outlineLevel="1" x14ac:dyDescent="0.25">
      <c r="A107" s="240" t="s">
        <v>443</v>
      </c>
      <c r="B107" s="241"/>
      <c r="C107" s="153">
        <f t="shared" ref="C107:AH107" si="145">INDEX(SP_NGF_NI,0,COLUMN())</f>
        <v>3419.5</v>
      </c>
      <c r="D107" s="153">
        <f t="shared" si="145"/>
        <v>4040.92</v>
      </c>
      <c r="E107" s="153">
        <f t="shared" si="145"/>
        <v>4845.18</v>
      </c>
      <c r="F107" s="153">
        <f t="shared" si="145"/>
        <v>5572.92</v>
      </c>
      <c r="G107" s="154">
        <f t="shared" si="145"/>
        <v>1418</v>
      </c>
      <c r="H107" s="154">
        <f t="shared" si="145"/>
        <v>1440</v>
      </c>
      <c r="I107" s="154">
        <f t="shared" si="145"/>
        <v>1883.42</v>
      </c>
      <c r="J107" s="154">
        <f t="shared" si="145"/>
        <v>1394</v>
      </c>
      <c r="K107" s="153">
        <f t="shared" si="145"/>
        <v>6136</v>
      </c>
      <c r="L107" s="154">
        <f t="shared" si="145"/>
        <v>1857.84</v>
      </c>
      <c r="M107" s="154">
        <f t="shared" si="145"/>
        <v>1970.1</v>
      </c>
      <c r="N107" s="154">
        <f t="shared" si="145"/>
        <v>2245</v>
      </c>
      <c r="O107" s="154">
        <f t="shared" si="145"/>
        <v>1551.02</v>
      </c>
      <c r="P107" s="153">
        <f t="shared" si="145"/>
        <v>7606.54</v>
      </c>
      <c r="Q107" s="154">
        <f t="shared" si="145"/>
        <v>2182</v>
      </c>
      <c r="R107" s="154">
        <f t="shared" si="145"/>
        <v>2108</v>
      </c>
      <c r="S107" s="154">
        <f t="shared" si="145"/>
        <v>2483</v>
      </c>
      <c r="T107" s="154">
        <f t="shared" si="145"/>
        <v>2049.44</v>
      </c>
      <c r="U107" s="153">
        <f t="shared" si="145"/>
        <v>8809.25</v>
      </c>
      <c r="V107" s="154">
        <f t="shared" si="145"/>
        <v>2713.2</v>
      </c>
      <c r="W107" s="154">
        <f t="shared" si="145"/>
        <v>2241.58</v>
      </c>
      <c r="X107" s="154">
        <f t="shared" si="145"/>
        <v>2597</v>
      </c>
      <c r="Y107" s="154">
        <f t="shared" si="145"/>
        <v>1771</v>
      </c>
      <c r="Z107" s="153">
        <f t="shared" si="145"/>
        <v>9374.61</v>
      </c>
      <c r="AA107" s="154">
        <f t="shared" si="145"/>
        <v>2479</v>
      </c>
      <c r="AB107" s="154">
        <f t="shared" si="145"/>
        <v>2388</v>
      </c>
      <c r="AC107" s="154">
        <f t="shared" si="145"/>
        <v>2476.04</v>
      </c>
      <c r="AD107" s="154">
        <f t="shared" si="145"/>
        <v>1654.18</v>
      </c>
      <c r="AE107" s="153">
        <f t="shared" si="145"/>
        <v>8995.7800000000007</v>
      </c>
      <c r="AF107" s="154">
        <f t="shared" si="145"/>
        <v>2871.58</v>
      </c>
      <c r="AG107" s="154">
        <f t="shared" si="145"/>
        <v>2786</v>
      </c>
      <c r="AH107" s="154">
        <f t="shared" si="145"/>
        <v>2811.14</v>
      </c>
      <c r="AI107" s="154">
        <f t="shared" ref="AI107:AY107" si="146">INDEX(SP_NGF_NI,0,COLUMN())</f>
        <v>2202.2399999999998</v>
      </c>
      <c r="AJ107" s="153">
        <f t="shared" si="146"/>
        <v>10669.04</v>
      </c>
      <c r="AK107" s="154">
        <f t="shared" si="146"/>
        <v>2758.04</v>
      </c>
      <c r="AL107" s="154">
        <f t="shared" si="146"/>
        <v>2479.96</v>
      </c>
      <c r="AM107" s="154">
        <f t="shared" si="146"/>
        <v>2452.84</v>
      </c>
      <c r="AN107" s="154">
        <f t="shared" si="146"/>
        <v>1947.2399999999998</v>
      </c>
      <c r="AO107" s="153">
        <f t="shared" si="146"/>
        <v>9624.66</v>
      </c>
      <c r="AP107" s="154">
        <f t="shared" si="146"/>
        <v>2787.12</v>
      </c>
      <c r="AQ107" s="154">
        <f t="shared" si="146"/>
        <v>1092.44</v>
      </c>
      <c r="AR107" s="154">
        <f t="shared" si="146"/>
        <v>130.11999999999989</v>
      </c>
      <c r="AS107" s="154">
        <f>INDEX(SP_NGF_NI,0,COLUMN())</f>
        <v>-366.29</v>
      </c>
      <c r="AT107" s="153">
        <f>INDEX(SP_NGF_NI,0,COLUMN())</f>
        <v>3658.7199999999993</v>
      </c>
      <c r="AU107" s="154">
        <f>INDEX(SP_NGF_NI,0,COLUMN())</f>
        <v>575.9</v>
      </c>
      <c r="AV107" s="154">
        <f>INDEX(SP_NGF_NI,0,COLUMN())</f>
        <v>1424.12</v>
      </c>
      <c r="AW107" s="711">
        <f>INDEX(SP_NGF_NI,0,COLUMN())</f>
        <v>1472</v>
      </c>
      <c r="AX107" s="154">
        <f t="shared" si="146"/>
        <v>1317.1724729160037</v>
      </c>
      <c r="AY107" s="153">
        <f t="shared" si="146"/>
        <v>4761.1924729160019</v>
      </c>
      <c r="AZ107" s="154">
        <f t="shared" ref="AZ107:BG107" ca="1" si="147">INDEX(SP_NGF_NI,0,COLUMN())</f>
        <v>1464.4744055762631</v>
      </c>
      <c r="BA107" s="154">
        <f t="shared" ca="1" si="147"/>
        <v>1727.0559236411937</v>
      </c>
      <c r="BB107" s="154">
        <f t="shared" ca="1" si="147"/>
        <v>2479.7348325749017</v>
      </c>
      <c r="BC107" s="154">
        <f t="shared" ca="1" si="147"/>
        <v>2732.6835781235518</v>
      </c>
      <c r="BD107" s="153">
        <f t="shared" ca="1" si="147"/>
        <v>8403.9487399159152</v>
      </c>
      <c r="BE107" s="153">
        <f t="shared" ca="1" si="147"/>
        <v>10682.799973391564</v>
      </c>
      <c r="BF107" s="153">
        <f t="shared" ca="1" si="147"/>
        <v>12725.114564528363</v>
      </c>
      <c r="BG107" s="153">
        <f t="shared" ca="1" si="147"/>
        <v>14628.070645430882</v>
      </c>
      <c r="BH107" s="154"/>
    </row>
    <row r="108" spans="1:60" s="377" customFormat="1" hidden="1" outlineLevel="1" x14ac:dyDescent="0.25">
      <c r="A108" s="240" t="s">
        <v>444</v>
      </c>
      <c r="B108" s="241"/>
      <c r="C108" s="153">
        <f>C107</f>
        <v>3419.5</v>
      </c>
      <c r="D108" s="153">
        <f>D107</f>
        <v>4040.92</v>
      </c>
      <c r="E108" s="153">
        <f>E107</f>
        <v>4845.18</v>
      </c>
      <c r="F108" s="153">
        <f>F107</f>
        <v>5572.92</v>
      </c>
      <c r="G108" s="154"/>
      <c r="H108" s="154"/>
      <c r="I108" s="154"/>
      <c r="J108" s="154">
        <f>SUM(J107,I107,H107,G107)</f>
        <v>6135.42</v>
      </c>
      <c r="K108" s="153">
        <f>K107</f>
        <v>6136</v>
      </c>
      <c r="L108" s="154">
        <f>SUM(L107,J107,I107,H107)</f>
        <v>6575.26</v>
      </c>
      <c r="M108" s="154">
        <f>SUM(M107,L107,J107,I107)</f>
        <v>7105.36</v>
      </c>
      <c r="N108" s="154">
        <f>SUM(N107,M107,L107,J107)</f>
        <v>7466.9400000000005</v>
      </c>
      <c r="O108" s="154">
        <f>SUM(O107,N107,M107,L107)</f>
        <v>7623.96</v>
      </c>
      <c r="P108" s="153">
        <f>P107</f>
        <v>7606.54</v>
      </c>
      <c r="Q108" s="154">
        <f>SUM(Q107,O107,N107,M107)</f>
        <v>7948.1200000000008</v>
      </c>
      <c r="R108" s="154">
        <f>SUM(R107,Q107,O107,N107)</f>
        <v>8086.02</v>
      </c>
      <c r="S108" s="154">
        <f>SUM(S107,R107,Q107,O107)</f>
        <v>8324.02</v>
      </c>
      <c r="T108" s="154">
        <f>SUM(T107,S107,R107,Q107)</f>
        <v>8822.44</v>
      </c>
      <c r="U108" s="153">
        <f>U107</f>
        <v>8809.25</v>
      </c>
      <c r="V108" s="154">
        <f>SUM(V107,T107,S107,R107)</f>
        <v>9353.64</v>
      </c>
      <c r="W108" s="154">
        <f>SUM(W107,V107,T107,S107)</f>
        <v>9487.2199999999993</v>
      </c>
      <c r="X108" s="154">
        <f>SUM(X107,W107,V107,T107)</f>
        <v>9601.2199999999993</v>
      </c>
      <c r="Y108" s="154">
        <f>SUM(Y107,X107,W107,V107)</f>
        <v>9322.7799999999988</v>
      </c>
      <c r="Z108" s="153">
        <f>Z107</f>
        <v>9374.61</v>
      </c>
      <c r="AA108" s="154">
        <f>SUM(AA107,Y107,X107,W107)</f>
        <v>9088.58</v>
      </c>
      <c r="AB108" s="154">
        <f>SUM(AB107,AA107,Y107,X107)</f>
        <v>9235</v>
      </c>
      <c r="AC108" s="154">
        <f>SUM(AC107,AB107,AA107,Y107)</f>
        <v>9114.0400000000009</v>
      </c>
      <c r="AD108" s="154">
        <f>SUM(AD107,AC107,AB107,AA107)</f>
        <v>8997.2200000000012</v>
      </c>
      <c r="AE108" s="153">
        <f>AE107</f>
        <v>8995.7800000000007</v>
      </c>
      <c r="AF108" s="154">
        <f>SUM(AF107,AD107,AC107,AB107)</f>
        <v>9389.7999999999993</v>
      </c>
      <c r="AG108" s="154">
        <f>SUM(AG107,AF107,AD107,AC107)</f>
        <v>9787.7999999999993</v>
      </c>
      <c r="AH108" s="154">
        <f>SUM(AH107,AG107,AF107,AD107)</f>
        <v>10122.9</v>
      </c>
      <c r="AI108" s="154">
        <f>SUM(AI107,AH107,AG107,AF107)</f>
        <v>10670.96</v>
      </c>
      <c r="AJ108" s="153">
        <f>AJ107</f>
        <v>10669.04</v>
      </c>
      <c r="AK108" s="154">
        <f>SUM(AK107,AI107,AH107,AG107)</f>
        <v>10557.42</v>
      </c>
      <c r="AL108" s="154">
        <f>SUM(AL107,AK107,AI107,AH107)</f>
        <v>10251.379999999999</v>
      </c>
      <c r="AM108" s="154">
        <f>SUM(AM107,AL107,AK107,AI107)</f>
        <v>9893.08</v>
      </c>
      <c r="AN108" s="154">
        <f>SUM(AN107,AM107,AL107,AK107)</f>
        <v>9638.08</v>
      </c>
      <c r="AO108" s="153">
        <f>AO107</f>
        <v>9624.66</v>
      </c>
      <c r="AP108" s="154">
        <f>SUM(AP107,AN107,AM107,AL107)</f>
        <v>9667.16</v>
      </c>
      <c r="AQ108" s="154">
        <f>SUM(AQ107,AP107,AN107,AM107)</f>
        <v>8279.64</v>
      </c>
      <c r="AR108" s="154">
        <f>SUM(AR107,AQ107,AP107,AN107)</f>
        <v>5956.92</v>
      </c>
      <c r="AS108" s="154">
        <f>SUM(AS107,AR107,AQ107,AP107)</f>
        <v>3643.39</v>
      </c>
      <c r="AT108" s="153">
        <f>AT107</f>
        <v>3658.7199999999993</v>
      </c>
      <c r="AU108" s="154">
        <f>SUM(AU107,AS107,AR107,AQ107)</f>
        <v>1432.1699999999998</v>
      </c>
      <c r="AV108" s="154">
        <f>SUM(AV107,AU107,AS107,AR107)</f>
        <v>1763.85</v>
      </c>
      <c r="AW108" s="711">
        <f>SUM(AW107,AV107,AU107,AS107)</f>
        <v>3105.73</v>
      </c>
      <c r="AX108" s="154">
        <f>SUM(AX107,AW107,AV107,AU107)</f>
        <v>4789.1924729160037</v>
      </c>
      <c r="AY108" s="153">
        <f>AY107</f>
        <v>4761.1924729160019</v>
      </c>
      <c r="AZ108" s="154">
        <f ca="1">SUM(AZ107,AX107,AW107,AV107)</f>
        <v>5677.7668784922671</v>
      </c>
      <c r="BA108" s="154">
        <f ca="1">SUM(BA107,AZ107,AX107,AW107)</f>
        <v>5980.7028021334609</v>
      </c>
      <c r="BB108" s="154">
        <f ca="1">SUM(BB107,BA107,AZ107,AX107)</f>
        <v>6988.4376347083617</v>
      </c>
      <c r="BC108" s="154">
        <f ca="1">SUM(BC107,BB107,BA107,AZ107)</f>
        <v>8403.9487399159116</v>
      </c>
      <c r="BD108" s="153">
        <f ca="1">BD107</f>
        <v>8403.9487399159152</v>
      </c>
      <c r="BE108" s="153">
        <f ca="1">BE107</f>
        <v>10682.799973391564</v>
      </c>
      <c r="BF108" s="153">
        <f ca="1">BF107</f>
        <v>12725.114564528363</v>
      </c>
      <c r="BG108" s="153">
        <f ca="1">BG107</f>
        <v>14628.070645430882</v>
      </c>
      <c r="BH108" s="154"/>
    </row>
    <row r="109" spans="1:60" s="377" customFormat="1" hidden="1" outlineLevel="1" x14ac:dyDescent="0.25">
      <c r="A109" s="240" t="s">
        <v>445</v>
      </c>
      <c r="B109" s="241"/>
      <c r="C109" s="153">
        <f t="shared" ref="C109:AH109" si="148">INDEX(MO_BS_SE,0,COLUMN())</f>
        <v>33734</v>
      </c>
      <c r="D109" s="153">
        <f t="shared" si="148"/>
        <v>37519</v>
      </c>
      <c r="E109" s="153">
        <f t="shared" si="148"/>
        <v>37385</v>
      </c>
      <c r="F109" s="153">
        <f t="shared" si="148"/>
        <v>39759</v>
      </c>
      <c r="G109" s="154">
        <f t="shared" si="148"/>
        <v>41016</v>
      </c>
      <c r="H109" s="154">
        <f t="shared" si="148"/>
        <v>42089</v>
      </c>
      <c r="I109" s="154">
        <f t="shared" si="148"/>
        <v>43536</v>
      </c>
      <c r="J109" s="154">
        <f t="shared" si="148"/>
        <v>45429</v>
      </c>
      <c r="K109" s="153">
        <f t="shared" si="148"/>
        <v>45429</v>
      </c>
      <c r="L109" s="154">
        <f t="shared" si="148"/>
        <v>44324</v>
      </c>
      <c r="M109" s="154">
        <f t="shared" si="148"/>
        <v>44889</v>
      </c>
      <c r="N109" s="154">
        <f t="shared" si="148"/>
        <v>45520</v>
      </c>
      <c r="O109" s="154">
        <f t="shared" si="148"/>
        <v>44958</v>
      </c>
      <c r="P109" s="153">
        <f t="shared" si="148"/>
        <v>44958</v>
      </c>
      <c r="Q109" s="154">
        <f t="shared" si="148"/>
        <v>44165</v>
      </c>
      <c r="R109" s="154">
        <f t="shared" si="148"/>
        <v>46038</v>
      </c>
      <c r="S109" s="154">
        <f t="shared" si="148"/>
        <v>46519</v>
      </c>
      <c r="T109" s="154">
        <f t="shared" si="148"/>
        <v>44525</v>
      </c>
      <c r="U109" s="153">
        <f t="shared" si="148"/>
        <v>44525</v>
      </c>
      <c r="V109" s="154">
        <f t="shared" si="148"/>
        <v>43958</v>
      </c>
      <c r="W109" s="154">
        <f t="shared" si="148"/>
        <v>44124</v>
      </c>
      <c r="X109" s="154">
        <f t="shared" si="148"/>
        <v>44193</v>
      </c>
      <c r="Y109" s="154">
        <f t="shared" si="148"/>
        <v>43265</v>
      </c>
      <c r="Z109" s="153">
        <f t="shared" si="148"/>
        <v>43265</v>
      </c>
      <c r="AA109" s="154">
        <f t="shared" si="148"/>
        <v>43210</v>
      </c>
      <c r="AB109" s="154">
        <f t="shared" si="148"/>
        <v>43784</v>
      </c>
      <c r="AC109" s="154">
        <f t="shared" si="148"/>
        <v>42531</v>
      </c>
      <c r="AD109" s="154">
        <f t="shared" si="148"/>
        <v>41315</v>
      </c>
      <c r="AE109" s="153">
        <f t="shared" si="148"/>
        <v>41315</v>
      </c>
      <c r="AF109" s="154">
        <f t="shared" si="148"/>
        <v>43289</v>
      </c>
      <c r="AG109" s="154">
        <f t="shared" si="148"/>
        <v>45151</v>
      </c>
      <c r="AH109" s="154">
        <f t="shared" si="148"/>
        <v>46088</v>
      </c>
      <c r="AI109" s="154">
        <f t="shared" ref="AI109:AY109" si="149">INDEX(MO_BS_SE,0,COLUMN())</f>
        <v>48773</v>
      </c>
      <c r="AJ109" s="153">
        <f t="shared" si="149"/>
        <v>48773</v>
      </c>
      <c r="AK109" s="154">
        <f t="shared" si="149"/>
        <v>50316</v>
      </c>
      <c r="AL109" s="154">
        <f t="shared" si="149"/>
        <v>89938</v>
      </c>
      <c r="AM109" s="154">
        <f t="shared" si="149"/>
        <v>90472</v>
      </c>
      <c r="AN109" s="154">
        <f t="shared" si="149"/>
        <v>88877</v>
      </c>
      <c r="AO109" s="153">
        <f t="shared" si="149"/>
        <v>88877</v>
      </c>
      <c r="AP109" s="154">
        <f t="shared" si="149"/>
        <v>89757</v>
      </c>
      <c r="AQ109" s="154">
        <f t="shared" si="149"/>
        <v>90407</v>
      </c>
      <c r="AR109" s="154">
        <f t="shared" si="149"/>
        <v>85866</v>
      </c>
      <c r="AS109" s="154">
        <f>INDEX(MO_BS_SE,0,COLUMN())</f>
        <v>83583</v>
      </c>
      <c r="AT109" s="153">
        <f>INDEX(MO_BS_SE,0,COLUMN())</f>
        <v>83583</v>
      </c>
      <c r="AU109" s="154">
        <f>INDEX(MO_BS_SE,0,COLUMN())</f>
        <v>84071</v>
      </c>
      <c r="AV109" s="154">
        <f>INDEX(MO_BS_SE,0,COLUMN())</f>
        <v>85540</v>
      </c>
      <c r="AW109" s="711">
        <f>INDEX(MO_BS_SE,0,COLUMN())</f>
        <v>86741</v>
      </c>
      <c r="AX109" s="154">
        <f t="shared" ca="1" si="149"/>
        <v>86393.332472916009</v>
      </c>
      <c r="AY109" s="153">
        <f t="shared" ca="1" si="149"/>
        <v>86393.332472916009</v>
      </c>
      <c r="AZ109" s="154">
        <f t="shared" ref="AZ109:BG109" ca="1" si="150">INDEX(MO_BS_SE,0,COLUMN())</f>
        <v>88992.806878492265</v>
      </c>
      <c r="BA109" s="154">
        <f t="shared" ca="1" si="150"/>
        <v>89055.022802133462</v>
      </c>
      <c r="BB109" s="154">
        <f t="shared" ca="1" si="150"/>
        <v>91269.757634708367</v>
      </c>
      <c r="BC109" s="154">
        <f t="shared" ca="1" si="150"/>
        <v>92137.601212831927</v>
      </c>
      <c r="BD109" s="153">
        <f t="shared" ca="1" si="150"/>
        <v>92137.601212831927</v>
      </c>
      <c r="BE109" s="153">
        <f t="shared" ca="1" si="150"/>
        <v>100960.7211862235</v>
      </c>
      <c r="BF109" s="153">
        <f t="shared" ca="1" si="150"/>
        <v>110826.15575075184</v>
      </c>
      <c r="BG109" s="153">
        <f t="shared" ca="1" si="150"/>
        <v>121594.54639618273</v>
      </c>
      <c r="BH109" s="154"/>
    </row>
    <row r="110" spans="1:60" s="377" customFormat="1" hidden="1" outlineLevel="1" x14ac:dyDescent="0.25">
      <c r="A110" s="240" t="s">
        <v>446</v>
      </c>
      <c r="B110" s="241"/>
      <c r="C110" s="153">
        <f>C109</f>
        <v>33734</v>
      </c>
      <c r="D110" s="153">
        <f>AVERAGE(D109,C109)</f>
        <v>35626.5</v>
      </c>
      <c r="E110" s="153">
        <f>AVERAGE(E109,D109)</f>
        <v>37452</v>
      </c>
      <c r="F110" s="153">
        <f>AVERAGE(F109,E109)</f>
        <v>38572</v>
      </c>
      <c r="G110" s="154"/>
      <c r="H110" s="154"/>
      <c r="I110" s="154"/>
      <c r="J110" s="154">
        <f>AVERAGE(J109,I109,H109,G109)</f>
        <v>43017.5</v>
      </c>
      <c r="K110" s="153">
        <f>AVERAGE(K109,F109)</f>
        <v>42594</v>
      </c>
      <c r="L110" s="154">
        <f>AVERAGE(L109,J109,I109,H109)</f>
        <v>43844.5</v>
      </c>
      <c r="M110" s="154">
        <f>AVERAGE(M109,L109,J109,I109)</f>
        <v>44544.5</v>
      </c>
      <c r="N110" s="154">
        <f>AVERAGE(N109,M109,L109,J109)</f>
        <v>45040.5</v>
      </c>
      <c r="O110" s="154">
        <f>AVERAGE(O109,N109,M109,L109)</f>
        <v>44922.75</v>
      </c>
      <c r="P110" s="153">
        <f>AVERAGE(P109,K109)</f>
        <v>45193.5</v>
      </c>
      <c r="Q110" s="154">
        <f>AVERAGE(Q109,O109,N109,M109)</f>
        <v>44883</v>
      </c>
      <c r="R110" s="154">
        <f>AVERAGE(R109,Q109,O109,N109)</f>
        <v>45170.25</v>
      </c>
      <c r="S110" s="154">
        <f>AVERAGE(S109,R109,Q109,O109)</f>
        <v>45420</v>
      </c>
      <c r="T110" s="154">
        <f>AVERAGE(T109,S109,R109,Q109)</f>
        <v>45311.75</v>
      </c>
      <c r="U110" s="153">
        <f>AVERAGE(U109,P109)</f>
        <v>44741.5</v>
      </c>
      <c r="V110" s="154">
        <f>AVERAGE(V109,T109,S109,R109)</f>
        <v>45260</v>
      </c>
      <c r="W110" s="154">
        <f>AVERAGE(W109,V109,T109,S109)</f>
        <v>44781.5</v>
      </c>
      <c r="X110" s="154">
        <f>AVERAGE(X109,W109,V109,T109)</f>
        <v>44200</v>
      </c>
      <c r="Y110" s="154">
        <f>AVERAGE(Y109,X109,W109,V109)</f>
        <v>43885</v>
      </c>
      <c r="Z110" s="153">
        <f>AVERAGE(Z109,U109)</f>
        <v>43895</v>
      </c>
      <c r="AA110" s="154">
        <f>AVERAGE(AA109,Y109,X109,W109)</f>
        <v>43698</v>
      </c>
      <c r="AB110" s="154">
        <f>AVERAGE(AB109,AA109,Y109,X109)</f>
        <v>43613</v>
      </c>
      <c r="AC110" s="154">
        <f>AVERAGE(AC109,AB109,AA109,Y109)</f>
        <v>43197.5</v>
      </c>
      <c r="AD110" s="154">
        <f>AVERAGE(AD109,AC109,AB109,AA109)</f>
        <v>42710</v>
      </c>
      <c r="AE110" s="153">
        <f>AVERAGE(AE109,Z109)</f>
        <v>42290</v>
      </c>
      <c r="AF110" s="154">
        <f>AVERAGE(AF109,AD109,AC109,AB109)</f>
        <v>42729.75</v>
      </c>
      <c r="AG110" s="154">
        <f>AVERAGE(AG109,AF109,AD109,AC109)</f>
        <v>43071.5</v>
      </c>
      <c r="AH110" s="154">
        <f>AVERAGE(AH109,AG109,AF109,AD109)</f>
        <v>43960.75</v>
      </c>
      <c r="AI110" s="154">
        <f>AVERAGE(AI109,AH109,AG109,AF109)</f>
        <v>45825.25</v>
      </c>
      <c r="AJ110" s="153">
        <f>AVERAGE(AJ109,AE109)</f>
        <v>45044</v>
      </c>
      <c r="AK110" s="154">
        <f>AVERAGE(AK109,AI109,AH109,AG109)</f>
        <v>47582</v>
      </c>
      <c r="AL110" s="154">
        <f>AVERAGE(AL109,AK109,AI109,AH109)</f>
        <v>58778.75</v>
      </c>
      <c r="AM110" s="154">
        <f>AVERAGE(AM109,AL109,AK109,AI109)</f>
        <v>69874.75</v>
      </c>
      <c r="AN110" s="154">
        <f>AVERAGE(AN109,AM109,AL109,AK109)</f>
        <v>79900.75</v>
      </c>
      <c r="AO110" s="153">
        <f>AVERAGE(AO109,AJ109)</f>
        <v>68825</v>
      </c>
      <c r="AP110" s="154">
        <f>AVERAGE(AP109,AN109,AM109,AL109)</f>
        <v>89761</v>
      </c>
      <c r="AQ110" s="154">
        <f>AVERAGE(AQ109,AP109,AN109,AM109)</f>
        <v>89878.25</v>
      </c>
      <c r="AR110" s="154">
        <f>AVERAGE(AR109,AQ109,AP109,AN109)</f>
        <v>88726.75</v>
      </c>
      <c r="AS110" s="154">
        <f>AVERAGE(AS109,AR109,AQ109,AP109)</f>
        <v>87403.25</v>
      </c>
      <c r="AT110" s="153">
        <f>AVERAGE(AT109,AO109)</f>
        <v>86230</v>
      </c>
      <c r="AU110" s="154">
        <f>AVERAGE(AU109,AS109,AR109,AQ109)</f>
        <v>85981.75</v>
      </c>
      <c r="AV110" s="154">
        <f>AVERAGE(AV109,AU109,AS109,AR109)</f>
        <v>84765</v>
      </c>
      <c r="AW110" s="711">
        <f>AVERAGE(AW109,AV109,AU109,AS109)</f>
        <v>84983.75</v>
      </c>
      <c r="AX110" s="154">
        <f ca="1">AVERAGE(AX109,AW109,AV109,AU109)</f>
        <v>85686.333118228999</v>
      </c>
      <c r="AY110" s="153">
        <f ca="1">AVERAGE(AY109,AT109)</f>
        <v>84988.166236457997</v>
      </c>
      <c r="AZ110" s="154">
        <f ca="1">AVERAGE(AZ109,AX109,AW109,AV109)</f>
        <v>86916.784837852072</v>
      </c>
      <c r="BA110" s="154">
        <f ca="1">AVERAGE(BA109,AZ109,AX109,AW109)</f>
        <v>87795.540538385438</v>
      </c>
      <c r="BB110" s="154">
        <f ca="1">AVERAGE(BB109,BA109,AZ109,AX109)</f>
        <v>88927.729947062529</v>
      </c>
      <c r="BC110" s="154">
        <f ca="1">AVERAGE(BC109,BB109,BA109,AZ109)</f>
        <v>90363.797132041509</v>
      </c>
      <c r="BD110" s="153">
        <f ca="1">AVERAGE(BD109,AY109)</f>
        <v>89265.466842873968</v>
      </c>
      <c r="BE110" s="153">
        <f ca="1">AVERAGE(BE109,BD109)</f>
        <v>96549.161199527705</v>
      </c>
      <c r="BF110" s="153">
        <f ca="1">AVERAGE(BF109,BE109)</f>
        <v>105893.43846848767</v>
      </c>
      <c r="BG110" s="153">
        <f ca="1">AVERAGE(BG109,BF109)</f>
        <v>116210.35107346729</v>
      </c>
      <c r="BH110" s="154"/>
    </row>
    <row r="111" spans="1:60" s="381" customFormat="1" collapsed="1" x14ac:dyDescent="0.25">
      <c r="A111" s="257" t="s">
        <v>447</v>
      </c>
      <c r="B111" s="246"/>
      <c r="C111" s="137">
        <f>IF(C110&lt;0,"NMF",IF(ABS(C108/C110)&gt;1,"NMF",C108/C110))</f>
        <v>0.10136657378312681</v>
      </c>
      <c r="D111" s="137">
        <f>IF(D110&lt;0,"NMF",IF(ABS(D108/D110)&gt;1,"NMF",D108/D110))</f>
        <v>0.11342455756248859</v>
      </c>
      <c r="E111" s="137">
        <f>IF(E110&lt;0,"NMF",IF(ABS(E108/E110)&gt;1,"NMF",E108/E110))</f>
        <v>0.1293703941044537</v>
      </c>
      <c r="F111" s="137">
        <f>IF(F110&lt;0,"NMF",IF(ABS(F108/F110)&gt;1,"NMF",F108/F110))</f>
        <v>0.14448097065228663</v>
      </c>
      <c r="G111" s="138"/>
      <c r="H111" s="138"/>
      <c r="I111" s="138"/>
      <c r="J111" s="138"/>
      <c r="K111" s="137">
        <f t="shared" ref="K111:AY111" si="151">IF(K110&lt;0,"NMF",IF(ABS(K108/K110)&gt;1,"NMF",K108/K110))</f>
        <v>0.1440578485232662</v>
      </c>
      <c r="L111" s="138">
        <f t="shared" si="151"/>
        <v>0.14996772685285498</v>
      </c>
      <c r="M111" s="138">
        <f t="shared" si="151"/>
        <v>0.15951149973621884</v>
      </c>
      <c r="N111" s="138">
        <f t="shared" si="151"/>
        <v>0.16578279548406435</v>
      </c>
      <c r="O111" s="138">
        <f t="shared" si="151"/>
        <v>0.16971267342270899</v>
      </c>
      <c r="P111" s="137">
        <f t="shared" si="151"/>
        <v>0.16831048712757365</v>
      </c>
      <c r="Q111" s="138">
        <f t="shared" si="151"/>
        <v>0.17708531069670033</v>
      </c>
      <c r="R111" s="138">
        <f t="shared" si="151"/>
        <v>0.17901207099805735</v>
      </c>
      <c r="S111" s="138">
        <f t="shared" si="151"/>
        <v>0.18326772346983708</v>
      </c>
      <c r="T111" s="138">
        <f t="shared" si="151"/>
        <v>0.19470534684712024</v>
      </c>
      <c r="U111" s="137">
        <f t="shared" si="151"/>
        <v>0.19689214711174188</v>
      </c>
      <c r="V111" s="138">
        <f t="shared" si="151"/>
        <v>0.20666460450729118</v>
      </c>
      <c r="W111" s="138">
        <f t="shared" si="151"/>
        <v>0.21185578866272903</v>
      </c>
      <c r="X111" s="138">
        <f t="shared" si="151"/>
        <v>0.21722217194570134</v>
      </c>
      <c r="Y111" s="138">
        <f t="shared" si="151"/>
        <v>0.21243659564771558</v>
      </c>
      <c r="Z111" s="137">
        <f t="shared" si="151"/>
        <v>0.21356897140904432</v>
      </c>
      <c r="AA111" s="138">
        <f t="shared" si="151"/>
        <v>0.20798617785711015</v>
      </c>
      <c r="AB111" s="138">
        <f t="shared" si="151"/>
        <v>0.21174879049824594</v>
      </c>
      <c r="AC111" s="138">
        <f t="shared" si="151"/>
        <v>0.2109853579489554</v>
      </c>
      <c r="AD111" s="138">
        <f t="shared" si="151"/>
        <v>0.21065839381877782</v>
      </c>
      <c r="AE111" s="137">
        <f t="shared" si="151"/>
        <v>0.21271648143769215</v>
      </c>
      <c r="AF111" s="138">
        <f t="shared" si="151"/>
        <v>0.21974853585616577</v>
      </c>
      <c r="AG111" s="138">
        <f t="shared" si="151"/>
        <v>0.22724539428624496</v>
      </c>
      <c r="AH111" s="138">
        <f t="shared" si="151"/>
        <v>0.23027132157663369</v>
      </c>
      <c r="AI111" s="138">
        <f t="shared" si="151"/>
        <v>0.2328620138460783</v>
      </c>
      <c r="AJ111" s="137">
        <f t="shared" si="151"/>
        <v>0.23685818310984816</v>
      </c>
      <c r="AK111" s="138">
        <f t="shared" si="151"/>
        <v>0.22187844142743054</v>
      </c>
      <c r="AL111" s="138">
        <f t="shared" si="151"/>
        <v>0.17440622674010589</v>
      </c>
      <c r="AM111" s="138">
        <f t="shared" si="151"/>
        <v>0.14158304680875422</v>
      </c>
      <c r="AN111" s="138">
        <f t="shared" si="151"/>
        <v>0.12062565119851816</v>
      </c>
      <c r="AO111" s="137">
        <f t="shared" si="151"/>
        <v>0.13984249909189975</v>
      </c>
      <c r="AP111" s="138">
        <f t="shared" si="151"/>
        <v>0.10769888927262397</v>
      </c>
      <c r="AQ111" s="138">
        <f t="shared" si="151"/>
        <v>9.2120618725887518E-2</v>
      </c>
      <c r="AR111" s="138">
        <f t="shared" si="151"/>
        <v>6.7137813568061491E-2</v>
      </c>
      <c r="AS111" s="138">
        <f>IF(AS110&lt;0,"NMF",IF(ABS(AS108/AS110)&gt;1,"NMF",AS108/AS110))</f>
        <v>4.1684834374007829E-2</v>
      </c>
      <c r="AT111" s="137">
        <f>IF(AT110&lt;0,"NMF",IF(ABS(AT108/AT110)&gt;1,"NMF",AT108/AT110))</f>
        <v>4.2429780818740569E-2</v>
      </c>
      <c r="AU111" s="138">
        <f>IF(AU110&lt;0,"NMF",IF(ABS(AU108/AU110)&gt;1,"NMF",AU108/AU110))</f>
        <v>1.6656674236102426E-2</v>
      </c>
      <c r="AV111" s="138">
        <f>IF(AV110&lt;0,"NMF",IF(ABS(AV108/AV110)&gt;1,"NMF",AV108/AV110))</f>
        <v>2.0808706423641833E-2</v>
      </c>
      <c r="AW111" s="723">
        <f>IF(AW110&lt;0,"NMF",IF(ABS(AW108/AW110)&gt;1,"NMF",AW108/AW110))</f>
        <v>3.6544986541544706E-2</v>
      </c>
      <c r="AX111" s="138">
        <f t="shared" ca="1" si="151"/>
        <v>5.589213937195716E-2</v>
      </c>
      <c r="AY111" s="137">
        <f t="shared" ca="1" si="151"/>
        <v>5.6021828493971651E-2</v>
      </c>
      <c r="AZ111" s="138">
        <f t="shared" ref="AZ111:BG111" ca="1" si="152">IF(AZ110&lt;0,"NMF",IF(ABS(AZ108/AZ110)&gt;1,"NMF",AZ108/AZ110))</f>
        <v>6.5324170574008758E-2</v>
      </c>
      <c r="BA111" s="138">
        <f t="shared" ca="1" si="152"/>
        <v>6.812080392077105E-2</v>
      </c>
      <c r="BB111" s="138">
        <f t="shared" ca="1" si="152"/>
        <v>7.8585584483810436E-2</v>
      </c>
      <c r="BC111" s="138">
        <f t="shared" ca="1" si="152"/>
        <v>9.3001279346814986E-2</v>
      </c>
      <c r="BD111" s="137">
        <f t="shared" ca="1" si="152"/>
        <v>9.4145575407213591E-2</v>
      </c>
      <c r="BE111" s="137">
        <f t="shared" ca="1" si="152"/>
        <v>0.11064622251160294</v>
      </c>
      <c r="BF111" s="137">
        <f t="shared" ca="1" si="152"/>
        <v>0.12016905625663643</v>
      </c>
      <c r="BG111" s="137">
        <f t="shared" ca="1" si="152"/>
        <v>0.12587579772634133</v>
      </c>
      <c r="BH111" s="293"/>
    </row>
    <row r="112" spans="1:60" s="377" customFormat="1" hidden="1" outlineLevel="1" x14ac:dyDescent="0.25">
      <c r="A112" s="240" t="s">
        <v>448</v>
      </c>
      <c r="B112" s="241"/>
      <c r="C112" s="153">
        <f t="shared" ref="C112:AH112" si="153">INDEX(SP_GF_NI,0,COLUMN())+INDEX(SP_GF_IE,0,COLUMN())*(1-INDEX(SP_GF_Tax,0,COLUMN())/INDEX(SP_GF_EBT,0,COLUMN()))+INDEX(SP_GF_NCI,0,COLUMN())</f>
        <v>3906.2417815482504</v>
      </c>
      <c r="D112" s="153">
        <f t="shared" si="153"/>
        <v>4579.1863588350689</v>
      </c>
      <c r="E112" s="153">
        <f t="shared" si="153"/>
        <v>5482.2315056570933</v>
      </c>
      <c r="F112" s="153">
        <f t="shared" si="153"/>
        <v>6418.9867170626349</v>
      </c>
      <c r="G112" s="154">
        <f t="shared" si="153"/>
        <v>1489.0532544378698</v>
      </c>
      <c r="H112" s="154">
        <f t="shared" si="153"/>
        <v>1659.4764835164835</v>
      </c>
      <c r="I112" s="154">
        <f t="shared" si="153"/>
        <v>2088.5819592628513</v>
      </c>
      <c r="J112" s="154">
        <f t="shared" si="153"/>
        <v>1561.0386690647481</v>
      </c>
      <c r="K112" s="153">
        <f t="shared" si="153"/>
        <v>6798.1060291060294</v>
      </c>
      <c r="L112" s="154">
        <f t="shared" si="153"/>
        <v>1872.2666666666667</v>
      </c>
      <c r="M112" s="154">
        <f t="shared" si="153"/>
        <v>2015.8513385826773</v>
      </c>
      <c r="N112" s="154">
        <f t="shared" si="153"/>
        <v>2451.9564032697549</v>
      </c>
      <c r="O112" s="154">
        <f t="shared" si="153"/>
        <v>1650.0914262494921</v>
      </c>
      <c r="P112" s="153">
        <f t="shared" si="153"/>
        <v>7988.9671729544343</v>
      </c>
      <c r="Q112" s="154">
        <f t="shared" si="153"/>
        <v>2282.7126710291495</v>
      </c>
      <c r="R112" s="154">
        <f t="shared" si="153"/>
        <v>2222.6313253012049</v>
      </c>
      <c r="S112" s="154">
        <f t="shared" si="153"/>
        <v>2646.9929328621906</v>
      </c>
      <c r="T112" s="154">
        <f t="shared" si="153"/>
        <v>1770.7006823821339</v>
      </c>
      <c r="U112" s="153">
        <f t="shared" si="153"/>
        <v>8926.6815690798958</v>
      </c>
      <c r="V112" s="154">
        <f t="shared" si="153"/>
        <v>2926.0256998623222</v>
      </c>
      <c r="W112" s="154">
        <f t="shared" si="153"/>
        <v>2320.2518862449215</v>
      </c>
      <c r="X112" s="154">
        <f t="shared" si="153"/>
        <v>2757.3836959120249</v>
      </c>
      <c r="Y112" s="154">
        <f t="shared" si="153"/>
        <v>1957.0149253731342</v>
      </c>
      <c r="Z112" s="153">
        <f t="shared" si="153"/>
        <v>9961.1998923863339</v>
      </c>
      <c r="AA112" s="154">
        <f t="shared" si="153"/>
        <v>2554.1240268456377</v>
      </c>
      <c r="AB112" s="154">
        <f t="shared" si="153"/>
        <v>2595.8584377499333</v>
      </c>
      <c r="AC112" s="154">
        <f t="shared" si="153"/>
        <v>2554.0049751243782</v>
      </c>
      <c r="AD112" s="154">
        <f t="shared" si="153"/>
        <v>1923.843726800297</v>
      </c>
      <c r="AE112" s="153">
        <f t="shared" si="153"/>
        <v>9627.5252393385545</v>
      </c>
      <c r="AF112" s="154">
        <f t="shared" si="153"/>
        <v>4627.0766355140186</v>
      </c>
      <c r="AG112" s="154">
        <f t="shared" si="153"/>
        <v>3228.4024949083505</v>
      </c>
      <c r="AH112" s="154">
        <f t="shared" si="153"/>
        <v>3172.5020757654383</v>
      </c>
      <c r="AI112" s="154">
        <f t="shared" ref="AI112:AY112" si="154">INDEX(SP_GF_NI,0,COLUMN())+INDEX(SP_GF_IE,0,COLUMN())*(1-INDEX(SP_GF_Tax,0,COLUMN())/INDEX(SP_GF_EBT,0,COLUMN()))+INDEX(SP_GF_NCI,0,COLUMN())</f>
        <v>2539.1189881324171</v>
      </c>
      <c r="AJ112" s="153">
        <f t="shared" si="154"/>
        <v>13575.191662706226</v>
      </c>
      <c r="AK112" s="154">
        <f t="shared" si="154"/>
        <v>2837.1565141358205</v>
      </c>
      <c r="AL112" s="154">
        <f t="shared" si="154"/>
        <v>5721.4559900511258</v>
      </c>
      <c r="AM112" s="154">
        <f t="shared" si="154"/>
        <v>2276.5515361744301</v>
      </c>
      <c r="AN112" s="154">
        <f t="shared" si="154"/>
        <v>1445.2845786963435</v>
      </c>
      <c r="AO112" s="153">
        <f t="shared" si="154"/>
        <v>12291.412650602409</v>
      </c>
      <c r="AP112" s="154">
        <f t="shared" si="154"/>
        <v>2380.647036474164</v>
      </c>
      <c r="AQ112" s="154">
        <f t="shared" si="154"/>
        <v>671.41509433962267</v>
      </c>
      <c r="AR112" s="154">
        <f t="shared" si="154"/>
        <v>-4128.1760330578509</v>
      </c>
      <c r="AS112" s="154">
        <f>INDEX(SP_GF_NI,0,COLUMN())+INDEX(SP_GF_IE,0,COLUMN())*(1-INDEX(SP_GF_Tax,0,COLUMN())/INDEX(SP_GF_EBT,0,COLUMN()))+INDEX(SP_GF_NCI,0,COLUMN())</f>
        <v>-91.096551724137839</v>
      </c>
      <c r="AT112" s="153">
        <f>INDEX(SP_GF_NI,0,COLUMN())+INDEX(SP_GF_IE,0,COLUMN())*(1-INDEX(SP_GF_Tax,0,COLUMN())/INDEX(SP_GF_EBT,0,COLUMN()))+INDEX(SP_GF_NCI,0,COLUMN())</f>
        <v>-385.06024096385545</v>
      </c>
      <c r="AU112" s="154">
        <f>INDEX(SP_GF_NI,0,COLUMN())+INDEX(SP_GF_IE,0,COLUMN())*(1-INDEX(SP_GF_Tax,0,COLUMN())/INDEX(SP_GF_EBT,0,COLUMN()))+INDEX(SP_GF_NCI,0,COLUMN())</f>
        <v>229.30434782608697</v>
      </c>
      <c r="AV112" s="154">
        <f>INDEX(SP_GF_NI,0,COLUMN())+INDEX(SP_GF_IE,0,COLUMN())*(1-INDEX(SP_GF_Tax,0,COLUMN())/INDEX(SP_GF_EBT,0,COLUMN()))+INDEX(SP_GF_NCI,0,COLUMN())</f>
        <v>1402.9024390243903</v>
      </c>
      <c r="AW112" s="711">
        <f>INDEX(SP_GF_NI,0,COLUMN())+INDEX(SP_GF_IE,0,COLUMN())*(1-INDEX(SP_GF_Tax,0,COLUMN())/INDEX(SP_GF_EBT,0,COLUMN()))+INDEX(SP_GF_NCI,0,COLUMN())</f>
        <v>1627.4824120603016</v>
      </c>
      <c r="AX112" s="154">
        <f t="shared" si="154"/>
        <v>1396.0109704502502</v>
      </c>
      <c r="AY112" s="153">
        <f t="shared" si="154"/>
        <v>4697.5878309873915</v>
      </c>
      <c r="AZ112" s="154">
        <f t="shared" ref="AZ112:BG112" ca="1" si="155">INDEX(SP_GF_NI,0,COLUMN())+INDEX(SP_GF_IE,0,COLUMN())*(1-INDEX(SP_GF_Tax,0,COLUMN())/INDEX(SP_GF_EBT,0,COLUMN()))+INDEX(SP_GF_NCI,0,COLUMN())</f>
        <v>2741.4333099999999</v>
      </c>
      <c r="BA112" s="154">
        <f t="shared" ca="1" si="155"/>
        <v>1798.22874</v>
      </c>
      <c r="BB112" s="154">
        <f t="shared" ca="1" si="155"/>
        <v>2348.944598</v>
      </c>
      <c r="BC112" s="154">
        <f t="shared" ca="1" si="155"/>
        <v>2599.4935620500009</v>
      </c>
      <c r="BD112" s="153">
        <f t="shared" ca="1" si="155"/>
        <v>9488.1002100500064</v>
      </c>
      <c r="BE112" s="153">
        <f t="shared" ca="1" si="155"/>
        <v>12544.495466167094</v>
      </c>
      <c r="BF112" s="153">
        <f t="shared" ca="1" si="155"/>
        <v>13515.373025770659</v>
      </c>
      <c r="BG112" s="153">
        <f t="shared" ca="1" si="155"/>
        <v>14339.210419449642</v>
      </c>
      <c r="BH112" s="154"/>
    </row>
    <row r="113" spans="1:60" s="377" customFormat="1" hidden="1" outlineLevel="1" x14ac:dyDescent="0.25">
      <c r="A113" s="240" t="s">
        <v>449</v>
      </c>
      <c r="B113" s="241"/>
      <c r="C113" s="153">
        <f>C112</f>
        <v>3906.2417815482504</v>
      </c>
      <c r="D113" s="153">
        <f>D112</f>
        <v>4579.1863588350689</v>
      </c>
      <c r="E113" s="153">
        <f>E112</f>
        <v>5482.2315056570933</v>
      </c>
      <c r="F113" s="153">
        <f>F112</f>
        <v>6418.9867170626349</v>
      </c>
      <c r="G113" s="154"/>
      <c r="H113" s="154"/>
      <c r="I113" s="154"/>
      <c r="J113" s="154">
        <f>SUM(J112,I112,H112,G112)</f>
        <v>6798.1503662819523</v>
      </c>
      <c r="K113" s="153">
        <f>K112</f>
        <v>6798.1060291060294</v>
      </c>
      <c r="L113" s="154">
        <f>SUM(L112,J112,I112,H112)</f>
        <v>7181.3637785107494</v>
      </c>
      <c r="M113" s="154">
        <f>SUM(M112,L112,J112,I112)</f>
        <v>7537.7386335769434</v>
      </c>
      <c r="N113" s="154">
        <f>SUM(N112,M112,L112,J112)</f>
        <v>7901.1130775838465</v>
      </c>
      <c r="O113" s="154">
        <f>SUM(O112,N112,M112,L112)</f>
        <v>7990.1658347685907</v>
      </c>
      <c r="P113" s="153">
        <f>P112</f>
        <v>7988.9671729544343</v>
      </c>
      <c r="Q113" s="154">
        <f>SUM(Q112,O112,N112,M112)</f>
        <v>8400.6118391310738</v>
      </c>
      <c r="R113" s="154">
        <f>SUM(R112,Q112,O112,N112)</f>
        <v>8607.3918258496014</v>
      </c>
      <c r="S113" s="154">
        <f>SUM(S112,R112,Q112,O112)</f>
        <v>8802.4283554420381</v>
      </c>
      <c r="T113" s="154">
        <f>SUM(T112,S112,R112,Q112)</f>
        <v>8923.0376115746803</v>
      </c>
      <c r="U113" s="153">
        <f>U112</f>
        <v>8926.6815690798958</v>
      </c>
      <c r="V113" s="154">
        <f>SUM(V112,T112,S112,R112)</f>
        <v>9566.3506404078526</v>
      </c>
      <c r="W113" s="154">
        <f>SUM(W112,V112,T112,S112)</f>
        <v>9663.9712013515691</v>
      </c>
      <c r="X113" s="154">
        <f>SUM(X112,W112,V112,T112)</f>
        <v>9774.3619644014034</v>
      </c>
      <c r="Y113" s="154">
        <f>SUM(Y112,X112,W112,V112)</f>
        <v>9960.6762073924037</v>
      </c>
      <c r="Z113" s="153">
        <f>Z112</f>
        <v>9961.1998923863339</v>
      </c>
      <c r="AA113" s="154">
        <f>SUM(AA112,Y112,X112,W112)</f>
        <v>9588.7745343757178</v>
      </c>
      <c r="AB113" s="154">
        <f>SUM(AB112,AA112,Y112,X112)</f>
        <v>9864.3810858807301</v>
      </c>
      <c r="AC113" s="154">
        <f>SUM(AC112,AB112,AA112,Y112)</f>
        <v>9661.0023650930834</v>
      </c>
      <c r="AD113" s="154">
        <f>SUM(AD112,AC112,AB112,AA112)</f>
        <v>9627.8311665202455</v>
      </c>
      <c r="AE113" s="153">
        <f>AE112</f>
        <v>9627.5252393385545</v>
      </c>
      <c r="AF113" s="154">
        <f>SUM(AF112,AD112,AC112,AB112)</f>
        <v>11700.783775188627</v>
      </c>
      <c r="AG113" s="154">
        <f>SUM(AG112,AF112,AD112,AC112)</f>
        <v>12333.327832347044</v>
      </c>
      <c r="AH113" s="154">
        <f>SUM(AH112,AG112,AF112,AD112)</f>
        <v>12951.824932988104</v>
      </c>
      <c r="AI113" s="154">
        <f>SUM(AI112,AH112,AG112,AF112)</f>
        <v>13567.100194320225</v>
      </c>
      <c r="AJ113" s="153">
        <f>AJ112</f>
        <v>13575.191662706226</v>
      </c>
      <c r="AK113" s="154">
        <f>SUM(AK112,AI112,AH112,AG112)</f>
        <v>11777.180072942027</v>
      </c>
      <c r="AL113" s="154">
        <f>SUM(AL112,AK112,AI112,AH112)</f>
        <v>14270.233568084801</v>
      </c>
      <c r="AM113" s="154">
        <f>SUM(AM112,AL112,AK112,AI112)</f>
        <v>13374.283028493794</v>
      </c>
      <c r="AN113" s="154">
        <f>SUM(AN112,AM112,AL112,AK112)</f>
        <v>12280.448619057721</v>
      </c>
      <c r="AO113" s="153">
        <f>AO112</f>
        <v>12291.412650602409</v>
      </c>
      <c r="AP113" s="154">
        <f>SUM(AP112,AN112,AM112,AL112)</f>
        <v>11823.939141396062</v>
      </c>
      <c r="AQ113" s="154">
        <f>SUM(AQ112,AP112,AN112,AM112)</f>
        <v>6773.8982456845597</v>
      </c>
      <c r="AR113" s="154">
        <f>SUM(AR112,AQ112,AP112,AN112)</f>
        <v>369.17067645227917</v>
      </c>
      <c r="AS113" s="154">
        <f>SUM(AS112,AR112,AQ112,AP112)</f>
        <v>-1167.2104539682018</v>
      </c>
      <c r="AT113" s="153">
        <f>AT112</f>
        <v>-385.06024096385545</v>
      </c>
      <c r="AU113" s="154">
        <f>SUM(AU112,AS112,AR112,AQ112)</f>
        <v>-3318.5531426162793</v>
      </c>
      <c r="AV113" s="154">
        <f>SUM(AV112,AU112,AS112,AR112)</f>
        <v>-2587.0657979315115</v>
      </c>
      <c r="AW113" s="711">
        <f>SUM(AW112,AV112,AU112,AS112)</f>
        <v>3168.592647186641</v>
      </c>
      <c r="AX113" s="154">
        <f>SUM(AX112,AW112,AV112,AU112)</f>
        <v>4655.7001693610291</v>
      </c>
      <c r="AY113" s="153">
        <f>AY112</f>
        <v>4697.5878309873915</v>
      </c>
      <c r="AZ113" s="154">
        <f ca="1">SUM(AZ112,AX112,AW112,AV112)</f>
        <v>7167.8291315349425</v>
      </c>
      <c r="BA113" s="154">
        <f ca="1">SUM(BA112,AZ112,AX112,AW112)</f>
        <v>7563.1554325105517</v>
      </c>
      <c r="BB113" s="154">
        <f ca="1">SUM(BB112,BA112,AZ112,AX112)</f>
        <v>8284.617618450251</v>
      </c>
      <c r="BC113" s="154">
        <f ca="1">SUM(BC112,BB112,BA112,AZ112)</f>
        <v>9488.1002100500009</v>
      </c>
      <c r="BD113" s="153">
        <f ca="1">BD112</f>
        <v>9488.1002100500064</v>
      </c>
      <c r="BE113" s="153">
        <f ca="1">BE112</f>
        <v>12544.495466167094</v>
      </c>
      <c r="BF113" s="153">
        <f ca="1">BF112</f>
        <v>13515.373025770659</v>
      </c>
      <c r="BG113" s="153">
        <f ca="1">BG112</f>
        <v>14339.210419449642</v>
      </c>
      <c r="BH113" s="154"/>
    </row>
    <row r="114" spans="1:60" s="377" customFormat="1" hidden="1" outlineLevel="1" x14ac:dyDescent="0.25">
      <c r="A114" s="240" t="s">
        <v>345</v>
      </c>
      <c r="B114" s="241"/>
      <c r="C114" s="153">
        <f t="shared" ref="C114:AH114" si="156">INDEX(MO_BS_TA,0,COLUMN())</f>
        <v>63117</v>
      </c>
      <c r="D114" s="153">
        <f t="shared" si="156"/>
        <v>69206</v>
      </c>
      <c r="E114" s="153">
        <f t="shared" si="156"/>
        <v>72124</v>
      </c>
      <c r="F114" s="153">
        <f t="shared" si="156"/>
        <v>74898</v>
      </c>
      <c r="G114" s="154">
        <f t="shared" si="156"/>
        <v>80642</v>
      </c>
      <c r="H114" s="154">
        <f t="shared" si="156"/>
        <v>81358</v>
      </c>
      <c r="I114" s="154">
        <f t="shared" si="156"/>
        <v>80565</v>
      </c>
      <c r="J114" s="154">
        <f t="shared" si="156"/>
        <v>81241</v>
      </c>
      <c r="K114" s="153">
        <f t="shared" si="156"/>
        <v>81241</v>
      </c>
      <c r="L114" s="154">
        <f t="shared" si="156"/>
        <v>83166</v>
      </c>
      <c r="M114" s="154">
        <f t="shared" si="156"/>
        <v>82580</v>
      </c>
      <c r="N114" s="154">
        <f t="shared" si="156"/>
        <v>83723</v>
      </c>
      <c r="O114" s="154">
        <f t="shared" si="156"/>
        <v>84141</v>
      </c>
      <c r="P114" s="153">
        <f t="shared" si="156"/>
        <v>84141</v>
      </c>
      <c r="Q114" s="154">
        <f t="shared" si="156"/>
        <v>87035</v>
      </c>
      <c r="R114" s="154">
        <f t="shared" si="156"/>
        <v>85715</v>
      </c>
      <c r="S114" s="154">
        <f t="shared" si="156"/>
        <v>87367</v>
      </c>
      <c r="T114" s="154">
        <f t="shared" si="156"/>
        <v>88182</v>
      </c>
      <c r="U114" s="153">
        <f t="shared" si="156"/>
        <v>88182</v>
      </c>
      <c r="V114" s="154">
        <f t="shared" si="156"/>
        <v>90121</v>
      </c>
      <c r="W114" s="154">
        <f t="shared" si="156"/>
        <v>90264</v>
      </c>
      <c r="X114" s="154">
        <f t="shared" si="156"/>
        <v>90914</v>
      </c>
      <c r="Y114" s="154">
        <f t="shared" si="156"/>
        <v>92033</v>
      </c>
      <c r="Z114" s="153">
        <f t="shared" si="156"/>
        <v>92033</v>
      </c>
      <c r="AA114" s="154">
        <f t="shared" si="156"/>
        <v>91576</v>
      </c>
      <c r="AB114" s="154">
        <f t="shared" si="156"/>
        <v>91807</v>
      </c>
      <c r="AC114" s="154">
        <f t="shared" si="156"/>
        <v>92752</v>
      </c>
      <c r="AD114" s="154">
        <f t="shared" si="156"/>
        <v>95789</v>
      </c>
      <c r="AE114" s="153">
        <f t="shared" si="156"/>
        <v>95789</v>
      </c>
      <c r="AF114" s="154">
        <f t="shared" si="156"/>
        <v>97734</v>
      </c>
      <c r="AG114" s="154">
        <f t="shared" si="156"/>
        <v>97943</v>
      </c>
      <c r="AH114" s="154">
        <f t="shared" si="156"/>
        <v>98792</v>
      </c>
      <c r="AI114" s="154">
        <f t="shared" ref="AI114:AY114" si="157">INDEX(MO_BS_TA,0,COLUMN())</f>
        <v>98598</v>
      </c>
      <c r="AJ114" s="153">
        <f t="shared" si="157"/>
        <v>98598</v>
      </c>
      <c r="AK114" s="154">
        <f t="shared" si="157"/>
        <v>99941</v>
      </c>
      <c r="AL114" s="154">
        <f t="shared" si="157"/>
        <v>214342</v>
      </c>
      <c r="AM114" s="154">
        <f t="shared" si="157"/>
        <v>209475</v>
      </c>
      <c r="AN114" s="154">
        <f t="shared" si="157"/>
        <v>193984</v>
      </c>
      <c r="AO114" s="153">
        <f t="shared" si="157"/>
        <v>193984</v>
      </c>
      <c r="AP114" s="154">
        <f t="shared" si="157"/>
        <v>200948</v>
      </c>
      <c r="AQ114" s="154">
        <f t="shared" si="157"/>
        <v>206294</v>
      </c>
      <c r="AR114" s="154">
        <f t="shared" si="157"/>
        <v>207649</v>
      </c>
      <c r="AS114" s="154">
        <f>INDEX(MO_BS_TA,0,COLUMN())</f>
        <v>201549</v>
      </c>
      <c r="AT114" s="153">
        <f>INDEX(MO_BS_TA,0,COLUMN())</f>
        <v>201549</v>
      </c>
      <c r="AU114" s="154">
        <f>INDEX(MO_BS_TA,0,COLUMN())</f>
        <v>201888</v>
      </c>
      <c r="AV114" s="154">
        <f>INDEX(MO_BS_TA,0,COLUMN())</f>
        <v>200250</v>
      </c>
      <c r="AW114" s="711">
        <f>INDEX(MO_BS_TA,0,COLUMN())</f>
        <v>202221</v>
      </c>
      <c r="AX114" s="154">
        <f t="shared" ca="1" si="157"/>
        <v>213883.60122907418</v>
      </c>
      <c r="AY114" s="153">
        <f t="shared" ca="1" si="157"/>
        <v>213883.60122907418</v>
      </c>
      <c r="AZ114" s="154">
        <f t="shared" ref="AZ114:BG114" ca="1" si="158">INDEX(MO_BS_TA,0,COLUMN())</f>
        <v>206604.17859483697</v>
      </c>
      <c r="BA114" s="154">
        <f t="shared" ca="1" si="158"/>
        <v>209226.76405933307</v>
      </c>
      <c r="BB114" s="154">
        <f t="shared" ca="1" si="158"/>
        <v>212846.81291549519</v>
      </c>
      <c r="BC114" s="154">
        <f t="shared" ca="1" si="158"/>
        <v>212339.79585796723</v>
      </c>
      <c r="BD114" s="153">
        <f t="shared" ca="1" si="158"/>
        <v>212339.79585796723</v>
      </c>
      <c r="BE114" s="153">
        <f t="shared" ca="1" si="158"/>
        <v>223746.96089392243</v>
      </c>
      <c r="BF114" s="153">
        <f t="shared" ca="1" si="158"/>
        <v>235743.11162137124</v>
      </c>
      <c r="BG114" s="153">
        <f t="shared" ca="1" si="158"/>
        <v>249225.23701785927</v>
      </c>
      <c r="BH114" s="154"/>
    </row>
    <row r="115" spans="1:60" s="377" customFormat="1" hidden="1" outlineLevel="1" x14ac:dyDescent="0.25">
      <c r="A115" s="240" t="s">
        <v>450</v>
      </c>
      <c r="B115" s="241"/>
      <c r="C115" s="153">
        <f>C114</f>
        <v>63117</v>
      </c>
      <c r="D115" s="153">
        <f>AVERAGE(D114,C114)</f>
        <v>66161.5</v>
      </c>
      <c r="E115" s="153">
        <f>AVERAGE(E114,D114)</f>
        <v>70665</v>
      </c>
      <c r="F115" s="153">
        <f>AVERAGE(F114,E114)</f>
        <v>73511</v>
      </c>
      <c r="G115" s="154"/>
      <c r="H115" s="154"/>
      <c r="I115" s="154"/>
      <c r="J115" s="154">
        <f>AVERAGE(J114,I114,H114,G114)</f>
        <v>80951.5</v>
      </c>
      <c r="K115" s="153">
        <f>AVERAGE(K114,F114)</f>
        <v>78069.5</v>
      </c>
      <c r="L115" s="154">
        <f>AVERAGE(L114,J114,I114,H114)</f>
        <v>81582.5</v>
      </c>
      <c r="M115" s="154">
        <f>AVERAGE(M114,L114,J114,I114)</f>
        <v>81888</v>
      </c>
      <c r="N115" s="154">
        <f>AVERAGE(N114,M114,L114,J114)</f>
        <v>82677.5</v>
      </c>
      <c r="O115" s="154">
        <f>AVERAGE(O114,N114,M114,L114)</f>
        <v>83402.5</v>
      </c>
      <c r="P115" s="153">
        <f>AVERAGE(P114,K114)</f>
        <v>82691</v>
      </c>
      <c r="Q115" s="154">
        <f>AVERAGE(Q114,O114,N114,M114)</f>
        <v>84369.75</v>
      </c>
      <c r="R115" s="154">
        <f>AVERAGE(R114,Q114,O114,N114)</f>
        <v>85153.5</v>
      </c>
      <c r="S115" s="154">
        <f>AVERAGE(S114,R114,Q114,O114)</f>
        <v>86064.5</v>
      </c>
      <c r="T115" s="154">
        <f>AVERAGE(T114,S114,R114,Q114)</f>
        <v>87074.75</v>
      </c>
      <c r="U115" s="153">
        <f>AVERAGE(U114,P114)</f>
        <v>86161.5</v>
      </c>
      <c r="V115" s="154">
        <f>AVERAGE(V114,T114,S114,R114)</f>
        <v>87846.25</v>
      </c>
      <c r="W115" s="154">
        <f>AVERAGE(W114,V114,T114,S114)</f>
        <v>88983.5</v>
      </c>
      <c r="X115" s="154">
        <f>AVERAGE(X114,W114,V114,T114)</f>
        <v>89870.25</v>
      </c>
      <c r="Y115" s="154">
        <f>AVERAGE(Y114,X114,W114,V114)</f>
        <v>90833</v>
      </c>
      <c r="Z115" s="153">
        <f>AVERAGE(Z114,U114)</f>
        <v>90107.5</v>
      </c>
      <c r="AA115" s="154">
        <f>AVERAGE(AA114,Y114,X114,W114)</f>
        <v>91196.75</v>
      </c>
      <c r="AB115" s="154">
        <f>AVERAGE(AB114,AA114,Y114,X114)</f>
        <v>91582.5</v>
      </c>
      <c r="AC115" s="154">
        <f>AVERAGE(AC114,AB114,AA114,Y114)</f>
        <v>92042</v>
      </c>
      <c r="AD115" s="154">
        <f>AVERAGE(AD114,AC114,AB114,AA114)</f>
        <v>92981</v>
      </c>
      <c r="AE115" s="153">
        <f>AVERAGE(AE114,Z114)</f>
        <v>93911</v>
      </c>
      <c r="AF115" s="154">
        <f>AVERAGE(AF114,AD114,AC114,AB114)</f>
        <v>94520.5</v>
      </c>
      <c r="AG115" s="154">
        <f>AVERAGE(AG114,AF114,AD114,AC114)</f>
        <v>96054.5</v>
      </c>
      <c r="AH115" s="154">
        <f>AVERAGE(AH114,AG114,AF114,AD114)</f>
        <v>97564.5</v>
      </c>
      <c r="AI115" s="154">
        <f>AVERAGE(AI114,AH114,AG114,AF114)</f>
        <v>98266.75</v>
      </c>
      <c r="AJ115" s="153">
        <f>AVERAGE(AJ114,AE114)</f>
        <v>97193.5</v>
      </c>
      <c r="AK115" s="154">
        <f>AVERAGE(AK114,AI114,AH114,AG114)</f>
        <v>98818.5</v>
      </c>
      <c r="AL115" s="154">
        <f>AVERAGE(AL114,AK114,AI114,AH114)</f>
        <v>127918.25</v>
      </c>
      <c r="AM115" s="154">
        <f>AVERAGE(AM114,AL114,AK114,AI114)</f>
        <v>155589</v>
      </c>
      <c r="AN115" s="154">
        <f>AVERAGE(AN114,AM114,AL114,AK114)</f>
        <v>179435.5</v>
      </c>
      <c r="AO115" s="153">
        <f>AVERAGE(AO114,AJ114)</f>
        <v>146291</v>
      </c>
      <c r="AP115" s="154">
        <f>AVERAGE(AP114,AN114,AM114,AL114)</f>
        <v>204687.25</v>
      </c>
      <c r="AQ115" s="154">
        <f>AVERAGE(AQ114,AP114,AN114,AM114)</f>
        <v>202675.25</v>
      </c>
      <c r="AR115" s="154">
        <f>AVERAGE(AR114,AQ114,AP114,AN114)</f>
        <v>202218.75</v>
      </c>
      <c r="AS115" s="154">
        <f>AVERAGE(AS114,AR114,AQ114,AP114)</f>
        <v>204110</v>
      </c>
      <c r="AT115" s="153">
        <f>AVERAGE(AT114,AO114)</f>
        <v>197766.5</v>
      </c>
      <c r="AU115" s="154">
        <f>AVERAGE(AU114,AS114,AR114,AQ114)</f>
        <v>204345</v>
      </c>
      <c r="AV115" s="154">
        <f>AVERAGE(AV114,AU114,AS114,AR114)</f>
        <v>202834</v>
      </c>
      <c r="AW115" s="711">
        <f>AVERAGE(AW114,AV114,AU114,AS114)</f>
        <v>201477</v>
      </c>
      <c r="AX115" s="154">
        <f ca="1">AVERAGE(AX114,AW114,AV114,AU114)</f>
        <v>204560.65030726854</v>
      </c>
      <c r="AY115" s="153">
        <f ca="1">AVERAGE(AY114,AT114)</f>
        <v>207716.30061453709</v>
      </c>
      <c r="AZ115" s="154">
        <f ca="1">AVERAGE(AZ114,AX114,AW114,AV114)</f>
        <v>205739.69495597779</v>
      </c>
      <c r="BA115" s="154">
        <f ca="1">AVERAGE(BA114,AZ114,AX114,AW114)</f>
        <v>207983.88597081107</v>
      </c>
      <c r="BB115" s="154">
        <f ca="1">AVERAGE(BB114,BA114,AZ114,AX114)</f>
        <v>210640.33919968485</v>
      </c>
      <c r="BC115" s="154">
        <f ca="1">AVERAGE(BC114,BB114,BA114,AZ114)</f>
        <v>210254.38785690811</v>
      </c>
      <c r="BD115" s="153">
        <f ca="1">AVERAGE(BD114,AY114)</f>
        <v>213111.6985435207</v>
      </c>
      <c r="BE115" s="153">
        <f ca="1">AVERAGE(BE114,BD114)</f>
        <v>218043.37837594483</v>
      </c>
      <c r="BF115" s="153">
        <f ca="1">AVERAGE(BF114,BE114)</f>
        <v>229745.03625764683</v>
      </c>
      <c r="BG115" s="153">
        <f ca="1">AVERAGE(BG114,BF114)</f>
        <v>242484.17431961524</v>
      </c>
      <c r="BH115" s="154"/>
    </row>
    <row r="116" spans="1:60" s="381" customFormat="1" collapsed="1" x14ac:dyDescent="0.25">
      <c r="A116" s="257" t="s">
        <v>451</v>
      </c>
      <c r="B116" s="246"/>
      <c r="C116" s="137">
        <f>IF(C115&lt;0,"NMF",IF(ABS(C113/C115)&gt;1,"NMF",C113/C115))</f>
        <v>6.1888901271420542E-2</v>
      </c>
      <c r="D116" s="137">
        <f>IF(D115&lt;0,"NMF",IF(ABS(D113/D115)&gt;1,"NMF",D113/D115))</f>
        <v>6.9212251216116155E-2</v>
      </c>
      <c r="E116" s="137">
        <f>IF(E115&lt;0,"NMF",IF(ABS(E113/E115)&gt;1,"NMF",E113/E115))</f>
        <v>7.758057745216293E-2</v>
      </c>
      <c r="F116" s="137">
        <f>IF(F115&lt;0,"NMF",IF(ABS(F113/F115)&gt;1,"NMF",F113/F115))</f>
        <v>8.7320084301160839E-2</v>
      </c>
      <c r="G116" s="138"/>
      <c r="H116" s="138"/>
      <c r="I116" s="138"/>
      <c r="J116" s="138"/>
      <c r="K116" s="137">
        <f t="shared" ref="K116:AY116" si="159">IF(K115&lt;0,"NMF",IF(ABS(K113/K115)&gt;1,"NMF",K113/K115))</f>
        <v>8.7077617111753366E-2</v>
      </c>
      <c r="L116" s="138">
        <f t="shared" si="159"/>
        <v>8.8025787129724503E-2</v>
      </c>
      <c r="M116" s="138">
        <f t="shared" si="159"/>
        <v>9.2049367838718046E-2</v>
      </c>
      <c r="N116" s="138">
        <f t="shared" si="159"/>
        <v>9.556545707821168E-2</v>
      </c>
      <c r="O116" s="138">
        <f t="shared" si="159"/>
        <v>9.580247396383311E-2</v>
      </c>
      <c r="P116" s="137">
        <f t="shared" si="159"/>
        <v>9.6612293634790181E-2</v>
      </c>
      <c r="Q116" s="138">
        <f t="shared" si="159"/>
        <v>9.9569002386887165E-2</v>
      </c>
      <c r="R116" s="138">
        <f t="shared" si="159"/>
        <v>0.10108089304432115</v>
      </c>
      <c r="S116" s="138">
        <f t="shared" si="159"/>
        <v>0.10227711025384495</v>
      </c>
      <c r="T116" s="138">
        <f t="shared" si="159"/>
        <v>0.1024756041398302</v>
      </c>
      <c r="U116" s="137">
        <f t="shared" si="159"/>
        <v>0.10360406410148264</v>
      </c>
      <c r="V116" s="138">
        <f t="shared" si="159"/>
        <v>0.1088987935217252</v>
      </c>
      <c r="W116" s="138">
        <f t="shared" si="159"/>
        <v>0.10860408054697297</v>
      </c>
      <c r="X116" s="138">
        <f t="shared" si="159"/>
        <v>0.10876081867360338</v>
      </c>
      <c r="Y116" s="138">
        <f t="shared" si="159"/>
        <v>0.10965922305101014</v>
      </c>
      <c r="Z116" s="137">
        <f t="shared" si="159"/>
        <v>0.11054795541310472</v>
      </c>
      <c r="AA116" s="138">
        <f t="shared" si="159"/>
        <v>0.10514381855028515</v>
      </c>
      <c r="AB116" s="138">
        <f t="shared" si="159"/>
        <v>0.10771032769230726</v>
      </c>
      <c r="AC116" s="138">
        <f t="shared" si="159"/>
        <v>0.10496297739176771</v>
      </c>
      <c r="AD116" s="138">
        <f t="shared" si="159"/>
        <v>0.10354622091094143</v>
      </c>
      <c r="AE116" s="137">
        <f t="shared" si="159"/>
        <v>0.10251754575436908</v>
      </c>
      <c r="AF116" s="138">
        <f t="shared" si="159"/>
        <v>0.1237909636024844</v>
      </c>
      <c r="AG116" s="138">
        <f t="shared" si="159"/>
        <v>0.12839927158380965</v>
      </c>
      <c r="AH116" s="138">
        <f t="shared" si="159"/>
        <v>0.13275140991844475</v>
      </c>
      <c r="AI116" s="138">
        <f t="shared" si="159"/>
        <v>0.13806399615658627</v>
      </c>
      <c r="AJ116" s="137">
        <f t="shared" si="159"/>
        <v>0.13967180585848052</v>
      </c>
      <c r="AK116" s="138">
        <f t="shared" si="159"/>
        <v>0.11917991138240336</v>
      </c>
      <c r="AL116" s="138">
        <f t="shared" si="159"/>
        <v>0.11155744835537384</v>
      </c>
      <c r="AM116" s="138">
        <f t="shared" si="159"/>
        <v>8.5959052558302926E-2</v>
      </c>
      <c r="AN116" s="138">
        <f t="shared" si="159"/>
        <v>6.8439347949863436E-2</v>
      </c>
      <c r="AO116" s="137">
        <f t="shared" si="159"/>
        <v>8.4020292776742306E-2</v>
      </c>
      <c r="AP116" s="138">
        <f t="shared" si="159"/>
        <v>5.7765880099498443E-2</v>
      </c>
      <c r="AQ116" s="138">
        <f t="shared" si="159"/>
        <v>3.342242452240498E-2</v>
      </c>
      <c r="AR116" s="138">
        <f t="shared" si="159"/>
        <v>1.8256006253242055E-3</v>
      </c>
      <c r="AS116" s="138">
        <f>IF(AS115&lt;0,"NMF",IF(ABS(AS113/AS115)&gt;1,"NMF",AS113/AS115))</f>
        <v>-5.7185363478918323E-3</v>
      </c>
      <c r="AT116" s="137">
        <f>IF(AT115&lt;0,"NMF",IF(ABS(AT113/AT115)&gt;1,"NMF",AT113/AT115))</f>
        <v>-1.947044827935244E-3</v>
      </c>
      <c r="AU116" s="138">
        <f>IF(AU115&lt;0,"NMF",IF(ABS(AU113/AU115)&gt;1,"NMF",AU113/AU115))</f>
        <v>-1.6239952739809046E-2</v>
      </c>
      <c r="AV116" s="138">
        <f>IF(AV115&lt;0,"NMF",IF(ABS(AV113/AV115)&gt;1,"NMF",AV113/AV115))</f>
        <v>-1.2754596359247028E-2</v>
      </c>
      <c r="AW116" s="723">
        <f>IF(AW115&lt;0,"NMF",IF(ABS(AW113/AW115)&gt;1,"NMF",AW113/AW115))</f>
        <v>1.5726820665319819E-2</v>
      </c>
      <c r="AX116" s="138">
        <f t="shared" ca="1" si="159"/>
        <v>2.2759510015087202E-2</v>
      </c>
      <c r="AY116" s="137">
        <f t="shared" ca="1" si="159"/>
        <v>2.2615402917774811E-2</v>
      </c>
      <c r="AZ116" s="138">
        <f t="shared" ref="AZ116:BG116" ca="1" si="160">IF(AZ115&lt;0,"NMF",IF(ABS(AZ113/AZ115)&gt;1,"NMF",AZ113/AZ115))</f>
        <v>3.4839310581599947E-2</v>
      </c>
      <c r="BA116" s="138">
        <f t="shared" ca="1" si="160"/>
        <v>3.6364141371856E-2</v>
      </c>
      <c r="BB116" s="138">
        <f t="shared" ca="1" si="160"/>
        <v>3.9330631777024054E-2</v>
      </c>
      <c r="BC116" s="138">
        <f t="shared" ca="1" si="160"/>
        <v>4.5126764329443028E-2</v>
      </c>
      <c r="BD116" s="137">
        <f t="shared" ca="1" si="160"/>
        <v>4.4521723935827907E-2</v>
      </c>
      <c r="BE116" s="137">
        <f t="shared" ca="1" si="160"/>
        <v>5.753210925093169E-2</v>
      </c>
      <c r="BF116" s="137">
        <f t="shared" ca="1" si="160"/>
        <v>5.8827704162512949E-2</v>
      </c>
      <c r="BG116" s="137">
        <f t="shared" ca="1" si="160"/>
        <v>5.9134623773629512E-2</v>
      </c>
      <c r="BH116" s="293"/>
    </row>
    <row r="117" spans="1:60" s="377" customFormat="1" hidden="1" outlineLevel="1" x14ac:dyDescent="0.25">
      <c r="A117" s="240" t="s">
        <v>692</v>
      </c>
      <c r="B117" s="241"/>
      <c r="C117" s="153">
        <f t="shared" ref="C117:AH117" si="161">INDEX(MO_BSS_Debt_Net,0,COLUMN())+INDEX(MO_BSS_Cash,0,COLUMN())</f>
        <v>12701</v>
      </c>
      <c r="D117" s="153">
        <f t="shared" si="161"/>
        <v>12480</v>
      </c>
      <c r="E117" s="153">
        <f t="shared" si="161"/>
        <v>13977</v>
      </c>
      <c r="F117" s="153">
        <f t="shared" si="161"/>
        <v>14311</v>
      </c>
      <c r="G117" s="154">
        <f t="shared" si="161"/>
        <v>17448</v>
      </c>
      <c r="H117" s="154">
        <f t="shared" si="161"/>
        <v>16937</v>
      </c>
      <c r="I117" s="154">
        <f t="shared" si="161"/>
        <v>15003</v>
      </c>
      <c r="J117" s="154">
        <f t="shared" si="161"/>
        <v>14288</v>
      </c>
      <c r="K117" s="153">
        <f t="shared" si="161"/>
        <v>14288</v>
      </c>
      <c r="L117" s="154">
        <f t="shared" si="161"/>
        <v>15401</v>
      </c>
      <c r="M117" s="154">
        <f t="shared" si="161"/>
        <v>15604</v>
      </c>
      <c r="N117" s="154">
        <f t="shared" si="161"/>
        <v>16136</v>
      </c>
      <c r="O117" s="154">
        <f t="shared" si="161"/>
        <v>14795</v>
      </c>
      <c r="P117" s="153">
        <f t="shared" si="161"/>
        <v>14795</v>
      </c>
      <c r="Q117" s="154">
        <f t="shared" si="161"/>
        <v>16543</v>
      </c>
      <c r="R117" s="154">
        <f t="shared" si="161"/>
        <v>14957</v>
      </c>
      <c r="S117" s="154">
        <f t="shared" si="161"/>
        <v>15273</v>
      </c>
      <c r="T117" s="154">
        <f t="shared" si="161"/>
        <v>17336</v>
      </c>
      <c r="U117" s="153">
        <f t="shared" si="161"/>
        <v>17336</v>
      </c>
      <c r="V117" s="154">
        <f t="shared" si="161"/>
        <v>18915</v>
      </c>
      <c r="W117" s="154">
        <f t="shared" si="161"/>
        <v>21122</v>
      </c>
      <c r="X117" s="154">
        <f t="shared" si="161"/>
        <v>20441</v>
      </c>
      <c r="Y117" s="154">
        <f t="shared" si="161"/>
        <v>20170</v>
      </c>
      <c r="Z117" s="153">
        <f t="shared" si="161"/>
        <v>20170</v>
      </c>
      <c r="AA117" s="154">
        <f t="shared" si="161"/>
        <v>20490</v>
      </c>
      <c r="AB117" s="154">
        <f t="shared" si="161"/>
        <v>21653</v>
      </c>
      <c r="AC117" s="154">
        <f t="shared" si="161"/>
        <v>22187</v>
      </c>
      <c r="AD117" s="154">
        <f t="shared" si="161"/>
        <v>25291</v>
      </c>
      <c r="AE117" s="153">
        <f t="shared" si="161"/>
        <v>25291</v>
      </c>
      <c r="AF117" s="154">
        <f t="shared" si="161"/>
        <v>26091</v>
      </c>
      <c r="AG117" s="154">
        <f t="shared" si="161"/>
        <v>24684</v>
      </c>
      <c r="AH117" s="154">
        <f t="shared" si="161"/>
        <v>23673</v>
      </c>
      <c r="AI117" s="154">
        <f t="shared" ref="AI117:AY117" si="162">INDEX(MO_BSS_Debt_Net,0,COLUMN())+INDEX(MO_BSS_Cash,0,COLUMN())</f>
        <v>20874</v>
      </c>
      <c r="AJ117" s="153">
        <f t="shared" si="162"/>
        <v>20874</v>
      </c>
      <c r="AK117" s="154">
        <f t="shared" si="162"/>
        <v>20665</v>
      </c>
      <c r="AL117" s="154">
        <f t="shared" si="162"/>
        <v>56961</v>
      </c>
      <c r="AM117" s="154">
        <f t="shared" si="162"/>
        <v>58234</v>
      </c>
      <c r="AN117" s="154">
        <f t="shared" si="162"/>
        <v>46986</v>
      </c>
      <c r="AO117" s="153">
        <f t="shared" si="162"/>
        <v>46986</v>
      </c>
      <c r="AP117" s="154">
        <f t="shared" si="162"/>
        <v>48075</v>
      </c>
      <c r="AQ117" s="154">
        <f t="shared" si="162"/>
        <v>55446</v>
      </c>
      <c r="AR117" s="154">
        <f t="shared" si="162"/>
        <v>64421</v>
      </c>
      <c r="AS117" s="154">
        <f>INDEX(MO_BSS_Debt_Net,0,COLUMN())+INDEX(MO_BSS_Cash,0,COLUMN())</f>
        <v>58628</v>
      </c>
      <c r="AT117" s="153">
        <f>INDEX(MO_BSS_Debt_Net,0,COLUMN())+INDEX(MO_BSS_Cash,0,COLUMN())</f>
        <v>58628</v>
      </c>
      <c r="AU117" s="154">
        <f>INDEX(MO_BSS_Debt_Net,0,COLUMN())+INDEX(MO_BSS_Cash,0,COLUMN())</f>
        <v>58275</v>
      </c>
      <c r="AV117" s="154">
        <f>INDEX(MO_BSS_Debt_Net,0,COLUMN())+INDEX(MO_BSS_Cash,0,COLUMN())</f>
        <v>56146</v>
      </c>
      <c r="AW117" s="711">
        <f>INDEX(MO_BSS_Debt_Net,0,COLUMN())+INDEX(MO_BSS_Cash,0,COLUMN())</f>
        <v>55838</v>
      </c>
      <c r="AX117" s="154">
        <f t="shared" ca="1" si="162"/>
        <v>55838</v>
      </c>
      <c r="AY117" s="153">
        <f t="shared" ca="1" si="162"/>
        <v>55838</v>
      </c>
      <c r="AZ117" s="154">
        <f t="shared" ref="AZ117:BG117" ca="1" si="163">INDEX(MO_BSS_Debt_Net,0,COLUMN())+INDEX(MO_BSS_Cash,0,COLUMN())</f>
        <v>55838</v>
      </c>
      <c r="BA117" s="154">
        <f t="shared" ca="1" si="163"/>
        <v>55838</v>
      </c>
      <c r="BB117" s="154">
        <f t="shared" ca="1" si="163"/>
        <v>55838</v>
      </c>
      <c r="BC117" s="154">
        <f t="shared" ca="1" si="163"/>
        <v>55838</v>
      </c>
      <c r="BD117" s="153">
        <f t="shared" ca="1" si="163"/>
        <v>55838</v>
      </c>
      <c r="BE117" s="153">
        <f t="shared" ca="1" si="163"/>
        <v>55838</v>
      </c>
      <c r="BF117" s="153">
        <f t="shared" ca="1" si="163"/>
        <v>55838</v>
      </c>
      <c r="BG117" s="153">
        <f t="shared" ca="1" si="163"/>
        <v>55838</v>
      </c>
      <c r="BH117" s="154"/>
    </row>
    <row r="118" spans="1:60" s="377" customFormat="1" hidden="1" outlineLevel="1" x14ac:dyDescent="0.25">
      <c r="A118" s="240" t="s">
        <v>452</v>
      </c>
      <c r="B118" s="241"/>
      <c r="C118" s="153">
        <f>C117</f>
        <v>12701</v>
      </c>
      <c r="D118" s="153">
        <f>AVERAGE(D117,C117)</f>
        <v>12590.5</v>
      </c>
      <c r="E118" s="153">
        <f>AVERAGE(E117,D117)</f>
        <v>13228.5</v>
      </c>
      <c r="F118" s="153">
        <f>AVERAGE(F117,E117)</f>
        <v>14144</v>
      </c>
      <c r="G118" s="154"/>
      <c r="H118" s="154"/>
      <c r="I118" s="154"/>
      <c r="J118" s="154">
        <f>AVERAGE(J117,I117,H117,G117)</f>
        <v>15919</v>
      </c>
      <c r="K118" s="153">
        <f>AVERAGE(K117,F117)</f>
        <v>14299.5</v>
      </c>
      <c r="L118" s="154">
        <f>AVERAGE(L117,J117,I117,H117)</f>
        <v>15407.25</v>
      </c>
      <c r="M118" s="154">
        <f>AVERAGE(M117,L117,J117,I117)</f>
        <v>15074</v>
      </c>
      <c r="N118" s="154">
        <f>AVERAGE(N117,M117,L117,J117)</f>
        <v>15357.25</v>
      </c>
      <c r="O118" s="154">
        <f>AVERAGE(O117,N117,M117,L117)</f>
        <v>15484</v>
      </c>
      <c r="P118" s="153">
        <f>AVERAGE(P117,K117)</f>
        <v>14541.5</v>
      </c>
      <c r="Q118" s="154">
        <f>AVERAGE(Q117,O117,N117,M117)</f>
        <v>15769.5</v>
      </c>
      <c r="R118" s="154">
        <f>AVERAGE(R117,Q117,O117,N117)</f>
        <v>15607.75</v>
      </c>
      <c r="S118" s="154">
        <f>AVERAGE(S117,R117,Q117,O117)</f>
        <v>15392</v>
      </c>
      <c r="T118" s="154">
        <f>AVERAGE(T117,S117,R117,Q117)</f>
        <v>16027.25</v>
      </c>
      <c r="U118" s="153">
        <f>AVERAGE(U117,P117)</f>
        <v>16065.5</v>
      </c>
      <c r="V118" s="154">
        <f>AVERAGE(V117,T117,S117,R117)</f>
        <v>16620.25</v>
      </c>
      <c r="W118" s="154">
        <f>AVERAGE(W117,V117,T117,S117)</f>
        <v>18161.5</v>
      </c>
      <c r="X118" s="154">
        <f>AVERAGE(X117,W117,V117,T117)</f>
        <v>19453.5</v>
      </c>
      <c r="Y118" s="154">
        <f>AVERAGE(Y117,X117,W117,V117)</f>
        <v>20162</v>
      </c>
      <c r="Z118" s="153">
        <f>AVERAGE(Z117,U117)</f>
        <v>18753</v>
      </c>
      <c r="AA118" s="154">
        <f>AVERAGE(AA117,Y117,X117,W117)</f>
        <v>20555.75</v>
      </c>
      <c r="AB118" s="154">
        <f>AVERAGE(AB117,AA117,Y117,X117)</f>
        <v>20688.5</v>
      </c>
      <c r="AC118" s="154">
        <f>AVERAGE(AC117,AB117,AA117,Y117)</f>
        <v>21125</v>
      </c>
      <c r="AD118" s="154">
        <f>AVERAGE(AD117,AC117,AB117,AA117)</f>
        <v>22405.25</v>
      </c>
      <c r="AE118" s="153">
        <f>AVERAGE(AE117,Z117)</f>
        <v>22730.5</v>
      </c>
      <c r="AF118" s="154">
        <f>AVERAGE(AF117,AD117,AC117,AB117)</f>
        <v>23805.5</v>
      </c>
      <c r="AG118" s="154">
        <f>AVERAGE(AG117,AF117,AD117,AC117)</f>
        <v>24563.25</v>
      </c>
      <c r="AH118" s="154">
        <f>AVERAGE(AH117,AG117,AF117,AD117)</f>
        <v>24934.75</v>
      </c>
      <c r="AI118" s="154">
        <f>AVERAGE(AI117,AH117,AG117,AF117)</f>
        <v>23830.5</v>
      </c>
      <c r="AJ118" s="153">
        <f>AVERAGE(AJ117,AE117)</f>
        <v>23082.5</v>
      </c>
      <c r="AK118" s="154">
        <f>AVERAGE(AK117,AI117,AH117,AG117)</f>
        <v>22474</v>
      </c>
      <c r="AL118" s="154">
        <f>AVERAGE(AL117,AK117,AI117,AH117)</f>
        <v>30543.25</v>
      </c>
      <c r="AM118" s="154">
        <f>AVERAGE(AM117,AL117,AK117,AI117)</f>
        <v>39183.5</v>
      </c>
      <c r="AN118" s="154">
        <f>AVERAGE(AN117,AM117,AL117,AK117)</f>
        <v>45711.5</v>
      </c>
      <c r="AO118" s="153">
        <f>AVERAGE(AO117,AJ117)</f>
        <v>33930</v>
      </c>
      <c r="AP118" s="154">
        <f>AVERAGE(AP117,AN117,AM117,AL117)</f>
        <v>52564</v>
      </c>
      <c r="AQ118" s="154">
        <f>AVERAGE(AQ117,AP117,AN117,AM117)</f>
        <v>52185.25</v>
      </c>
      <c r="AR118" s="154">
        <f>AVERAGE(AR117,AQ117,AP117,AN117)</f>
        <v>53732</v>
      </c>
      <c r="AS118" s="154">
        <f>AVERAGE(AS117,AR117,AQ117,AP117)</f>
        <v>56642.5</v>
      </c>
      <c r="AT118" s="153">
        <f>AVERAGE(AT117,AO117)</f>
        <v>52807</v>
      </c>
      <c r="AU118" s="154">
        <f>AVERAGE(AU117,AS117,AR117,AQ117)</f>
        <v>59192.5</v>
      </c>
      <c r="AV118" s="154">
        <f>AVERAGE(AV117,AU117,AS117,AR117)</f>
        <v>59367.5</v>
      </c>
      <c r="AW118" s="711">
        <f>AVERAGE(AW117,AV117,AU117,AS117)</f>
        <v>57221.75</v>
      </c>
      <c r="AX118" s="154">
        <f ca="1">AVERAGE(AX117,AW117,AV117,AU117)</f>
        <v>56524.25</v>
      </c>
      <c r="AY118" s="153">
        <f ca="1">AVERAGE(AY117,AT117)</f>
        <v>57233</v>
      </c>
      <c r="AZ118" s="154">
        <f ca="1">AVERAGE(AZ117,AX117,AW117,AV117)</f>
        <v>55915</v>
      </c>
      <c r="BA118" s="154">
        <f ca="1">AVERAGE(BA117,AZ117,AX117,AW117)</f>
        <v>55838</v>
      </c>
      <c r="BB118" s="154">
        <f ca="1">AVERAGE(BB117,BA117,AZ117,AX117)</f>
        <v>55838</v>
      </c>
      <c r="BC118" s="154">
        <f ca="1">AVERAGE(BC117,BB117,BA117,AZ117)</f>
        <v>55838</v>
      </c>
      <c r="BD118" s="153">
        <f ca="1">AVERAGE(BD117,AY117)</f>
        <v>55838</v>
      </c>
      <c r="BE118" s="153">
        <f ca="1">AVERAGE(BE117,BD117)</f>
        <v>55838</v>
      </c>
      <c r="BF118" s="153">
        <f ca="1">AVERAGE(BF117,BE117)</f>
        <v>55838</v>
      </c>
      <c r="BG118" s="153">
        <f ca="1">AVERAGE(BG117,BF117)</f>
        <v>55838</v>
      </c>
      <c r="BH118" s="154"/>
    </row>
    <row r="119" spans="1:60" s="377" customFormat="1" hidden="1" outlineLevel="1" x14ac:dyDescent="0.25">
      <c r="A119" s="240" t="s">
        <v>453</v>
      </c>
      <c r="B119" s="241"/>
      <c r="C119" s="153">
        <f t="shared" ref="C119:AH119" si="164">SUM(INDEX(SP_BSR_Debt_Avg,0,COLUMN()),INDEX(SP_BSR_SE_Avg,0,COLUMN()))</f>
        <v>46435</v>
      </c>
      <c r="D119" s="153">
        <f t="shared" si="164"/>
        <v>48217</v>
      </c>
      <c r="E119" s="153">
        <f t="shared" si="164"/>
        <v>50680.5</v>
      </c>
      <c r="F119" s="153">
        <f t="shared" si="164"/>
        <v>52716</v>
      </c>
      <c r="G119" s="154">
        <f t="shared" si="164"/>
        <v>0</v>
      </c>
      <c r="H119" s="154">
        <f t="shared" si="164"/>
        <v>0</v>
      </c>
      <c r="I119" s="154">
        <f t="shared" si="164"/>
        <v>0</v>
      </c>
      <c r="J119" s="154">
        <f t="shared" si="164"/>
        <v>58936.5</v>
      </c>
      <c r="K119" s="153">
        <f t="shared" si="164"/>
        <v>56893.5</v>
      </c>
      <c r="L119" s="154">
        <f t="shared" si="164"/>
        <v>59251.75</v>
      </c>
      <c r="M119" s="154">
        <f t="shared" si="164"/>
        <v>59618.5</v>
      </c>
      <c r="N119" s="154">
        <f t="shared" si="164"/>
        <v>60397.75</v>
      </c>
      <c r="O119" s="154">
        <f t="shared" si="164"/>
        <v>60406.75</v>
      </c>
      <c r="P119" s="153">
        <f t="shared" si="164"/>
        <v>59735</v>
      </c>
      <c r="Q119" s="154">
        <f t="shared" si="164"/>
        <v>60652.5</v>
      </c>
      <c r="R119" s="154">
        <f t="shared" si="164"/>
        <v>60778</v>
      </c>
      <c r="S119" s="154">
        <f t="shared" si="164"/>
        <v>60812</v>
      </c>
      <c r="T119" s="154">
        <f t="shared" si="164"/>
        <v>61339</v>
      </c>
      <c r="U119" s="153">
        <f t="shared" si="164"/>
        <v>60807</v>
      </c>
      <c r="V119" s="154">
        <f t="shared" si="164"/>
        <v>61880.25</v>
      </c>
      <c r="W119" s="154">
        <f t="shared" si="164"/>
        <v>62943</v>
      </c>
      <c r="X119" s="154">
        <f t="shared" si="164"/>
        <v>63653.5</v>
      </c>
      <c r="Y119" s="154">
        <f t="shared" si="164"/>
        <v>64047</v>
      </c>
      <c r="Z119" s="153">
        <f t="shared" si="164"/>
        <v>62648</v>
      </c>
      <c r="AA119" s="154">
        <f t="shared" si="164"/>
        <v>64253.75</v>
      </c>
      <c r="AB119" s="154">
        <f t="shared" si="164"/>
        <v>64301.5</v>
      </c>
      <c r="AC119" s="154">
        <f t="shared" si="164"/>
        <v>64322.5</v>
      </c>
      <c r="AD119" s="154">
        <f t="shared" si="164"/>
        <v>65115.25</v>
      </c>
      <c r="AE119" s="153">
        <f t="shared" si="164"/>
        <v>65020.5</v>
      </c>
      <c r="AF119" s="154">
        <f t="shared" si="164"/>
        <v>66535.25</v>
      </c>
      <c r="AG119" s="154">
        <f t="shared" si="164"/>
        <v>67634.75</v>
      </c>
      <c r="AH119" s="154">
        <f t="shared" si="164"/>
        <v>68895.5</v>
      </c>
      <c r="AI119" s="154">
        <f t="shared" ref="AI119:AY119" si="165">SUM(INDEX(SP_BSR_Debt_Avg,0,COLUMN()),INDEX(SP_BSR_SE_Avg,0,COLUMN()))</f>
        <v>69655.75</v>
      </c>
      <c r="AJ119" s="153">
        <f t="shared" si="165"/>
        <v>68126.5</v>
      </c>
      <c r="AK119" s="154">
        <f t="shared" si="165"/>
        <v>70056</v>
      </c>
      <c r="AL119" s="154">
        <f t="shared" si="165"/>
        <v>89322</v>
      </c>
      <c r="AM119" s="154">
        <f t="shared" si="165"/>
        <v>109058.25</v>
      </c>
      <c r="AN119" s="154">
        <f t="shared" si="165"/>
        <v>125612.25</v>
      </c>
      <c r="AO119" s="153">
        <f t="shared" si="165"/>
        <v>102755</v>
      </c>
      <c r="AP119" s="154">
        <f t="shared" si="165"/>
        <v>142325</v>
      </c>
      <c r="AQ119" s="154">
        <f t="shared" si="165"/>
        <v>142063.5</v>
      </c>
      <c r="AR119" s="154">
        <f t="shared" si="165"/>
        <v>142458.75</v>
      </c>
      <c r="AS119" s="154">
        <f>SUM(INDEX(SP_BSR_Debt_Avg,0,COLUMN()),INDEX(SP_BSR_SE_Avg,0,COLUMN()))</f>
        <v>144045.75</v>
      </c>
      <c r="AT119" s="153">
        <f>SUM(INDEX(SP_BSR_Debt_Avg,0,COLUMN()),INDEX(SP_BSR_SE_Avg,0,COLUMN()))</f>
        <v>139037</v>
      </c>
      <c r="AU119" s="154">
        <f>SUM(INDEX(SP_BSR_Debt_Avg,0,COLUMN()),INDEX(SP_BSR_SE_Avg,0,COLUMN()))</f>
        <v>145174.25</v>
      </c>
      <c r="AV119" s="154">
        <f>SUM(INDEX(SP_BSR_Debt_Avg,0,COLUMN()),INDEX(SP_BSR_SE_Avg,0,COLUMN()))</f>
        <v>144132.5</v>
      </c>
      <c r="AW119" s="711">
        <f>SUM(INDEX(SP_BSR_Debt_Avg,0,COLUMN()),INDEX(SP_BSR_SE_Avg,0,COLUMN()))</f>
        <v>142205.5</v>
      </c>
      <c r="AX119" s="154">
        <f t="shared" ca="1" si="165"/>
        <v>142210.583118229</v>
      </c>
      <c r="AY119" s="153">
        <f t="shared" ca="1" si="165"/>
        <v>142221.166236458</v>
      </c>
      <c r="AZ119" s="154">
        <f t="shared" ref="AZ119:BG119" ca="1" si="166">SUM(INDEX(SP_BSR_Debt_Avg,0,COLUMN()),INDEX(SP_BSR_SE_Avg,0,COLUMN()))</f>
        <v>142831.78483785206</v>
      </c>
      <c r="BA119" s="154">
        <f t="shared" ca="1" si="166"/>
        <v>143633.54053838545</v>
      </c>
      <c r="BB119" s="154">
        <f t="shared" ca="1" si="166"/>
        <v>144765.72994706253</v>
      </c>
      <c r="BC119" s="154">
        <f t="shared" ca="1" si="166"/>
        <v>146201.79713204151</v>
      </c>
      <c r="BD119" s="153">
        <f t="shared" ca="1" si="166"/>
        <v>145103.46684287395</v>
      </c>
      <c r="BE119" s="153">
        <f t="shared" ca="1" si="166"/>
        <v>152387.16119952771</v>
      </c>
      <c r="BF119" s="153">
        <f t="shared" ca="1" si="166"/>
        <v>161731.43846848767</v>
      </c>
      <c r="BG119" s="153">
        <f t="shared" ca="1" si="166"/>
        <v>172048.35107346729</v>
      </c>
      <c r="BH119" s="154"/>
    </row>
    <row r="120" spans="1:60" s="381" customFormat="1" collapsed="1" x14ac:dyDescent="0.25">
      <c r="A120" s="257" t="s">
        <v>454</v>
      </c>
      <c r="B120" s="246"/>
      <c r="C120" s="137">
        <f>IF(C119&lt;0,"NMF",IF(ABS(C113/C119)&gt;1,"NMF",C113/C119))</f>
        <v>8.4122790600802202E-2</v>
      </c>
      <c r="D120" s="137">
        <f>IF(D119&lt;0,"NMF",IF(ABS(D113/D119)&gt;1,"NMF",D113/D119))</f>
        <v>9.4970370592012548E-2</v>
      </c>
      <c r="E120" s="137">
        <f>IF(E119&lt;0,"NMF",IF(ABS(E113/E119)&gt;1,"NMF",E113/E119))</f>
        <v>0.10817240369880118</v>
      </c>
      <c r="F120" s="137">
        <f>IF(F119&lt;0,"NMF",IF(ABS(F113/F119)&gt;1,"NMF",F113/F119))</f>
        <v>0.1217654358650625</v>
      </c>
      <c r="G120" s="138"/>
      <c r="H120" s="138"/>
      <c r="I120" s="138"/>
      <c r="J120" s="138">
        <f t="shared" ref="J120:AY120" si="167">IF(J119&lt;0,"NMF",IF(ABS(J113/J119)&gt;1,"NMF",J113/J119))</f>
        <v>0.11534703225135447</v>
      </c>
      <c r="K120" s="137">
        <f t="shared" si="167"/>
        <v>0.11948827245829539</v>
      </c>
      <c r="L120" s="138">
        <f t="shared" si="167"/>
        <v>0.12120087218539113</v>
      </c>
      <c r="M120" s="138">
        <f t="shared" si="167"/>
        <v>0.12643287961919444</v>
      </c>
      <c r="N120" s="138">
        <f t="shared" si="167"/>
        <v>0.13081800361079421</v>
      </c>
      <c r="O120" s="138">
        <f t="shared" si="167"/>
        <v>0.13227273168592235</v>
      </c>
      <c r="P120" s="137">
        <f t="shared" si="167"/>
        <v>0.13374013849425687</v>
      </c>
      <c r="Q120" s="138">
        <f t="shared" si="167"/>
        <v>0.13850396668119325</v>
      </c>
      <c r="R120" s="138">
        <f t="shared" si="167"/>
        <v>0.14162018865131465</v>
      </c>
      <c r="S120" s="138">
        <f t="shared" si="167"/>
        <v>0.14474821343553967</v>
      </c>
      <c r="T120" s="138">
        <f t="shared" si="167"/>
        <v>0.14547086864107142</v>
      </c>
      <c r="U120" s="137">
        <f t="shared" si="167"/>
        <v>0.14680351882316009</v>
      </c>
      <c r="V120" s="138">
        <f t="shared" si="167"/>
        <v>0.15459457000267213</v>
      </c>
      <c r="W120" s="138">
        <f t="shared" si="167"/>
        <v>0.1535352811488421</v>
      </c>
      <c r="X120" s="138">
        <f t="shared" si="167"/>
        <v>0.15355576620926428</v>
      </c>
      <c r="Y120" s="138">
        <f t="shared" si="167"/>
        <v>0.15552135474561499</v>
      </c>
      <c r="Z120" s="137">
        <f t="shared" si="167"/>
        <v>0.15900267993210213</v>
      </c>
      <c r="AA120" s="138">
        <f t="shared" si="167"/>
        <v>0.14923291690174842</v>
      </c>
      <c r="AB120" s="138">
        <f t="shared" si="167"/>
        <v>0.15340825775262987</v>
      </c>
      <c r="AC120" s="138">
        <f t="shared" si="167"/>
        <v>0.15019631334436759</v>
      </c>
      <c r="AD120" s="138">
        <f t="shared" si="167"/>
        <v>0.14785831531815122</v>
      </c>
      <c r="AE120" s="137">
        <f t="shared" si="167"/>
        <v>0.14806907420488238</v>
      </c>
      <c r="AF120" s="138">
        <f t="shared" si="167"/>
        <v>0.1758584175333921</v>
      </c>
      <c r="AG120" s="138">
        <f t="shared" si="167"/>
        <v>0.18235193938540534</v>
      </c>
      <c r="AH120" s="138">
        <f t="shared" si="167"/>
        <v>0.18799232073195063</v>
      </c>
      <c r="AI120" s="138">
        <f t="shared" si="167"/>
        <v>0.19477358573154729</v>
      </c>
      <c r="AJ120" s="137">
        <f t="shared" si="167"/>
        <v>0.19926448096858382</v>
      </c>
      <c r="AK120" s="138">
        <f t="shared" si="167"/>
        <v>0.16811094086076891</v>
      </c>
      <c r="AL120" s="138">
        <f t="shared" si="167"/>
        <v>0.15976168881221647</v>
      </c>
      <c r="AM120" s="138">
        <f t="shared" si="167"/>
        <v>0.12263430807383938</v>
      </c>
      <c r="AN120" s="138">
        <f t="shared" si="167"/>
        <v>9.7764737269316657E-2</v>
      </c>
      <c r="AO120" s="137">
        <f t="shared" si="167"/>
        <v>0.11961863316239997</v>
      </c>
      <c r="AP120" s="138">
        <f t="shared" si="167"/>
        <v>8.3077035948681266E-2</v>
      </c>
      <c r="AQ120" s="138">
        <f t="shared" si="167"/>
        <v>4.7682186104696558E-2</v>
      </c>
      <c r="AR120" s="138">
        <f t="shared" si="167"/>
        <v>2.5914215620471128E-3</v>
      </c>
      <c r="AS120" s="138">
        <f>IF(AS119&lt;0,"NMF",IF(ABS(AS113/AS119)&gt;1,"NMF",AS113/AS119))</f>
        <v>-8.103053744856769E-3</v>
      </c>
      <c r="AT120" s="137">
        <f>IF(AT119&lt;0,"NMF",IF(ABS(AT113/AT119)&gt;1,"NMF",AT113/AT119))</f>
        <v>-2.7694803610827006E-3</v>
      </c>
      <c r="AU120" s="138">
        <f>IF(AU119&lt;0,"NMF",IF(ABS(AU113/AU119)&gt;1,"NMF",AU113/AU119))</f>
        <v>-2.2859103061433274E-2</v>
      </c>
      <c r="AV120" s="138">
        <f>IF(AV119&lt;0,"NMF",IF(ABS(AV113/AV119)&gt;1,"NMF",AV113/AV119))</f>
        <v>-1.7949218933491832E-2</v>
      </c>
      <c r="AW120" s="723">
        <f>IF(AW119&lt;0,"NMF",IF(ABS(AW113/AW119)&gt;1,"NMF",AW113/AW119))</f>
        <v>2.2281786901256567E-2</v>
      </c>
      <c r="AX120" s="138">
        <f t="shared" ca="1" si="167"/>
        <v>3.273807101606805E-2</v>
      </c>
      <c r="AY120" s="137">
        <f t="shared" ca="1" si="167"/>
        <v>3.3030159682259572E-2</v>
      </c>
      <c r="AZ120" s="138">
        <f t="shared" ref="AZ120:BG120" ca="1" si="168">IF(AZ119&lt;0,"NMF",IF(ABS(AZ113/AZ119)&gt;1,"NMF",AZ113/AZ119))</f>
        <v>5.0183711837474609E-2</v>
      </c>
      <c r="BA120" s="138">
        <f t="shared" ca="1" si="168"/>
        <v>5.2655914518025343E-2</v>
      </c>
      <c r="BB120" s="138">
        <f t="shared" ca="1" si="168"/>
        <v>5.7227754258412838E-2</v>
      </c>
      <c r="BC120" s="138">
        <f t="shared" ca="1" si="168"/>
        <v>6.4897288516097135E-2</v>
      </c>
      <c r="BD120" s="137">
        <f t="shared" ca="1" si="168"/>
        <v>6.5388514943783144E-2</v>
      </c>
      <c r="BE120" s="137">
        <f t="shared" ca="1" si="168"/>
        <v>8.2319897341889547E-2</v>
      </c>
      <c r="BF120" s="137">
        <f t="shared" ca="1" si="168"/>
        <v>8.3566764469259591E-2</v>
      </c>
      <c r="BG120" s="137">
        <f t="shared" ca="1" si="168"/>
        <v>8.3344073511791919E-2</v>
      </c>
      <c r="BH120" s="293"/>
    </row>
    <row r="121" spans="1:60" s="377" customFormat="1" hidden="1" outlineLevel="1" x14ac:dyDescent="0.25">
      <c r="A121" s="240" t="s">
        <v>234</v>
      </c>
      <c r="B121" s="241"/>
      <c r="C121" s="153">
        <f t="shared" ref="C121:AH121" si="169">INDEX(MO_RIS_EBIT,0,COLUMN())</f>
        <v>5697</v>
      </c>
      <c r="D121" s="153">
        <f t="shared" si="169"/>
        <v>6726</v>
      </c>
      <c r="E121" s="153">
        <f t="shared" si="169"/>
        <v>7781</v>
      </c>
      <c r="F121" s="153">
        <f t="shared" si="169"/>
        <v>8863</v>
      </c>
      <c r="G121" s="154">
        <f t="shared" si="169"/>
        <v>2092</v>
      </c>
      <c r="H121" s="154">
        <f t="shared" si="169"/>
        <v>2195</v>
      </c>
      <c r="I121" s="154">
        <f t="shared" si="169"/>
        <v>3004</v>
      </c>
      <c r="J121" s="154">
        <f t="shared" si="169"/>
        <v>2159</v>
      </c>
      <c r="K121" s="153">
        <f t="shared" si="169"/>
        <v>9450</v>
      </c>
      <c r="L121" s="154">
        <f t="shared" si="169"/>
        <v>2665</v>
      </c>
      <c r="M121" s="154">
        <f t="shared" si="169"/>
        <v>2981</v>
      </c>
      <c r="N121" s="154">
        <f t="shared" si="169"/>
        <v>3498</v>
      </c>
      <c r="O121" s="154">
        <f t="shared" si="169"/>
        <v>2396</v>
      </c>
      <c r="P121" s="153">
        <f t="shared" si="169"/>
        <v>11540</v>
      </c>
      <c r="Q121" s="154">
        <f t="shared" si="169"/>
        <v>3208</v>
      </c>
      <c r="R121" s="154">
        <f t="shared" si="169"/>
        <v>3106</v>
      </c>
      <c r="S121" s="154">
        <f t="shared" si="169"/>
        <v>3762</v>
      </c>
      <c r="T121" s="154">
        <f t="shared" si="169"/>
        <v>3148</v>
      </c>
      <c r="U121" s="153">
        <f t="shared" si="169"/>
        <v>13224</v>
      </c>
      <c r="V121" s="154">
        <f t="shared" si="169"/>
        <v>3989</v>
      </c>
      <c r="W121" s="154">
        <f t="shared" si="169"/>
        <v>3363</v>
      </c>
      <c r="X121" s="154">
        <f t="shared" si="169"/>
        <v>4145</v>
      </c>
      <c r="Y121" s="154">
        <f t="shared" si="169"/>
        <v>2861</v>
      </c>
      <c r="Z121" s="153">
        <f t="shared" si="169"/>
        <v>14358</v>
      </c>
      <c r="AA121" s="154">
        <f t="shared" si="169"/>
        <v>3706</v>
      </c>
      <c r="AB121" s="154">
        <f t="shared" si="169"/>
        <v>3750</v>
      </c>
      <c r="AC121" s="154">
        <f t="shared" si="169"/>
        <v>3788</v>
      </c>
      <c r="AD121" s="154">
        <f t="shared" si="169"/>
        <v>2629</v>
      </c>
      <c r="AE121" s="153">
        <f t="shared" si="169"/>
        <v>13873</v>
      </c>
      <c r="AF121" s="154">
        <f t="shared" si="169"/>
        <v>3793</v>
      </c>
      <c r="AG121" s="154">
        <f t="shared" si="169"/>
        <v>4037</v>
      </c>
      <c r="AH121" s="154">
        <f t="shared" si="169"/>
        <v>3924</v>
      </c>
      <c r="AI121" s="154">
        <f t="shared" ref="AI121:AY121" si="170">INDEX(MO_RIS_EBIT,0,COLUMN())</f>
        <v>3083</v>
      </c>
      <c r="AJ121" s="153">
        <f t="shared" si="170"/>
        <v>14837</v>
      </c>
      <c r="AK121" s="154">
        <f t="shared" si="170"/>
        <v>3418</v>
      </c>
      <c r="AL121" s="154">
        <f t="shared" si="170"/>
        <v>3391</v>
      </c>
      <c r="AM121" s="154">
        <f t="shared" si="170"/>
        <v>2760</v>
      </c>
      <c r="AN121" s="154">
        <f t="shared" si="170"/>
        <v>2285</v>
      </c>
      <c r="AO121" s="153">
        <f t="shared" si="170"/>
        <v>11851</v>
      </c>
      <c r="AP121" s="154">
        <f t="shared" si="170"/>
        <v>2841</v>
      </c>
      <c r="AQ121" s="154">
        <f t="shared" si="170"/>
        <v>1370</v>
      </c>
      <c r="AR121" s="154">
        <f t="shared" si="170"/>
        <v>51</v>
      </c>
      <c r="AS121" s="154">
        <f>INDEX(MO_RIS_EBIT,0,COLUMN())</f>
        <v>-453</v>
      </c>
      <c r="AT121" s="153">
        <f>INDEX(MO_RIS_EBIT,0,COLUMN())</f>
        <v>3794</v>
      </c>
      <c r="AU121" s="154">
        <f>INDEX(MO_RIS_EBIT,0,COLUMN())</f>
        <v>259</v>
      </c>
      <c r="AV121" s="154">
        <f>INDEX(MO_RIS_EBIT,0,COLUMN())</f>
        <v>1446</v>
      </c>
      <c r="AW121" s="711">
        <f>INDEX(MO_RIS_EBIT,0,COLUMN())</f>
        <v>1355</v>
      </c>
      <c r="AX121" s="154">
        <f t="shared" si="170"/>
        <v>1822.0012603250002</v>
      </c>
      <c r="AY121" s="153">
        <f t="shared" si="170"/>
        <v>4882.0012603249979</v>
      </c>
      <c r="AZ121" s="154">
        <f t="shared" ref="AZ121:BG121" si="171">INDEX(MO_RIS_EBIT,0,COLUMN())</f>
        <v>3424.3029999999999</v>
      </c>
      <c r="BA121" s="154">
        <f t="shared" si="171"/>
        <v>2199.3620000000001</v>
      </c>
      <c r="BB121" s="154">
        <f t="shared" si="171"/>
        <v>2914.5774000000001</v>
      </c>
      <c r="BC121" s="154">
        <f t="shared" si="171"/>
        <v>3239.9656650000015</v>
      </c>
      <c r="BD121" s="153">
        <f t="shared" si="171"/>
        <v>11778.208065000006</v>
      </c>
      <c r="BE121" s="153">
        <f t="shared" si="171"/>
        <v>15747.552553463756</v>
      </c>
      <c r="BF121" s="153">
        <f t="shared" si="171"/>
        <v>17008.432501000858</v>
      </c>
      <c r="BG121" s="153">
        <f t="shared" si="171"/>
        <v>18078.351194090443</v>
      </c>
      <c r="BH121" s="154"/>
    </row>
    <row r="122" spans="1:60" s="377" customFormat="1" hidden="1" outlineLevel="1" x14ac:dyDescent="0.25">
      <c r="A122" s="240" t="s">
        <v>455</v>
      </c>
      <c r="B122" s="241"/>
      <c r="C122" s="153">
        <f>C121</f>
        <v>5697</v>
      </c>
      <c r="D122" s="153">
        <f>D121</f>
        <v>6726</v>
      </c>
      <c r="E122" s="153">
        <f>E121</f>
        <v>7781</v>
      </c>
      <c r="F122" s="153">
        <f>F121</f>
        <v>8863</v>
      </c>
      <c r="G122" s="154"/>
      <c r="H122" s="154"/>
      <c r="I122" s="154"/>
      <c r="J122" s="154">
        <f>SUM(J121,I121,H121,G121)</f>
        <v>9450</v>
      </c>
      <c r="K122" s="153">
        <f>K121</f>
        <v>9450</v>
      </c>
      <c r="L122" s="154">
        <f>SUM(L121,J121,I121,H121)</f>
        <v>10023</v>
      </c>
      <c r="M122" s="154">
        <f>SUM(M121,L121,J121,I121)</f>
        <v>10809</v>
      </c>
      <c r="N122" s="154">
        <f>SUM(N121,M121,L121,J121)</f>
        <v>11303</v>
      </c>
      <c r="O122" s="154">
        <f>SUM(O121,N121,M121,L121)</f>
        <v>11540</v>
      </c>
      <c r="P122" s="153">
        <f>P121</f>
        <v>11540</v>
      </c>
      <c r="Q122" s="154">
        <f>SUM(Q121,O121,N121,M121)</f>
        <v>12083</v>
      </c>
      <c r="R122" s="154">
        <f>SUM(R121,Q121,O121,N121)</f>
        <v>12208</v>
      </c>
      <c r="S122" s="154">
        <f>SUM(S121,R121,Q121,O121)</f>
        <v>12472</v>
      </c>
      <c r="T122" s="154">
        <f>SUM(T121,S121,R121,Q121)</f>
        <v>13224</v>
      </c>
      <c r="U122" s="153">
        <f>U121</f>
        <v>13224</v>
      </c>
      <c r="V122" s="154">
        <f>SUM(V121,T121,S121,R121)</f>
        <v>14005</v>
      </c>
      <c r="W122" s="154">
        <f>SUM(W121,V121,T121,S121)</f>
        <v>14262</v>
      </c>
      <c r="X122" s="154">
        <f>SUM(X121,W121,V121,T121)</f>
        <v>14645</v>
      </c>
      <c r="Y122" s="154">
        <f>SUM(Y121,X121,W121,V121)</f>
        <v>14358</v>
      </c>
      <c r="Z122" s="153">
        <f>Z121</f>
        <v>14358</v>
      </c>
      <c r="AA122" s="154">
        <f>SUM(AA121,Y121,X121,W121)</f>
        <v>14075</v>
      </c>
      <c r="AB122" s="154">
        <f>SUM(AB121,AA121,Y121,X121)</f>
        <v>14462</v>
      </c>
      <c r="AC122" s="154">
        <f>SUM(AC121,AB121,AA121,Y121)</f>
        <v>14105</v>
      </c>
      <c r="AD122" s="154">
        <f>SUM(AD121,AC121,AB121,AA121)</f>
        <v>13873</v>
      </c>
      <c r="AE122" s="153">
        <f>AE121</f>
        <v>13873</v>
      </c>
      <c r="AF122" s="154">
        <f>SUM(AF121,AD121,AC121,AB121)</f>
        <v>13960</v>
      </c>
      <c r="AG122" s="154">
        <f>SUM(AG121,AF121,AD121,AC121)</f>
        <v>14247</v>
      </c>
      <c r="AH122" s="154">
        <f>SUM(AH121,AG121,AF121,AD121)</f>
        <v>14383</v>
      </c>
      <c r="AI122" s="154">
        <f>SUM(AI121,AH121,AG121,AF121)</f>
        <v>14837</v>
      </c>
      <c r="AJ122" s="153">
        <f>AJ121</f>
        <v>14837</v>
      </c>
      <c r="AK122" s="154">
        <f>SUM(AK121,AI121,AH121,AG121)</f>
        <v>14462</v>
      </c>
      <c r="AL122" s="154">
        <f>SUM(AL121,AK121,AI121,AH121)</f>
        <v>13816</v>
      </c>
      <c r="AM122" s="154">
        <f>SUM(AM121,AL121,AK121,AI121)</f>
        <v>12652</v>
      </c>
      <c r="AN122" s="154">
        <f>SUM(AN121,AM121,AL121,AK121)</f>
        <v>11854</v>
      </c>
      <c r="AO122" s="153">
        <f>AO121</f>
        <v>11851</v>
      </c>
      <c r="AP122" s="154">
        <f>SUM(AP121,AN121,AM121,AL121)</f>
        <v>11277</v>
      </c>
      <c r="AQ122" s="154">
        <f>SUM(AQ121,AP121,AN121,AM121)</f>
        <v>9256</v>
      </c>
      <c r="AR122" s="154">
        <f>SUM(AR121,AQ121,AP121,AN121)</f>
        <v>6547</v>
      </c>
      <c r="AS122" s="154">
        <f>SUM(AS121,AR121,AQ121,AP121)</f>
        <v>3809</v>
      </c>
      <c r="AT122" s="153">
        <f>AT121</f>
        <v>3794</v>
      </c>
      <c r="AU122" s="154">
        <f>SUM(AU121,AS121,AR121,AQ121)</f>
        <v>1227</v>
      </c>
      <c r="AV122" s="154">
        <f>SUM(AV121,AU121,AS121,AR121)</f>
        <v>1303</v>
      </c>
      <c r="AW122" s="711">
        <f>SUM(AW121,AV121,AU121,AS121)</f>
        <v>2607</v>
      </c>
      <c r="AX122" s="154">
        <f>SUM(AX121,AW121,AV121,AU121)</f>
        <v>4882.0012603249997</v>
      </c>
      <c r="AY122" s="153">
        <f>AY121</f>
        <v>4882.0012603249979</v>
      </c>
      <c r="AZ122" s="154">
        <f>SUM(AZ121,AX121,AW121,AV121)</f>
        <v>8047.3042603249996</v>
      </c>
      <c r="BA122" s="154">
        <f>SUM(BA121,AZ121,AX121,AW121)</f>
        <v>8800.6662603250006</v>
      </c>
      <c r="BB122" s="154">
        <f>SUM(BB121,BA121,AZ121,AX121)</f>
        <v>10360.243660324999</v>
      </c>
      <c r="BC122" s="154">
        <f>SUM(BC121,BB121,BA121,AZ121)</f>
        <v>11778.208065000003</v>
      </c>
      <c r="BD122" s="153">
        <f>BD121</f>
        <v>11778.208065000006</v>
      </c>
      <c r="BE122" s="153">
        <f>BE121</f>
        <v>15747.552553463756</v>
      </c>
      <c r="BF122" s="153">
        <f>BF121</f>
        <v>17008.432501000858</v>
      </c>
      <c r="BG122" s="153">
        <f>BG121</f>
        <v>18078.351194090443</v>
      </c>
      <c r="BH122" s="154"/>
    </row>
    <row r="123" spans="1:60" s="377" customFormat="1" hidden="1" outlineLevel="1" x14ac:dyDescent="0.25">
      <c r="A123" s="240" t="s">
        <v>346</v>
      </c>
      <c r="B123" s="241"/>
      <c r="C123" s="153">
        <f t="shared" ref="C123:AH123" si="172">INDEX(MO_BS_CL,0,COLUMN())</f>
        <v>8934</v>
      </c>
      <c r="D123" s="153">
        <f t="shared" si="172"/>
        <v>11000</v>
      </c>
      <c r="E123" s="153">
        <f t="shared" si="172"/>
        <v>12088</v>
      </c>
      <c r="F123" s="153">
        <f t="shared" si="172"/>
        <v>12813</v>
      </c>
      <c r="G123" s="154">
        <f t="shared" si="172"/>
        <v>14498</v>
      </c>
      <c r="H123" s="154">
        <f t="shared" si="172"/>
        <v>13453</v>
      </c>
      <c r="I123" s="154">
        <f t="shared" si="172"/>
        <v>11341</v>
      </c>
      <c r="J123" s="154">
        <f t="shared" si="172"/>
        <v>11704</v>
      </c>
      <c r="K123" s="153">
        <f t="shared" si="172"/>
        <v>11704</v>
      </c>
      <c r="L123" s="154">
        <f t="shared" si="172"/>
        <v>15696</v>
      </c>
      <c r="M123" s="154">
        <f t="shared" si="172"/>
        <v>15162</v>
      </c>
      <c r="N123" s="154">
        <f t="shared" si="172"/>
        <v>13351</v>
      </c>
      <c r="O123" s="154">
        <f t="shared" si="172"/>
        <v>13292</v>
      </c>
      <c r="P123" s="153">
        <f t="shared" si="172"/>
        <v>13292</v>
      </c>
      <c r="Q123" s="154">
        <f t="shared" si="172"/>
        <v>16804</v>
      </c>
      <c r="R123" s="154">
        <f t="shared" si="172"/>
        <v>13410</v>
      </c>
      <c r="S123" s="154">
        <f t="shared" si="172"/>
        <v>14826</v>
      </c>
      <c r="T123" s="154">
        <f t="shared" si="172"/>
        <v>16334</v>
      </c>
      <c r="U123" s="153">
        <f t="shared" si="172"/>
        <v>16334</v>
      </c>
      <c r="V123" s="154">
        <f t="shared" si="172"/>
        <v>18796</v>
      </c>
      <c r="W123" s="154">
        <f t="shared" si="172"/>
        <v>17073</v>
      </c>
      <c r="X123" s="154">
        <f t="shared" si="172"/>
        <v>18072</v>
      </c>
      <c r="Y123" s="154">
        <f t="shared" si="172"/>
        <v>16842</v>
      </c>
      <c r="Z123" s="153">
        <f t="shared" si="172"/>
        <v>16842</v>
      </c>
      <c r="AA123" s="154">
        <f t="shared" si="172"/>
        <v>19317</v>
      </c>
      <c r="AB123" s="154">
        <f t="shared" si="172"/>
        <v>17365</v>
      </c>
      <c r="AC123" s="154">
        <f t="shared" si="172"/>
        <v>17094</v>
      </c>
      <c r="AD123" s="154">
        <f t="shared" si="172"/>
        <v>19595</v>
      </c>
      <c r="AE123" s="153">
        <f t="shared" si="172"/>
        <v>19595</v>
      </c>
      <c r="AF123" s="154">
        <f t="shared" si="172"/>
        <v>19875</v>
      </c>
      <c r="AG123" s="154">
        <f t="shared" si="172"/>
        <v>19728</v>
      </c>
      <c r="AH123" s="154">
        <f t="shared" si="172"/>
        <v>20214</v>
      </c>
      <c r="AI123" s="154">
        <f t="shared" ref="AI123:AY123" si="173">INDEX(MO_BS_CL,0,COLUMN())</f>
        <v>17860</v>
      </c>
      <c r="AJ123" s="153">
        <f t="shared" si="173"/>
        <v>17860</v>
      </c>
      <c r="AK123" s="154">
        <f t="shared" si="173"/>
        <v>17619</v>
      </c>
      <c r="AL123" s="154">
        <f t="shared" si="173"/>
        <v>44376</v>
      </c>
      <c r="AM123" s="154">
        <f t="shared" si="173"/>
        <v>44593</v>
      </c>
      <c r="AN123" s="154">
        <f t="shared" si="173"/>
        <v>31341</v>
      </c>
      <c r="AO123" s="153">
        <f t="shared" si="173"/>
        <v>31341</v>
      </c>
      <c r="AP123" s="154">
        <f t="shared" si="173"/>
        <v>34797</v>
      </c>
      <c r="AQ123" s="154">
        <f t="shared" si="173"/>
        <v>35473</v>
      </c>
      <c r="AR123" s="154">
        <f t="shared" si="173"/>
        <v>30917</v>
      </c>
      <c r="AS123" s="154">
        <f>INDEX(MO_BS_CL,0,COLUMN())</f>
        <v>26628</v>
      </c>
      <c r="AT123" s="153">
        <f>INDEX(MO_BS_CL,0,COLUMN())</f>
        <v>26628</v>
      </c>
      <c r="AU123" s="154">
        <f>INDEX(MO_BS_CL,0,COLUMN())</f>
        <v>26546</v>
      </c>
      <c r="AV123" s="154">
        <f>INDEX(MO_BS_CL,0,COLUMN())</f>
        <v>26642</v>
      </c>
      <c r="AW123" s="711">
        <f>INDEX(MO_BS_CL,0,COLUMN())</f>
        <v>27413</v>
      </c>
      <c r="AX123" s="154">
        <f t="shared" si="173"/>
        <v>39394.640899718797</v>
      </c>
      <c r="AY123" s="153">
        <f t="shared" si="173"/>
        <v>39394.640899718797</v>
      </c>
      <c r="AZ123" s="154">
        <f t="shared" ref="AZ123:BG123" si="174">INDEX(MO_BS_CL,0,COLUMN())</f>
        <v>29452.121148072179</v>
      </c>
      <c r="BA123" s="154">
        <f t="shared" si="174"/>
        <v>31973.216509092232</v>
      </c>
      <c r="BB123" s="154">
        <f t="shared" si="174"/>
        <v>33324.901056508679</v>
      </c>
      <c r="BC123" s="154">
        <f t="shared" si="174"/>
        <v>31889.840847399406</v>
      </c>
      <c r="BD123" s="153">
        <f t="shared" si="174"/>
        <v>31889.840847399406</v>
      </c>
      <c r="BE123" s="153">
        <f t="shared" si="174"/>
        <v>34177.189806758099</v>
      </c>
      <c r="BF123" s="153">
        <f t="shared" si="174"/>
        <v>35984.136760210247</v>
      </c>
      <c r="BG123" s="153">
        <f t="shared" si="174"/>
        <v>38350.648897100371</v>
      </c>
      <c r="BH123" s="154"/>
    </row>
    <row r="124" spans="1:60" s="377" customFormat="1" hidden="1" outlineLevel="1" x14ac:dyDescent="0.25">
      <c r="A124" s="240" t="s">
        <v>456</v>
      </c>
      <c r="B124" s="241"/>
      <c r="C124" s="153">
        <f>C123</f>
        <v>8934</v>
      </c>
      <c r="D124" s="153">
        <f>AVERAGE(D123,C123)</f>
        <v>9967</v>
      </c>
      <c r="E124" s="153">
        <f>AVERAGE(E123,D123)</f>
        <v>11544</v>
      </c>
      <c r="F124" s="153">
        <f>AVERAGE(F123,E123)</f>
        <v>12450.5</v>
      </c>
      <c r="G124" s="154"/>
      <c r="H124" s="154"/>
      <c r="I124" s="154"/>
      <c r="J124" s="154">
        <f>AVERAGE(J123,I123,H123,G123)</f>
        <v>12749</v>
      </c>
      <c r="K124" s="153">
        <f>AVERAGE(K123,F123)</f>
        <v>12258.5</v>
      </c>
      <c r="L124" s="154">
        <f>AVERAGE(L123,J123,I123,H123)</f>
        <v>13048.5</v>
      </c>
      <c r="M124" s="154">
        <f>AVERAGE(M123,L123,J123,I123)</f>
        <v>13475.75</v>
      </c>
      <c r="N124" s="154">
        <f>AVERAGE(N123,M123,L123,J123)</f>
        <v>13978.25</v>
      </c>
      <c r="O124" s="154">
        <f>AVERAGE(O123,N123,M123,L123)</f>
        <v>14375.25</v>
      </c>
      <c r="P124" s="153">
        <f>AVERAGE(P123,K123)</f>
        <v>12498</v>
      </c>
      <c r="Q124" s="154">
        <f>AVERAGE(Q123,O123,N123,M123)</f>
        <v>14652.25</v>
      </c>
      <c r="R124" s="154">
        <f>AVERAGE(R123,Q123,O123,N123)</f>
        <v>14214.25</v>
      </c>
      <c r="S124" s="154">
        <f>AVERAGE(S123,R123,Q123,O123)</f>
        <v>14583</v>
      </c>
      <c r="T124" s="154">
        <f>AVERAGE(T123,S123,R123,Q123)</f>
        <v>15343.5</v>
      </c>
      <c r="U124" s="153">
        <f>AVERAGE(U123,P123)</f>
        <v>14813</v>
      </c>
      <c r="V124" s="154">
        <f>AVERAGE(V123,T123,S123,R123)</f>
        <v>15841.5</v>
      </c>
      <c r="W124" s="154">
        <f>AVERAGE(W123,V123,T123,S123)</f>
        <v>16757.25</v>
      </c>
      <c r="X124" s="154">
        <f>AVERAGE(X123,W123,V123,T123)</f>
        <v>17568.75</v>
      </c>
      <c r="Y124" s="154">
        <f>AVERAGE(Y123,X123,W123,V123)</f>
        <v>17695.75</v>
      </c>
      <c r="Z124" s="153">
        <f>AVERAGE(Z123,U123)</f>
        <v>16588</v>
      </c>
      <c r="AA124" s="154">
        <f>AVERAGE(AA123,Y123,X123,W123)</f>
        <v>17826</v>
      </c>
      <c r="AB124" s="154">
        <f>AVERAGE(AB123,AA123,Y123,X123)</f>
        <v>17899</v>
      </c>
      <c r="AC124" s="154">
        <f>AVERAGE(AC123,AB123,AA123,Y123)</f>
        <v>17654.5</v>
      </c>
      <c r="AD124" s="154">
        <f>AVERAGE(AD123,AC123,AB123,AA123)</f>
        <v>18342.75</v>
      </c>
      <c r="AE124" s="153">
        <f>AVERAGE(AE123,Z123)</f>
        <v>18218.5</v>
      </c>
      <c r="AF124" s="154">
        <f>AVERAGE(AF123,AD123,AC123,AB123)</f>
        <v>18482.25</v>
      </c>
      <c r="AG124" s="154">
        <f>AVERAGE(AG123,AF123,AD123,AC123)</f>
        <v>19073</v>
      </c>
      <c r="AH124" s="154">
        <f>AVERAGE(AH123,AG123,AF123,AD123)</f>
        <v>19853</v>
      </c>
      <c r="AI124" s="154">
        <f>AVERAGE(AI123,AH123,AG123,AF123)</f>
        <v>19419.25</v>
      </c>
      <c r="AJ124" s="153">
        <f>AVERAGE(AJ123,AE123)</f>
        <v>18727.5</v>
      </c>
      <c r="AK124" s="154">
        <f>AVERAGE(AK123,AI123,AH123,AG123)</f>
        <v>18855.25</v>
      </c>
      <c r="AL124" s="154">
        <f>AVERAGE(AL123,AK123,AI123,AH123)</f>
        <v>25017.25</v>
      </c>
      <c r="AM124" s="154">
        <f>AVERAGE(AM123,AL123,AK123,AI123)</f>
        <v>31112</v>
      </c>
      <c r="AN124" s="154">
        <f>AVERAGE(AN123,AM123,AL123,AK123)</f>
        <v>34482.25</v>
      </c>
      <c r="AO124" s="153">
        <f>AVERAGE(AO123,AJ123)</f>
        <v>24600.5</v>
      </c>
      <c r="AP124" s="154">
        <f>AVERAGE(AP123,AN123,AM123,AL123)</f>
        <v>38776.75</v>
      </c>
      <c r="AQ124" s="154">
        <f>AVERAGE(AQ123,AP123,AN123,AM123)</f>
        <v>36551</v>
      </c>
      <c r="AR124" s="154">
        <f>AVERAGE(AR123,AQ123,AP123,AN123)</f>
        <v>33132</v>
      </c>
      <c r="AS124" s="154">
        <f>AVERAGE(AS123,AR123,AQ123,AP123)</f>
        <v>31953.75</v>
      </c>
      <c r="AT124" s="153">
        <f>AVERAGE(AT123,AO123)</f>
        <v>28984.5</v>
      </c>
      <c r="AU124" s="154">
        <f>AVERAGE(AU123,AS123,AR123,AQ123)</f>
        <v>29891</v>
      </c>
      <c r="AV124" s="154">
        <f>AVERAGE(AV123,AU123,AS123,AR123)</f>
        <v>27683.25</v>
      </c>
      <c r="AW124" s="711">
        <f>AVERAGE(AW123,AV123,AU123,AS123)</f>
        <v>26807.25</v>
      </c>
      <c r="AX124" s="154">
        <f>AVERAGE(AX123,AW123,AV123,AU123)</f>
        <v>29998.910224929699</v>
      </c>
      <c r="AY124" s="153">
        <f>AVERAGE(AY123,AT123)</f>
        <v>33011.320449859399</v>
      </c>
      <c r="AZ124" s="154">
        <f>AVERAGE(AZ123,AX123,AW123,AV123)</f>
        <v>30725.440511947745</v>
      </c>
      <c r="BA124" s="154">
        <f>AVERAGE(BA123,AZ123,AX123,AW123)</f>
        <v>32058.2446392208</v>
      </c>
      <c r="BB124" s="154">
        <f>AVERAGE(BB123,BA123,AZ123,AX123)</f>
        <v>33536.21990334797</v>
      </c>
      <c r="BC124" s="154">
        <f>AVERAGE(BC123,BB123,BA123,AZ123)</f>
        <v>31660.019890268126</v>
      </c>
      <c r="BD124" s="153">
        <f>AVERAGE(BD123,AY123)</f>
        <v>35642.240873559102</v>
      </c>
      <c r="BE124" s="153">
        <f>AVERAGE(BE123,BD123)</f>
        <v>33033.515327078756</v>
      </c>
      <c r="BF124" s="153">
        <f>AVERAGE(BF123,BE123)</f>
        <v>35080.663283484173</v>
      </c>
      <c r="BG124" s="153">
        <f>AVERAGE(BG123,BF123)</f>
        <v>37167.392828655313</v>
      </c>
      <c r="BH124" s="154"/>
    </row>
    <row r="125" spans="1:60" s="377" customFormat="1" hidden="1" outlineLevel="1" x14ac:dyDescent="0.25">
      <c r="A125" s="240" t="s">
        <v>457</v>
      </c>
      <c r="B125" s="241"/>
      <c r="C125" s="153">
        <f t="shared" ref="C125:AH125" si="175">INDEX(SP_BSR_TA_Avg,0,COLUMN())-INDEX(SP_BSR_CL_Avg,0,COLUMN())</f>
        <v>54183</v>
      </c>
      <c r="D125" s="153">
        <f t="shared" si="175"/>
        <v>56194.5</v>
      </c>
      <c r="E125" s="153">
        <f t="shared" si="175"/>
        <v>59121</v>
      </c>
      <c r="F125" s="153">
        <f t="shared" si="175"/>
        <v>61060.5</v>
      </c>
      <c r="G125" s="154">
        <f t="shared" si="175"/>
        <v>0</v>
      </c>
      <c r="H125" s="154">
        <f t="shared" si="175"/>
        <v>0</v>
      </c>
      <c r="I125" s="154">
        <f t="shared" si="175"/>
        <v>0</v>
      </c>
      <c r="J125" s="154">
        <f t="shared" si="175"/>
        <v>68202.5</v>
      </c>
      <c r="K125" s="153">
        <f t="shared" si="175"/>
        <v>65811</v>
      </c>
      <c r="L125" s="154">
        <f t="shared" si="175"/>
        <v>68534</v>
      </c>
      <c r="M125" s="154">
        <f t="shared" si="175"/>
        <v>68412.25</v>
      </c>
      <c r="N125" s="154">
        <f t="shared" si="175"/>
        <v>68699.25</v>
      </c>
      <c r="O125" s="154">
        <f t="shared" si="175"/>
        <v>69027.25</v>
      </c>
      <c r="P125" s="153">
        <f t="shared" si="175"/>
        <v>70193</v>
      </c>
      <c r="Q125" s="154">
        <f t="shared" si="175"/>
        <v>69717.5</v>
      </c>
      <c r="R125" s="154">
        <f t="shared" si="175"/>
        <v>70939.25</v>
      </c>
      <c r="S125" s="154">
        <f t="shared" si="175"/>
        <v>71481.5</v>
      </c>
      <c r="T125" s="154">
        <f t="shared" si="175"/>
        <v>71731.25</v>
      </c>
      <c r="U125" s="153">
        <f t="shared" si="175"/>
        <v>71348.5</v>
      </c>
      <c r="V125" s="154">
        <f t="shared" si="175"/>
        <v>72004.75</v>
      </c>
      <c r="W125" s="154">
        <f t="shared" si="175"/>
        <v>72226.25</v>
      </c>
      <c r="X125" s="154">
        <f t="shared" si="175"/>
        <v>72301.5</v>
      </c>
      <c r="Y125" s="154">
        <f t="shared" si="175"/>
        <v>73137.25</v>
      </c>
      <c r="Z125" s="153">
        <f t="shared" si="175"/>
        <v>73519.5</v>
      </c>
      <c r="AA125" s="154">
        <f t="shared" si="175"/>
        <v>73370.75</v>
      </c>
      <c r="AB125" s="154">
        <f t="shared" si="175"/>
        <v>73683.5</v>
      </c>
      <c r="AC125" s="154">
        <f t="shared" si="175"/>
        <v>74387.5</v>
      </c>
      <c r="AD125" s="154">
        <f t="shared" si="175"/>
        <v>74638.25</v>
      </c>
      <c r="AE125" s="153">
        <f t="shared" si="175"/>
        <v>75692.5</v>
      </c>
      <c r="AF125" s="154">
        <f t="shared" si="175"/>
        <v>76038.25</v>
      </c>
      <c r="AG125" s="154">
        <f t="shared" si="175"/>
        <v>76981.5</v>
      </c>
      <c r="AH125" s="154">
        <f t="shared" si="175"/>
        <v>77711.5</v>
      </c>
      <c r="AI125" s="154">
        <f t="shared" ref="AI125:AY125" si="176">INDEX(SP_BSR_TA_Avg,0,COLUMN())-INDEX(SP_BSR_CL_Avg,0,COLUMN())</f>
        <v>78847.5</v>
      </c>
      <c r="AJ125" s="153">
        <f t="shared" si="176"/>
        <v>78466</v>
      </c>
      <c r="AK125" s="154">
        <f t="shared" si="176"/>
        <v>79963.25</v>
      </c>
      <c r="AL125" s="154">
        <f t="shared" si="176"/>
        <v>102901</v>
      </c>
      <c r="AM125" s="154">
        <f t="shared" si="176"/>
        <v>124477</v>
      </c>
      <c r="AN125" s="154">
        <f t="shared" si="176"/>
        <v>144953.25</v>
      </c>
      <c r="AO125" s="153">
        <f t="shared" si="176"/>
        <v>121690.5</v>
      </c>
      <c r="AP125" s="154">
        <f t="shared" si="176"/>
        <v>165910.5</v>
      </c>
      <c r="AQ125" s="154">
        <f t="shared" si="176"/>
        <v>166124.25</v>
      </c>
      <c r="AR125" s="154">
        <f t="shared" si="176"/>
        <v>169086.75</v>
      </c>
      <c r="AS125" s="154">
        <f>INDEX(SP_BSR_TA_Avg,0,COLUMN())-INDEX(SP_BSR_CL_Avg,0,COLUMN())</f>
        <v>172156.25</v>
      </c>
      <c r="AT125" s="153">
        <f>INDEX(SP_BSR_TA_Avg,0,COLUMN())-INDEX(SP_BSR_CL_Avg,0,COLUMN())</f>
        <v>168782</v>
      </c>
      <c r="AU125" s="154">
        <f>INDEX(SP_BSR_TA_Avg,0,COLUMN())-INDEX(SP_BSR_CL_Avg,0,COLUMN())</f>
        <v>174454</v>
      </c>
      <c r="AV125" s="154">
        <f>INDEX(SP_BSR_TA_Avg,0,COLUMN())-INDEX(SP_BSR_CL_Avg,0,COLUMN())</f>
        <v>175150.75</v>
      </c>
      <c r="AW125" s="711">
        <f>INDEX(SP_BSR_TA_Avg,0,COLUMN())-INDEX(SP_BSR_CL_Avg,0,COLUMN())</f>
        <v>174669.75</v>
      </c>
      <c r="AX125" s="154">
        <f t="shared" ca="1" si="176"/>
        <v>174561.74008233886</v>
      </c>
      <c r="AY125" s="153">
        <f t="shared" ca="1" si="176"/>
        <v>174704.98016467769</v>
      </c>
      <c r="AZ125" s="154">
        <f t="shared" ref="AZ125:BG125" ca="1" si="177">INDEX(SP_BSR_TA_Avg,0,COLUMN())-INDEX(SP_BSR_CL_Avg,0,COLUMN())</f>
        <v>175014.25444403006</v>
      </c>
      <c r="BA125" s="154">
        <f t="shared" ca="1" si="177"/>
        <v>175925.64133159028</v>
      </c>
      <c r="BB125" s="154">
        <f t="shared" ca="1" si="177"/>
        <v>177104.1192963369</v>
      </c>
      <c r="BC125" s="154">
        <f t="shared" ca="1" si="177"/>
        <v>178594.36796663998</v>
      </c>
      <c r="BD125" s="153">
        <f t="shared" ca="1" si="177"/>
        <v>177469.45766996162</v>
      </c>
      <c r="BE125" s="153">
        <f t="shared" ca="1" si="177"/>
        <v>185009.86304886607</v>
      </c>
      <c r="BF125" s="153">
        <f t="shared" ca="1" si="177"/>
        <v>194664.37297416266</v>
      </c>
      <c r="BG125" s="153">
        <f t="shared" ca="1" si="177"/>
        <v>205316.78149095993</v>
      </c>
      <c r="BH125" s="154"/>
    </row>
    <row r="126" spans="1:60" s="381" customFormat="1" collapsed="1" x14ac:dyDescent="0.25">
      <c r="A126" s="257" t="s">
        <v>458</v>
      </c>
      <c r="B126" s="246"/>
      <c r="C126" s="137">
        <f>IF(C125&lt;0,"NMF",IF(ABS(C122/C125)&gt;1,"NMF",C122/C125))</f>
        <v>0.10514367975195171</v>
      </c>
      <c r="D126" s="137">
        <f>IF(D125&lt;0,"NMF",IF(ABS(D122/D125)&gt;1,"NMF",D122/D125))</f>
        <v>0.11969142887649147</v>
      </c>
      <c r="E126" s="137">
        <f>IF(E125&lt;0,"NMF",IF(ABS(E122/E125)&gt;1,"NMF",E122/E125))</f>
        <v>0.1316114409431505</v>
      </c>
      <c r="F126" s="137">
        <f>IF(F125&lt;0,"NMF",IF(ABS(F122/F125)&gt;1,"NMF",F122/F125))</f>
        <v>0.14515112060988691</v>
      </c>
      <c r="G126" s="138"/>
      <c r="H126" s="138"/>
      <c r="I126" s="138"/>
      <c r="J126" s="138">
        <f t="shared" ref="J126:AY126" si="178">IF(J125&lt;0,"NMF",IF(ABS(J122/J125)&gt;1,"NMF",J122/J125))</f>
        <v>0.13855797074887286</v>
      </c>
      <c r="K126" s="137">
        <f t="shared" si="178"/>
        <v>0.14359301636504535</v>
      </c>
      <c r="L126" s="138">
        <f t="shared" si="178"/>
        <v>0.14624857734846938</v>
      </c>
      <c r="M126" s="138">
        <f t="shared" si="178"/>
        <v>0.15799801936056773</v>
      </c>
      <c r="N126" s="138">
        <f t="shared" si="178"/>
        <v>0.16452872484051864</v>
      </c>
      <c r="O126" s="138">
        <f t="shared" si="178"/>
        <v>0.16718035268680123</v>
      </c>
      <c r="P126" s="137">
        <f t="shared" si="178"/>
        <v>0.16440385793455187</v>
      </c>
      <c r="Q126" s="138">
        <f t="shared" si="178"/>
        <v>0.17331373041201995</v>
      </c>
      <c r="R126" s="138">
        <f t="shared" si="178"/>
        <v>0.17209090877053254</v>
      </c>
      <c r="S126" s="138">
        <f t="shared" si="178"/>
        <v>0.17447871127494527</v>
      </c>
      <c r="T126" s="138">
        <f t="shared" si="178"/>
        <v>0.18435479654962098</v>
      </c>
      <c r="U126" s="137">
        <f t="shared" si="178"/>
        <v>0.18534377036658095</v>
      </c>
      <c r="V126" s="138">
        <f t="shared" si="178"/>
        <v>0.19450105722191938</v>
      </c>
      <c r="W126" s="138">
        <f t="shared" si="178"/>
        <v>0.19746283380349941</v>
      </c>
      <c r="X126" s="138">
        <f t="shared" si="178"/>
        <v>0.20255458047205108</v>
      </c>
      <c r="Y126" s="138">
        <f t="shared" si="178"/>
        <v>0.19631583085226748</v>
      </c>
      <c r="Z126" s="137">
        <f t="shared" si="178"/>
        <v>0.19529512578295555</v>
      </c>
      <c r="AA126" s="138">
        <f t="shared" si="178"/>
        <v>0.19183393927416578</v>
      </c>
      <c r="AB126" s="138">
        <f t="shared" si="178"/>
        <v>0.19627189262182171</v>
      </c>
      <c r="AC126" s="138">
        <f t="shared" si="178"/>
        <v>0.18961519072424801</v>
      </c>
      <c r="AD126" s="138">
        <f t="shared" si="178"/>
        <v>0.18586984555506059</v>
      </c>
      <c r="AE126" s="137">
        <f t="shared" si="178"/>
        <v>0.18328103841199592</v>
      </c>
      <c r="AF126" s="138">
        <f t="shared" si="178"/>
        <v>0.1835918107005356</v>
      </c>
      <c r="AG126" s="138">
        <f t="shared" si="178"/>
        <v>0.1850704390015783</v>
      </c>
      <c r="AH126" s="138">
        <f t="shared" si="178"/>
        <v>0.18508200202029301</v>
      </c>
      <c r="AI126" s="138">
        <f t="shared" si="178"/>
        <v>0.18817337264973524</v>
      </c>
      <c r="AJ126" s="137">
        <f t="shared" si="178"/>
        <v>0.18908826752988556</v>
      </c>
      <c r="AK126" s="138">
        <f t="shared" si="178"/>
        <v>0.18085808168127235</v>
      </c>
      <c r="AL126" s="138">
        <f t="shared" si="178"/>
        <v>0.13426497312951283</v>
      </c>
      <c r="AM126" s="138">
        <f t="shared" si="178"/>
        <v>0.10164126706138484</v>
      </c>
      <c r="AN126" s="138">
        <f t="shared" si="178"/>
        <v>8.1778090522289085E-2</v>
      </c>
      <c r="AO126" s="137">
        <f t="shared" si="178"/>
        <v>9.7386402389668877E-2</v>
      </c>
      <c r="AP126" s="138">
        <f t="shared" si="178"/>
        <v>6.7970381621416359E-2</v>
      </c>
      <c r="AQ126" s="138">
        <f t="shared" si="178"/>
        <v>5.5717332057180095E-2</v>
      </c>
      <c r="AR126" s="138">
        <f t="shared" si="178"/>
        <v>3.8719769585730403E-2</v>
      </c>
      <c r="AS126" s="138">
        <f>IF(AS125&lt;0,"NMF",IF(ABS(AS122/AS125)&gt;1,"NMF",AS122/AS125))</f>
        <v>2.2125249591577419E-2</v>
      </c>
      <c r="AT126" s="137">
        <f>IF(AT125&lt;0,"NMF",IF(ABS(AT122/AT125)&gt;1,"NMF",AT122/AT125))</f>
        <v>2.2478700335343816E-2</v>
      </c>
      <c r="AU126" s="138">
        <f>IF(AU125&lt;0,"NMF",IF(ABS(AU122/AU125)&gt;1,"NMF",AU122/AU125))</f>
        <v>7.0333726942345834E-3</v>
      </c>
      <c r="AV126" s="138">
        <f>IF(AV125&lt;0,"NMF",IF(ABS(AV122/AV125)&gt;1,"NMF",AV122/AV125))</f>
        <v>7.4393058550991072E-3</v>
      </c>
      <c r="AW126" s="723">
        <f>IF(AW125&lt;0,"NMF",IF(ABS(AW122/AW125)&gt;1,"NMF",AW122/AW125))</f>
        <v>1.4925309047502501E-2</v>
      </c>
      <c r="AX126" s="138">
        <f t="shared" ca="1" si="178"/>
        <v>2.7967189477042409E-2</v>
      </c>
      <c r="AY126" s="137">
        <f t="shared" ca="1" si="178"/>
        <v>2.7944259263377621E-2</v>
      </c>
      <c r="AZ126" s="138">
        <f t="shared" ref="AZ126:BG126" ca="1" si="179">IF(AZ125&lt;0,"NMF",IF(ABS(AZ122/AZ125)&gt;1,"NMF",AZ122/AZ125))</f>
        <v>4.5980850450661692E-2</v>
      </c>
      <c r="BA126" s="138">
        <f t="shared" ca="1" si="179"/>
        <v>5.0024920720551605E-2</v>
      </c>
      <c r="BB126" s="138">
        <f t="shared" ca="1" si="179"/>
        <v>5.8498038902132322E-2</v>
      </c>
      <c r="BC126" s="138">
        <f t="shared" ca="1" si="179"/>
        <v>6.5949493251657734E-2</v>
      </c>
      <c r="BD126" s="137">
        <f t="shared" ca="1" si="179"/>
        <v>6.6367521598583099E-2</v>
      </c>
      <c r="BE126" s="137">
        <f t="shared" ca="1" si="179"/>
        <v>8.5117367765979071E-2</v>
      </c>
      <c r="BF126" s="137">
        <f t="shared" ca="1" si="179"/>
        <v>8.7373114253722975E-2</v>
      </c>
      <c r="BG126" s="137">
        <f t="shared" ca="1" si="179"/>
        <v>8.8051015912142719E-2</v>
      </c>
      <c r="BH126" s="293"/>
    </row>
    <row r="127" spans="1:60" s="374" customFormat="1" x14ac:dyDescent="0.25">
      <c r="A127" s="239"/>
      <c r="B127" s="244"/>
      <c r="C127" s="1009"/>
      <c r="D127" s="1009"/>
      <c r="E127" s="1009"/>
      <c r="F127" s="1009"/>
      <c r="G127" s="1010"/>
      <c r="H127" s="1010"/>
      <c r="I127" s="1010"/>
      <c r="J127" s="1010"/>
      <c r="K127" s="1009"/>
      <c r="L127" s="1010"/>
      <c r="M127" s="1010"/>
      <c r="N127" s="1010"/>
      <c r="O127" s="1010"/>
      <c r="P127" s="1009"/>
      <c r="Q127" s="1010"/>
      <c r="R127" s="1010"/>
      <c r="S127" s="1010"/>
      <c r="T127" s="1010"/>
      <c r="U127" s="1009"/>
      <c r="V127" s="1010"/>
      <c r="W127" s="1010"/>
      <c r="X127" s="1010"/>
      <c r="Y127" s="1010"/>
      <c r="Z127" s="1009"/>
      <c r="AA127" s="1010"/>
      <c r="AB127" s="1010"/>
      <c r="AC127" s="1010"/>
      <c r="AD127" s="1010"/>
      <c r="AE127" s="1009"/>
      <c r="AF127" s="1010"/>
      <c r="AG127" s="1010"/>
      <c r="AH127" s="1010"/>
      <c r="AI127" s="1010"/>
      <c r="AJ127" s="1009"/>
      <c r="AK127" s="1010"/>
      <c r="AL127" s="1010"/>
      <c r="AM127" s="1010"/>
      <c r="AN127" s="1010"/>
      <c r="AO127" s="1009"/>
      <c r="AP127" s="1010"/>
      <c r="AQ127" s="1010"/>
      <c r="AR127" s="1010"/>
      <c r="AS127" s="1010"/>
      <c r="AT127" s="1009"/>
      <c r="AU127" s="1010"/>
      <c r="AV127" s="1010"/>
      <c r="AW127" s="1011"/>
      <c r="AX127" s="1010"/>
      <c r="AY127" s="1009"/>
      <c r="AZ127" s="1010"/>
      <c r="BA127" s="1010"/>
      <c r="BB127" s="1010"/>
      <c r="BC127" s="1010"/>
      <c r="BD127" s="1009"/>
      <c r="BE127" s="1009"/>
      <c r="BF127" s="1009"/>
      <c r="BG127" s="1009"/>
      <c r="BH127" s="961"/>
    </row>
    <row r="128" spans="1:60" s="374" customFormat="1" x14ac:dyDescent="0.25">
      <c r="A128" s="173" t="s">
        <v>459</v>
      </c>
      <c r="B128" s="962"/>
      <c r="C128" s="1012"/>
      <c r="D128" s="1012"/>
      <c r="E128" s="1012"/>
      <c r="F128" s="1012"/>
      <c r="G128" s="1012"/>
      <c r="H128" s="1012"/>
      <c r="I128" s="1012"/>
      <c r="J128" s="1012"/>
      <c r="K128" s="1012"/>
      <c r="L128" s="1012"/>
      <c r="M128" s="1012"/>
      <c r="N128" s="1012"/>
      <c r="O128" s="1012"/>
      <c r="P128" s="1012"/>
      <c r="Q128" s="1012"/>
      <c r="R128" s="1012"/>
      <c r="S128" s="1012"/>
      <c r="T128" s="1012"/>
      <c r="U128" s="1012"/>
      <c r="V128" s="1012"/>
      <c r="W128" s="1012"/>
      <c r="X128" s="1012"/>
      <c r="Y128" s="1012"/>
      <c r="Z128" s="1012"/>
      <c r="AA128" s="1012"/>
      <c r="AB128" s="1012"/>
      <c r="AC128" s="1012"/>
      <c r="AD128" s="1012"/>
      <c r="AE128" s="1012"/>
      <c r="AF128" s="1012"/>
      <c r="AG128" s="1012"/>
      <c r="AH128" s="1012"/>
      <c r="AI128" s="1012"/>
      <c r="AJ128" s="1012"/>
      <c r="AK128" s="1012"/>
      <c r="AL128" s="1012"/>
      <c r="AM128" s="1012"/>
      <c r="AN128" s="1012"/>
      <c r="AO128" s="1012"/>
      <c r="AP128" s="1012"/>
      <c r="AQ128" s="1012"/>
      <c r="AR128" s="1012"/>
      <c r="AS128" s="1012"/>
      <c r="AT128" s="1012"/>
      <c r="AU128" s="1012"/>
      <c r="AV128" s="1012"/>
      <c r="AW128" s="1013"/>
      <c r="AX128" s="1012"/>
      <c r="AY128" s="1012"/>
      <c r="AZ128" s="1012"/>
      <c r="BA128" s="1012"/>
      <c r="BB128" s="1012"/>
      <c r="BC128" s="1012"/>
      <c r="BD128" s="1012"/>
      <c r="BE128" s="1012"/>
      <c r="BF128" s="1012"/>
      <c r="BG128" s="1012"/>
      <c r="BH128" s="963"/>
    </row>
    <row r="129" spans="1:60" s="380" customFormat="1" x14ac:dyDescent="0.25">
      <c r="A129" s="265" t="s">
        <v>460</v>
      </c>
      <c r="B129" s="245"/>
      <c r="C129" s="133"/>
      <c r="D129" s="133">
        <f>IF(OR(INDEX(SP_GF_Rev,0,COLUMN())&lt;=0,C51&lt;=0),"NMF",IF(ABS((INDEX(SP_GF_Rev,0,COLUMN())/INDEX(SP_CS_ShareCount,0,COLUMN()))/(C51/C5)-1)&gt;10,"NMF",(INDEX(SP_GF_Rev,0,COLUMN())/INDEX(SP_CS_ShareCount,0,COLUMN()))/(C51/C5)-1))</f>
        <v>1.3489017023597727E-2</v>
      </c>
      <c r="E129" s="133">
        <f>IF(OR(INDEX(SP_GF_Rev,0,COLUMN())&lt;=0,D51&lt;=0),"NMF",IF(ABS((INDEX(SP_GF_Rev,0,COLUMN())/INDEX(SP_CS_ShareCount,0,COLUMN()))/(D51/D5)-1)&gt;10,"NMF",(INDEX(SP_GF_Rev,0,COLUMN())/INDEX(SP_CS_ShareCount,0,COLUMN()))/(D51/D5)-1))</f>
        <v>9.6298908482995715E-2</v>
      </c>
      <c r="F129" s="133">
        <f>IF(OR(INDEX(SP_GF_Rev,0,COLUMN())&lt;=0,E51&lt;=0),"NMF",IF(ABS((INDEX(SP_GF_Rev,0,COLUMN())/INDEX(SP_CS_ShareCount,0,COLUMN()))/(E51/E5)-1)&gt;10,"NMF",(INDEX(SP_GF_Rev,0,COLUMN())/INDEX(SP_CS_ShareCount,0,COLUMN()))/(E51/E5)-1))</f>
        <v>8.5619189654763783E-2</v>
      </c>
      <c r="G129" s="134"/>
      <c r="H129" s="134"/>
      <c r="I129" s="134"/>
      <c r="J129" s="134"/>
      <c r="K129" s="133">
        <f t="shared" ref="K129:BD129" si="180">IF(OR(INDEX(SP_GF_Rev,0,COLUMN())&lt;=0,F51&lt;=0),"NMF",IF(ABS((INDEX(SP_GF_Rev,0,COLUMN())/INDEX(SP_CS_ShareCount,0,COLUMN()))/(F51/F5)-1)&gt;10,"NMF",(INDEX(SP_GF_Rev,0,COLUMN())/INDEX(SP_CS_ShareCount,0,COLUMN()))/(F51/F5)-1))</f>
        <v>6.8291233449742084E-2</v>
      </c>
      <c r="L129" s="134">
        <f t="shared" si="180"/>
        <v>9.5088142036335421E-2</v>
      </c>
      <c r="M129" s="134">
        <f t="shared" si="180"/>
        <v>0.1380495145225682</v>
      </c>
      <c r="N129" s="134">
        <f t="shared" si="180"/>
        <v>0.12166222690947448</v>
      </c>
      <c r="O129" s="134">
        <f t="shared" si="180"/>
        <v>0.11482342611603258</v>
      </c>
      <c r="P129" s="133">
        <f t="shared" si="180"/>
        <v>0.11701611919019794</v>
      </c>
      <c r="Q129" s="134">
        <f t="shared" si="180"/>
        <v>0.13035482699823375</v>
      </c>
      <c r="R129" s="134">
        <f t="shared" si="180"/>
        <v>0.10401098005884979</v>
      </c>
      <c r="S129" s="134">
        <f t="shared" si="180"/>
        <v>7.3664868735186406E-2</v>
      </c>
      <c r="T129" s="134">
        <f t="shared" si="180"/>
        <v>0.11639805391594016</v>
      </c>
      <c r="U129" s="133">
        <f t="shared" si="180"/>
        <v>0.10626189675008746</v>
      </c>
      <c r="V129" s="134">
        <f t="shared" si="180"/>
        <v>0.17181803806450757</v>
      </c>
      <c r="W129" s="134">
        <f t="shared" si="180"/>
        <v>8.6375981192788442E-2</v>
      </c>
      <c r="X129" s="134">
        <f t="shared" si="180"/>
        <v>0.14321670372956308</v>
      </c>
      <c r="Y129" s="134">
        <f t="shared" si="180"/>
        <v>2.0193860473983083E-2</v>
      </c>
      <c r="Z129" s="133">
        <f t="shared" si="180"/>
        <v>0.10565110753692841</v>
      </c>
      <c r="AA129" s="134">
        <f t="shared" si="180"/>
        <v>9.1495658969269478E-3</v>
      </c>
      <c r="AB129" s="134">
        <f t="shared" si="180"/>
        <v>6.190699196202476E-2</v>
      </c>
      <c r="AC129" s="134">
        <f t="shared" si="180"/>
        <v>3.4697615927395065E-2</v>
      </c>
      <c r="AD129" s="134">
        <f t="shared" si="180"/>
        <v>1.5120551340304988E-2</v>
      </c>
      <c r="AE129" s="133">
        <f t="shared" si="180"/>
        <v>2.9414814189059779E-2</v>
      </c>
      <c r="AF129" s="134">
        <f t="shared" si="180"/>
        <v>9.4331816687585945E-2</v>
      </c>
      <c r="AG129" s="134">
        <f t="shared" si="180"/>
        <v>0.14939932543292667</v>
      </c>
      <c r="AH129" s="134">
        <f t="shared" si="180"/>
        <v>0.12236627344677031</v>
      </c>
      <c r="AI129" s="134">
        <f t="shared" si="180"/>
        <v>0.15696499815500786</v>
      </c>
      <c r="AJ129" s="133">
        <f t="shared" si="180"/>
        <v>0.12871831989374516</v>
      </c>
      <c r="AK129" s="134">
        <f t="shared" si="180"/>
        <v>1.2178964174237361E-2</v>
      </c>
      <c r="AL129" s="134">
        <f t="shared" si="180"/>
        <v>7.6897083023483859E-3</v>
      </c>
      <c r="AM129" s="134">
        <f t="shared" si="180"/>
        <v>9.7866273147967142E-2</v>
      </c>
      <c r="AN129" s="134">
        <f t="shared" si="180"/>
        <v>0.10050177218323531</v>
      </c>
      <c r="AO129" s="133">
        <f t="shared" si="180"/>
        <v>5.8827710510122033E-2</v>
      </c>
      <c r="AP129" s="134">
        <f t="shared" si="180"/>
        <v>0.12370670158631292</v>
      </c>
      <c r="AQ129" s="134">
        <f t="shared" si="180"/>
        <v>2.1458168378652775E-2</v>
      </c>
      <c r="AR129" s="134">
        <f t="shared" si="180"/>
        <v>-0.41656919431273154</v>
      </c>
      <c r="AS129" s="134">
        <f t="shared" si="180"/>
        <v>-0.22702045328911002</v>
      </c>
      <c r="AT129" s="133">
        <f t="shared" si="180"/>
        <v>-0.13393074524798987</v>
      </c>
      <c r="AU129" s="134">
        <f t="shared" si="180"/>
        <v>-0.22353437424768186</v>
      </c>
      <c r="AV129" s="134">
        <f t="shared" si="180"/>
        <v>-0.1392066557086562</v>
      </c>
      <c r="AW129" s="721">
        <f>IF(OR(INDEX(SP_GF_Rev,0,COLUMN())&lt;=0,AR51&lt;=0),"NMF",IF(ABS((INDEX(SP_GF_Rev,0,COLUMN())/INDEX(SP_CS_ShareCount,0,COLUMN()))/(AR51/AR5)-1)&gt;10,"NMF",(INDEX(SP_GF_Rev,0,COLUMN())/INDEX(SP_CS_ShareCount,0,COLUMN()))/(AR51/AR5)-1))</f>
        <v>0.42853090871640132</v>
      </c>
      <c r="AX129" s="134">
        <f t="shared" ca="1" si="180"/>
        <v>0.33310014050045322</v>
      </c>
      <c r="AY129" s="133">
        <f t="shared" ca="1" si="180"/>
        <v>3.9421127792437449E-2</v>
      </c>
      <c r="AZ129" s="134">
        <f t="shared" ca="1" si="180"/>
        <v>0.28330165039244704</v>
      </c>
      <c r="BA129" s="134">
        <f t="shared" ca="1" si="180"/>
        <v>0.30888049483972235</v>
      </c>
      <c r="BB129" s="134">
        <f t="shared" ca="1" si="180"/>
        <v>0.34547302202880625</v>
      </c>
      <c r="BC129" s="134">
        <f t="shared" ca="1" si="180"/>
        <v>0.22935006168039784</v>
      </c>
      <c r="BD129" s="133">
        <f t="shared" ca="1" si="180"/>
        <v>0.28885971789235643</v>
      </c>
      <c r="BE129" s="133">
        <f ca="1">IF(OR(INDEX(SP_GF_Rev,0,COLUMN())&lt;=0,BD51&lt;=0),"NMF",IF(ABS((INDEX(SP_GF_Rev,0,COLUMN())/INDEX(SP_CS_ShareCount,0,COLUMN()))/(BD51/BD5)-1)&gt;10,"NMF",(INDEX(SP_GF_Rev,0,COLUMN())/INDEX(SP_CS_ShareCount,0,COLUMN()))/(BD51/BD5)-1))</f>
        <v>0.10034943100077243</v>
      </c>
      <c r="BF129" s="133">
        <f ca="1">IF(OR(INDEX(SP_GF_Rev,0,COLUMN())&lt;=0,BE51&lt;=0),"NMF",IF(ABS((INDEX(SP_GF_Rev,0,COLUMN())/INDEX(SP_CS_ShareCount,0,COLUMN()))/(BE51/BE5)-1)&gt;10,"NMF",(INDEX(SP_GF_Rev,0,COLUMN())/INDEX(SP_CS_ShareCount,0,COLUMN()))/(BE51/BE5)-1))</f>
        <v>7.2043908896429976E-2</v>
      </c>
      <c r="BG129" s="133">
        <f ca="1">IF(OR(INDEX(SP_GF_Rev,0,COLUMN())&lt;=0,BF51&lt;=0),"NMF",IF(ABS((INDEX(SP_GF_Rev,0,COLUMN())/INDEX(SP_CS_ShareCount,0,COLUMN()))/(BF51/BF5)-1)&gt;10,"NMF",(INDEX(SP_GF_Rev,0,COLUMN())/INDEX(SP_CS_ShareCount,0,COLUMN()))/(BF51/BF5)-1))</f>
        <v>8.801324383295106E-2</v>
      </c>
      <c r="BH129" s="254"/>
    </row>
    <row r="130" spans="1:60" s="380" customFormat="1" x14ac:dyDescent="0.25">
      <c r="A130" s="265" t="s">
        <v>461</v>
      </c>
      <c r="B130" s="245"/>
      <c r="C130" s="133"/>
      <c r="D130" s="133">
        <f>IF(OR(INDEX(SP_NGF_EBITDA,0,COLUMN())&lt;=0,C69&lt;=0),"NMF",IF(ABS((INDEX(SP_NGF_EBITDA,0,COLUMN())/INDEX(SP_CS_ShareCount,0,COLUMN()))/(C69/C5)-1)&gt;10,"NMF",(INDEX(SP_NGF_EBITDA,0,COLUMN())/INDEX(SP_CS_ShareCount,0,COLUMN()))/(C69/C5)-1))</f>
        <v>0.13078494132353713</v>
      </c>
      <c r="E130" s="133">
        <f>IF(OR(INDEX(SP_NGF_EBITDA,0,COLUMN())&lt;=0,D69&lt;=0),"NMF",IF(ABS((INDEX(SP_NGF_EBITDA,0,COLUMN())/INDEX(SP_CS_ShareCount,0,COLUMN()))/(D69/D5)-1)&gt;10,"NMF",(INDEX(SP_NGF_EBITDA,0,COLUMN())/INDEX(SP_CS_ShareCount,0,COLUMN()))/(D69/D5)-1))</f>
        <v>0.1762827007365404</v>
      </c>
      <c r="F130" s="133">
        <f>IF(OR(INDEX(SP_NGF_EBITDA,0,COLUMN())&lt;=0,E69&lt;=0),"NMF",IF(ABS((INDEX(SP_NGF_EBITDA,0,COLUMN())/INDEX(SP_CS_ShareCount,0,COLUMN()))/(E69/E5)-1)&gt;10,"NMF",(INDEX(SP_NGF_EBITDA,0,COLUMN())/INDEX(SP_CS_ShareCount,0,COLUMN()))/(E69/E5)-1))</f>
        <v>0.18662359288098473</v>
      </c>
      <c r="G130" s="134"/>
      <c r="H130" s="134"/>
      <c r="I130" s="134"/>
      <c r="J130" s="134"/>
      <c r="K130" s="133">
        <f t="shared" ref="K130:BD130" si="181">IF(OR(INDEX(SP_NGF_EBITDA,0,COLUMN())&lt;=0,F69&lt;=0),"NMF",IF(ABS((INDEX(SP_NGF_EBITDA,0,COLUMN())/INDEX(SP_CS_ShareCount,0,COLUMN()))/(F69/F5)-1)&gt;10,"NMF",(INDEX(SP_NGF_EBITDA,0,COLUMN())/INDEX(SP_CS_ShareCount,0,COLUMN()))/(F69/F5)-1))</f>
        <v>0.3026874840517999</v>
      </c>
      <c r="L130" s="134">
        <f t="shared" si="181"/>
        <v>0.52910297535268902</v>
      </c>
      <c r="M130" s="134">
        <f t="shared" si="181"/>
        <v>0.64443454987476456</v>
      </c>
      <c r="N130" s="134">
        <f t="shared" si="181"/>
        <v>0.39584687747438085</v>
      </c>
      <c r="O130" s="134">
        <f t="shared" si="181"/>
        <v>0.42391786710512336</v>
      </c>
      <c r="P130" s="133">
        <f t="shared" si="181"/>
        <v>0.21828584181291655</v>
      </c>
      <c r="Q130" s="134">
        <f t="shared" si="181"/>
        <v>0.22105362074968693</v>
      </c>
      <c r="R130" s="134">
        <f t="shared" si="181"/>
        <v>6.747449475686973E-2</v>
      </c>
      <c r="S130" s="134">
        <f t="shared" si="181"/>
        <v>8.9978977958857564E-2</v>
      </c>
      <c r="T130" s="134">
        <f t="shared" si="181"/>
        <v>0.27769161257642949</v>
      </c>
      <c r="U130" s="133">
        <f t="shared" si="181"/>
        <v>0.15592574623117361</v>
      </c>
      <c r="V130" s="134">
        <f t="shared" si="181"/>
        <v>0.23978696141447498</v>
      </c>
      <c r="W130" s="134">
        <f t="shared" si="181"/>
        <v>0.11745859379017798</v>
      </c>
      <c r="X130" s="134">
        <f t="shared" si="181"/>
        <v>0.1527004077190981</v>
      </c>
      <c r="Y130" s="134">
        <f t="shared" si="181"/>
        <v>-9.3567251461987855E-3</v>
      </c>
      <c r="Z130" s="133">
        <f t="shared" si="181"/>
        <v>0.12684047813163102</v>
      </c>
      <c r="AA130" s="134">
        <f t="shared" si="181"/>
        <v>-6.3664656841582179E-3</v>
      </c>
      <c r="AB130" s="134">
        <f t="shared" si="181"/>
        <v>0.14720079151892773</v>
      </c>
      <c r="AC130" s="134">
        <f t="shared" si="181"/>
        <v>-2.274770503937984E-2</v>
      </c>
      <c r="AD130" s="134">
        <f t="shared" si="181"/>
        <v>-1.7740093880830421E-2</v>
      </c>
      <c r="AE130" s="133">
        <f t="shared" si="181"/>
        <v>2.3086898788190702E-2</v>
      </c>
      <c r="AF130" s="134">
        <f t="shared" si="181"/>
        <v>8.6538571359541239E-2</v>
      </c>
      <c r="AG130" s="134">
        <f t="shared" si="181"/>
        <v>0.13526585343687803</v>
      </c>
      <c r="AH130" s="134">
        <f t="shared" si="181"/>
        <v>9.3543498276690729E-2</v>
      </c>
      <c r="AI130" s="134">
        <f t="shared" si="181"/>
        <v>0.19642557097835756</v>
      </c>
      <c r="AJ130" s="133">
        <f t="shared" si="181"/>
        <v>0.12229842028697147</v>
      </c>
      <c r="AK130" s="134">
        <f t="shared" si="181"/>
        <v>-6.9533194832254175E-2</v>
      </c>
      <c r="AL130" s="134">
        <f t="shared" si="181"/>
        <v>-7.1249363148072065E-2</v>
      </c>
      <c r="AM130" s="134">
        <f t="shared" si="181"/>
        <v>-0.27800852649233787</v>
      </c>
      <c r="AN130" s="134">
        <f t="shared" si="181"/>
        <v>-0.2301591205434409</v>
      </c>
      <c r="AO130" s="133">
        <f t="shared" si="181"/>
        <v>-0.17076460538713578</v>
      </c>
      <c r="AP130" s="134">
        <f t="shared" si="181"/>
        <v>-0.17323190767067909</v>
      </c>
      <c r="AQ130" s="134">
        <f t="shared" si="181"/>
        <v>-0.47879178177654991</v>
      </c>
      <c r="AR130" s="134">
        <f t="shared" si="181"/>
        <v>-0.62336377654523767</v>
      </c>
      <c r="AS130" s="134">
        <f t="shared" si="181"/>
        <v>-0.72360360376507682</v>
      </c>
      <c r="AT130" s="133">
        <f t="shared" si="181"/>
        <v>-0.46746853543580447</v>
      </c>
      <c r="AU130" s="134">
        <f t="shared" si="181"/>
        <v>-0.60380008257853401</v>
      </c>
      <c r="AV130" s="134">
        <f t="shared" si="181"/>
        <v>-1.0070637224390833E-4</v>
      </c>
      <c r="AW130" s="721">
        <f>IF(OR(INDEX(SP_NGF_EBITDA,0,COLUMN())&lt;=0,AR69&lt;=0),"NMF",IF(ABS((INDEX(SP_NGF_EBITDA,0,COLUMN())/INDEX(SP_CS_ShareCount,0,COLUMN()))/(AR69/AR5)-1)&gt;10,"NMF",(INDEX(SP_NGF_EBITDA,0,COLUMN())/INDEX(SP_CS_ShareCount,0,COLUMN()))/(AR69/AR5)-1))</f>
        <v>0.74975148793985591</v>
      </c>
      <c r="AX130" s="134">
        <f t="shared" ca="1" si="181"/>
        <v>2.2032477356070324</v>
      </c>
      <c r="AY130" s="133">
        <f t="shared" ca="1" si="181"/>
        <v>8.7514801412107435E-2</v>
      </c>
      <c r="AZ130" s="134">
        <f t="shared" ca="1" si="181"/>
        <v>1.8007789127912801</v>
      </c>
      <c r="BA130" s="134">
        <f t="shared" ca="1" si="181"/>
        <v>0.28849033625512654</v>
      </c>
      <c r="BB130" s="134">
        <f t="shared" ca="1" si="181"/>
        <v>0.58135206908960058</v>
      </c>
      <c r="BC130" s="134">
        <f t="shared" ca="1" si="181"/>
        <v>0.4294257611929071</v>
      </c>
      <c r="BD130" s="133">
        <f t="shared" ca="1" si="181"/>
        <v>0.64963557467091149</v>
      </c>
      <c r="BE130" s="133">
        <f ca="1">IF(OR(INDEX(SP_NGF_EBITDA,0,COLUMN())&lt;=0,BD69&lt;=0),"NMF",IF(ABS((INDEX(SP_NGF_EBITDA,0,COLUMN())/INDEX(SP_CS_ShareCount,0,COLUMN()))/(BD69/BD5)-1)&gt;10,"NMF",(INDEX(SP_NGF_EBITDA,0,COLUMN())/INDEX(SP_CS_ShareCount,0,COLUMN()))/(BD69/BD5)-1))</f>
        <v>0.22904586460200216</v>
      </c>
      <c r="BF130" s="133">
        <f ca="1">IF(OR(INDEX(SP_NGF_EBITDA,0,COLUMN())&lt;=0,BE69&lt;=0),"NMF",IF(ABS((INDEX(SP_NGF_EBITDA,0,COLUMN())/INDEX(SP_CS_ShareCount,0,COLUMN()))/(BE69/BE5)-1)&gt;10,"NMF",(INDEX(SP_NGF_EBITDA,0,COLUMN())/INDEX(SP_CS_ShareCount,0,COLUMN()))/(BE69/BE5)-1))</f>
        <v>5.8461892901918722E-2</v>
      </c>
      <c r="BG130" s="133">
        <f ca="1">IF(OR(INDEX(SP_NGF_EBITDA,0,COLUMN())&lt;=0,BF69&lt;=0),"NMF",IF(ABS((INDEX(SP_NGF_EBITDA,0,COLUMN())/INDEX(SP_CS_ShareCount,0,COLUMN()))/(BF69/BF5)-1)&gt;10,"NMF",(INDEX(SP_NGF_EBITDA,0,COLUMN())/INDEX(SP_CS_ShareCount,0,COLUMN()))/(BF69/BF5)-1))</f>
        <v>4.6867812454607805E-2</v>
      </c>
      <c r="BH130" s="254"/>
    </row>
    <row r="131" spans="1:60" s="380" customFormat="1" x14ac:dyDescent="0.25">
      <c r="A131" s="265" t="s">
        <v>462</v>
      </c>
      <c r="B131" s="245"/>
      <c r="C131" s="133"/>
      <c r="D131" s="133">
        <f>IF(OR(INDEX(SP_NGF_NI,0,COLUMN())&lt;=0,C70&lt;=0),"NMF",IF(ABS((INDEX(SP_NGF_NI,0,COLUMN())/INDEX(SP_CS_ShareCount,0,COLUMN()))/(C70/C5)-1)&gt;10,"NMF",(INDEX(SP_NGF_NI,0,COLUMN())/INDEX(SP_CS_ShareCount,0,COLUMN()))/(C70/C5)-1))</f>
        <v>0.13744384258298759</v>
      </c>
      <c r="E131" s="133">
        <f>IF(OR(INDEX(SP_NGF_NI,0,COLUMN())&lt;=0,D70&lt;=0),"NMF",IF(ABS((INDEX(SP_NGF_NI,0,COLUMN())/INDEX(SP_CS_ShareCount,0,COLUMN()))/(D70/D5)-1)&gt;10,"NMF",(INDEX(SP_NGF_NI,0,COLUMN())/INDEX(SP_CS_ShareCount,0,COLUMN()))/(D70/D5)-1))</f>
        <v>0.22352454868621718</v>
      </c>
      <c r="F131" s="133">
        <f>IF(OR(INDEX(SP_NGF_NI,0,COLUMN())&lt;=0,E70&lt;=0),"NMF",IF(ABS((INDEX(SP_NGF_NI,0,COLUMN())/INDEX(SP_CS_ShareCount,0,COLUMN()))/(E70/E5)-1)&gt;10,"NMF",(INDEX(SP_NGF_NI,0,COLUMN())/INDEX(SP_CS_ShareCount,0,COLUMN()))/(E70/E5)-1))</f>
        <v>0.20777195919534974</v>
      </c>
      <c r="G131" s="134"/>
      <c r="H131" s="134"/>
      <c r="I131" s="134"/>
      <c r="J131" s="134"/>
      <c r="K131" s="133">
        <f t="shared" ref="K131:BD131" si="182">IF(OR(INDEX(SP_NGF_NI,0,COLUMN())&lt;=0,F70&lt;=0),"NMF",IF(ABS((INDEX(SP_NGF_NI,0,COLUMN())/INDEX(SP_CS_ShareCount,0,COLUMN()))/(F70/F5)-1)&gt;10,"NMF",(INDEX(SP_NGF_NI,0,COLUMN())/INDEX(SP_CS_ShareCount,0,COLUMN()))/(F70/F5)-1))</f>
        <v>0.10407510395821218</v>
      </c>
      <c r="L131" s="134">
        <f t="shared" si="182"/>
        <v>0.32193388022035685</v>
      </c>
      <c r="M131" s="134">
        <f t="shared" si="182"/>
        <v>0.4106373587570622</v>
      </c>
      <c r="N131" s="134">
        <f t="shared" si="182"/>
        <v>0.24176005395705591</v>
      </c>
      <c r="O131" s="134">
        <f t="shared" si="182"/>
        <v>0.15819780439815401</v>
      </c>
      <c r="P131" s="133">
        <f t="shared" si="182"/>
        <v>0.27771433447503724</v>
      </c>
      <c r="Q131" s="134">
        <f t="shared" si="182"/>
        <v>0.22031230912478561</v>
      </c>
      <c r="R131" s="134">
        <f t="shared" si="182"/>
        <v>0.10431120173710684</v>
      </c>
      <c r="S131" s="134">
        <f t="shared" si="182"/>
        <v>0.12993065959942141</v>
      </c>
      <c r="T131" s="134">
        <f t="shared" si="182"/>
        <v>0.35255052557332256</v>
      </c>
      <c r="U131" s="133">
        <f t="shared" si="182"/>
        <v>0.19199808708235144</v>
      </c>
      <c r="V131" s="134">
        <f t="shared" si="182"/>
        <v>0.27997448054388729</v>
      </c>
      <c r="W131" s="134">
        <f t="shared" si="182"/>
        <v>0.10996733309387996</v>
      </c>
      <c r="X131" s="134">
        <f t="shared" si="182"/>
        <v>9.7213843837667069E-2</v>
      </c>
      <c r="Y131" s="134">
        <f t="shared" si="182"/>
        <v>-9.3590951795455513E-2</v>
      </c>
      <c r="Z131" s="133">
        <f t="shared" si="182"/>
        <v>0.10962793958448502</v>
      </c>
      <c r="AA131" s="134">
        <f t="shared" si="182"/>
        <v>-4.9269903318716501E-2</v>
      </c>
      <c r="AB131" s="134">
        <f t="shared" si="182"/>
        <v>0.1001387529197959</v>
      </c>
      <c r="AC131" s="134">
        <f t="shared" si="182"/>
        <v>-1.0793124969993739E-2</v>
      </c>
      <c r="AD131" s="134">
        <f t="shared" si="182"/>
        <v>-2.4906149750870243E-2</v>
      </c>
      <c r="AE131" s="133">
        <f t="shared" si="182"/>
        <v>-3.3158057026206889E-3</v>
      </c>
      <c r="AF131" s="134">
        <f t="shared" si="182"/>
        <v>0.22081175231577066</v>
      </c>
      <c r="AG131" s="134">
        <f t="shared" si="182"/>
        <v>0.22924944812362025</v>
      </c>
      <c r="AH131" s="134">
        <f t="shared" si="182"/>
        <v>0.19142181228310018</v>
      </c>
      <c r="AI131" s="134">
        <f t="shared" si="182"/>
        <v>0.37578444318057347</v>
      </c>
      <c r="AJ131" s="133">
        <f t="shared" si="182"/>
        <v>0.24188180469012743</v>
      </c>
      <c r="AK131" s="134">
        <f t="shared" si="182"/>
        <v>-2.4792480604849509E-2</v>
      </c>
      <c r="AL131" s="134">
        <f t="shared" si="182"/>
        <v>-0.1254862471106345</v>
      </c>
      <c r="AM131" s="134">
        <f t="shared" si="182"/>
        <v>-0.27945472321065279</v>
      </c>
      <c r="AN131" s="134">
        <f t="shared" si="182"/>
        <v>-0.27111201434310539</v>
      </c>
      <c r="AO131" s="133">
        <f t="shared" si="182"/>
        <v>-0.18398468728162964</v>
      </c>
      <c r="AP131" s="134">
        <f t="shared" si="182"/>
        <v>-0.16687149601512852</v>
      </c>
      <c r="AQ131" s="134">
        <f t="shared" si="182"/>
        <v>-0.62716992273500505</v>
      </c>
      <c r="AR131" s="134">
        <f t="shared" si="182"/>
        <v>-0.94680466470973346</v>
      </c>
      <c r="AS131" s="134" t="str">
        <f t="shared" si="182"/>
        <v>NMF</v>
      </c>
      <c r="AT131" s="133">
        <f t="shared" si="182"/>
        <v>-0.64971596100422657</v>
      </c>
      <c r="AU131" s="134">
        <f t="shared" si="182"/>
        <v>-0.79405100859140509</v>
      </c>
      <c r="AV131" s="134">
        <f t="shared" si="182"/>
        <v>0.29434821983159387</v>
      </c>
      <c r="AW131" s="721" t="str">
        <f>IF(OR(INDEX(SP_NGF_NI,0,COLUMN())&lt;=0,AR70&lt;=0),"NMF",IF(ABS((INDEX(SP_NGF_NI,0,COLUMN())/INDEX(SP_CS_ShareCount,0,COLUMN()))/(AR70/AR5)-1)&gt;10,"NMF",(INDEX(SP_NGF_NI,0,COLUMN())/INDEX(SP_CS_ShareCount,0,COLUMN()))/(AR70/AR5)-1))</f>
        <v>NMF</v>
      </c>
      <c r="AX131" s="134" t="str">
        <f t="shared" si="182"/>
        <v>NMF</v>
      </c>
      <c r="AY131" s="133">
        <f t="shared" ca="1" si="182"/>
        <v>0.28708965199559056</v>
      </c>
      <c r="AZ131" s="134">
        <f t="shared" ca="1" si="182"/>
        <v>1.5332047072584207</v>
      </c>
      <c r="BA131" s="134">
        <f t="shared" ca="1" si="182"/>
        <v>0.21205528834285903</v>
      </c>
      <c r="BB131" s="134">
        <f t="shared" ca="1" si="182"/>
        <v>0.68460246778186251</v>
      </c>
      <c r="BC131" s="134">
        <f t="shared" ca="1" si="182"/>
        <v>1.0746588881210362</v>
      </c>
      <c r="BD131" s="133">
        <f t="shared" ca="1" si="182"/>
        <v>0.76316419557450166</v>
      </c>
      <c r="BE131" s="133">
        <f ca="1">IF(OR(INDEX(SP_NGF_NI,0,COLUMN())&lt;=0,BD70&lt;=0),"NMF",IF(ABS((INDEX(SP_NGF_NI,0,COLUMN())/INDEX(SP_CS_ShareCount,0,COLUMN()))/(BD70/BD5)-1)&gt;10,"NMF",(INDEX(SP_NGF_NI,0,COLUMN())/INDEX(SP_CS_ShareCount,0,COLUMN()))/(BD70/BD5)-1))</f>
        <v>0.27116434238251297</v>
      </c>
      <c r="BF131" s="133">
        <f ca="1">IF(OR(INDEX(SP_NGF_NI,0,COLUMN())&lt;=0,BE70&lt;=0),"NMF",IF(ABS((INDEX(SP_NGF_NI,0,COLUMN())/INDEX(SP_CS_ShareCount,0,COLUMN()))/(BE70/BE5)-1)&gt;10,"NMF",(INDEX(SP_NGF_NI,0,COLUMN())/INDEX(SP_CS_ShareCount,0,COLUMN()))/(BE70/BE5)-1))</f>
        <v>0.19117783691763779</v>
      </c>
      <c r="BG131" s="133">
        <f ca="1">IF(OR(INDEX(SP_NGF_NI,0,COLUMN())&lt;=0,BF70&lt;=0),"NMF",IF(ABS((INDEX(SP_NGF_NI,0,COLUMN())/INDEX(SP_CS_ShareCount,0,COLUMN()))/(BF70/BF5)-1)&gt;10,"NMF",(INDEX(SP_NGF_NI,0,COLUMN())/INDEX(SP_CS_ShareCount,0,COLUMN()))/(BF70/BF5)-1))</f>
        <v>0.14954333583817525</v>
      </c>
      <c r="BH131" s="254"/>
    </row>
    <row r="132" spans="1:60" s="380" customFormat="1" x14ac:dyDescent="0.25">
      <c r="A132" s="265" t="s">
        <v>463</v>
      </c>
      <c r="B132" s="245"/>
      <c r="C132" s="133"/>
      <c r="D132" s="133">
        <f>IF(OR(INDEX(SP_CFA_CFO_BeforeWC,0,COLUMN())&lt;=0,C80&lt;=0),"NMF",IF(ABS((INDEX(SP_CFA_CFO_BeforeWC,0,COLUMN())/INDEX(SP_CS_ShareCount,0,COLUMN()))/(C80/C5)-1)&gt;10,"NMF",(INDEX(SP_CFA_CFO_BeforeWC,0,COLUMN())/INDEX(SP_CS_ShareCount,0,COLUMN()))/(C80/C5)-1))</f>
        <v>0.14069708525560687</v>
      </c>
      <c r="E132" s="133">
        <f>IF(OR(INDEX(SP_CFA_CFO_BeforeWC,0,COLUMN())&lt;=0,D80&lt;=0),"NMF",IF(ABS((INDEX(SP_CFA_CFO_BeforeWC,0,COLUMN())/INDEX(SP_CS_ShareCount,0,COLUMN()))/(D80/D5)-1)&gt;10,"NMF",(INDEX(SP_CFA_CFO_BeforeWC,0,COLUMN())/INDEX(SP_CS_ShareCount,0,COLUMN()))/(D80/D5)-1))</f>
        <v>0.21261739969304716</v>
      </c>
      <c r="F132" s="133">
        <f>IF(OR(INDEX(SP_CFA_CFO_BeforeWC,0,COLUMN())&lt;=0,E80&lt;=0),"NMF",IF(ABS((INDEX(SP_CFA_CFO_BeforeWC,0,COLUMN())/INDEX(SP_CS_ShareCount,0,COLUMN()))/(E80/E5)-1)&gt;10,"NMF",(INDEX(SP_CFA_CFO_BeforeWC,0,COLUMN())/INDEX(SP_CS_ShareCount,0,COLUMN()))/(E80/E5)-1))</f>
        <v>0.16935302899526383</v>
      </c>
      <c r="G132" s="134"/>
      <c r="H132" s="134"/>
      <c r="I132" s="134"/>
      <c r="J132" s="134"/>
      <c r="K132" s="133">
        <f t="shared" ref="K132:BD132" si="183">IF(OR(INDEX(SP_CFA_CFO_BeforeWC,0,COLUMN())&lt;=0,F80&lt;=0),"NMF",IF(ABS((INDEX(SP_CFA_CFO_BeforeWC,0,COLUMN())/INDEX(SP_CS_ShareCount,0,COLUMN()))/(F80/F5)-1)&gt;10,"NMF",(INDEX(SP_CFA_CFO_BeforeWC,0,COLUMN())/INDEX(SP_CS_ShareCount,0,COLUMN()))/(F80/F5)-1))</f>
        <v>3.5087030165816824E-2</v>
      </c>
      <c r="L132" s="134">
        <f t="shared" si="183"/>
        <v>0.30500946307694932</v>
      </c>
      <c r="M132" s="134">
        <f t="shared" si="183"/>
        <v>0.30295671553477077</v>
      </c>
      <c r="N132" s="134">
        <f t="shared" si="183"/>
        <v>-0.11075860052507724</v>
      </c>
      <c r="O132" s="134">
        <f t="shared" si="183"/>
        <v>0.14010324078990388</v>
      </c>
      <c r="P132" s="133">
        <f t="shared" si="183"/>
        <v>0.10820290630080809</v>
      </c>
      <c r="Q132" s="134">
        <f t="shared" si="183"/>
        <v>0.78176159835772019</v>
      </c>
      <c r="R132" s="134">
        <f t="shared" si="183"/>
        <v>0.12021056995428725</v>
      </c>
      <c r="S132" s="134">
        <f t="shared" si="183"/>
        <v>-0.16846964304591427</v>
      </c>
      <c r="T132" s="134">
        <f t="shared" si="183"/>
        <v>-0.12426725715729292</v>
      </c>
      <c r="U132" s="133">
        <f t="shared" si="183"/>
        <v>0.10379915603286527</v>
      </c>
      <c r="V132" s="134">
        <f t="shared" si="183"/>
        <v>0.39054059609455294</v>
      </c>
      <c r="W132" s="134">
        <f t="shared" si="183"/>
        <v>3.6944377603834955E-2</v>
      </c>
      <c r="X132" s="134">
        <f t="shared" si="183"/>
        <v>0.60997191755417801</v>
      </c>
      <c r="Y132" s="134">
        <f t="shared" si="183"/>
        <v>0.43618116525080564</v>
      </c>
      <c r="Z132" s="133">
        <f t="shared" si="183"/>
        <v>0.36529101074119841</v>
      </c>
      <c r="AA132" s="134">
        <f t="shared" si="183"/>
        <v>-0.1399184903939632</v>
      </c>
      <c r="AB132" s="134">
        <f t="shared" si="183"/>
        <v>0.13784595509318542</v>
      </c>
      <c r="AC132" s="134">
        <f t="shared" si="183"/>
        <v>-5.0248276884310328E-2</v>
      </c>
      <c r="AD132" s="134">
        <f t="shared" si="183"/>
        <v>-0.2148438700162838</v>
      </c>
      <c r="AE132" s="133">
        <f t="shared" si="183"/>
        <v>-8.3642243440290254E-2</v>
      </c>
      <c r="AF132" s="134">
        <f t="shared" si="183"/>
        <v>4.7169884328375877E-2</v>
      </c>
      <c r="AG132" s="134">
        <f t="shared" si="183"/>
        <v>0.40062801343263987</v>
      </c>
      <c r="AH132" s="134">
        <f t="shared" si="183"/>
        <v>0.36231096006796948</v>
      </c>
      <c r="AI132" s="134">
        <f t="shared" si="183"/>
        <v>0.37061042089686747</v>
      </c>
      <c r="AJ132" s="133">
        <f t="shared" si="183"/>
        <v>0.27237782342963235</v>
      </c>
      <c r="AK132" s="134">
        <f t="shared" si="183"/>
        <v>0.11890263505259124</v>
      </c>
      <c r="AL132" s="134">
        <f t="shared" si="183"/>
        <v>-0.25388455740465432</v>
      </c>
      <c r="AM132" s="134">
        <f t="shared" si="183"/>
        <v>-0.18287502432064329</v>
      </c>
      <c r="AN132" s="134">
        <f t="shared" si="183"/>
        <v>-0.93350860958407023</v>
      </c>
      <c r="AO132" s="133">
        <f t="shared" si="183"/>
        <v>-0.30490054864134397</v>
      </c>
      <c r="AP132" s="134">
        <f t="shared" si="183"/>
        <v>-0.20947407588711586</v>
      </c>
      <c r="AQ132" s="134">
        <f t="shared" si="183"/>
        <v>-0.71500841346339561</v>
      </c>
      <c r="AR132" s="134">
        <f t="shared" si="183"/>
        <v>-0.86208742922696158</v>
      </c>
      <c r="AS132" s="134">
        <f t="shared" si="183"/>
        <v>9.1355940161910318</v>
      </c>
      <c r="AT132" s="133">
        <f t="shared" si="183"/>
        <v>-0.34535754023702325</v>
      </c>
      <c r="AU132" s="134">
        <f t="shared" si="183"/>
        <v>-0.47941828150040455</v>
      </c>
      <c r="AV132" s="134" t="str">
        <f t="shared" si="183"/>
        <v>NMF</v>
      </c>
      <c r="AW132" s="721">
        <f>IF(OR(INDEX(SP_CFA_CFO_BeforeWC,0,COLUMN())&lt;=0,AR80&lt;=0),"NMF",IF(ABS((INDEX(SP_CFA_CFO_BeforeWC,0,COLUMN())/INDEX(SP_CS_ShareCount,0,COLUMN()))/(AR80/AR5)-1)&gt;10,"NMF",(INDEX(SP_CFA_CFO_BeforeWC,0,COLUMN())/INDEX(SP_CS_ShareCount,0,COLUMN()))/(AR80/AR5)-1))</f>
        <v>1.0177431600258697</v>
      </c>
      <c r="AX132" s="134">
        <f t="shared" ca="1" si="183"/>
        <v>-8.3374855906156675E-2</v>
      </c>
      <c r="AY132" s="133">
        <f t="shared" ca="1" si="183"/>
        <v>-0.34679713598005335</v>
      </c>
      <c r="AZ132" s="134">
        <f t="shared" ca="1" si="183"/>
        <v>0.76973142829682106</v>
      </c>
      <c r="BA132" s="134" t="str">
        <f t="shared" ca="1" si="183"/>
        <v>NMF</v>
      </c>
      <c r="BB132" s="134">
        <f t="shared" ca="1" si="183"/>
        <v>1.8675330325593942</v>
      </c>
      <c r="BC132" s="134">
        <f t="shared" ca="1" si="183"/>
        <v>0.51430330453537021</v>
      </c>
      <c r="BD132" s="133">
        <f t="shared" ca="1" si="183"/>
        <v>1.5150594035062945</v>
      </c>
      <c r="BE132" s="133">
        <f ca="1">IF(OR(INDEX(SP_CFA_CFO_BeforeWC,0,COLUMN())&lt;=0,BD80&lt;=0),"NMF",IF(ABS((INDEX(SP_CFA_CFO_BeforeWC,0,COLUMN())/INDEX(SP_CS_ShareCount,0,COLUMN()))/(BD80/BD5)-1)&gt;10,"NMF",(INDEX(SP_CFA_CFO_BeforeWC,0,COLUMN())/INDEX(SP_CS_ShareCount,0,COLUMN()))/(BD80/BD5)-1))</f>
        <v>0.22267553584621513</v>
      </c>
      <c r="BF132" s="133">
        <f ca="1">IF(OR(INDEX(SP_CFA_CFO_BeforeWC,0,COLUMN())&lt;=0,BE80&lt;=0),"NMF",IF(ABS((INDEX(SP_CFA_CFO_BeforeWC,0,COLUMN())/INDEX(SP_CS_ShareCount,0,COLUMN()))/(BE80/BE5)-1)&gt;10,"NMF",(INDEX(SP_CFA_CFO_BeforeWC,0,COLUMN())/INDEX(SP_CS_ShareCount,0,COLUMN()))/(BE80/BE5)-1))</f>
        <v>6.3671099235360629E-2</v>
      </c>
      <c r="BG132" s="133">
        <f ca="1">IF(OR(INDEX(SP_CFA_CFO_BeforeWC,0,COLUMN())&lt;=0,BF80&lt;=0),"NMF",IF(ABS((INDEX(SP_CFA_CFO_BeforeWC,0,COLUMN())/INDEX(SP_CS_ShareCount,0,COLUMN()))/(BF80/BF5)-1)&gt;10,"NMF",(INDEX(SP_CFA_CFO_BeforeWC,0,COLUMN())/INDEX(SP_CS_ShareCount,0,COLUMN()))/(BF80/BF5)-1))</f>
        <v>5.1856451870665676E-2</v>
      </c>
      <c r="BH132" s="254"/>
    </row>
    <row r="133" spans="1:60" s="380" customFormat="1" x14ac:dyDescent="0.25">
      <c r="A133" s="265" t="s">
        <v>464</v>
      </c>
      <c r="B133" s="245"/>
      <c r="C133" s="133"/>
      <c r="D133" s="133">
        <f>IF(OR(INDEX(SP_CFA_FCF_PreDiv,0,COLUMN())&lt;=0,C82&lt;=0),"NMF",IF(ABS((INDEX(SP_CFA_FCF_PreDiv,0,COLUMN())/INDEX(SP_CS_ShareCount,0,COLUMN()))/(C82/C5)-1)&gt;10,"NMF",(INDEX(SP_CFA_FCF_PreDiv,0,COLUMN())/INDEX(SP_CS_ShareCount,0,COLUMN()))/(C82/C5)-1))</f>
        <v>0.13291807788171206</v>
      </c>
      <c r="E133" s="133">
        <f>IF(OR(INDEX(SP_CFA_FCF_PreDiv,0,COLUMN())&lt;=0,D82&lt;=0),"NMF",IF(ABS((INDEX(SP_CFA_FCF_PreDiv,0,COLUMN())/INDEX(SP_CS_ShareCount,0,COLUMN()))/(D82/D5)-1)&gt;10,"NMF",(INDEX(SP_CFA_FCF_PreDiv,0,COLUMN())/INDEX(SP_CS_ShareCount,0,COLUMN()))/(D82/D5)-1))</f>
        <v>-1.4058991241319485E-2</v>
      </c>
      <c r="F133" s="133">
        <f>IF(OR(INDEX(SP_CFA_FCF_PreDiv,0,COLUMN())&lt;=0,E82&lt;=0),"NMF",IF(ABS((INDEX(SP_CFA_FCF_PreDiv,0,COLUMN())/INDEX(SP_CS_ShareCount,0,COLUMN()))/(E82/E5)-1)&gt;10,"NMF",(INDEX(SP_CFA_FCF_PreDiv,0,COLUMN())/INDEX(SP_CS_ShareCount,0,COLUMN()))/(E82/E5)-1))</f>
        <v>0.21052471447407095</v>
      </c>
      <c r="G133" s="134"/>
      <c r="H133" s="134"/>
      <c r="I133" s="134"/>
      <c r="J133" s="134"/>
      <c r="K133" s="133">
        <f t="shared" ref="K133:BD133" si="184">IF(OR(INDEX(SP_CFA_FCF_PreDiv,0,COLUMN())&lt;=0,F82&lt;=0),"NMF",IF(ABS((INDEX(SP_CFA_FCF_PreDiv,0,COLUMN())/INDEX(SP_CS_ShareCount,0,COLUMN()))/(F82/F5)-1)&gt;10,"NMF",(INDEX(SP_CFA_FCF_PreDiv,0,COLUMN())/INDEX(SP_CS_ShareCount,0,COLUMN()))/(F82/F5)-1))</f>
        <v>0.24617338439776204</v>
      </c>
      <c r="L133" s="134">
        <f t="shared" si="184"/>
        <v>0.35082631891959948</v>
      </c>
      <c r="M133" s="134">
        <f t="shared" si="184"/>
        <v>0.32217222344697616</v>
      </c>
      <c r="N133" s="134">
        <f t="shared" si="184"/>
        <v>-0.2269049641699129</v>
      </c>
      <c r="O133" s="134">
        <f t="shared" si="184"/>
        <v>0.15242684381474625</v>
      </c>
      <c r="P133" s="133">
        <f t="shared" si="184"/>
        <v>6.026914665368599E-2</v>
      </c>
      <c r="Q133" s="134">
        <f t="shared" si="184"/>
        <v>0.87970492851250182</v>
      </c>
      <c r="R133" s="134">
        <f t="shared" si="184"/>
        <v>3.0222590229409096E-2</v>
      </c>
      <c r="S133" s="134">
        <f t="shared" si="184"/>
        <v>-0.38968534625433182</v>
      </c>
      <c r="T133" s="134">
        <f t="shared" si="184"/>
        <v>-0.30321434702335703</v>
      </c>
      <c r="U133" s="133">
        <f t="shared" si="184"/>
        <v>-5.2501790524245306E-3</v>
      </c>
      <c r="V133" s="134">
        <f t="shared" si="184"/>
        <v>0.36674209792837198</v>
      </c>
      <c r="W133" s="134">
        <f t="shared" si="184"/>
        <v>-0.11839756339179541</v>
      </c>
      <c r="X133" s="134">
        <f t="shared" si="184"/>
        <v>1.1719636773473714</v>
      </c>
      <c r="Y133" s="134">
        <f t="shared" si="184"/>
        <v>0.95425838302099164</v>
      </c>
      <c r="Z133" s="133">
        <f t="shared" si="184"/>
        <v>0.49516303719253041</v>
      </c>
      <c r="AA133" s="134">
        <f t="shared" si="184"/>
        <v>-0.10165730044847432</v>
      </c>
      <c r="AB133" s="134">
        <f t="shared" si="184"/>
        <v>0.41856995493493776</v>
      </c>
      <c r="AC133" s="134">
        <f t="shared" si="184"/>
        <v>4.803314069083453E-2</v>
      </c>
      <c r="AD133" s="134">
        <f t="shared" si="184"/>
        <v>-0.25452647492890823</v>
      </c>
      <c r="AE133" s="133">
        <f t="shared" si="184"/>
        <v>-1.8268343436662171E-2</v>
      </c>
      <c r="AF133" s="134">
        <f t="shared" si="184"/>
        <v>6.6405974194837958E-2</v>
      </c>
      <c r="AG133" s="134">
        <f t="shared" si="184"/>
        <v>0.46076849852093726</v>
      </c>
      <c r="AH133" s="134">
        <f t="shared" si="184"/>
        <v>0.28872110041177135</v>
      </c>
      <c r="AI133" s="134">
        <f t="shared" si="184"/>
        <v>0.36116269235719134</v>
      </c>
      <c r="AJ133" s="133">
        <f t="shared" si="184"/>
        <v>0.26495576325204917</v>
      </c>
      <c r="AK133" s="134">
        <f t="shared" si="184"/>
        <v>7.9032093330965392E-2</v>
      </c>
      <c r="AL133" s="134">
        <f t="shared" si="184"/>
        <v>-0.39542565437165311</v>
      </c>
      <c r="AM133" s="134">
        <f t="shared" si="184"/>
        <v>-0.17473969503225573</v>
      </c>
      <c r="AN133" s="134" t="str">
        <f t="shared" si="184"/>
        <v>NMF</v>
      </c>
      <c r="AO133" s="133">
        <f t="shared" si="184"/>
        <v>-0.42743025775042365</v>
      </c>
      <c r="AP133" s="134">
        <f t="shared" si="184"/>
        <v>-0.26084136919866907</v>
      </c>
      <c r="AQ133" s="134" t="str">
        <f t="shared" si="184"/>
        <v>NMF</v>
      </c>
      <c r="AR133" s="134" t="str">
        <f t="shared" si="184"/>
        <v>NMF</v>
      </c>
      <c r="AS133" s="134" t="str">
        <f t="shared" si="184"/>
        <v>NMF</v>
      </c>
      <c r="AT133" s="133">
        <f t="shared" si="184"/>
        <v>-0.42149441791091724</v>
      </c>
      <c r="AU133" s="134">
        <f t="shared" si="184"/>
        <v>-0.50146540239793125</v>
      </c>
      <c r="AV133" s="134" t="str">
        <f t="shared" si="184"/>
        <v>NMF</v>
      </c>
      <c r="AW133" s="721" t="str">
        <f>IF(OR(INDEX(SP_CFA_FCF_PreDiv,0,COLUMN())&lt;=0,AR82&lt;=0),"NMF",IF(ABS((INDEX(SP_CFA_FCF_PreDiv,0,COLUMN())/INDEX(SP_CS_ShareCount,0,COLUMN()))/(AR82/AR5)-1)&gt;10,"NMF",(INDEX(SP_CFA_FCF_PreDiv,0,COLUMN())/INDEX(SP_CS_ShareCount,0,COLUMN()))/(AR82/AR5)-1))</f>
        <v>NMF</v>
      </c>
      <c r="AX133" s="134">
        <f t="shared" ca="1" si="184"/>
        <v>-0.1300352914475128</v>
      </c>
      <c r="AY133" s="133">
        <f t="shared" ca="1" si="184"/>
        <v>-0.48136804649303055</v>
      </c>
      <c r="AZ133" s="134">
        <f t="shared" ca="1" si="184"/>
        <v>0.90310248372602508</v>
      </c>
      <c r="BA133" s="134" t="str">
        <f t="shared" ca="1" si="184"/>
        <v>NMF</v>
      </c>
      <c r="BB133" s="134">
        <f t="shared" ca="1" si="184"/>
        <v>7.918112336292376</v>
      </c>
      <c r="BC133" s="134">
        <f t="shared" ca="1" si="184"/>
        <v>0.51035224372735799</v>
      </c>
      <c r="BD133" s="133">
        <f t="shared" ca="1" si="184"/>
        <v>3.0789785292151013</v>
      </c>
      <c r="BE133" s="133">
        <f ca="1">IF(OR(INDEX(SP_CFA_FCF_PreDiv,0,COLUMN())&lt;=0,BD82&lt;=0),"NMF",IF(ABS((INDEX(SP_CFA_FCF_PreDiv,0,COLUMN())/INDEX(SP_CS_ShareCount,0,COLUMN()))/(BD82/BD5)-1)&gt;10,"NMF",(INDEX(SP_CFA_FCF_PreDiv,0,COLUMN())/INDEX(SP_CS_ShareCount,0,COLUMN()))/(BD82/BD5)-1))</f>
        <v>0.33699801995938983</v>
      </c>
      <c r="BF133" s="133">
        <f ca="1">IF(OR(INDEX(SP_CFA_FCF_PreDiv,0,COLUMN())&lt;=0,BE82&lt;=0),"NMF",IF(ABS((INDEX(SP_CFA_FCF_PreDiv,0,COLUMN())/INDEX(SP_CS_ShareCount,0,COLUMN()))/(BE82/BE5)-1)&gt;10,"NMF",(INDEX(SP_CFA_FCF_PreDiv,0,COLUMN())/INDEX(SP_CS_ShareCount,0,COLUMN()))/(BE82/BE5)-1))</f>
        <v>8.8120641352471329E-2</v>
      </c>
      <c r="BG133" s="133">
        <f ca="1">IF(OR(INDEX(SP_CFA_FCF_PreDiv,0,COLUMN())&lt;=0,BF82&lt;=0),"NMF",IF(ABS((INDEX(SP_CFA_FCF_PreDiv,0,COLUMN())/INDEX(SP_CS_ShareCount,0,COLUMN()))/(BF82/BF5)-1)&gt;10,"NMF",(INDEX(SP_CFA_FCF_PreDiv,0,COLUMN())/INDEX(SP_CS_ShareCount,0,COLUMN()))/(BF82/BF5)-1))</f>
        <v>7.0156580054539841E-2</v>
      </c>
      <c r="BH133" s="254"/>
    </row>
    <row r="134" spans="1:60" s="374" customFormat="1" x14ac:dyDescent="0.25">
      <c r="A134" s="239"/>
      <c r="B134" s="244"/>
      <c r="C134" s="1009"/>
      <c r="D134" s="1009"/>
      <c r="E134" s="1009"/>
      <c r="F134" s="1009"/>
      <c r="G134" s="1010"/>
      <c r="H134" s="1010"/>
      <c r="I134" s="1010"/>
      <c r="J134" s="1010"/>
      <c r="K134" s="1009"/>
      <c r="L134" s="1010"/>
      <c r="M134" s="1010"/>
      <c r="N134" s="1010"/>
      <c r="O134" s="1010"/>
      <c r="P134" s="1009"/>
      <c r="Q134" s="1010"/>
      <c r="R134" s="1010"/>
      <c r="S134" s="1010"/>
      <c r="T134" s="1010"/>
      <c r="U134" s="1009"/>
      <c r="V134" s="1010"/>
      <c r="W134" s="1010"/>
      <c r="X134" s="1010"/>
      <c r="Y134" s="1010"/>
      <c r="Z134" s="1009"/>
      <c r="AA134" s="1010"/>
      <c r="AB134" s="1010"/>
      <c r="AC134" s="1010"/>
      <c r="AD134" s="1010"/>
      <c r="AE134" s="1009"/>
      <c r="AF134" s="1010"/>
      <c r="AG134" s="1010"/>
      <c r="AH134" s="1010"/>
      <c r="AI134" s="1010"/>
      <c r="AJ134" s="1009"/>
      <c r="AK134" s="1010"/>
      <c r="AL134" s="1010"/>
      <c r="AM134" s="1010"/>
      <c r="AN134" s="1010"/>
      <c r="AO134" s="1009"/>
      <c r="AP134" s="1010"/>
      <c r="AQ134" s="1010"/>
      <c r="AR134" s="1010"/>
      <c r="AS134" s="1010"/>
      <c r="AT134" s="1009"/>
      <c r="AU134" s="1010"/>
      <c r="AV134" s="1010"/>
      <c r="AW134" s="1011"/>
      <c r="AX134" s="1010"/>
      <c r="AY134" s="1009"/>
      <c r="AZ134" s="1010"/>
      <c r="BA134" s="1010"/>
      <c r="BB134" s="1010"/>
      <c r="BC134" s="1010"/>
      <c r="BD134" s="1009"/>
      <c r="BE134" s="1009"/>
      <c r="BF134" s="1009"/>
      <c r="BG134" s="1009"/>
      <c r="BH134" s="961"/>
    </row>
    <row r="135" spans="1:60" s="374" customFormat="1" x14ac:dyDescent="0.25">
      <c r="A135" s="173" t="s">
        <v>465</v>
      </c>
      <c r="B135" s="962"/>
      <c r="C135" s="1012"/>
      <c r="D135" s="1012"/>
      <c r="E135" s="1012"/>
      <c r="F135" s="1012"/>
      <c r="G135" s="1012"/>
      <c r="H135" s="1012"/>
      <c r="I135" s="1012"/>
      <c r="J135" s="1012"/>
      <c r="K135" s="1012"/>
      <c r="L135" s="1012"/>
      <c r="M135" s="1012"/>
      <c r="N135" s="1012"/>
      <c r="O135" s="1012"/>
      <c r="P135" s="1012"/>
      <c r="Q135" s="1012"/>
      <c r="R135" s="1012"/>
      <c r="S135" s="1012"/>
      <c r="T135" s="1012"/>
      <c r="U135" s="1012"/>
      <c r="V135" s="1012"/>
      <c r="W135" s="1012"/>
      <c r="X135" s="1012"/>
      <c r="Y135" s="1012"/>
      <c r="Z135" s="1012"/>
      <c r="AA135" s="1012"/>
      <c r="AB135" s="1012"/>
      <c r="AC135" s="1012"/>
      <c r="AD135" s="1012"/>
      <c r="AE135" s="1012"/>
      <c r="AF135" s="1012"/>
      <c r="AG135" s="1012"/>
      <c r="AH135" s="1012"/>
      <c r="AI135" s="1012"/>
      <c r="AJ135" s="1012"/>
      <c r="AK135" s="1012"/>
      <c r="AL135" s="1012"/>
      <c r="AM135" s="1012"/>
      <c r="AN135" s="1012"/>
      <c r="AO135" s="1012"/>
      <c r="AP135" s="1012"/>
      <c r="AQ135" s="1012"/>
      <c r="AR135" s="1012"/>
      <c r="AS135" s="1012"/>
      <c r="AT135" s="1012"/>
      <c r="AU135" s="1012"/>
      <c r="AV135" s="1012"/>
      <c r="AW135" s="1013"/>
      <c r="AX135" s="1012"/>
      <c r="AY135" s="1012"/>
      <c r="AZ135" s="1012"/>
      <c r="BA135" s="1012"/>
      <c r="BB135" s="1012"/>
      <c r="BC135" s="1012"/>
      <c r="BD135" s="1012"/>
      <c r="BE135" s="1012"/>
      <c r="BF135" s="1012"/>
      <c r="BG135" s="1012"/>
      <c r="BH135" s="963"/>
    </row>
    <row r="136" spans="1:60" s="385" customFormat="1" x14ac:dyDescent="0.25">
      <c r="A136" s="266" t="str">
        <f>"P/E - "&amp;SP.ValuationToggle</f>
        <v>P/E - Avg</v>
      </c>
      <c r="B136" s="267"/>
      <c r="C136" s="144">
        <f ca="1">INDEX(SP_CS_StockPrice,0,COLUMN())/INDEX(SP_NGF_EPS,0,COLUMN())</f>
        <v>12.754057610761807</v>
      </c>
      <c r="D136" s="144">
        <f ca="1">INDEX(SP_CS_StockPrice,0,COLUMN())/INDEX(SP_NGF_EPS,0,COLUMN())</f>
        <v>15.64010794571533</v>
      </c>
      <c r="E136" s="144">
        <f ca="1">INDEX(SP_CS_StockPrice,0,COLUMN())/INDEX(SP_NGF_EPS,0,COLUMN())</f>
        <v>12.782831339599353</v>
      </c>
      <c r="F136" s="144">
        <f ca="1">INDEX(SP_CS_StockPrice,0,COLUMN())/INDEX(SP_NGF_EPS,0,COLUMN())</f>
        <v>13.803606995973386</v>
      </c>
      <c r="G136" s="145"/>
      <c r="H136" s="145"/>
      <c r="I136" s="145"/>
      <c r="J136" s="145"/>
      <c r="K136" s="144">
        <f ca="1">INDEX(SP_CS_StockPrice,0,COLUMN())/INDEX(SP_NGF_EPS,0,COLUMN())</f>
        <v>16.93039439374185</v>
      </c>
      <c r="L136" s="145"/>
      <c r="M136" s="145"/>
      <c r="N136" s="145"/>
      <c r="O136" s="145"/>
      <c r="P136" s="144">
        <f ca="1">INDEX(SP_CS_StockPrice,0,COLUMN())/INDEX(SP_NGF_EPS,0,COLUMN())</f>
        <v>18.199825084729721</v>
      </c>
      <c r="Q136" s="145"/>
      <c r="R136" s="145"/>
      <c r="S136" s="145"/>
      <c r="T136" s="145"/>
      <c r="U136" s="144">
        <f ca="1">INDEX(SP_CS_StockPrice,0,COLUMN())/INDEX(SP_NGF_EPS,0,COLUMN())</f>
        <v>19.508217782444589</v>
      </c>
      <c r="V136" s="145"/>
      <c r="W136" s="146"/>
      <c r="X136" s="146"/>
      <c r="Y136" s="146"/>
      <c r="Z136" s="144">
        <f ca="1">INDEX(SP_CS_StockPrice,0,COLUMN())/INDEX(SP_NGF_EPS,0,COLUMN())</f>
        <v>17.62304258523821</v>
      </c>
      <c r="AA136" s="146"/>
      <c r="AB136" s="146"/>
      <c r="AC136" s="146"/>
      <c r="AD136" s="146"/>
      <c r="AE136" s="144">
        <f ca="1">INDEX(SP_CS_StockPrice,0,COLUMN())/INDEX(SP_NGF_EPS,0,COLUMN())</f>
        <v>18.45810480025078</v>
      </c>
      <c r="AF136" s="146"/>
      <c r="AG136" s="146"/>
      <c r="AH136" s="146"/>
      <c r="AI136" s="146"/>
      <c r="AJ136" s="144">
        <f ca="1">INDEX(SP_CS_StockPrice,0,COLUMN())/INDEX(SP_NGF_EPS,0,COLUMN())</f>
        <v>14.704603030407464</v>
      </c>
      <c r="AK136" s="146"/>
      <c r="AL136" s="146"/>
      <c r="AM136" s="146"/>
      <c r="AN136" s="146"/>
      <c r="AO136" s="144">
        <f ca="1">INDEX(SP_CS_StockPrice,0,COLUMN())/INDEX(SP_NGF_EPS,0,COLUMN())</f>
        <v>21.506636252429303</v>
      </c>
      <c r="AP136" s="146"/>
      <c r="AQ136" s="146"/>
      <c r="AR136" s="146"/>
      <c r="AS136" s="146"/>
      <c r="AT136" s="144">
        <f ca="1">INDEX(SP_CS_StockPrice,0,COLUMN())/INDEX(SP_NGF_EPS,0,COLUMN())</f>
        <v>61.968194323905593</v>
      </c>
      <c r="AU136" s="146"/>
      <c r="AV136" s="146"/>
      <c r="AW136" s="727"/>
      <c r="AX136" s="146"/>
      <c r="AY136" s="144">
        <f ca="1">INDEX(SP_CS_StockPrice,0,COLUMN())/INDEX(SP_NGF_EPS,0,COLUMN())</f>
        <v>66.041077269750474</v>
      </c>
      <c r="AZ136" s="146"/>
      <c r="BA136" s="146"/>
      <c r="BB136" s="146"/>
      <c r="BC136" s="146"/>
      <c r="BD136" s="144">
        <f ca="1">INDEX(SP_CS_StockPrice,0,COLUMN())/INDEX(SP_NGF_EPS,0,COLUMN())</f>
        <v>37.45599952376071</v>
      </c>
      <c r="BE136" s="144">
        <f ca="1">INDEX(SP_CS_StockPrice,0,COLUMN())/INDEX(SP_NGF_EPS,0,COLUMN())</f>
        <v>29.465898526981828</v>
      </c>
      <c r="BF136" s="144">
        <f ca="1">INDEX(SP_CS_StockPrice,0,COLUMN())/INDEX(SP_NGF_EPS,0,COLUMN())</f>
        <v>24.736775327544311</v>
      </c>
      <c r="BG136" s="144">
        <f ca="1">INDEX(SP_CS_StockPrice,0,COLUMN())/INDEX(SP_NGF_EPS,0,COLUMN())</f>
        <v>21.518784508900485</v>
      </c>
      <c r="BH136" s="146"/>
    </row>
    <row r="137" spans="1:60" s="385" customFormat="1" x14ac:dyDescent="0.25">
      <c r="A137" s="266" t="str">
        <f>"EV/EBITDA - "&amp;SP.ValuationToggle</f>
        <v>EV/EBITDA - Avg</v>
      </c>
      <c r="B137" s="267"/>
      <c r="C137" s="144">
        <f ca="1">INDEX(SP_CS_EV,0,COLUMN())/INDEX(SP_NGF_EBITDA,0,COLUMN())</f>
        <v>9.0108121492241668</v>
      </c>
      <c r="D137" s="144">
        <f ca="1">INDEX(SP_CS_EV,0,COLUMN())/INDEX(SP_NGF_EBITDA,0,COLUMN())</f>
        <v>10.50743641983982</v>
      </c>
      <c r="E137" s="144">
        <f ca="1">INDEX(SP_CS_EV,0,COLUMN())/INDEX(SP_NGF_EBITDA,0,COLUMN())</f>
        <v>9.1169086725987309</v>
      </c>
      <c r="F137" s="144">
        <f ca="1">INDEX(SP_CS_EV,0,COLUMN())/INDEX(SP_NGF_EBITDA,0,COLUMN())</f>
        <v>9.7130188221335345</v>
      </c>
      <c r="G137" s="145"/>
      <c r="H137" s="145"/>
      <c r="I137" s="145"/>
      <c r="J137" s="145"/>
      <c r="K137" s="144">
        <f ca="1">INDEX(SP_CS_EV,0,COLUMN())/INDEX(SP_NGF_EBITDA,0,COLUMN())</f>
        <v>9.7113002324809035</v>
      </c>
      <c r="L137" s="145"/>
      <c r="M137" s="145"/>
      <c r="N137" s="145"/>
      <c r="O137" s="145"/>
      <c r="P137" s="144">
        <f ca="1">INDEX(SP_CS_EV,0,COLUMN())/INDEX(SP_NGF_EBITDA,0,COLUMN())</f>
        <v>10.749627528800225</v>
      </c>
      <c r="Q137" s="145"/>
      <c r="R137" s="145"/>
      <c r="S137" s="145"/>
      <c r="T137" s="145"/>
      <c r="U137" s="144">
        <f ca="1">INDEX(SP_CS_EV,0,COLUMN())/INDEX(SP_NGF_EBITDA,0,COLUMN())</f>
        <v>11.824478827870903</v>
      </c>
      <c r="V137" s="145"/>
      <c r="W137" s="146"/>
      <c r="X137" s="146"/>
      <c r="Y137" s="146"/>
      <c r="Z137" s="144">
        <f ca="1">INDEX(SP_CS_EV,0,COLUMN())/INDEX(SP_NGF_EBITDA,0,COLUMN())</f>
        <v>10.697253805417294</v>
      </c>
      <c r="AA137" s="146"/>
      <c r="AB137" s="146"/>
      <c r="AC137" s="146"/>
      <c r="AD137" s="146"/>
      <c r="AE137" s="144">
        <f ca="1">INDEX(SP_CS_EV,0,COLUMN())/INDEX(SP_NGF_EBITDA,0,COLUMN())</f>
        <v>11.287916446324695</v>
      </c>
      <c r="AF137" s="146"/>
      <c r="AG137" s="146"/>
      <c r="AH137" s="146"/>
      <c r="AI137" s="146"/>
      <c r="AJ137" s="144">
        <f ca="1">INDEX(SP_CS_EV,0,COLUMN())/INDEX(SP_NGF_EBITDA,0,COLUMN())</f>
        <v>9.8012717458219658</v>
      </c>
      <c r="AK137" s="146"/>
      <c r="AL137" s="146"/>
      <c r="AM137" s="146"/>
      <c r="AN137" s="146"/>
      <c r="AO137" s="144">
        <f ca="1">INDEX(SP_CS_EV,0,COLUMN())/INDEX(SP_NGF_EBITDA,0,COLUMN())</f>
        <v>15.697886716499594</v>
      </c>
      <c r="AP137" s="146"/>
      <c r="AQ137" s="146"/>
      <c r="AR137" s="146"/>
      <c r="AS137" s="146"/>
      <c r="AT137" s="144">
        <f ca="1">INDEX(SP_CS_EV,0,COLUMN())/INDEX(SP_NGF_EBITDA,0,COLUMN())</f>
        <v>29.110851814648161</v>
      </c>
      <c r="AU137" s="146"/>
      <c r="AV137" s="146"/>
      <c r="AW137" s="727"/>
      <c r="AX137" s="146"/>
      <c r="AY137" s="144">
        <f ca="1">INDEX(SP_CS_EV,0,COLUMN())/INDEX(SP_NGF_EBITDA,0,COLUMN())</f>
        <v>34.543740291613048</v>
      </c>
      <c r="AZ137" s="146"/>
      <c r="BA137" s="146"/>
      <c r="BB137" s="146"/>
      <c r="BC137" s="146"/>
      <c r="BD137" s="144">
        <f ca="1">INDEX(SP_CS_EV,0,COLUMN())/INDEX(SP_NGF_EBITDA,0,COLUMN())</f>
        <v>20.665929990014472</v>
      </c>
      <c r="BE137" s="144">
        <f ca="1">INDEX(SP_CS_EV,0,COLUMN())/INDEX(SP_NGF_EBITDA,0,COLUMN())</f>
        <v>16.384450756884242</v>
      </c>
      <c r="BF137" s="144">
        <f ca="1">INDEX(SP_CS_EV,0,COLUMN())/INDEX(SP_NGF_EBITDA,0,COLUMN())</f>
        <v>15.029387083796609</v>
      </c>
      <c r="BG137" s="144">
        <f ca="1">INDEX(SP_CS_EV,0,COLUMN())/INDEX(SP_NGF_EBITDA,0,COLUMN())</f>
        <v>13.884313000573568</v>
      </c>
      <c r="BH137" s="146"/>
    </row>
    <row r="138" spans="1:60" s="385" customFormat="1" x14ac:dyDescent="0.25">
      <c r="A138" s="266" t="str">
        <f>"P/CF - "&amp;SP.ValuationToggle</f>
        <v>P/CF - Avg</v>
      </c>
      <c r="B138" s="267"/>
      <c r="C138" s="144">
        <f ca="1">INDEX(SP_CS_StockPrice,0,COLUMN())/INDEX(SP_CFA_CFO_PerShare,0,COLUMN())</f>
        <v>7.5519480519480524</v>
      </c>
      <c r="D138" s="144">
        <f ca="1">INDEX(SP_CS_StockPrice,0,COLUMN())/INDEX(SP_CFA_CFO_PerShare,0,COLUMN())</f>
        <v>9.2344279661016948</v>
      </c>
      <c r="E138" s="144">
        <f ca="1">INDEX(SP_CS_StockPrice,0,COLUMN())/INDEX(SP_CFA_CFO_PerShare,0,COLUMN())</f>
        <v>7.6152857186769953</v>
      </c>
      <c r="F138" s="144">
        <f ca="1">INDEX(SP_CS_StockPrice,0,COLUMN())/INDEX(SP_CFA_CFO_PerShare,0,COLUMN())</f>
        <v>8.4935847962901629</v>
      </c>
      <c r="G138" s="145"/>
      <c r="H138" s="145"/>
      <c r="I138" s="145"/>
      <c r="J138" s="145"/>
      <c r="K138" s="144">
        <f ca="1">INDEX(SP_CS_StockPrice,0,COLUMN())/INDEX(SP_CFA_CFO_PerShare,0,COLUMN())</f>
        <v>11.111872927585837</v>
      </c>
      <c r="L138" s="145"/>
      <c r="M138" s="145"/>
      <c r="N138" s="145"/>
      <c r="O138" s="145"/>
      <c r="P138" s="144">
        <f ca="1">INDEX(SP_CS_StockPrice,0,COLUMN())/INDEX(SP_CFA_CFO_PerShare,0,COLUMN())</f>
        <v>13.772154546358934</v>
      </c>
      <c r="Q138" s="145"/>
      <c r="R138" s="145"/>
      <c r="S138" s="145"/>
      <c r="T138" s="145"/>
      <c r="U138" s="144">
        <f ca="1">INDEX(SP_CS_StockPrice,0,COLUMN())/INDEX(SP_CFA_CFO_PerShare,0,COLUMN())</f>
        <v>15.941815166975882</v>
      </c>
      <c r="V138" s="145"/>
      <c r="W138" s="146"/>
      <c r="X138" s="146"/>
      <c r="Y138" s="146"/>
      <c r="Z138" s="144">
        <f ca="1">INDEX(SP_CS_StockPrice,0,COLUMN())/INDEX(SP_CFA_CFO_PerShare,0,COLUMN())</f>
        <v>11.704509475735032</v>
      </c>
      <c r="AA138" s="146"/>
      <c r="AB138" s="146"/>
      <c r="AC138" s="146"/>
      <c r="AD138" s="146"/>
      <c r="AE138" s="144">
        <f ca="1">INDEX(SP_CS_StockPrice,0,COLUMN())/INDEX(SP_CFA_CFO_PerShare,0,COLUMN())</f>
        <v>13.333738858106479</v>
      </c>
      <c r="AF138" s="146"/>
      <c r="AG138" s="146"/>
      <c r="AH138" s="146"/>
      <c r="AI138" s="146"/>
      <c r="AJ138" s="144">
        <f ca="1">INDEX(SP_CS_StockPrice,0,COLUMN())/INDEX(SP_CFA_CFO_PerShare,0,COLUMN())</f>
        <v>10.367697456749831</v>
      </c>
      <c r="AK138" s="146"/>
      <c r="AL138" s="146"/>
      <c r="AM138" s="146"/>
      <c r="AN138" s="146"/>
      <c r="AO138" s="144">
        <f ca="1">INDEX(SP_CS_StockPrice,0,COLUMN())/INDEX(SP_CFA_CFO_PerShare,0,COLUMN())</f>
        <v>17.801346893129189</v>
      </c>
      <c r="AP138" s="146"/>
      <c r="AQ138" s="146"/>
      <c r="AR138" s="146"/>
      <c r="AS138" s="146"/>
      <c r="AT138" s="144">
        <f ca="1">INDEX(SP_CS_StockPrice,0,COLUMN())/INDEX(SP_CFA_CFO_PerShare,0,COLUMN())</f>
        <v>27.445136416506454</v>
      </c>
      <c r="AU138" s="146"/>
      <c r="AV138" s="146"/>
      <c r="AW138" s="727"/>
      <c r="AX138" s="146"/>
      <c r="AY138" s="144">
        <f ca="1">INDEX(SP_CS_StockPrice,0,COLUMN())/INDEX(SP_CFA_CFO_PerShare,0,COLUMN())</f>
        <v>57.633025590793821</v>
      </c>
      <c r="AZ138" s="146"/>
      <c r="BA138" s="146"/>
      <c r="BB138" s="146"/>
      <c r="BC138" s="146"/>
      <c r="BD138" s="144">
        <f ca="1">INDEX(SP_CS_StockPrice,0,COLUMN())/INDEX(SP_CFA_CFO_PerShare,0,COLUMN())</f>
        <v>22.915174691479045</v>
      </c>
      <c r="BE138" s="144">
        <f ca="1">INDEX(SP_CS_StockPrice,0,COLUMN())/INDEX(SP_CFA_CFO_PerShare,0,COLUMN())</f>
        <v>18.741828080840293</v>
      </c>
      <c r="BF138" s="144">
        <f ca="1">INDEX(SP_CS_StockPrice,0,COLUMN())/INDEX(SP_CFA_CFO_PerShare,0,COLUMN())</f>
        <v>17.619946705624695</v>
      </c>
      <c r="BG138" s="144">
        <f ca="1">INDEX(SP_CS_StockPrice,0,COLUMN())/INDEX(SP_CFA_CFO_PerShare,0,COLUMN())</f>
        <v>16.751284525838717</v>
      </c>
      <c r="BH138" s="146"/>
    </row>
    <row r="139" spans="1:60" s="380" customFormat="1" x14ac:dyDescent="0.25">
      <c r="A139" s="265" t="str">
        <f>"FCF Yield % to "&amp;SP.ValuationToggle&amp;" Market Cap"</f>
        <v>FCF Yield % to Avg Market Cap</v>
      </c>
      <c r="B139" s="245"/>
      <c r="C139" s="133">
        <f ca="1">INDEX(SP_CFA_FCF_PreDiv,0,COLUMN())/INDEX(SP_CS_MarketCap,0,COLUMN())</f>
        <v>9.2221266838635713E-2</v>
      </c>
      <c r="D139" s="133">
        <f ca="1">INDEX(SP_CFA_FCF_PreDiv,0,COLUMN())/INDEX(SP_CS_MarketCap,0,COLUMN())</f>
        <v>7.4904559581680019E-2</v>
      </c>
      <c r="E139" s="133">
        <f ca="1">INDEX(SP_CFA_FCF_PreDiv,0,COLUMN())/INDEX(SP_CS_MarketCap,0,COLUMN())</f>
        <v>7.3851477034586291E-2</v>
      </c>
      <c r="F139" s="133">
        <f ca="1">INDEX(SP_CFA_FCF_PreDiv,0,COLUMN())/INDEX(SP_CS_MarketCap,0,COLUMN())</f>
        <v>6.8546041038773473E-2</v>
      </c>
      <c r="G139" s="134"/>
      <c r="H139" s="134"/>
      <c r="I139" s="134"/>
      <c r="J139" s="134"/>
      <c r="K139" s="133">
        <f ca="1">INDEX(SP_CFA_FCF_PreDiv,0,COLUMN())/INDEX(SP_CS_MarketCap,0,COLUMN())</f>
        <v>6.3079427327744464E-2</v>
      </c>
      <c r="L139" s="134"/>
      <c r="M139" s="134"/>
      <c r="N139" s="134"/>
      <c r="O139" s="134"/>
      <c r="P139" s="133">
        <f ca="1">INDEX(SP_CFA_FCF_PreDiv,0,COLUMN())/INDEX(SP_CS_MarketCap,0,COLUMN())</f>
        <v>4.8693384256842324E-2</v>
      </c>
      <c r="Q139" s="134"/>
      <c r="R139" s="134"/>
      <c r="S139" s="134"/>
      <c r="T139" s="134"/>
      <c r="U139" s="133">
        <f ca="1">INDEX(SP_CFA_FCF_PreDiv,0,COLUMN())/INDEX(SP_CS_MarketCap,0,COLUMN())</f>
        <v>3.7910358353699478E-2</v>
      </c>
      <c r="V139" s="134"/>
      <c r="W139" s="134"/>
      <c r="X139" s="134"/>
      <c r="Y139" s="134"/>
      <c r="Z139" s="133">
        <f ca="1">INDEX(SP_CFA_FCF_PreDiv,0,COLUMN())/INDEX(SP_CS_MarketCap,0,COLUMN())</f>
        <v>5.6546504411631379E-2</v>
      </c>
      <c r="AA139" s="134"/>
      <c r="AB139" s="134"/>
      <c r="AC139" s="134"/>
      <c r="AD139" s="134"/>
      <c r="AE139" s="133">
        <f ca="1">IFERROR(INDEX(SP_CFA_FCF_PreDiv,0,COLUMN())/INDEX(SP_CS_MarketCap,0,COLUMN()),"n/a")</f>
        <v>5.3178339251907847E-2</v>
      </c>
      <c r="AF139" s="134"/>
      <c r="AG139" s="134"/>
      <c r="AH139" s="134"/>
      <c r="AI139" s="134"/>
      <c r="AJ139" s="133">
        <f ca="1">IFERROR(INDEX(SP_CFA_FCF_PreDiv,0,COLUMN())/INDEX(SP_CS_MarketCap,0,COLUMN()),"n/a")</f>
        <v>6.7992912863826846E-2</v>
      </c>
      <c r="AK139" s="134"/>
      <c r="AL139" s="134"/>
      <c r="AM139" s="134"/>
      <c r="AN139" s="134"/>
      <c r="AO139" s="133">
        <f ca="1">IFERROR(INDEX(SP_CFA_FCF_PreDiv,0,COLUMN())/INDEX(SP_CS_MarketCap,0,COLUMN()),"n/a")</f>
        <v>3.2619293256134663E-2</v>
      </c>
      <c r="AP139" s="134"/>
      <c r="AQ139" s="134"/>
      <c r="AR139" s="134"/>
      <c r="AS139" s="134"/>
      <c r="AT139" s="133">
        <f ca="1">IFERROR(INDEX(SP_CFA_FCF_PreDiv,0,COLUMN())/INDEX(SP_CS_MarketCap,0,COLUMN()),"n/a")</f>
        <v>1.8696718987292124E-2</v>
      </c>
      <c r="AU139" s="134"/>
      <c r="AV139" s="134"/>
      <c r="AW139" s="721"/>
      <c r="AX139" s="134"/>
      <c r="AY139" s="133">
        <f ca="1">INDEX(SP_CFA_FCF_PreDiv,0,COLUMN())/INDEX(SP_CS_MarketCap,0,COLUMN())</f>
        <v>7.0692048251080651E-3</v>
      </c>
      <c r="AZ139" s="134"/>
      <c r="BA139" s="134"/>
      <c r="BB139" s="134"/>
      <c r="BC139" s="134"/>
      <c r="BD139" s="133">
        <f ca="1">INDEX(SP_CFA_FCF_PreDiv,0,COLUMN())/INDEX(SP_CS_MarketCap,0,COLUMN())</f>
        <v>2.883513470023959E-2</v>
      </c>
      <c r="BE139" s="133">
        <f ca="1">INDEX(SP_CFA_FCF_PreDiv,0,COLUMN())/INDEX(SP_CS_MarketCap,0,COLUMN())</f>
        <v>3.8552517999482623E-2</v>
      </c>
      <c r="BF139" s="133">
        <f ca="1">INDEX(SP_CFA_FCF_PreDiv,0,COLUMN())/INDEX(SP_CS_MarketCap,0,COLUMN())</f>
        <v>4.1949790611349735E-2</v>
      </c>
      <c r="BG139" s="133">
        <f ca="1">INDEX(SP_CFA_FCF_PreDiv,0,COLUMN())/INDEX(SP_CS_MarketCap,0,COLUMN())</f>
        <v>4.4892844454646079E-2</v>
      </c>
      <c r="BH139" s="254"/>
    </row>
    <row r="140" spans="1:60" s="380" customFormat="1" x14ac:dyDescent="0.25">
      <c r="A140" s="265" t="str">
        <f>"FCF Yield % to "&amp;SP.ValuationToggle&amp;" Enterprise Value"</f>
        <v>FCF Yield % to Avg Enterprise Value</v>
      </c>
      <c r="B140" s="245"/>
      <c r="C140" s="133">
        <f ca="1">INDEX(SP_CFA_FCF_PreDiv,0,COLUMN())/INDEX(SP_CS_EV,0,COLUMN())</f>
        <v>7.3679871765514077E-2</v>
      </c>
      <c r="D140" s="133">
        <f ca="1">INDEX(SP_CFA_FCF_PreDiv,0,COLUMN())/INDEX(SP_CS_EV,0,COLUMN())</f>
        <v>6.3304490386483003E-2</v>
      </c>
      <c r="E140" s="133">
        <f ca="1">INDEX(SP_CFA_FCF_PreDiv,0,COLUMN())/INDEX(SP_CS_EV,0,COLUMN())</f>
        <v>6.1153723350429207E-2</v>
      </c>
      <c r="F140" s="133">
        <f ca="1">INDEX(SP_CFA_FCF_PreDiv,0,COLUMN())/INDEX(SP_CS_EV,0,COLUMN())</f>
        <v>5.8556749366368614E-2</v>
      </c>
      <c r="G140" s="134"/>
      <c r="H140" s="134"/>
      <c r="I140" s="134"/>
      <c r="J140" s="134"/>
      <c r="K140" s="133">
        <f ca="1">INDEX(SP_CFA_FCF_PreDiv,0,COLUMN())/INDEX(SP_CS_EV,0,COLUMN())</f>
        <v>5.6026312617077724E-2</v>
      </c>
      <c r="L140" s="134"/>
      <c r="M140" s="134"/>
      <c r="N140" s="134"/>
      <c r="O140" s="134"/>
      <c r="P140" s="133">
        <f ca="1">INDEX(SP_CFA_FCF_PreDiv,0,COLUMN())/INDEX(SP_CS_EV,0,COLUMN())</f>
        <v>4.4049697612483188E-2</v>
      </c>
      <c r="Q140" s="134"/>
      <c r="R140" s="134"/>
      <c r="S140" s="134"/>
      <c r="T140" s="134"/>
      <c r="U140" s="133">
        <f ca="1">INDEX(SP_CFA_FCF_PreDiv,0,COLUMN())/INDEX(SP_CS_EV,0,COLUMN())</f>
        <v>3.4461824979499109E-2</v>
      </c>
      <c r="V140" s="134"/>
      <c r="W140" s="134"/>
      <c r="X140" s="134"/>
      <c r="Y140" s="134"/>
      <c r="Z140" s="133">
        <f ca="1">INDEX(SP_CFA_FCF_PreDiv,0,COLUMN())/INDEX(SP_CS_EV,0,COLUMN())</f>
        <v>5.0544521932082746E-2</v>
      </c>
      <c r="AA140" s="134"/>
      <c r="AB140" s="134"/>
      <c r="AC140" s="134"/>
      <c r="AD140" s="134"/>
      <c r="AE140" s="133">
        <f ca="1">INDEX(SP_CFA_FCF_PreDiv,0,COLUMN())/INDEX(SP_CS_EV,0,COLUMN())</f>
        <v>4.5963477514463794E-2</v>
      </c>
      <c r="AF140" s="134"/>
      <c r="AG140" s="134"/>
      <c r="AH140" s="134"/>
      <c r="AI140" s="134"/>
      <c r="AJ140" s="133">
        <f ca="1">INDEX(SP_CFA_FCF_PreDiv,0,COLUMN())/INDEX(SP_CS_EV,0,COLUMN())</f>
        <v>5.9663842740537432E-2</v>
      </c>
      <c r="AK140" s="134"/>
      <c r="AL140" s="134"/>
      <c r="AM140" s="134"/>
      <c r="AN140" s="134"/>
      <c r="AO140" s="133">
        <f ca="1">INDEX(SP_CFA_FCF_PreDiv,0,COLUMN())/INDEX(SP_CS_EV,0,COLUMN())</f>
        <v>2.5721898718649387E-2</v>
      </c>
      <c r="AP140" s="134"/>
      <c r="AQ140" s="134"/>
      <c r="AR140" s="134"/>
      <c r="AS140" s="134"/>
      <c r="AT140" s="133">
        <f ca="1">INDEX(SP_CFA_FCF_PreDiv,0,COLUMN())/INDEX(SP_CS_EV,0,COLUMN())</f>
        <v>1.5067860185815523E-2</v>
      </c>
      <c r="AU140" s="134"/>
      <c r="AV140" s="134"/>
      <c r="AW140" s="721"/>
      <c r="AX140" s="134"/>
      <c r="AY140" s="133">
        <f ca="1">INDEX(SP_CFA_FCF_PreDiv,0,COLUMN())/INDEX(SP_CS_EV,0,COLUMN())</f>
        <v>6.0556564604484506E-3</v>
      </c>
      <c r="AZ140" s="134"/>
      <c r="BA140" s="134"/>
      <c r="BB140" s="134"/>
      <c r="BC140" s="134"/>
      <c r="BD140" s="133">
        <f ca="1">INDEX(SP_CFA_FCF_PreDiv,0,COLUMN())/INDEX(SP_CS_EV,0,COLUMN())</f>
        <v>2.5028743132620351E-2</v>
      </c>
      <c r="BE140" s="133">
        <f ca="1">INDEX(SP_CFA_FCF_PreDiv,0,COLUMN())/INDEX(SP_CS_EV,0,COLUMN())</f>
        <v>3.4341936573604542E-2</v>
      </c>
      <c r="BF140" s="133">
        <f ca="1">INDEX(SP_CFA_FCF_PreDiv,0,COLUMN())/INDEX(SP_CS_EV,0,COLUMN())</f>
        <v>3.8487280152075455E-2</v>
      </c>
      <c r="BG140" s="133">
        <f ca="1">INDEX(SP_CFA_FCF_PreDiv,0,COLUMN())/INDEX(SP_CS_EV,0,COLUMN())</f>
        <v>4.258822841096508E-2</v>
      </c>
      <c r="BH140" s="254"/>
    </row>
    <row r="141" spans="1:60" s="380" customFormat="1" x14ac:dyDescent="0.25">
      <c r="A141" s="265"/>
      <c r="B141" s="245"/>
      <c r="C141" s="133"/>
      <c r="D141" s="133"/>
      <c r="E141" s="133"/>
      <c r="F141" s="133"/>
      <c r="G141" s="134"/>
      <c r="H141" s="134"/>
      <c r="I141" s="134"/>
      <c r="J141" s="134"/>
      <c r="K141" s="133"/>
      <c r="L141" s="134"/>
      <c r="M141" s="134"/>
      <c r="N141" s="134"/>
      <c r="O141" s="134"/>
      <c r="P141" s="133"/>
      <c r="Q141" s="134"/>
      <c r="R141" s="134"/>
      <c r="S141" s="134"/>
      <c r="T141" s="134"/>
      <c r="U141" s="133"/>
      <c r="V141" s="134"/>
      <c r="W141" s="134"/>
      <c r="X141" s="134"/>
      <c r="Y141" s="134"/>
      <c r="Z141" s="133"/>
      <c r="AA141" s="134"/>
      <c r="AB141" s="134"/>
      <c r="AC141" s="134"/>
      <c r="AD141" s="134"/>
      <c r="AE141" s="133"/>
      <c r="AF141" s="134"/>
      <c r="AG141" s="134"/>
      <c r="AH141" s="134"/>
      <c r="AI141" s="134"/>
      <c r="AJ141" s="133"/>
      <c r="AK141" s="134"/>
      <c r="AL141" s="134"/>
      <c r="AM141" s="134"/>
      <c r="AN141" s="134"/>
      <c r="AO141" s="133"/>
      <c r="AP141" s="134"/>
      <c r="AQ141" s="134"/>
      <c r="AR141" s="134"/>
      <c r="AS141" s="134"/>
      <c r="AT141" s="133"/>
      <c r="AU141" s="134"/>
      <c r="AV141" s="134"/>
      <c r="AW141" s="721"/>
      <c r="AX141" s="134"/>
      <c r="AY141" s="133"/>
      <c r="AZ141" s="134"/>
      <c r="BA141" s="134"/>
      <c r="BB141" s="134"/>
      <c r="BC141" s="134"/>
      <c r="BD141" s="133"/>
      <c r="BE141" s="133"/>
      <c r="BF141" s="133"/>
      <c r="BG141" s="133"/>
      <c r="BH141" s="254"/>
    </row>
    <row r="142" spans="1:60" s="374" customFormat="1" x14ac:dyDescent="0.25">
      <c r="A142" s="173" t="s">
        <v>466</v>
      </c>
      <c r="B142" s="962"/>
      <c r="C142" s="1012"/>
      <c r="D142" s="1012"/>
      <c r="E142" s="1012"/>
      <c r="F142" s="1012"/>
      <c r="G142" s="1012"/>
      <c r="H142" s="1012"/>
      <c r="I142" s="1012"/>
      <c r="J142" s="1012"/>
      <c r="K142" s="1012"/>
      <c r="L142" s="1012"/>
      <c r="M142" s="1012"/>
      <c r="N142" s="1012"/>
      <c r="O142" s="1012"/>
      <c r="P142" s="1012"/>
      <c r="Q142" s="1012"/>
      <c r="R142" s="1012"/>
      <c r="S142" s="1012"/>
      <c r="T142" s="1012"/>
      <c r="U142" s="1012"/>
      <c r="V142" s="1012"/>
      <c r="W142" s="1012"/>
      <c r="X142" s="1012"/>
      <c r="Y142" s="1012"/>
      <c r="Z142" s="1012"/>
      <c r="AA142" s="1012"/>
      <c r="AB142" s="1012"/>
      <c r="AC142" s="1012"/>
      <c r="AD142" s="1012"/>
      <c r="AE142" s="1012"/>
      <c r="AF142" s="1012"/>
      <c r="AG142" s="1012"/>
      <c r="AH142" s="1012"/>
      <c r="AI142" s="1012"/>
      <c r="AJ142" s="1012"/>
      <c r="AK142" s="1012"/>
      <c r="AL142" s="1012"/>
      <c r="AM142" s="1012"/>
      <c r="AN142" s="1012"/>
      <c r="AO142" s="1012"/>
      <c r="AP142" s="1012"/>
      <c r="AQ142" s="1012"/>
      <c r="AR142" s="1012"/>
      <c r="AS142" s="1012"/>
      <c r="AT142" s="1012"/>
      <c r="AU142" s="1012"/>
      <c r="AV142" s="1012"/>
      <c r="AW142" s="1013"/>
      <c r="AX142" s="1012"/>
      <c r="AY142" s="1012"/>
      <c r="AZ142" s="1012"/>
      <c r="BA142" s="1012"/>
      <c r="BB142" s="1012"/>
      <c r="BC142" s="1012"/>
      <c r="BD142" s="1012"/>
      <c r="BE142" s="1012"/>
      <c r="BF142" s="1012"/>
      <c r="BG142" s="1012"/>
      <c r="BH142" s="254"/>
    </row>
    <row r="143" spans="1:60" s="374" customFormat="1" hidden="1" outlineLevel="1" x14ac:dyDescent="0.25">
      <c r="A143" s="963" t="s">
        <v>467</v>
      </c>
      <c r="B143" s="268"/>
      <c r="C143" s="1007">
        <f t="shared" ref="C143:AH143" si="185">ROUND(INDEX(SP_NGF_EBITDA,0,COLUMN())-INDEX(MO_RIS_EBITDA_Adj,0,COLUMN()),6)</f>
        <v>0</v>
      </c>
      <c r="D143" s="1007">
        <f t="shared" si="185"/>
        <v>0</v>
      </c>
      <c r="E143" s="1007">
        <f t="shared" si="185"/>
        <v>0</v>
      </c>
      <c r="F143" s="1007">
        <f t="shared" si="185"/>
        <v>0</v>
      </c>
      <c r="G143" s="1007">
        <f t="shared" si="185"/>
        <v>0</v>
      </c>
      <c r="H143" s="1007">
        <f t="shared" si="185"/>
        <v>0</v>
      </c>
      <c r="I143" s="1007">
        <f t="shared" si="185"/>
        <v>0</v>
      </c>
      <c r="J143" s="1007">
        <f t="shared" si="185"/>
        <v>0</v>
      </c>
      <c r="K143" s="1007">
        <f t="shared" si="185"/>
        <v>0</v>
      </c>
      <c r="L143" s="1007">
        <f t="shared" si="185"/>
        <v>0</v>
      </c>
      <c r="M143" s="1007">
        <f t="shared" si="185"/>
        <v>0</v>
      </c>
      <c r="N143" s="1007">
        <f t="shared" si="185"/>
        <v>0</v>
      </c>
      <c r="O143" s="1007">
        <f t="shared" si="185"/>
        <v>0</v>
      </c>
      <c r="P143" s="1007">
        <f t="shared" si="185"/>
        <v>0</v>
      </c>
      <c r="Q143" s="1007">
        <f t="shared" si="185"/>
        <v>0</v>
      </c>
      <c r="R143" s="1007">
        <f t="shared" si="185"/>
        <v>0</v>
      </c>
      <c r="S143" s="1007">
        <f t="shared" si="185"/>
        <v>0</v>
      </c>
      <c r="T143" s="1007">
        <f t="shared" si="185"/>
        <v>0</v>
      </c>
      <c r="U143" s="1007">
        <f t="shared" si="185"/>
        <v>0</v>
      </c>
      <c r="V143" s="1007">
        <f t="shared" si="185"/>
        <v>0</v>
      </c>
      <c r="W143" s="1007">
        <f t="shared" si="185"/>
        <v>0</v>
      </c>
      <c r="X143" s="1007">
        <f t="shared" si="185"/>
        <v>0</v>
      </c>
      <c r="Y143" s="1007">
        <f t="shared" si="185"/>
        <v>0</v>
      </c>
      <c r="Z143" s="1007">
        <f t="shared" si="185"/>
        <v>0</v>
      </c>
      <c r="AA143" s="1007">
        <f t="shared" si="185"/>
        <v>0</v>
      </c>
      <c r="AB143" s="1007">
        <f t="shared" si="185"/>
        <v>0</v>
      </c>
      <c r="AC143" s="1007">
        <f t="shared" si="185"/>
        <v>0</v>
      </c>
      <c r="AD143" s="1007">
        <f t="shared" si="185"/>
        <v>0</v>
      </c>
      <c r="AE143" s="1007">
        <f t="shared" si="185"/>
        <v>0</v>
      </c>
      <c r="AF143" s="1007">
        <f t="shared" si="185"/>
        <v>0</v>
      </c>
      <c r="AG143" s="1007">
        <f t="shared" si="185"/>
        <v>0</v>
      </c>
      <c r="AH143" s="1007">
        <f t="shared" si="185"/>
        <v>0</v>
      </c>
      <c r="AI143" s="1007">
        <f t="shared" ref="AI143:AY143" si="186">ROUND(INDEX(SP_NGF_EBITDA,0,COLUMN())-INDEX(MO_RIS_EBITDA_Adj,0,COLUMN()),6)</f>
        <v>0</v>
      </c>
      <c r="AJ143" s="1007">
        <f t="shared" si="186"/>
        <v>0</v>
      </c>
      <c r="AK143" s="1007">
        <f t="shared" si="186"/>
        <v>0</v>
      </c>
      <c r="AL143" s="1007">
        <f t="shared" si="186"/>
        <v>0</v>
      </c>
      <c r="AM143" s="1007">
        <f t="shared" si="186"/>
        <v>0</v>
      </c>
      <c r="AN143" s="1007">
        <f t="shared" si="186"/>
        <v>0</v>
      </c>
      <c r="AO143" s="1007">
        <f t="shared" si="186"/>
        <v>0</v>
      </c>
      <c r="AP143" s="1007">
        <f t="shared" si="186"/>
        <v>0</v>
      </c>
      <c r="AQ143" s="1007">
        <f t="shared" si="186"/>
        <v>0</v>
      </c>
      <c r="AR143" s="1007">
        <f t="shared" si="186"/>
        <v>0</v>
      </c>
      <c r="AS143" s="1007">
        <f>ROUND(INDEX(SP_NGF_EBITDA,0,COLUMN())-INDEX(MO_RIS_EBITDA_Adj,0,COLUMN()),6)</f>
        <v>0</v>
      </c>
      <c r="AT143" s="1007">
        <f>ROUND(INDEX(SP_NGF_EBITDA,0,COLUMN())-INDEX(MO_RIS_EBITDA_Adj,0,COLUMN()),6)</f>
        <v>0</v>
      </c>
      <c r="AU143" s="1007">
        <f>ROUND(INDEX(SP_NGF_EBITDA,0,COLUMN())-INDEX(MO_RIS_EBITDA_Adj,0,COLUMN()),6)</f>
        <v>0</v>
      </c>
      <c r="AV143" s="1007">
        <f>ROUND(INDEX(SP_NGF_EBITDA,0,COLUMN())-INDEX(MO_RIS_EBITDA_Adj,0,COLUMN()),6)</f>
        <v>0</v>
      </c>
      <c r="AW143" s="1008">
        <f>ROUND(INDEX(SP_NGF_EBITDA,0,COLUMN())-INDEX(MO_RIS_EBITDA_Adj,0,COLUMN()),6)</f>
        <v>0</v>
      </c>
      <c r="AX143" s="1007">
        <f t="shared" si="186"/>
        <v>0</v>
      </c>
      <c r="AY143" s="1007">
        <f t="shared" si="186"/>
        <v>0</v>
      </c>
      <c r="AZ143" s="1007">
        <f t="shared" ref="AZ143:BG143" si="187">ROUND(INDEX(SP_NGF_EBITDA,0,COLUMN())-INDEX(MO_RIS_EBITDA_Adj,0,COLUMN()),6)</f>
        <v>0</v>
      </c>
      <c r="BA143" s="1007">
        <f t="shared" si="187"/>
        <v>0</v>
      </c>
      <c r="BB143" s="1007">
        <f t="shared" si="187"/>
        <v>0</v>
      </c>
      <c r="BC143" s="1007">
        <f t="shared" si="187"/>
        <v>0</v>
      </c>
      <c r="BD143" s="1007">
        <f t="shared" si="187"/>
        <v>0</v>
      </c>
      <c r="BE143" s="1007">
        <f t="shared" si="187"/>
        <v>0</v>
      </c>
      <c r="BF143" s="1007">
        <f t="shared" si="187"/>
        <v>0</v>
      </c>
      <c r="BG143" s="1007">
        <f t="shared" si="187"/>
        <v>0</v>
      </c>
      <c r="BH143" s="254"/>
    </row>
    <row r="144" spans="1:60" s="374" customFormat="1" hidden="1" outlineLevel="1" x14ac:dyDescent="0.25">
      <c r="A144" s="963" t="s">
        <v>468</v>
      </c>
      <c r="B144" s="268"/>
      <c r="C144" s="1007">
        <f t="shared" ref="C144:AH144" si="188">ROUND(INDEX(SP_NGF_NI,0,COLUMN())-INDEX(MO_RIS_NI_NONGAAP_Diluted,0,COLUMN()),6)</f>
        <v>0</v>
      </c>
      <c r="D144" s="1007">
        <f t="shared" si="188"/>
        <v>0</v>
      </c>
      <c r="E144" s="1007">
        <f t="shared" si="188"/>
        <v>0</v>
      </c>
      <c r="F144" s="1007">
        <f t="shared" si="188"/>
        <v>0</v>
      </c>
      <c r="G144" s="1007">
        <f t="shared" si="188"/>
        <v>0</v>
      </c>
      <c r="H144" s="1007">
        <f t="shared" si="188"/>
        <v>0</v>
      </c>
      <c r="I144" s="1007">
        <f t="shared" si="188"/>
        <v>0</v>
      </c>
      <c r="J144" s="1007">
        <f t="shared" si="188"/>
        <v>0</v>
      </c>
      <c r="K144" s="1007">
        <f t="shared" si="188"/>
        <v>0</v>
      </c>
      <c r="L144" s="1007">
        <f t="shared" si="188"/>
        <v>0</v>
      </c>
      <c r="M144" s="1007">
        <f t="shared" si="188"/>
        <v>0</v>
      </c>
      <c r="N144" s="1007">
        <f t="shared" si="188"/>
        <v>0</v>
      </c>
      <c r="O144" s="1007">
        <f t="shared" si="188"/>
        <v>0</v>
      </c>
      <c r="P144" s="1007">
        <f t="shared" si="188"/>
        <v>0</v>
      </c>
      <c r="Q144" s="1007">
        <f t="shared" si="188"/>
        <v>0</v>
      </c>
      <c r="R144" s="1007">
        <f t="shared" si="188"/>
        <v>0</v>
      </c>
      <c r="S144" s="1007">
        <f t="shared" si="188"/>
        <v>0</v>
      </c>
      <c r="T144" s="1007">
        <f t="shared" si="188"/>
        <v>0</v>
      </c>
      <c r="U144" s="1007">
        <f t="shared" si="188"/>
        <v>0</v>
      </c>
      <c r="V144" s="1007">
        <f t="shared" si="188"/>
        <v>0</v>
      </c>
      <c r="W144" s="1007">
        <f t="shared" si="188"/>
        <v>0</v>
      </c>
      <c r="X144" s="1007">
        <f t="shared" si="188"/>
        <v>0</v>
      </c>
      <c r="Y144" s="1007">
        <f t="shared" si="188"/>
        <v>0</v>
      </c>
      <c r="Z144" s="1007">
        <f t="shared" si="188"/>
        <v>0</v>
      </c>
      <c r="AA144" s="1007">
        <f t="shared" si="188"/>
        <v>0</v>
      </c>
      <c r="AB144" s="1007">
        <f t="shared" si="188"/>
        <v>0</v>
      </c>
      <c r="AC144" s="1007">
        <f t="shared" si="188"/>
        <v>0</v>
      </c>
      <c r="AD144" s="1007">
        <f t="shared" si="188"/>
        <v>0</v>
      </c>
      <c r="AE144" s="1007">
        <f t="shared" si="188"/>
        <v>0</v>
      </c>
      <c r="AF144" s="1007">
        <f t="shared" si="188"/>
        <v>0</v>
      </c>
      <c r="AG144" s="1007">
        <f t="shared" si="188"/>
        <v>0</v>
      </c>
      <c r="AH144" s="1007">
        <f t="shared" si="188"/>
        <v>0</v>
      </c>
      <c r="AI144" s="1007">
        <f t="shared" ref="AI144:AY144" si="189">ROUND(INDEX(SP_NGF_NI,0,COLUMN())-INDEX(MO_RIS_NI_NONGAAP_Diluted,0,COLUMN()),6)</f>
        <v>0</v>
      </c>
      <c r="AJ144" s="1007">
        <f t="shared" si="189"/>
        <v>0</v>
      </c>
      <c r="AK144" s="1007">
        <f t="shared" si="189"/>
        <v>0</v>
      </c>
      <c r="AL144" s="1007">
        <f t="shared" si="189"/>
        <v>0</v>
      </c>
      <c r="AM144" s="1007">
        <f t="shared" si="189"/>
        <v>0</v>
      </c>
      <c r="AN144" s="1007">
        <f t="shared" si="189"/>
        <v>0</v>
      </c>
      <c r="AO144" s="1007">
        <f t="shared" si="189"/>
        <v>0</v>
      </c>
      <c r="AP144" s="1007">
        <f t="shared" si="189"/>
        <v>0</v>
      </c>
      <c r="AQ144" s="1007">
        <f t="shared" si="189"/>
        <v>0</v>
      </c>
      <c r="AR144" s="1007">
        <f t="shared" si="189"/>
        <v>0</v>
      </c>
      <c r="AS144" s="1007">
        <f>ROUND(INDEX(SP_NGF_NI,0,COLUMN())-INDEX(MO_RIS_NI_NONGAAP_Diluted,0,COLUMN()),6)</f>
        <v>0</v>
      </c>
      <c r="AT144" s="1007">
        <f>ROUND(INDEX(SP_NGF_NI,0,COLUMN())-INDEX(MO_RIS_NI_NONGAAP_Diluted,0,COLUMN()),6)</f>
        <v>0</v>
      </c>
      <c r="AU144" s="1007">
        <f>ROUND(INDEX(SP_NGF_NI,0,COLUMN())-INDEX(MO_RIS_NI_NONGAAP_Diluted,0,COLUMN()),6)</f>
        <v>0</v>
      </c>
      <c r="AV144" s="1007">
        <f>ROUND(INDEX(SP_NGF_NI,0,COLUMN())-INDEX(MO_RIS_NI_NONGAAP_Diluted,0,COLUMN()),6)</f>
        <v>0</v>
      </c>
      <c r="AW144" s="1008">
        <f>ROUND(INDEX(SP_NGF_NI,0,COLUMN())-INDEX(MO_RIS_NI_NONGAAP_Diluted,0,COLUMN()),6)</f>
        <v>0</v>
      </c>
      <c r="AX144" s="1007">
        <f t="shared" si="189"/>
        <v>0</v>
      </c>
      <c r="AY144" s="1007">
        <f t="shared" si="189"/>
        <v>0</v>
      </c>
      <c r="AZ144" s="1007">
        <f t="shared" ref="AZ144:BG144" ca="1" si="190">ROUND(INDEX(SP_NGF_NI,0,COLUMN())-INDEX(MO_RIS_NI_NONGAAP_Diluted,0,COLUMN()),6)</f>
        <v>0</v>
      </c>
      <c r="BA144" s="1007">
        <f t="shared" ca="1" si="190"/>
        <v>0</v>
      </c>
      <c r="BB144" s="1007">
        <f t="shared" ca="1" si="190"/>
        <v>0</v>
      </c>
      <c r="BC144" s="1007">
        <f t="shared" ca="1" si="190"/>
        <v>0</v>
      </c>
      <c r="BD144" s="1007">
        <f t="shared" ca="1" si="190"/>
        <v>0</v>
      </c>
      <c r="BE144" s="1007">
        <f t="shared" ca="1" si="190"/>
        <v>0</v>
      </c>
      <c r="BF144" s="1007">
        <f t="shared" ca="1" si="190"/>
        <v>0</v>
      </c>
      <c r="BG144" s="1007">
        <f t="shared" ca="1" si="190"/>
        <v>0</v>
      </c>
      <c r="BH144" s="254"/>
    </row>
    <row r="145" spans="1:60" s="374" customFormat="1" hidden="1" outlineLevel="1" x14ac:dyDescent="0.25">
      <c r="A145" s="963" t="s">
        <v>469</v>
      </c>
      <c r="B145" s="268"/>
      <c r="C145" s="1007">
        <f t="shared" ref="C145:AH145" si="191">ROUND(INDEX(SP_GF_NI,0,COLUMN())-INDEX(MO_RIS_NI_GAAP_Basic,0,COLUMN()),6)</f>
        <v>0</v>
      </c>
      <c r="D145" s="1007">
        <f t="shared" si="191"/>
        <v>0</v>
      </c>
      <c r="E145" s="1007">
        <f t="shared" si="191"/>
        <v>0</v>
      </c>
      <c r="F145" s="1007">
        <f t="shared" si="191"/>
        <v>0</v>
      </c>
      <c r="G145" s="1007">
        <f t="shared" si="191"/>
        <v>0</v>
      </c>
      <c r="H145" s="1007">
        <f t="shared" si="191"/>
        <v>0</v>
      </c>
      <c r="I145" s="1007">
        <f t="shared" si="191"/>
        <v>0</v>
      </c>
      <c r="J145" s="1007">
        <f t="shared" si="191"/>
        <v>0</v>
      </c>
      <c r="K145" s="1007">
        <f>ROUND(INDEX(SP_GF_NI,0,COLUMN())-INDEX(MO_RIS_NI_GAAP_Basic,0,COLUMN()),6)</f>
        <v>0</v>
      </c>
      <c r="L145" s="1007">
        <f t="shared" si="191"/>
        <v>0</v>
      </c>
      <c r="M145" s="1007">
        <f t="shared" si="191"/>
        <v>0</v>
      </c>
      <c r="N145" s="1007">
        <f t="shared" si="191"/>
        <v>0</v>
      </c>
      <c r="O145" s="1007">
        <f t="shared" si="191"/>
        <v>0</v>
      </c>
      <c r="P145" s="1007">
        <f t="shared" si="191"/>
        <v>0</v>
      </c>
      <c r="Q145" s="1007">
        <f t="shared" si="191"/>
        <v>0</v>
      </c>
      <c r="R145" s="1007">
        <f t="shared" si="191"/>
        <v>0</v>
      </c>
      <c r="S145" s="1007">
        <f t="shared" si="191"/>
        <v>0</v>
      </c>
      <c r="T145" s="1007">
        <f t="shared" si="191"/>
        <v>0</v>
      </c>
      <c r="U145" s="1007">
        <f t="shared" si="191"/>
        <v>0</v>
      </c>
      <c r="V145" s="1007">
        <f t="shared" si="191"/>
        <v>0</v>
      </c>
      <c r="W145" s="1007">
        <f t="shared" si="191"/>
        <v>0</v>
      </c>
      <c r="X145" s="1007">
        <f t="shared" si="191"/>
        <v>0</v>
      </c>
      <c r="Y145" s="1007">
        <f t="shared" si="191"/>
        <v>0</v>
      </c>
      <c r="Z145" s="1007">
        <f t="shared" si="191"/>
        <v>0</v>
      </c>
      <c r="AA145" s="1007">
        <f t="shared" si="191"/>
        <v>0</v>
      </c>
      <c r="AB145" s="1007">
        <f t="shared" si="191"/>
        <v>0</v>
      </c>
      <c r="AC145" s="1007">
        <f t="shared" si="191"/>
        <v>0</v>
      </c>
      <c r="AD145" s="1007">
        <f t="shared" si="191"/>
        <v>0</v>
      </c>
      <c r="AE145" s="1007">
        <f t="shared" si="191"/>
        <v>0</v>
      </c>
      <c r="AF145" s="1007">
        <f t="shared" si="191"/>
        <v>0</v>
      </c>
      <c r="AG145" s="1007">
        <f t="shared" si="191"/>
        <v>0</v>
      </c>
      <c r="AH145" s="1007">
        <f t="shared" si="191"/>
        <v>0</v>
      </c>
      <c r="AI145" s="1007">
        <f t="shared" ref="AI145:AY145" si="192">ROUND(INDEX(SP_GF_NI,0,COLUMN())-INDEX(MO_RIS_NI_GAAP_Basic,0,COLUMN()),6)</f>
        <v>0</v>
      </c>
      <c r="AJ145" s="1007">
        <f t="shared" si="192"/>
        <v>0</v>
      </c>
      <c r="AK145" s="1007">
        <f t="shared" si="192"/>
        <v>0</v>
      </c>
      <c r="AL145" s="1007">
        <f t="shared" si="192"/>
        <v>0</v>
      </c>
      <c r="AM145" s="1007">
        <f t="shared" si="192"/>
        <v>0</v>
      </c>
      <c r="AN145" s="1007">
        <f t="shared" si="192"/>
        <v>0</v>
      </c>
      <c r="AO145" s="1007">
        <f t="shared" si="192"/>
        <v>0</v>
      </c>
      <c r="AP145" s="1007">
        <f t="shared" si="192"/>
        <v>0</v>
      </c>
      <c r="AQ145" s="1007">
        <f t="shared" si="192"/>
        <v>0</v>
      </c>
      <c r="AR145" s="1007">
        <f t="shared" si="192"/>
        <v>0</v>
      </c>
      <c r="AS145" s="1007">
        <f>ROUND(INDEX(SP_GF_NI,0,COLUMN())-INDEX(MO_RIS_NI_GAAP_Basic,0,COLUMN()),6)</f>
        <v>0</v>
      </c>
      <c r="AT145" s="1007">
        <f>ROUND(INDEX(SP_GF_NI,0,COLUMN())-INDEX(MO_RIS_NI_GAAP_Basic,0,COLUMN()),6)</f>
        <v>0</v>
      </c>
      <c r="AU145" s="1007">
        <f>ROUND(INDEX(SP_GF_NI,0,COLUMN())-INDEX(MO_RIS_NI_GAAP_Basic,0,COLUMN()),6)</f>
        <v>0</v>
      </c>
      <c r="AV145" s="1007">
        <f>ROUND(INDEX(SP_GF_NI,0,COLUMN())-INDEX(MO_RIS_NI_GAAP_Basic,0,COLUMN()),6)</f>
        <v>0</v>
      </c>
      <c r="AW145" s="1008">
        <f>ROUND(INDEX(SP_GF_NI,0,COLUMN())-INDEX(MO_RIS_NI_GAAP_Basic,0,COLUMN()),6)</f>
        <v>0</v>
      </c>
      <c r="AX145" s="1007">
        <f t="shared" si="192"/>
        <v>0</v>
      </c>
      <c r="AY145" s="1007">
        <f t="shared" si="192"/>
        <v>0</v>
      </c>
      <c r="AZ145" s="1007">
        <f t="shared" ref="AZ145:BG145" ca="1" si="193">ROUND(INDEX(SP_GF_NI,0,COLUMN())-INDEX(MO_RIS_NI_GAAP_Basic,0,COLUMN()),6)</f>
        <v>0</v>
      </c>
      <c r="BA145" s="1007">
        <f t="shared" ca="1" si="193"/>
        <v>0</v>
      </c>
      <c r="BB145" s="1007">
        <f t="shared" ca="1" si="193"/>
        <v>0</v>
      </c>
      <c r="BC145" s="1007">
        <f t="shared" ca="1" si="193"/>
        <v>0</v>
      </c>
      <c r="BD145" s="1007">
        <f t="shared" ca="1" si="193"/>
        <v>0</v>
      </c>
      <c r="BE145" s="1007">
        <f t="shared" ca="1" si="193"/>
        <v>0</v>
      </c>
      <c r="BF145" s="1007">
        <f t="shared" ca="1" si="193"/>
        <v>0</v>
      </c>
      <c r="BG145" s="1007">
        <f t="shared" ca="1" si="193"/>
        <v>0</v>
      </c>
      <c r="BH145" s="254"/>
    </row>
    <row r="146" spans="1:60" s="374" customFormat="1" hidden="1" outlineLevel="1" x14ac:dyDescent="0.25">
      <c r="A146" s="963" t="s">
        <v>470</v>
      </c>
      <c r="B146" s="268"/>
      <c r="C146" s="1007">
        <f t="shared" ref="C146:AH146" ca="1" si="194">ROUND(INDEX(SP_CFA_NetChange,0,COLUMN())-INDEX(MO_CFS_NetChange,0,COLUMN()),6)</f>
        <v>0</v>
      </c>
      <c r="D146" s="1007">
        <f t="shared" ca="1" si="194"/>
        <v>0</v>
      </c>
      <c r="E146" s="1007">
        <f t="shared" ca="1" si="194"/>
        <v>0</v>
      </c>
      <c r="F146" s="1007">
        <f t="shared" ca="1" si="194"/>
        <v>0</v>
      </c>
      <c r="G146" s="1007">
        <f t="shared" ca="1" si="194"/>
        <v>0</v>
      </c>
      <c r="H146" s="1007">
        <f t="shared" ca="1" si="194"/>
        <v>0</v>
      </c>
      <c r="I146" s="1007">
        <f t="shared" ca="1" si="194"/>
        <v>0</v>
      </c>
      <c r="J146" s="1007">
        <f t="shared" ca="1" si="194"/>
        <v>0</v>
      </c>
      <c r="K146" s="1007">
        <f t="shared" ca="1" si="194"/>
        <v>0</v>
      </c>
      <c r="L146" s="1007">
        <f t="shared" ca="1" si="194"/>
        <v>0</v>
      </c>
      <c r="M146" s="1007">
        <f t="shared" ca="1" si="194"/>
        <v>0</v>
      </c>
      <c r="N146" s="1007">
        <f t="shared" ca="1" si="194"/>
        <v>0</v>
      </c>
      <c r="O146" s="1007">
        <f t="shared" ca="1" si="194"/>
        <v>0</v>
      </c>
      <c r="P146" s="1007">
        <f t="shared" ca="1" si="194"/>
        <v>0</v>
      </c>
      <c r="Q146" s="1007">
        <f t="shared" ca="1" si="194"/>
        <v>0</v>
      </c>
      <c r="R146" s="1007">
        <f t="shared" ca="1" si="194"/>
        <v>0</v>
      </c>
      <c r="S146" s="1007">
        <f t="shared" ca="1" si="194"/>
        <v>0</v>
      </c>
      <c r="T146" s="1007">
        <f t="shared" ca="1" si="194"/>
        <v>0</v>
      </c>
      <c r="U146" s="1007">
        <f t="shared" ca="1" si="194"/>
        <v>0</v>
      </c>
      <c r="V146" s="1007">
        <f t="shared" ca="1" si="194"/>
        <v>0</v>
      </c>
      <c r="W146" s="1007">
        <f t="shared" ca="1" si="194"/>
        <v>0</v>
      </c>
      <c r="X146" s="1007">
        <f t="shared" ca="1" si="194"/>
        <v>0</v>
      </c>
      <c r="Y146" s="1007">
        <f t="shared" ca="1" si="194"/>
        <v>0</v>
      </c>
      <c r="Z146" s="1007">
        <f t="shared" ca="1" si="194"/>
        <v>0</v>
      </c>
      <c r="AA146" s="1007">
        <f t="shared" ca="1" si="194"/>
        <v>0</v>
      </c>
      <c r="AB146" s="1007">
        <f t="shared" ca="1" si="194"/>
        <v>0</v>
      </c>
      <c r="AC146" s="1007">
        <f t="shared" ca="1" si="194"/>
        <v>0</v>
      </c>
      <c r="AD146" s="1007">
        <f t="shared" ca="1" si="194"/>
        <v>0</v>
      </c>
      <c r="AE146" s="1007">
        <f t="shared" ca="1" si="194"/>
        <v>0</v>
      </c>
      <c r="AF146" s="1007">
        <f t="shared" ca="1" si="194"/>
        <v>0</v>
      </c>
      <c r="AG146" s="1007">
        <f t="shared" ca="1" si="194"/>
        <v>0</v>
      </c>
      <c r="AH146" s="1007">
        <f t="shared" ca="1" si="194"/>
        <v>0</v>
      </c>
      <c r="AI146" s="1007">
        <f t="shared" ref="AI146:AY146" ca="1" si="195">ROUND(INDEX(SP_CFA_NetChange,0,COLUMN())-INDEX(MO_CFS_NetChange,0,COLUMN()),6)</f>
        <v>0</v>
      </c>
      <c r="AJ146" s="1007">
        <f t="shared" ca="1" si="195"/>
        <v>0</v>
      </c>
      <c r="AK146" s="1007">
        <f t="shared" ca="1" si="195"/>
        <v>0</v>
      </c>
      <c r="AL146" s="1007">
        <f t="shared" ca="1" si="195"/>
        <v>0</v>
      </c>
      <c r="AM146" s="1007">
        <f t="shared" ca="1" si="195"/>
        <v>0</v>
      </c>
      <c r="AN146" s="1007">
        <f t="shared" ca="1" si="195"/>
        <v>0</v>
      </c>
      <c r="AO146" s="1007">
        <f t="shared" ca="1" si="195"/>
        <v>0</v>
      </c>
      <c r="AP146" s="1007">
        <f t="shared" ca="1" si="195"/>
        <v>0</v>
      </c>
      <c r="AQ146" s="1007">
        <f t="shared" ca="1" si="195"/>
        <v>0</v>
      </c>
      <c r="AR146" s="1007">
        <f t="shared" ca="1" si="195"/>
        <v>0</v>
      </c>
      <c r="AS146" s="1007">
        <f ca="1">ROUND(INDEX(SP_CFA_NetChange,0,COLUMN())-INDEX(MO_CFS_NetChange,0,COLUMN()),6)</f>
        <v>0</v>
      </c>
      <c r="AT146" s="1007">
        <f ca="1">ROUND(INDEX(SP_CFA_NetChange,0,COLUMN())-INDEX(MO_CFS_NetChange,0,COLUMN()),6)</f>
        <v>0</v>
      </c>
      <c r="AU146" s="1007">
        <f ca="1">ROUND(INDEX(SP_CFA_NetChange,0,COLUMN())-INDEX(MO_CFS_NetChange,0,COLUMN()),6)</f>
        <v>0</v>
      </c>
      <c r="AV146" s="1007">
        <f ca="1">ROUND(INDEX(SP_CFA_NetChange,0,COLUMN())-INDEX(MO_CFS_NetChange,0,COLUMN()),6)</f>
        <v>0</v>
      </c>
      <c r="AW146" s="1008">
        <f ca="1">ROUND(INDEX(SP_CFA_NetChange,0,COLUMN())-INDEX(MO_CFS_NetChange,0,COLUMN()),6)</f>
        <v>0</v>
      </c>
      <c r="AX146" s="1007">
        <f t="shared" ca="1" si="195"/>
        <v>0</v>
      </c>
      <c r="AY146" s="1007">
        <f t="shared" ca="1" si="195"/>
        <v>0</v>
      </c>
      <c r="AZ146" s="1007">
        <f t="shared" ref="AZ146:BG146" ca="1" si="196">ROUND(INDEX(SP_CFA_NetChange,0,COLUMN())-INDEX(MO_CFS_NetChange,0,COLUMN()),6)</f>
        <v>0</v>
      </c>
      <c r="BA146" s="1007">
        <f t="shared" ca="1" si="196"/>
        <v>0</v>
      </c>
      <c r="BB146" s="1007">
        <f t="shared" ca="1" si="196"/>
        <v>0</v>
      </c>
      <c r="BC146" s="1007">
        <f t="shared" ca="1" si="196"/>
        <v>0</v>
      </c>
      <c r="BD146" s="1007">
        <f t="shared" ca="1" si="196"/>
        <v>0</v>
      </c>
      <c r="BE146" s="1007">
        <f t="shared" ca="1" si="196"/>
        <v>0</v>
      </c>
      <c r="BF146" s="1007">
        <f t="shared" ca="1" si="196"/>
        <v>0</v>
      </c>
      <c r="BG146" s="1007">
        <f t="shared" ca="1" si="196"/>
        <v>0</v>
      </c>
      <c r="BH146" s="254"/>
    </row>
    <row r="147" spans="1:60" s="374" customFormat="1" collapsed="1" x14ac:dyDescent="0.25">
      <c r="A147" s="254"/>
      <c r="B147" s="254"/>
      <c r="C147" s="132"/>
      <c r="D147" s="132"/>
      <c r="E147" s="132"/>
      <c r="F147" s="132"/>
      <c r="G147" s="254"/>
      <c r="H147" s="254"/>
      <c r="I147" s="254"/>
      <c r="J147" s="254"/>
      <c r="K147" s="132"/>
      <c r="L147" s="254"/>
      <c r="M147" s="254"/>
      <c r="N147" s="254"/>
      <c r="O147" s="254"/>
      <c r="P147" s="132"/>
      <c r="Q147" s="254"/>
      <c r="R147" s="254"/>
      <c r="S147" s="254"/>
      <c r="T147" s="254"/>
      <c r="U147" s="132"/>
      <c r="V147" s="254"/>
      <c r="W147" s="254"/>
      <c r="X147" s="254"/>
      <c r="Y147" s="254"/>
      <c r="Z147" s="132"/>
      <c r="AA147" s="254"/>
      <c r="AB147" s="254"/>
      <c r="AC147" s="254"/>
      <c r="AD147" s="254"/>
      <c r="AE147" s="132"/>
      <c r="AF147" s="254"/>
      <c r="AG147" s="254"/>
      <c r="AH147" s="254"/>
      <c r="AI147" s="254"/>
      <c r="AJ147" s="132"/>
      <c r="AK147" s="254"/>
      <c r="AL147" s="254"/>
      <c r="AM147" s="254"/>
      <c r="AN147" s="254"/>
      <c r="AO147" s="132"/>
      <c r="AP147" s="254"/>
      <c r="AQ147" s="254"/>
      <c r="AR147" s="254"/>
      <c r="AS147" s="254"/>
      <c r="AT147" s="132"/>
      <c r="AU147" s="254"/>
      <c r="AV147" s="254"/>
      <c r="AW147" s="714"/>
      <c r="AX147" s="254"/>
      <c r="AY147" s="132"/>
      <c r="AZ147" s="254"/>
      <c r="BA147" s="254"/>
      <c r="BB147" s="254"/>
      <c r="BC147" s="254"/>
      <c r="BD147" s="132"/>
      <c r="BE147" s="132"/>
      <c r="BF147" s="132"/>
      <c r="BG147" s="132"/>
      <c r="BH147" s="254"/>
    </row>
    <row r="148" spans="1:60" s="374" customFormat="1" x14ac:dyDescent="0.25">
      <c r="A148" s="620" t="s">
        <v>672</v>
      </c>
      <c r="B148" s="175"/>
      <c r="C148" s="175"/>
      <c r="D148" s="175"/>
      <c r="E148" s="175"/>
      <c r="F148" s="175"/>
      <c r="G148" s="175"/>
      <c r="H148" s="175"/>
      <c r="I148" s="17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254"/>
    </row>
    <row r="149" spans="1:60" s="374" customFormat="1" collapsed="1" x14ac:dyDescent="0.25">
      <c r="A149" s="158"/>
      <c r="B149" s="254"/>
      <c r="C149" s="254"/>
      <c r="D149" s="254"/>
      <c r="E149" s="254"/>
      <c r="F149" s="254"/>
      <c r="G149" s="254"/>
      <c r="H149" s="254"/>
      <c r="I149" s="254"/>
      <c r="J149" s="254"/>
      <c r="K149" s="254"/>
      <c r="L149" s="254"/>
      <c r="M149" s="254"/>
      <c r="N149" s="254"/>
      <c r="O149" s="254"/>
      <c r="P149" s="254"/>
      <c r="Q149" s="254"/>
      <c r="R149" s="254"/>
      <c r="S149" s="254"/>
      <c r="T149" s="254"/>
      <c r="U149" s="254"/>
      <c r="V149" s="254"/>
      <c r="W149" s="254"/>
      <c r="X149" s="254"/>
      <c r="Y149" s="254"/>
      <c r="Z149" s="254"/>
      <c r="AA149" s="254"/>
      <c r="AB149" s="254"/>
      <c r="AC149" s="254"/>
      <c r="AD149" s="254"/>
      <c r="AE149" s="254"/>
      <c r="AF149" s="254"/>
      <c r="AG149" s="254"/>
      <c r="AH149" s="254"/>
      <c r="AI149" s="254"/>
      <c r="AJ149" s="254"/>
      <c r="AK149" s="254"/>
      <c r="AL149" s="254"/>
      <c r="AM149" s="254"/>
      <c r="AN149" s="254"/>
      <c r="AO149" s="254"/>
      <c r="AP149" s="254"/>
      <c r="AQ149" s="254"/>
      <c r="AR149" s="254"/>
      <c r="AS149" s="254"/>
      <c r="AT149" s="254"/>
      <c r="AU149" s="254"/>
      <c r="AV149" s="254"/>
      <c r="AW149" s="254"/>
      <c r="AX149" s="254"/>
      <c r="AY149" s="254"/>
      <c r="AZ149" s="254"/>
      <c r="BA149" s="254"/>
      <c r="BB149" s="254"/>
      <c r="BC149" s="254"/>
      <c r="BD149" s="254"/>
      <c r="BE149" s="254"/>
      <c r="BF149" s="254"/>
      <c r="BG149" s="254"/>
      <c r="BH149" s="254"/>
    </row>
  </sheetData>
  <conditionalFormatting sqref="C143:BG146">
    <cfRule type="cellIs" dxfId="1" priority="59" operator="equal">
      <formula>0</formula>
    </cfRule>
  </conditionalFormatting>
  <conditionalFormatting sqref="C143:BG146">
    <cfRule type="cellIs" dxfId="0" priority="60" operator="notEqual">
      <formula>0</formula>
    </cfRule>
  </conditionalFormatting>
  <dataValidations count="1">
    <dataValidation type="list" allowBlank="1" showInputMessage="1" showErrorMessage="1" sqref="B4" xr:uid="{00000000-0002-0000-0200-000000000000}">
      <formula1>OFFSET(tb_ValuationToggle,1,0,3,1)</formula1>
    </dataValidation>
  </dataValidations>
  <pageMargins left="0.7" right="0.7" top="0.75" bottom="0.75" header="0.3" footer="0.3"/>
  <pageSetup scale="38"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94669-5231-40EE-BC0C-D965FB5B215F}">
  <dimension ref="A1:M10"/>
  <sheetViews>
    <sheetView zoomScaleNormal="100" workbookViewId="0"/>
  </sheetViews>
  <sheetFormatPr defaultRowHeight="15" x14ac:dyDescent="0.25"/>
  <cols>
    <col min="2" max="2" width="20" bestFit="1" customWidth="1"/>
    <col min="3" max="3" width="9.85546875" bestFit="1" customWidth="1"/>
    <col min="4" max="4" width="8.140625" bestFit="1" customWidth="1"/>
    <col min="5" max="5" width="17.28515625" bestFit="1" customWidth="1"/>
    <col min="6" max="6" width="10.7109375" bestFit="1" customWidth="1"/>
    <col min="7" max="7" width="10.7109375" style="82" customWidth="1"/>
    <col min="8" max="8" width="9.140625" style="82"/>
    <col min="9" max="9" width="20" style="82" bestFit="1" customWidth="1"/>
    <col min="10" max="10" width="9.85546875" style="82" bestFit="1" customWidth="1"/>
    <col min="11" max="11" width="8.140625" style="82" bestFit="1" customWidth="1"/>
    <col min="12" max="12" width="17.28515625" style="82" bestFit="1" customWidth="1"/>
    <col min="13" max="13" width="10.7109375" style="82" bestFit="1" customWidth="1"/>
  </cols>
  <sheetData>
    <row r="1" spans="1:13" ht="15.75" thickBot="1" x14ac:dyDescent="0.3">
      <c r="A1" s="517" t="s">
        <v>487</v>
      </c>
      <c r="B1" s="517" t="s">
        <v>535</v>
      </c>
      <c r="C1" s="517" t="s">
        <v>536</v>
      </c>
      <c r="D1" s="517" t="s">
        <v>537</v>
      </c>
      <c r="E1" s="517" t="s">
        <v>538</v>
      </c>
      <c r="F1" s="517" t="s">
        <v>539</v>
      </c>
      <c r="G1" s="556"/>
      <c r="H1" s="517" t="s">
        <v>564</v>
      </c>
      <c r="I1" s="517" t="s">
        <v>535</v>
      </c>
      <c r="J1" s="517" t="s">
        <v>536</v>
      </c>
      <c r="K1" s="517" t="s">
        <v>537</v>
      </c>
      <c r="L1" s="517" t="s">
        <v>538</v>
      </c>
      <c r="M1" s="517" t="s">
        <v>539</v>
      </c>
    </row>
    <row r="2" spans="1:13" ht="15.75" thickTop="1" x14ac:dyDescent="0.25">
      <c r="A2" s="519"/>
      <c r="B2" s="519" t="s">
        <v>548</v>
      </c>
      <c r="C2" s="519">
        <v>1</v>
      </c>
      <c r="D2" s="519" t="s">
        <v>540</v>
      </c>
      <c r="E2" s="519" t="s">
        <v>556</v>
      </c>
      <c r="F2" s="520" t="s">
        <v>540</v>
      </c>
      <c r="G2" s="557"/>
      <c r="H2" s="519"/>
      <c r="I2" s="519" t="s">
        <v>548</v>
      </c>
      <c r="J2" s="519">
        <v>1</v>
      </c>
      <c r="K2" s="519" t="s">
        <v>540</v>
      </c>
      <c r="L2" s="519" t="s">
        <v>556</v>
      </c>
      <c r="M2" s="520" t="s">
        <v>540</v>
      </c>
    </row>
    <row r="3" spans="1:13" x14ac:dyDescent="0.25">
      <c r="A3" s="519"/>
      <c r="B3" s="519" t="s">
        <v>549</v>
      </c>
      <c r="C3" s="519">
        <v>2</v>
      </c>
      <c r="D3" s="519" t="s">
        <v>541</v>
      </c>
      <c r="E3" s="519" t="s">
        <v>557</v>
      </c>
      <c r="F3" s="520" t="s">
        <v>541</v>
      </c>
      <c r="G3" s="557"/>
      <c r="H3" s="519"/>
      <c r="I3" s="519" t="s">
        <v>549</v>
      </c>
      <c r="J3" s="519">
        <v>2</v>
      </c>
      <c r="K3" s="519" t="s">
        <v>541</v>
      </c>
      <c r="L3" s="519" t="s">
        <v>557</v>
      </c>
      <c r="M3" s="520" t="s">
        <v>541</v>
      </c>
    </row>
    <row r="4" spans="1:13" x14ac:dyDescent="0.25">
      <c r="A4" s="519"/>
      <c r="B4" s="519" t="s">
        <v>550</v>
      </c>
      <c r="C4" s="519">
        <v>3</v>
      </c>
      <c r="D4" s="519" t="s">
        <v>542</v>
      </c>
      <c r="E4" s="519" t="s">
        <v>558</v>
      </c>
      <c r="F4" s="520" t="s">
        <v>542</v>
      </c>
      <c r="G4" s="557"/>
      <c r="H4" s="519"/>
      <c r="I4" s="519" t="s">
        <v>550</v>
      </c>
      <c r="J4" s="519">
        <v>3</v>
      </c>
      <c r="K4" s="519" t="s">
        <v>542</v>
      </c>
      <c r="L4" s="519" t="s">
        <v>558</v>
      </c>
      <c r="M4" s="520" t="s">
        <v>542</v>
      </c>
    </row>
    <row r="5" spans="1:13" x14ac:dyDescent="0.25">
      <c r="A5" s="519"/>
      <c r="B5" s="519" t="s">
        <v>551</v>
      </c>
      <c r="C5" s="519">
        <v>4</v>
      </c>
      <c r="D5" s="519" t="s">
        <v>543</v>
      </c>
      <c r="E5" s="519" t="s">
        <v>559</v>
      </c>
      <c r="F5" s="520" t="s">
        <v>543</v>
      </c>
      <c r="G5" s="557"/>
      <c r="H5" s="519"/>
      <c r="I5" s="519" t="s">
        <v>551</v>
      </c>
      <c r="J5" s="519">
        <v>4</v>
      </c>
      <c r="K5" s="519" t="s">
        <v>543</v>
      </c>
      <c r="L5" s="519" t="s">
        <v>559</v>
      </c>
      <c r="M5" s="520" t="s">
        <v>543</v>
      </c>
    </row>
    <row r="6" spans="1:13" x14ac:dyDescent="0.25">
      <c r="A6" s="519"/>
      <c r="B6" s="519" t="s">
        <v>552</v>
      </c>
      <c r="C6" s="519">
        <v>7</v>
      </c>
      <c r="D6" s="519" t="s">
        <v>544</v>
      </c>
      <c r="E6" s="519" t="s">
        <v>560</v>
      </c>
      <c r="F6" s="520" t="s">
        <v>544</v>
      </c>
      <c r="G6" s="557"/>
      <c r="H6" s="519"/>
      <c r="I6" s="519" t="s">
        <v>552</v>
      </c>
      <c r="J6" s="519">
        <v>7</v>
      </c>
      <c r="K6" s="519" t="s">
        <v>544</v>
      </c>
      <c r="L6" s="519" t="s">
        <v>560</v>
      </c>
      <c r="M6" s="520" t="s">
        <v>544</v>
      </c>
    </row>
    <row r="7" spans="1:13" x14ac:dyDescent="0.25">
      <c r="A7" s="519"/>
      <c r="B7" s="519" t="s">
        <v>553</v>
      </c>
      <c r="C7" s="519">
        <v>8</v>
      </c>
      <c r="D7" s="519" t="s">
        <v>545</v>
      </c>
      <c r="E7" s="519" t="s">
        <v>557</v>
      </c>
      <c r="F7" s="520" t="s">
        <v>545</v>
      </c>
      <c r="G7" s="557"/>
      <c r="H7" s="519"/>
      <c r="I7" s="519" t="s">
        <v>553</v>
      </c>
      <c r="J7" s="519">
        <v>8</v>
      </c>
      <c r="K7" s="519" t="s">
        <v>545</v>
      </c>
      <c r="L7" s="519" t="s">
        <v>557</v>
      </c>
      <c r="M7" s="520" t="s">
        <v>545</v>
      </c>
    </row>
    <row r="8" spans="1:13" x14ac:dyDescent="0.25">
      <c r="A8" s="519"/>
      <c r="B8" s="519" t="s">
        <v>554</v>
      </c>
      <c r="C8" s="519">
        <v>25</v>
      </c>
      <c r="D8" s="519" t="s">
        <v>546</v>
      </c>
      <c r="E8" s="519" t="s">
        <v>561</v>
      </c>
      <c r="F8" s="520" t="s">
        <v>546</v>
      </c>
      <c r="G8" s="557"/>
      <c r="H8" s="519"/>
      <c r="I8" s="519" t="s">
        <v>554</v>
      </c>
      <c r="J8" s="519">
        <v>25</v>
      </c>
      <c r="K8" s="519" t="s">
        <v>546</v>
      </c>
      <c r="L8" s="519" t="s">
        <v>561</v>
      </c>
      <c r="M8" s="520" t="s">
        <v>546</v>
      </c>
    </row>
    <row r="9" spans="1:13" ht="15.75" thickBot="1" x14ac:dyDescent="0.3">
      <c r="A9" s="519"/>
      <c r="B9" s="519" t="s">
        <v>555</v>
      </c>
      <c r="C9" s="519">
        <v>54</v>
      </c>
      <c r="D9" s="519" t="s">
        <v>547</v>
      </c>
      <c r="E9" s="519" t="s">
        <v>557</v>
      </c>
      <c r="F9" s="520" t="s">
        <v>547</v>
      </c>
      <c r="G9" s="557"/>
      <c r="H9" s="519"/>
      <c r="I9" s="519" t="s">
        <v>555</v>
      </c>
      <c r="J9" s="519">
        <v>54</v>
      </c>
      <c r="K9" s="519" t="s">
        <v>547</v>
      </c>
      <c r="L9" s="519" t="s">
        <v>557</v>
      </c>
      <c r="M9" s="520" t="s">
        <v>547</v>
      </c>
    </row>
    <row r="10" spans="1:13" ht="15.75" thickTop="1" x14ac:dyDescent="0.25">
      <c r="A10" s="518" t="s">
        <v>562</v>
      </c>
      <c r="B10" s="518">
        <f>ROW()-2</f>
        <v>8</v>
      </c>
      <c r="C10" s="518"/>
      <c r="D10" s="518"/>
      <c r="E10" s="518"/>
      <c r="F10" s="518"/>
      <c r="G10" s="556"/>
      <c r="H10" s="518" t="s">
        <v>562</v>
      </c>
      <c r="I10" s="518">
        <f>ROW()-2</f>
        <v>8</v>
      </c>
      <c r="J10" s="518"/>
      <c r="K10" s="518"/>
      <c r="L10" s="518"/>
      <c r="M10" s="518"/>
    </row>
  </sheetData>
  <hyperlinks>
    <hyperlink ref="F2" r:id="rId1" xr:uid="{00000000-0004-0000-0300-000000000000}"/>
    <hyperlink ref="F3" r:id="rId2" xr:uid="{00000000-0004-0000-0300-000001000000}"/>
    <hyperlink ref="F4" r:id="rId3" xr:uid="{00000000-0004-0000-0300-000002000000}"/>
    <hyperlink ref="F5" r:id="rId4" xr:uid="{00000000-0004-0000-0300-000003000000}"/>
    <hyperlink ref="F6" r:id="rId5" xr:uid="{00000000-0004-0000-0300-000004000000}"/>
    <hyperlink ref="F7" r:id="rId6" xr:uid="{00000000-0004-0000-0300-000005000000}"/>
    <hyperlink ref="F8" r:id="rId7" xr:uid="{00000000-0004-0000-0300-000006000000}"/>
    <hyperlink ref="F9" r:id="rId8" xr:uid="{00000000-0004-0000-0300-000007000000}"/>
    <hyperlink ref="M2" r:id="rId9" xr:uid="{00000000-0004-0000-0300-000008000000}"/>
    <hyperlink ref="M3" r:id="rId10" xr:uid="{00000000-0004-0000-0300-000009000000}"/>
    <hyperlink ref="M4" r:id="rId11" xr:uid="{00000000-0004-0000-0300-00000A000000}"/>
    <hyperlink ref="M5" r:id="rId12" xr:uid="{00000000-0004-0000-0300-00000B000000}"/>
    <hyperlink ref="M6" r:id="rId13" xr:uid="{00000000-0004-0000-0300-00000C000000}"/>
    <hyperlink ref="M7" r:id="rId14" xr:uid="{00000000-0004-0000-0300-00000D000000}"/>
    <hyperlink ref="M8" r:id="rId15" xr:uid="{00000000-0004-0000-0300-00000E000000}"/>
    <hyperlink ref="M9" r:id="rId16" xr:uid="{00000000-0004-0000-0300-00000F000000}"/>
  </hyperlinks>
  <pageMargins left="0.7" right="0.7" top="0.75" bottom="0.75" header="0.3" footer="0.3"/>
  <pageSetup orientation="portrait"/>
  <legacy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1"/>
  <dimension ref="A1:J62"/>
  <sheetViews>
    <sheetView showGridLines="0" zoomScaleNormal="100" workbookViewId="0"/>
  </sheetViews>
  <sheetFormatPr defaultColWidth="8.85546875" defaultRowHeight="15" x14ac:dyDescent="0.25"/>
  <cols>
    <col min="1" max="1" width="4.42578125" style="13" customWidth="1"/>
    <col min="2" max="2" width="9.85546875" style="13" customWidth="1"/>
    <col min="3" max="3" width="15.7109375" style="13" customWidth="1"/>
    <col min="4" max="4" width="20.7109375" style="13" customWidth="1"/>
    <col min="5" max="5" width="30.7109375" style="13" customWidth="1"/>
    <col min="6" max="6" width="20.7109375" style="13"/>
    <col min="7" max="7" width="23.7109375" style="13" customWidth="1"/>
    <col min="8" max="8" width="45.7109375" style="13" customWidth="1"/>
    <col min="9" max="9" width="7.85546875" style="13" customWidth="1"/>
    <col min="10" max="18" width="8.85546875" style="13" customWidth="1"/>
    <col min="19" max="16384" width="8.85546875" style="13"/>
  </cols>
  <sheetData>
    <row r="1" spans="1:10" x14ac:dyDescent="0.25">
      <c r="A1" s="20"/>
      <c r="B1" s="20"/>
      <c r="C1" s="20"/>
      <c r="D1" s="20"/>
      <c r="E1" s="20"/>
      <c r="F1" s="20"/>
      <c r="G1" s="20"/>
      <c r="H1" s="20"/>
    </row>
    <row r="2" spans="1:10" x14ac:dyDescent="0.25">
      <c r="A2" s="20"/>
      <c r="B2" s="21"/>
      <c r="C2" s="21"/>
      <c r="D2" s="21"/>
      <c r="E2" s="21"/>
      <c r="F2" s="21"/>
      <c r="G2" s="21"/>
      <c r="H2" s="21"/>
      <c r="I2" s="21"/>
    </row>
    <row r="3" spans="1:10" x14ac:dyDescent="0.25">
      <c r="A3" s="20"/>
      <c r="B3" s="21"/>
      <c r="C3" s="21"/>
      <c r="D3" s="21"/>
      <c r="E3" s="21"/>
      <c r="F3" s="21"/>
      <c r="G3" s="21"/>
      <c r="H3" s="21"/>
      <c r="I3" s="21"/>
    </row>
    <row r="4" spans="1:10" x14ac:dyDescent="0.25">
      <c r="A4" s="20"/>
      <c r="B4" s="21"/>
      <c r="C4" s="21"/>
      <c r="D4" s="21"/>
      <c r="E4" s="21"/>
      <c r="F4" s="21"/>
      <c r="G4" s="21"/>
      <c r="H4" s="21"/>
      <c r="I4" s="21"/>
    </row>
    <row r="5" spans="1:10" x14ac:dyDescent="0.25">
      <c r="A5" s="20"/>
      <c r="B5" s="21"/>
      <c r="C5" s="21"/>
      <c r="D5" s="21"/>
      <c r="E5" s="21"/>
      <c r="F5" s="21"/>
      <c r="G5" s="21"/>
      <c r="H5" s="21"/>
      <c r="I5" s="21"/>
    </row>
    <row r="6" spans="1:10" x14ac:dyDescent="0.25">
      <c r="A6" s="20"/>
      <c r="B6" s="21"/>
      <c r="C6" s="21"/>
      <c r="D6" s="21"/>
      <c r="E6" s="21"/>
      <c r="F6" s="21"/>
      <c r="G6" s="21"/>
      <c r="H6" s="21"/>
      <c r="I6" s="21"/>
    </row>
    <row r="7" spans="1:10" ht="18.75" x14ac:dyDescent="0.25">
      <c r="A7" s="20"/>
      <c r="B7" s="21"/>
      <c r="C7" s="21"/>
      <c r="D7" s="21"/>
      <c r="E7" s="461">
        <f>MO.MRFPColumnNumber</f>
        <v>49</v>
      </c>
      <c r="F7" s="29" t="str">
        <f>MO.MRFP</f>
        <v>Q3-2021</v>
      </c>
      <c r="G7" s="559"/>
      <c r="H7" s="150" t="str">
        <f>AA.CSIN</f>
        <v>YIW8LT0190</v>
      </c>
      <c r="I7" s="28"/>
      <c r="J7" s="33"/>
    </row>
    <row r="8" spans="1:10" x14ac:dyDescent="0.25">
      <c r="A8" s="20"/>
      <c r="B8" s="21"/>
      <c r="C8" s="21"/>
      <c r="D8" s="21"/>
      <c r="E8" s="21"/>
      <c r="F8" s="21"/>
      <c r="G8" s="21"/>
      <c r="H8" s="231" t="str">
        <f>+AA.ModelVersion</f>
        <v>Q3-2021.29</v>
      </c>
      <c r="I8" s="21"/>
    </row>
    <row r="9" spans="1:10" x14ac:dyDescent="0.25">
      <c r="A9" s="20"/>
      <c r="B9" s="21"/>
      <c r="C9" s="21"/>
      <c r="D9" s="21"/>
      <c r="E9" s="21"/>
      <c r="F9" s="21"/>
      <c r="G9" s="21"/>
      <c r="H9" s="21"/>
      <c r="I9" s="21"/>
    </row>
    <row r="10" spans="1:10" x14ac:dyDescent="0.25">
      <c r="A10" s="20"/>
      <c r="B10" s="21"/>
      <c r="C10" s="555" t="s">
        <v>471</v>
      </c>
      <c r="D10" s="555" t="s">
        <v>472</v>
      </c>
      <c r="E10" s="555" t="s">
        <v>473</v>
      </c>
      <c r="F10" s="555" t="s">
        <v>569</v>
      </c>
      <c r="G10" s="555" t="s">
        <v>474</v>
      </c>
      <c r="H10" s="597" t="s">
        <v>475</v>
      </c>
      <c r="I10" s="21"/>
    </row>
    <row r="11" spans="1:10" x14ac:dyDescent="0.25">
      <c r="A11" s="20"/>
      <c r="B11" s="21"/>
      <c r="C11" s="197">
        <v>44420</v>
      </c>
      <c r="D11" s="198" t="s">
        <v>885</v>
      </c>
      <c r="E11" s="558" t="s">
        <v>515</v>
      </c>
      <c r="F11" s="558" t="s">
        <v>884</v>
      </c>
      <c r="G11" s="560"/>
      <c r="H11" s="599" t="s">
        <v>478</v>
      </c>
      <c r="I11" s="21"/>
    </row>
    <row r="12" spans="1:10" x14ac:dyDescent="0.25">
      <c r="A12" s="20"/>
      <c r="B12" s="21"/>
      <c r="C12" s="197">
        <v>44329</v>
      </c>
      <c r="D12" s="198" t="s">
        <v>694</v>
      </c>
      <c r="E12" s="558" t="s">
        <v>515</v>
      </c>
      <c r="F12" s="558" t="s">
        <v>871</v>
      </c>
      <c r="G12" s="560"/>
      <c r="H12" s="600" t="s">
        <v>478</v>
      </c>
      <c r="I12" s="21"/>
    </row>
    <row r="13" spans="1:10" x14ac:dyDescent="0.25">
      <c r="A13" s="20"/>
      <c r="B13" s="21"/>
      <c r="C13" s="197">
        <v>44238</v>
      </c>
      <c r="D13" s="198" t="s">
        <v>476</v>
      </c>
      <c r="E13" s="558" t="s">
        <v>515</v>
      </c>
      <c r="F13" s="558" t="s">
        <v>870</v>
      </c>
      <c r="G13" s="560"/>
      <c r="H13" s="600" t="s">
        <v>478</v>
      </c>
      <c r="I13" s="21"/>
    </row>
    <row r="14" spans="1:10" x14ac:dyDescent="0.25">
      <c r="A14" s="20"/>
      <c r="B14" s="21"/>
      <c r="C14" s="197">
        <v>44238</v>
      </c>
      <c r="D14" s="198" t="s">
        <v>476</v>
      </c>
      <c r="E14" s="558" t="s">
        <v>574</v>
      </c>
      <c r="F14" s="558" t="s">
        <v>870</v>
      </c>
      <c r="G14" s="560"/>
      <c r="H14" s="599" t="s">
        <v>478</v>
      </c>
      <c r="I14" s="21"/>
    </row>
    <row r="15" spans="1:10" x14ac:dyDescent="0.25">
      <c r="A15" s="20"/>
      <c r="B15" s="21"/>
      <c r="C15" s="197">
        <v>44160</v>
      </c>
      <c r="D15" s="198" t="s">
        <v>476</v>
      </c>
      <c r="E15" s="558" t="s">
        <v>570</v>
      </c>
      <c r="F15" s="558" t="s">
        <v>693</v>
      </c>
      <c r="G15" s="560"/>
      <c r="H15" s="600" t="s">
        <v>478</v>
      </c>
      <c r="I15" s="21"/>
    </row>
    <row r="16" spans="1:10" x14ac:dyDescent="0.25">
      <c r="A16" s="20"/>
      <c r="B16" s="21"/>
      <c r="C16" s="197">
        <v>44147</v>
      </c>
      <c r="D16" s="198" t="s">
        <v>694</v>
      </c>
      <c r="E16" s="558" t="s">
        <v>574</v>
      </c>
      <c r="F16" s="558" t="s">
        <v>693</v>
      </c>
      <c r="G16" s="560"/>
      <c r="H16" s="600" t="s">
        <v>478</v>
      </c>
      <c r="I16" s="21"/>
    </row>
    <row r="17" spans="1:9" x14ac:dyDescent="0.25">
      <c r="A17" s="20"/>
      <c r="B17" s="21"/>
      <c r="C17" s="197">
        <v>44047</v>
      </c>
      <c r="D17" s="198" t="s">
        <v>490</v>
      </c>
      <c r="E17" s="558" t="s">
        <v>515</v>
      </c>
      <c r="F17" s="558" t="s">
        <v>670</v>
      </c>
      <c r="G17" s="560"/>
      <c r="H17" s="600" t="s">
        <v>478</v>
      </c>
      <c r="I17" s="21"/>
    </row>
    <row r="18" spans="1:9" x14ac:dyDescent="0.25">
      <c r="A18" s="20"/>
      <c r="B18" s="21"/>
      <c r="C18" s="197">
        <v>43956</v>
      </c>
      <c r="D18" s="198" t="s">
        <v>476</v>
      </c>
      <c r="E18" s="558" t="s">
        <v>515</v>
      </c>
      <c r="F18" s="558" t="s">
        <v>653</v>
      </c>
      <c r="G18" s="560"/>
      <c r="H18" s="600" t="s">
        <v>478</v>
      </c>
      <c r="I18" s="21"/>
    </row>
    <row r="19" spans="1:9" x14ac:dyDescent="0.25">
      <c r="A19" s="20"/>
      <c r="B19" s="21"/>
      <c r="C19" s="197">
        <v>43956</v>
      </c>
      <c r="D19" s="198" t="s">
        <v>476</v>
      </c>
      <c r="E19" s="558" t="s">
        <v>574</v>
      </c>
      <c r="F19" s="558" t="s">
        <v>653</v>
      </c>
      <c r="G19" s="596"/>
      <c r="H19" s="600" t="s">
        <v>478</v>
      </c>
      <c r="I19" s="21"/>
    </row>
    <row r="20" spans="1:9" x14ac:dyDescent="0.25">
      <c r="A20" s="20"/>
      <c r="B20" s="21"/>
      <c r="C20" s="197">
        <v>43865</v>
      </c>
      <c r="D20" s="198" t="s">
        <v>584</v>
      </c>
      <c r="E20" s="558" t="s">
        <v>515</v>
      </c>
      <c r="F20" s="558" t="s">
        <v>573</v>
      </c>
      <c r="G20" s="560"/>
      <c r="H20" s="598" t="s">
        <v>478</v>
      </c>
      <c r="I20" s="21"/>
    </row>
    <row r="21" spans="1:9" x14ac:dyDescent="0.25">
      <c r="A21" s="20"/>
      <c r="B21" s="21"/>
      <c r="C21" s="280">
        <v>43865</v>
      </c>
      <c r="D21" s="279" t="s">
        <v>476</v>
      </c>
      <c r="E21" s="465" t="s">
        <v>574</v>
      </c>
      <c r="F21" s="465" t="s">
        <v>573</v>
      </c>
      <c r="G21" s="561"/>
      <c r="H21" s="464" t="s">
        <v>478</v>
      </c>
      <c r="I21" s="21"/>
    </row>
    <row r="22" spans="1:9" x14ac:dyDescent="0.25">
      <c r="A22" s="20"/>
      <c r="B22" s="21"/>
      <c r="C22" s="197">
        <v>43776</v>
      </c>
      <c r="D22" s="198" t="s">
        <v>476</v>
      </c>
      <c r="E22" s="558" t="s">
        <v>570</v>
      </c>
      <c r="F22" s="558" t="s">
        <v>564</v>
      </c>
      <c r="G22" s="560"/>
      <c r="H22" s="577" t="s">
        <v>478</v>
      </c>
      <c r="I22" s="21"/>
    </row>
    <row r="23" spans="1:9" x14ac:dyDescent="0.25">
      <c r="A23" s="20"/>
      <c r="B23" s="21"/>
      <c r="C23" s="280">
        <v>43683</v>
      </c>
      <c r="D23" s="279" t="s">
        <v>476</v>
      </c>
      <c r="E23" s="465" t="s">
        <v>515</v>
      </c>
      <c r="F23" s="465" t="s">
        <v>571</v>
      </c>
      <c r="G23" s="561"/>
      <c r="H23" s="464" t="s">
        <v>478</v>
      </c>
      <c r="I23" s="21"/>
    </row>
    <row r="24" spans="1:9" x14ac:dyDescent="0.25">
      <c r="A24" s="20"/>
      <c r="B24" s="21"/>
      <c r="C24" s="296">
        <v>43593</v>
      </c>
      <c r="D24" s="297" t="s">
        <v>476</v>
      </c>
      <c r="E24" s="458" t="s">
        <v>515</v>
      </c>
      <c r="F24" s="458" t="s">
        <v>477</v>
      </c>
      <c r="G24" s="562"/>
      <c r="H24" s="411" t="s">
        <v>478</v>
      </c>
      <c r="I24" s="21"/>
    </row>
    <row r="25" spans="1:9" x14ac:dyDescent="0.25">
      <c r="A25" s="20"/>
      <c r="B25" s="21"/>
      <c r="C25" s="296">
        <v>43501</v>
      </c>
      <c r="D25" s="297" t="s">
        <v>479</v>
      </c>
      <c r="E25" s="458" t="s">
        <v>515</v>
      </c>
      <c r="F25" s="458" t="s">
        <v>480</v>
      </c>
      <c r="G25" s="562"/>
      <c r="H25" s="411" t="s">
        <v>478</v>
      </c>
      <c r="I25" s="21"/>
    </row>
    <row r="26" spans="1:9" x14ac:dyDescent="0.25">
      <c r="A26" s="20"/>
      <c r="B26" s="21"/>
      <c r="C26" s="296">
        <v>43486</v>
      </c>
      <c r="D26" s="297" t="s">
        <v>479</v>
      </c>
      <c r="E26" s="458" t="s">
        <v>481</v>
      </c>
      <c r="F26" s="458" t="s">
        <v>487</v>
      </c>
      <c r="G26" s="562"/>
      <c r="H26" s="411" t="s">
        <v>482</v>
      </c>
      <c r="I26" s="21"/>
    </row>
    <row r="27" spans="1:9" x14ac:dyDescent="0.25">
      <c r="A27" s="20"/>
      <c r="B27" s="21"/>
      <c r="C27" s="296">
        <v>43472</v>
      </c>
      <c r="D27" s="297" t="s">
        <v>479</v>
      </c>
      <c r="E27" s="410" t="s">
        <v>483</v>
      </c>
      <c r="F27" s="410" t="s">
        <v>487</v>
      </c>
      <c r="G27" s="562"/>
      <c r="H27" s="299"/>
      <c r="I27" s="21"/>
    </row>
    <row r="28" spans="1:9" x14ac:dyDescent="0.25">
      <c r="A28" s="20"/>
      <c r="B28" s="21"/>
      <c r="C28" s="296">
        <v>43467</v>
      </c>
      <c r="D28" s="297" t="s">
        <v>484</v>
      </c>
      <c r="E28" s="386" t="s">
        <v>485</v>
      </c>
      <c r="F28" s="386" t="s">
        <v>487</v>
      </c>
      <c r="G28" s="562"/>
      <c r="H28" s="299"/>
      <c r="I28" s="21"/>
    </row>
    <row r="29" spans="1:9" x14ac:dyDescent="0.25">
      <c r="A29" s="20"/>
      <c r="B29" s="21"/>
      <c r="C29" s="296">
        <v>43412</v>
      </c>
      <c r="D29" s="297" t="s">
        <v>486</v>
      </c>
      <c r="E29" s="307" t="s">
        <v>570</v>
      </c>
      <c r="F29" s="307" t="s">
        <v>487</v>
      </c>
      <c r="G29" s="562"/>
      <c r="H29" s="299" t="s">
        <v>478</v>
      </c>
      <c r="I29" s="21"/>
    </row>
    <row r="30" spans="1:9" x14ac:dyDescent="0.25">
      <c r="A30" s="20"/>
      <c r="B30" s="21"/>
      <c r="C30" s="296">
        <v>43319</v>
      </c>
      <c r="D30" s="297" t="s">
        <v>488</v>
      </c>
      <c r="E30" s="298" t="s">
        <v>515</v>
      </c>
      <c r="F30" s="298" t="s">
        <v>489</v>
      </c>
      <c r="G30" s="562"/>
      <c r="H30" s="299" t="s">
        <v>478</v>
      </c>
      <c r="I30" s="21"/>
    </row>
    <row r="31" spans="1:9" x14ac:dyDescent="0.25">
      <c r="A31" s="20"/>
      <c r="B31" s="21"/>
      <c r="C31" s="275">
        <v>43228</v>
      </c>
      <c r="D31" s="276" t="s">
        <v>490</v>
      </c>
      <c r="E31" s="277" t="s">
        <v>515</v>
      </c>
      <c r="F31" s="277" t="s">
        <v>491</v>
      </c>
      <c r="G31" s="563"/>
      <c r="H31" s="278" t="s">
        <v>478</v>
      </c>
      <c r="I31" s="21"/>
    </row>
    <row r="32" spans="1:9" x14ac:dyDescent="0.25">
      <c r="A32" s="20"/>
      <c r="B32" s="21"/>
      <c r="C32" s="197">
        <v>43137</v>
      </c>
      <c r="D32" s="198" t="s">
        <v>492</v>
      </c>
      <c r="E32" s="199" t="s">
        <v>515</v>
      </c>
      <c r="F32" s="199" t="s">
        <v>493</v>
      </c>
      <c r="G32" s="560"/>
      <c r="H32" s="200" t="s">
        <v>478</v>
      </c>
      <c r="I32" s="21"/>
    </row>
    <row r="33" spans="1:9" x14ac:dyDescent="0.25">
      <c r="A33" s="20"/>
      <c r="B33" s="21"/>
      <c r="C33" s="197">
        <v>43048</v>
      </c>
      <c r="D33" s="198" t="s">
        <v>494</v>
      </c>
      <c r="E33" s="199" t="s">
        <v>570</v>
      </c>
      <c r="F33" s="199" t="s">
        <v>495</v>
      </c>
      <c r="G33" s="560"/>
      <c r="H33" s="200" t="s">
        <v>478</v>
      </c>
      <c r="I33" s="21"/>
    </row>
    <row r="34" spans="1:9" x14ac:dyDescent="0.25">
      <c r="A34" s="20"/>
      <c r="B34" s="21"/>
      <c r="C34" s="197">
        <v>42955</v>
      </c>
      <c r="D34" s="198" t="s">
        <v>496</v>
      </c>
      <c r="E34" s="199" t="s">
        <v>515</v>
      </c>
      <c r="F34" s="199" t="s">
        <v>497</v>
      </c>
      <c r="G34" s="560"/>
      <c r="H34" s="200" t="s">
        <v>478</v>
      </c>
      <c r="I34" s="21"/>
    </row>
    <row r="35" spans="1:9" x14ac:dyDescent="0.25">
      <c r="A35" s="20"/>
      <c r="B35" s="21"/>
      <c r="C35" s="32">
        <v>42866</v>
      </c>
      <c r="D35" s="31" t="s">
        <v>498</v>
      </c>
      <c r="E35" s="58" t="s">
        <v>515</v>
      </c>
      <c r="F35" s="58" t="s">
        <v>499</v>
      </c>
      <c r="G35" s="560"/>
      <c r="H35" s="147" t="s">
        <v>478</v>
      </c>
      <c r="I35" s="21"/>
    </row>
    <row r="36" spans="1:9" x14ac:dyDescent="0.25">
      <c r="A36" s="20"/>
      <c r="B36" s="21"/>
      <c r="C36" s="32">
        <v>42773</v>
      </c>
      <c r="D36" s="31" t="s">
        <v>500</v>
      </c>
      <c r="E36" s="58" t="s">
        <v>515</v>
      </c>
      <c r="F36" s="58" t="s">
        <v>501</v>
      </c>
      <c r="G36" s="560"/>
      <c r="H36" s="147" t="s">
        <v>478</v>
      </c>
      <c r="I36" s="21"/>
    </row>
    <row r="37" spans="1:9" x14ac:dyDescent="0.25">
      <c r="A37" s="20"/>
      <c r="B37" s="21"/>
      <c r="C37" s="32">
        <v>42698</v>
      </c>
      <c r="D37" s="31" t="s">
        <v>502</v>
      </c>
      <c r="E37" s="58" t="s">
        <v>570</v>
      </c>
      <c r="F37" s="58" t="s">
        <v>503</v>
      </c>
      <c r="G37" s="560"/>
      <c r="H37" s="147" t="s">
        <v>478</v>
      </c>
      <c r="I37" s="21"/>
    </row>
    <row r="38" spans="1:9" x14ac:dyDescent="0.25">
      <c r="A38" s="20"/>
      <c r="B38" s="21"/>
      <c r="C38" s="32">
        <v>42696</v>
      </c>
      <c r="D38" s="31" t="s">
        <v>502</v>
      </c>
      <c r="E38" s="58" t="s">
        <v>515</v>
      </c>
      <c r="F38" s="58" t="s">
        <v>504</v>
      </c>
      <c r="G38" s="560"/>
      <c r="H38" s="147" t="s">
        <v>478</v>
      </c>
      <c r="I38" s="21"/>
    </row>
    <row r="39" spans="1:9" x14ac:dyDescent="0.25">
      <c r="A39" s="20"/>
      <c r="B39" s="21"/>
      <c r="C39" s="32">
        <v>42548</v>
      </c>
      <c r="D39" s="31" t="s">
        <v>505</v>
      </c>
      <c r="E39" s="58" t="s">
        <v>506</v>
      </c>
      <c r="F39" s="58" t="s">
        <v>572</v>
      </c>
      <c r="G39" s="560"/>
      <c r="H39" s="147"/>
      <c r="I39" s="21"/>
    </row>
    <row r="40" spans="1:9" x14ac:dyDescent="0.25">
      <c r="A40" s="20"/>
      <c r="B40" s="21"/>
      <c r="C40" s="21"/>
      <c r="D40" s="21"/>
      <c r="E40" s="21"/>
      <c r="F40" s="21"/>
      <c r="G40" s="21"/>
      <c r="H40" s="21"/>
      <c r="I40" s="21"/>
    </row>
    <row r="41" spans="1:9" x14ac:dyDescent="0.25">
      <c r="A41" s="20"/>
      <c r="B41" s="21"/>
      <c r="C41" s="21"/>
      <c r="D41" s="21"/>
      <c r="E41" s="21"/>
      <c r="F41" s="21"/>
      <c r="G41" s="21"/>
      <c r="H41" s="21"/>
      <c r="I41" s="21"/>
    </row>
    <row r="42" spans="1:9" x14ac:dyDescent="0.25">
      <c r="A42" s="20"/>
      <c r="B42" s="21"/>
      <c r="C42" s="21"/>
      <c r="D42" s="21"/>
      <c r="E42" s="21"/>
      <c r="F42" s="21"/>
      <c r="G42" s="21"/>
      <c r="H42" s="21"/>
      <c r="I42" s="21"/>
    </row>
    <row r="43" spans="1:9" x14ac:dyDescent="0.25">
      <c r="A43" s="20"/>
      <c r="B43" s="20"/>
      <c r="C43" s="20"/>
      <c r="D43" s="20"/>
      <c r="E43" s="20"/>
      <c r="F43" s="20"/>
      <c r="G43" s="20"/>
      <c r="H43" s="20"/>
    </row>
    <row r="44" spans="1:9" x14ac:dyDescent="0.25">
      <c r="A44" s="20"/>
      <c r="B44" s="20"/>
      <c r="C44" s="20"/>
      <c r="D44" s="20"/>
      <c r="E44" s="20"/>
      <c r="F44" s="20"/>
      <c r="G44" s="20"/>
      <c r="H44" s="20"/>
    </row>
    <row r="45" spans="1:9" x14ac:dyDescent="0.25">
      <c r="A45" s="20"/>
      <c r="B45" s="20"/>
      <c r="C45" s="20"/>
      <c r="D45" s="20"/>
      <c r="E45" s="20"/>
      <c r="F45" s="20"/>
      <c r="G45" s="20"/>
      <c r="H45" s="20"/>
    </row>
    <row r="46" spans="1:9" x14ac:dyDescent="0.25">
      <c r="A46" s="20"/>
      <c r="B46" s="20"/>
      <c r="C46" s="20"/>
      <c r="D46" s="20"/>
      <c r="E46" s="20"/>
      <c r="F46" s="20"/>
      <c r="G46" s="20"/>
      <c r="H46" s="20"/>
    </row>
    <row r="47" spans="1:9" x14ac:dyDescent="0.25">
      <c r="A47" s="20"/>
      <c r="B47" s="20"/>
      <c r="C47" s="20"/>
      <c r="D47" s="20"/>
      <c r="E47" s="20"/>
      <c r="F47" s="20"/>
      <c r="G47" s="20"/>
      <c r="H47" s="20"/>
    </row>
    <row r="48" spans="1:9" x14ac:dyDescent="0.25">
      <c r="A48" s="20"/>
      <c r="B48" s="20"/>
      <c r="C48" s="20"/>
      <c r="D48" s="20"/>
      <c r="E48" s="20"/>
      <c r="F48" s="20"/>
      <c r="G48" s="20"/>
      <c r="H48" s="20"/>
    </row>
    <row r="49" spans="1:8" x14ac:dyDescent="0.25">
      <c r="A49" s="20"/>
      <c r="B49" s="20"/>
      <c r="C49" s="20"/>
      <c r="D49" s="20"/>
      <c r="E49" s="20"/>
      <c r="F49" s="20"/>
      <c r="G49" s="20"/>
      <c r="H49" s="20"/>
    </row>
    <row r="50" spans="1:8" x14ac:dyDescent="0.25">
      <c r="A50" s="20"/>
      <c r="B50" s="20"/>
      <c r="C50" s="20"/>
      <c r="D50" s="20"/>
      <c r="E50" s="20"/>
      <c r="F50" s="20"/>
      <c r="G50" s="20"/>
      <c r="H50" s="20"/>
    </row>
    <row r="51" spans="1:8" x14ac:dyDescent="0.25">
      <c r="A51" s="20"/>
      <c r="B51" s="20"/>
      <c r="C51" s="20"/>
      <c r="D51" s="20"/>
      <c r="E51" s="20"/>
      <c r="F51" s="20"/>
      <c r="G51" s="20"/>
      <c r="H51" s="20"/>
    </row>
    <row r="52" spans="1:8" x14ac:dyDescent="0.25">
      <c r="A52" s="20"/>
      <c r="B52" s="20"/>
      <c r="C52" s="20"/>
      <c r="D52" s="20"/>
      <c r="E52" s="20"/>
      <c r="F52" s="20"/>
      <c r="G52" s="20"/>
      <c r="H52" s="20"/>
    </row>
    <row r="53" spans="1:8" x14ac:dyDescent="0.25">
      <c r="A53" s="20"/>
      <c r="B53" s="20"/>
      <c r="C53" s="20"/>
      <c r="D53" s="20"/>
      <c r="E53" s="20"/>
      <c r="F53" s="20"/>
      <c r="G53" s="20"/>
      <c r="H53" s="20"/>
    </row>
    <row r="54" spans="1:8" x14ac:dyDescent="0.25">
      <c r="A54" s="20"/>
      <c r="B54" s="20"/>
      <c r="C54" s="20"/>
      <c r="D54" s="20"/>
      <c r="E54" s="20"/>
      <c r="F54" s="20"/>
      <c r="G54" s="20"/>
      <c r="H54" s="20"/>
    </row>
    <row r="55" spans="1:8" x14ac:dyDescent="0.25">
      <c r="A55" s="20"/>
      <c r="B55" s="20"/>
      <c r="C55" s="20"/>
      <c r="D55" s="20"/>
      <c r="E55" s="20"/>
      <c r="F55" s="20"/>
      <c r="G55" s="20"/>
      <c r="H55" s="20"/>
    </row>
    <row r="56" spans="1:8" x14ac:dyDescent="0.25">
      <c r="A56" s="20"/>
      <c r="B56" s="20"/>
      <c r="C56" s="20"/>
      <c r="D56" s="20"/>
      <c r="E56" s="20"/>
      <c r="F56" s="20"/>
      <c r="G56" s="20"/>
      <c r="H56" s="20"/>
    </row>
    <row r="57" spans="1:8" x14ac:dyDescent="0.25">
      <c r="A57" s="20"/>
      <c r="B57" s="20"/>
      <c r="C57" s="20"/>
      <c r="D57" s="20"/>
      <c r="E57" s="20"/>
      <c r="F57" s="20"/>
      <c r="G57" s="20"/>
      <c r="H57" s="20"/>
    </row>
    <row r="58" spans="1:8" x14ac:dyDescent="0.25">
      <c r="A58" s="20"/>
      <c r="B58" s="20"/>
      <c r="C58" s="20"/>
      <c r="D58" s="20"/>
      <c r="E58" s="20"/>
      <c r="F58" s="20"/>
      <c r="G58" s="20"/>
      <c r="H58" s="20"/>
    </row>
    <row r="59" spans="1:8" x14ac:dyDescent="0.25">
      <c r="A59" s="20"/>
      <c r="B59" s="20"/>
      <c r="C59" s="20"/>
      <c r="D59" s="20"/>
      <c r="E59" s="20"/>
      <c r="F59" s="20"/>
      <c r="G59" s="20"/>
      <c r="H59" s="20"/>
    </row>
    <row r="60" spans="1:8" x14ac:dyDescent="0.25">
      <c r="A60" s="20"/>
      <c r="B60" s="20"/>
      <c r="C60" s="20"/>
      <c r="D60" s="20"/>
      <c r="E60" s="20"/>
      <c r="F60" s="20"/>
      <c r="G60" s="20"/>
      <c r="H60" s="20"/>
    </row>
    <row r="61" spans="1:8" x14ac:dyDescent="0.25">
      <c r="A61" s="20"/>
      <c r="B61" s="20"/>
      <c r="C61" s="20"/>
      <c r="D61" s="20"/>
      <c r="E61" s="20"/>
      <c r="F61" s="20"/>
      <c r="G61" s="20"/>
      <c r="H61" s="20"/>
    </row>
    <row r="62" spans="1:8" x14ac:dyDescent="0.25">
      <c r="A62" s="20"/>
      <c r="H62" s="20"/>
    </row>
  </sheetData>
  <hyperlinks>
    <hyperlink ref="H24" r:id="rId1" xr:uid="{00000000-0004-0000-0400-000000000000}"/>
    <hyperlink ref="H25" r:id="rId2" tooltip="Website Link" xr:uid="{00000000-0004-0000-0400-000001000000}"/>
    <hyperlink ref="H26" r:id="rId3" tooltip="Website Link" xr:uid="{00000000-0004-0000-0400-000002000000}"/>
    <hyperlink ref="H29" r:id="rId4" tooltip="Website Link" xr:uid="{00000000-0004-0000-0400-000003000000}"/>
    <hyperlink ref="H30" r:id="rId5" tooltip="Website Link" xr:uid="{00000000-0004-0000-0400-000004000000}"/>
    <hyperlink ref="H31" r:id="rId6" xr:uid="{00000000-0004-0000-0400-000005000000}"/>
    <hyperlink ref="H32" r:id="rId7" tooltip="Website Link" xr:uid="{00000000-0004-0000-0400-000006000000}"/>
    <hyperlink ref="H33" r:id="rId8" tooltip="Website Link" xr:uid="{00000000-0004-0000-0400-000007000000}"/>
    <hyperlink ref="H34" r:id="rId9" tooltip="Website Link" xr:uid="{00000000-0004-0000-0400-000008000000}"/>
    <hyperlink ref="H35" r:id="rId10" tooltip="Website Link" xr:uid="{00000000-0004-0000-0400-000009000000}"/>
    <hyperlink ref="H36" r:id="rId11" tooltip="Website Link" xr:uid="{00000000-0004-0000-0400-00000A000000}"/>
    <hyperlink ref="H37" r:id="rId12" tooltip="Website Link" xr:uid="{00000000-0004-0000-0400-00000B000000}"/>
    <hyperlink ref="H38" r:id="rId13" tooltip="Website Link" xr:uid="{00000000-0004-0000-0400-00000C000000}"/>
    <hyperlink ref="H23" r:id="rId14" tooltip="Website Link" xr:uid="{00000000-0004-0000-0400-00000D000000}"/>
    <hyperlink ref="H22" r:id="rId15" tooltip="Website Link" xr:uid="{00000000-0004-0000-0400-00000E000000}"/>
    <hyperlink ref="H21" r:id="rId16" tooltip="Website Link" xr:uid="{00000000-0004-0000-0400-00000F000000}"/>
    <hyperlink ref="H20" r:id="rId17" xr:uid="{00000000-0004-0000-0400-000010000000}"/>
    <hyperlink ref="H19" r:id="rId18" tooltip="Website Link" xr:uid="{00000000-0004-0000-0400-000011000000}"/>
    <hyperlink ref="H18" r:id="rId19" tooltip="Website Link" xr:uid="{00000000-0004-0000-0400-000012000000}"/>
    <hyperlink ref="H17" r:id="rId20" tooltip="Website Link" xr:uid="{00000000-0004-0000-0400-000013000000}"/>
    <hyperlink ref="H16" r:id="rId21" tooltip="Website Link" xr:uid="{00000000-0004-0000-0400-000014000000}"/>
    <hyperlink ref="H15" r:id="rId22" tooltip="Website Link" xr:uid="{00000000-0004-0000-0400-000015000000}"/>
    <hyperlink ref="H14" r:id="rId23" tooltip="Website Link" xr:uid="{00000000-0004-0000-0400-000016000000}"/>
    <hyperlink ref="H13" r:id="rId24" tooltip="Website Link" xr:uid="{00000000-0004-0000-0400-000017000000}"/>
    <hyperlink ref="H12" r:id="rId25" tooltip="Website Link" xr:uid="{00000000-0004-0000-0400-000018000000}"/>
    <hyperlink ref="H11" r:id="rId26" tooltip="Website Link" xr:uid="{00000000-0004-0000-0400-000019000000}"/>
  </hyperlinks>
  <pageMargins left="0.7" right="0.7" top="0.75" bottom="0.75" header="0.3" footer="0.3"/>
  <pageSetup orientation="portrait"/>
  <drawing r:id="rId27"/>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5</vt:i4>
      </vt:variant>
      <vt:variant>
        <vt:lpstr>Named Ranges</vt:lpstr>
      </vt:variant>
      <vt:variant>
        <vt:i4>1545</vt:i4>
      </vt:variant>
    </vt:vector>
  </HeadingPairs>
  <TitlesOfParts>
    <vt:vector size="1550" baseType="lpstr">
      <vt:lpstr>Front Page</vt:lpstr>
      <vt:lpstr>Model</vt:lpstr>
      <vt:lpstr>Summary Page</vt:lpstr>
      <vt:lpstr>Television Stations</vt:lpstr>
      <vt:lpstr>Update Log</vt:lpstr>
      <vt:lpstr>FP.DataSource</vt:lpstr>
      <vt:lpstr>FP.DataSourceName</vt:lpstr>
      <vt:lpstr>FP.Disclaimer</vt:lpstr>
      <vt:lpstr>FP.LastPrice</vt:lpstr>
      <vt:lpstr>FP.LastPriceDate</vt:lpstr>
      <vt:lpstr>FP.RealTimeToggle</vt:lpstr>
      <vt:lpstr>FP.UpdateDate</vt:lpstr>
      <vt:lpstr>FP.UpdateEvent</vt:lpstr>
      <vt:lpstr>FP_Comment</vt:lpstr>
      <vt:lpstr>FP_StockPriceOverride</vt:lpstr>
      <vt:lpstr>HP.MRFX</vt:lpstr>
      <vt:lpstr>HP.ReportCurrency</vt:lpstr>
      <vt:lpstr>HP.Ticker</vt:lpstr>
      <vt:lpstr>HP.TradeCurrency</vt:lpstr>
      <vt:lpstr>HP.TradeCurrency.HardCoded</vt:lpstr>
      <vt:lpstr>MO.CFY</vt:lpstr>
      <vt:lpstr>MO.CompanyName</vt:lpstr>
      <vt:lpstr>MO.DataSourceIndex</vt:lpstr>
      <vt:lpstr>MO.DataSourceName</vt:lpstr>
      <vt:lpstr>MO.FirstForecastedFiscalYear</vt:lpstr>
      <vt:lpstr>MO.LastPrice</vt:lpstr>
      <vt:lpstr>MO.LastPriceDate</vt:lpstr>
      <vt:lpstr>MO.LastPriceFormula</vt:lpstr>
      <vt:lpstr>MO.LastPriceHardcoded</vt:lpstr>
      <vt:lpstr>MO.MRFP</vt:lpstr>
      <vt:lpstr>MO.MRFPColumnNumber</vt:lpstr>
      <vt:lpstr>MO.MRFX.Hardcoded</vt:lpstr>
      <vt:lpstr>MO.RealTime</vt:lpstr>
      <vt:lpstr>MO.RealTimeStockPriceToggle</vt:lpstr>
      <vt:lpstr>MO.ReportCurrency</vt:lpstr>
      <vt:lpstr>MO.ReportFX</vt:lpstr>
      <vt:lpstr>MO.Ticker</vt:lpstr>
      <vt:lpstr>MO.Ticker.Bloomberg</vt:lpstr>
      <vt:lpstr>MO.Ticker.CapIQ</vt:lpstr>
      <vt:lpstr>MO.Ticker.FactSet</vt:lpstr>
      <vt:lpstr>MO.Ticker.Thomson</vt:lpstr>
      <vt:lpstr>MO.TradingCurrency</vt:lpstr>
      <vt:lpstr>MO.ValuationToggle</vt:lpstr>
      <vt:lpstr>MO_BS_APandAE</vt:lpstr>
      <vt:lpstr>MO_BS_AR</vt:lpstr>
      <vt:lpstr>MO_BS_CA</vt:lpstr>
      <vt:lpstr>MO_BS_Cash</vt:lpstr>
      <vt:lpstr>MO_BS_CL</vt:lpstr>
      <vt:lpstr>MO_BS_CommonStock</vt:lpstr>
      <vt:lpstr>MO_BS_Goodwill</vt:lpstr>
      <vt:lpstr>MO_BS_Intangibles</vt:lpstr>
      <vt:lpstr>MO_BS_INV</vt:lpstr>
      <vt:lpstr>MO_BS_NCA</vt:lpstr>
      <vt:lpstr>MO_BS_NCI</vt:lpstr>
      <vt:lpstr>MO_BS_NCL</vt:lpstr>
      <vt:lpstr>MO_BS_OCI</vt:lpstr>
      <vt:lpstr>MO_BS_PPE</vt:lpstr>
      <vt:lpstr>MO_BS_Pref</vt:lpstr>
      <vt:lpstr>MO_BS_RestrictedCash_Current</vt:lpstr>
      <vt:lpstr>MO_BS_RetainedEarnings</vt:lpstr>
      <vt:lpstr>MO_BS_SE</vt:lpstr>
      <vt:lpstr>MO_BS_TA</vt:lpstr>
      <vt:lpstr>MO_BS_TaxAssets_Deferred_Current</vt:lpstr>
      <vt:lpstr>MO_BS_TaxLiabilities_Deferred_NonCurrent</vt:lpstr>
      <vt:lpstr>MO_BS_TL</vt:lpstr>
      <vt:lpstr>MO_BS_TLSE</vt:lpstr>
      <vt:lpstr>MO_BS_TreasuryStock</vt:lpstr>
      <vt:lpstr>MO_BSS_Cash</vt:lpstr>
      <vt:lpstr>MO_BSS_Debt</vt:lpstr>
      <vt:lpstr>MO_BSS_Debt_LT</vt:lpstr>
      <vt:lpstr>MO_BSS_Debt_Net</vt:lpstr>
      <vt:lpstr>MO_BSS_Debt_ST</vt:lpstr>
      <vt:lpstr>MO_BSS_Debt_ToCF</vt:lpstr>
      <vt:lpstr>MO_BSS_Debt_ToEBITDA</vt:lpstr>
      <vt:lpstr>MO_BSS_IE</vt:lpstr>
      <vt:lpstr>MO_BSS_IE_Net</vt:lpstr>
      <vt:lpstr>MO_BSS_II</vt:lpstr>
      <vt:lpstr>MO_BSS_InterestRate_Cash</vt:lpstr>
      <vt:lpstr>MO_BSS_InterestRate_Debt</vt:lpstr>
      <vt:lpstr>MO_BSS_NetInterestCoverage</vt:lpstr>
      <vt:lpstr>MO_BSS_NetInterestRate_Debt</vt:lpstr>
      <vt:lpstr>MO_CCFS_Balance_Begin</vt:lpstr>
      <vt:lpstr>MO_CCFS_Balance_End</vt:lpstr>
      <vt:lpstr>MO_CCFS_CFF</vt:lpstr>
      <vt:lpstr>MO_CCFS_CFI</vt:lpstr>
      <vt:lpstr>MO_CCFS_CFO</vt:lpstr>
      <vt:lpstr>MO_CCFS_CFO_BeforeWC</vt:lpstr>
      <vt:lpstr>MO_CCFS_FX</vt:lpstr>
      <vt:lpstr>MO_CCFS_NetChange</vt:lpstr>
      <vt:lpstr>MO_CFS_Balance_Begin</vt:lpstr>
      <vt:lpstr>MO_CFS_Balance_End</vt:lpstr>
      <vt:lpstr>MO_CFS_Buyback</vt:lpstr>
      <vt:lpstr>MO_CFS_CFF</vt:lpstr>
      <vt:lpstr>MO_CFS_CFI</vt:lpstr>
      <vt:lpstr>MO_CFS_CFO</vt:lpstr>
      <vt:lpstr>MO_CFS_CFO_BeforeWC</vt:lpstr>
      <vt:lpstr>MO_CFS_FX</vt:lpstr>
      <vt:lpstr>MO_CFS_NetChange</vt:lpstr>
      <vt:lpstr>MO_CFS_NI</vt:lpstr>
      <vt:lpstr>MO_CFS_SBC</vt:lpstr>
      <vt:lpstr>MO_CFSum_Acquisition</vt:lpstr>
      <vt:lpstr>MO_CFSum_Capex</vt:lpstr>
      <vt:lpstr>MO_CFSum_CFO_BeforeWC</vt:lpstr>
      <vt:lpstr>MO_CFSum_CFPS</vt:lpstr>
      <vt:lpstr>MO_CFSum_Divestiture</vt:lpstr>
      <vt:lpstr>MO_CFSum_Dividend</vt:lpstr>
      <vt:lpstr>MO_CFSum_DPS</vt:lpstr>
      <vt:lpstr>MO_CFSum_FCF_PostDivPostAD</vt:lpstr>
      <vt:lpstr>MO_CFSum_FCF_PostDivPostADPostDebtPostBuyback</vt:lpstr>
      <vt:lpstr>MO_CFSum_FCF_PostDivPreAD</vt:lpstr>
      <vt:lpstr>MO_CFSum_FCF_PreDiv</vt:lpstr>
      <vt:lpstr>MO_CFSum_NetDebtIssuance</vt:lpstr>
      <vt:lpstr>MO_CFSum_NetShares</vt:lpstr>
      <vt:lpstr>MO_CFSum_NetShares_Price</vt:lpstr>
      <vt:lpstr>MO_Checks_Bottom</vt:lpstr>
      <vt:lpstr>MO_Checks_BS</vt:lpstr>
      <vt:lpstr>MO_Checks_CF</vt:lpstr>
      <vt:lpstr>MO_Checks_IS</vt:lpstr>
      <vt:lpstr>MO_Common_Column_A</vt:lpstr>
      <vt:lpstr>MO_Common_Column_B</vt:lpstr>
      <vt:lpstr>MO_Common_ColumnHeader</vt:lpstr>
      <vt:lpstr>MO_Common_CompanySubtitle</vt:lpstr>
      <vt:lpstr>MO_Common_CompanyTitle</vt:lpstr>
      <vt:lpstr>MO_Common_FPDays</vt:lpstr>
      <vt:lpstr>MO_Common_QEndDate</vt:lpstr>
      <vt:lpstr>MO_DAF_A</vt:lpstr>
      <vt:lpstr>MO_DAF_A_Percentage</vt:lpstr>
      <vt:lpstr>MO_DAF_Capex</vt:lpstr>
      <vt:lpstr>MO_DAF_D</vt:lpstr>
      <vt:lpstr>MO_DAF_D_Percentage</vt:lpstr>
      <vt:lpstr>MO_DAF_DA</vt:lpstr>
      <vt:lpstr>MO_DAF_Intangibles_BoP</vt:lpstr>
      <vt:lpstr>MO_DAF_Intangibles_Capex</vt:lpstr>
      <vt:lpstr>MO_DAF_Intangibles_Capex_Percent</vt:lpstr>
      <vt:lpstr>MO_DAF_Intangibles_EoP</vt:lpstr>
      <vt:lpstr>MO_DAF_Intangibles_Life</vt:lpstr>
      <vt:lpstr>MO_DAF_Intangibles_Other</vt:lpstr>
      <vt:lpstr>MO_DAF_PPE_BoP</vt:lpstr>
      <vt:lpstr>MO_DAF_PPE_Capex</vt:lpstr>
      <vt:lpstr>MO_DAF_PPE_EoP</vt:lpstr>
      <vt:lpstr>MO_DAF_PPE_Life</vt:lpstr>
      <vt:lpstr>MO_DAF_PPE_Other</vt:lpstr>
      <vt:lpstr>MO_GA_TotalRevenue</vt:lpstr>
      <vt:lpstr>MO_IS_EBT</vt:lpstr>
      <vt:lpstr>MO_IS_FirstRow</vt:lpstr>
      <vt:lpstr>MO_IS_REV</vt:lpstr>
      <vt:lpstr>MO_MA_COGS</vt:lpstr>
      <vt:lpstr>MO_MA_EBITDA</vt:lpstr>
      <vt:lpstr>MO_MA_EBITDA_Adj</vt:lpstr>
      <vt:lpstr>MO_MA_GM</vt:lpstr>
      <vt:lpstr>MO_MA_SGA</vt:lpstr>
      <vt:lpstr>MO_RIS_Adjustments_Dilution_GAAP</vt:lpstr>
      <vt:lpstr>MO_RIS_Adjustments_Dilution_NONGAAP</vt:lpstr>
      <vt:lpstr>MO_RIS_Adjustments_NONGAAP</vt:lpstr>
      <vt:lpstr>MO_RIS_COGS</vt:lpstr>
      <vt:lpstr>MO_RIS_DA</vt:lpstr>
      <vt:lpstr>MO_RIS_DAintangibles</vt:lpstr>
      <vt:lpstr>MO_RIS_DisCont</vt:lpstr>
      <vt:lpstr>MO_RIS_Dividend_Prefs</vt:lpstr>
      <vt:lpstr>MO_RIS_EBIT</vt:lpstr>
      <vt:lpstr>MO_RIS_EBITDA</vt:lpstr>
      <vt:lpstr>MO_RIS_EBITDA_Adj</vt:lpstr>
      <vt:lpstr>MO_RIS_EBT</vt:lpstr>
      <vt:lpstr>MO_RIS_EI</vt:lpstr>
      <vt:lpstr>MO_RIS_EPS_WAB</vt:lpstr>
      <vt:lpstr>MO_RIS_EPS_WAD</vt:lpstr>
      <vt:lpstr>MO_RIS_EPS_WAD_Adj</vt:lpstr>
      <vt:lpstr>MO_RIS_GP</vt:lpstr>
      <vt:lpstr>MO_RIS_IE</vt:lpstr>
      <vt:lpstr>MO_RIS_IE_Net</vt:lpstr>
      <vt:lpstr>MO_RIS_NCI</vt:lpstr>
      <vt:lpstr>MO_RIS_NI_ContinOp</vt:lpstr>
      <vt:lpstr>MO_RIS_NI_GAAP_Basic</vt:lpstr>
      <vt:lpstr>MO_RIS_NI_GAAP_Diluted</vt:lpstr>
      <vt:lpstr>MO_RIS_NI_NONGAAP_Diluted</vt:lpstr>
      <vt:lpstr>MO_RIS_OI</vt:lpstr>
      <vt:lpstr>MO_RIS_OTI</vt:lpstr>
      <vt:lpstr>MO_RIS_REV</vt:lpstr>
      <vt:lpstr>MO_RIS_SBC</vt:lpstr>
      <vt:lpstr>MO_RIS_SGA</vt:lpstr>
      <vt:lpstr>MO_RIS_ShareCount_WAB</vt:lpstr>
      <vt:lpstr>MO_RIS_ShareCount_WAD</vt:lpstr>
      <vt:lpstr>MO_RIS_ShareCount_WAD_Adj</vt:lpstr>
      <vt:lpstr>MO_RIS_Tax_Current</vt:lpstr>
      <vt:lpstr>MO_RIS_Tax_Deferred</vt:lpstr>
      <vt:lpstr>MO_RIS_TaxRate_Current</vt:lpstr>
      <vt:lpstr>MO_RIS_TaxRate_Deferred</vt:lpstr>
      <vt:lpstr>MO_Section_AdjustedNumbers</vt:lpstr>
      <vt:lpstr>MO_Section_BalanceSheet</vt:lpstr>
      <vt:lpstr>MO_Section_BalanceSheetSummary</vt:lpstr>
      <vt:lpstr>MO_Section_CashFlowStatement</vt:lpstr>
      <vt:lpstr>MO_Section_CashFlowSummary</vt:lpstr>
      <vt:lpstr>MO_Section_CumulativeCashFlowStatement</vt:lpstr>
      <vt:lpstr>MO_Section_DAForecasting</vt:lpstr>
      <vt:lpstr>MO_Section_FinancialSummaryOperatingIncome</vt:lpstr>
      <vt:lpstr>MO_Section_GrowthAnalysis</vt:lpstr>
      <vt:lpstr>MO_Section_HistoricalSegmentedResultsPriorQSegmentReorganization</vt:lpstr>
      <vt:lpstr>MO_Section_IncomeStatement</vt:lpstr>
      <vt:lpstr>MO_Section_KeyMetricsDirecttoConsumerInternationalSupplementalRevenueandSegmentOperatingIncomeMDA</vt:lpstr>
      <vt:lpstr>MO_Section_KeyMetricsDirecttoConsumerOperatingStatsFS</vt:lpstr>
      <vt:lpstr>MO_Section_KeyMetricsMediaNetworksSupplementalRevenueandSegmentOperatingIncomeMDA</vt:lpstr>
      <vt:lpstr>MO_Section_KeyMetricsParksandResortsStatisticsMDA</vt:lpstr>
      <vt:lpstr>MO_Section_KeyMetricsParksandResortsStatisticsMDA_1</vt:lpstr>
      <vt:lpstr>MO_Section_KeyMetricsParksExperiencesConsumerProductsRevenuebyRegionFS</vt:lpstr>
      <vt:lpstr>MO_Section_KeyMetricsParksExperiencesConsumerProductsSegmentOperatingIncomeMDA</vt:lpstr>
      <vt:lpstr>MO_Section_KeyMetricsParksExperiencesConsumerProductsSupplementalRevenueandSegmentOperatingIncomeMDA</vt:lpstr>
      <vt:lpstr>MO_Section_KeyMetricsStudioEntertainmentMDA</vt:lpstr>
      <vt:lpstr>MO_Section_KeyMetricsSupplementalRevenueandSegmentOperatingIncomeMDA</vt:lpstr>
      <vt:lpstr>MO_Section_LastRow</vt:lpstr>
      <vt:lpstr>MO_Section_MarginAnalysis</vt:lpstr>
      <vt:lpstr>MO_Section_ModelChecks</vt:lpstr>
      <vt:lpstr>MO_Section_RevisedIncomeStatement</vt:lpstr>
      <vt:lpstr>MO_Section_SegmentedResultsConsumerProductsInteractiveMediaPriortoResegmentationMDA</vt:lpstr>
      <vt:lpstr>MO_Section_SegmentedResultsCorporateandUnallocatedSharedExpensesMDA</vt:lpstr>
      <vt:lpstr>MO_Section_SegmentedResultsCorporateandUnallocatedSharedExpensesPriortoResegmentationMDA</vt:lpstr>
      <vt:lpstr>MO_Section_SegmentedResultsDirecttoConsumerInternationalMDA</vt:lpstr>
      <vt:lpstr>MO_Section_SegmentedResultsEliminationsMDA</vt:lpstr>
      <vt:lpstr>MO_Section_SegmentedResultsGeographicBreakdownFS</vt:lpstr>
      <vt:lpstr>MO_Section_SegmentedResultsMediaandEntertainmentDistributionFS</vt:lpstr>
      <vt:lpstr>MO_Section_SegmentedResultsMediaNetworksMDA</vt:lpstr>
      <vt:lpstr>MO_Section_SegmentedResultsMediaNetworksPriortoResegmentationMDA</vt:lpstr>
      <vt:lpstr>MO_Section_SegmentedResultsParksandResortsPriortoResegmentationMDA</vt:lpstr>
      <vt:lpstr>MO_Section_SegmentedResultsParksExperiencesandProductsFS</vt:lpstr>
      <vt:lpstr>MO_Section_SegmentedResultsParksExperiencesConsumerProductsMDA</vt:lpstr>
      <vt:lpstr>MO_Section_SegmentedResultsPriortoResegmentation</vt:lpstr>
      <vt:lpstr>MO_Section_SegmentedResultsStudioEntertainmentMDA</vt:lpstr>
      <vt:lpstr>MO_Section_SegmentedResultsStudioEntertainmentPriortoResegmentationMDA</vt:lpstr>
      <vt:lpstr>MO_Section_SegmentedResultsTwentyFirstCenturyFoxMDA</vt:lpstr>
      <vt:lpstr>MO_Section_Tables</vt:lpstr>
      <vt:lpstr>MO_Section_Valuation</vt:lpstr>
      <vt:lpstr>MO_Section_WorkingCapitalForecasting</vt:lpstr>
      <vt:lpstr>MO_SNA_ConsensusEstimatePeriodNumber</vt:lpstr>
      <vt:lpstr>MO_SNA_ConsensusEstimatePeriodType</vt:lpstr>
      <vt:lpstr>MO_SNA_FPStartDate</vt:lpstr>
      <vt:lpstr>MO_SNA_IsHistoricalPeriod</vt:lpstr>
      <vt:lpstr>MO_SNA_LastDataRow</vt:lpstr>
      <vt:lpstr>MO_SPT_FXAverage</vt:lpstr>
      <vt:lpstr>MO_SPT_FXAverage_Sources</vt:lpstr>
      <vt:lpstr>MO_SPT_FXAverage_Sources_Bloomberg</vt:lpstr>
      <vt:lpstr>MO_SPT_FXAverage_Sources_CapIQ</vt:lpstr>
      <vt:lpstr>MO_SPT_FXAverage_Sources_FactSet</vt:lpstr>
      <vt:lpstr>MO_SPT_FXAverage_Sources_RealTimeOff</vt:lpstr>
      <vt:lpstr>MO_SPT_FXAverage_Sources_Thomson</vt:lpstr>
      <vt:lpstr>MO_SPT_StockAverage</vt:lpstr>
      <vt:lpstr>MO_SPT_StockAverage_Sources</vt:lpstr>
      <vt:lpstr>MO_SPT_StockAverage_Sources_Bloomberg</vt:lpstr>
      <vt:lpstr>MO_SPT_StockAverage_Sources_CapIQ</vt:lpstr>
      <vt:lpstr>MO_SPT_StockAverage_Sources_FactSet</vt:lpstr>
      <vt:lpstr>MO_SPT_StockAverage_Sources_RealTimeOff</vt:lpstr>
      <vt:lpstr>MO_SPT_StockAverage_Sources_Thomson</vt:lpstr>
      <vt:lpstr>MO_SPT_StockHigh</vt:lpstr>
      <vt:lpstr>MO_SPT_StockHigh_Sources</vt:lpstr>
      <vt:lpstr>MO_SPT_StockHigh_Sources_Bloomberg</vt:lpstr>
      <vt:lpstr>MO_SPT_StockHigh_Sources_CapIQ</vt:lpstr>
      <vt:lpstr>MO_SPT_StockHigh_Sources_FactSet</vt:lpstr>
      <vt:lpstr>MO_SPT_StockHigh_Sources_RealTimeOff</vt:lpstr>
      <vt:lpstr>MO_SPT_StockHigh_Sources_Thomson</vt:lpstr>
      <vt:lpstr>MO_SPT_StockLow</vt:lpstr>
      <vt:lpstr>MO_SPT_StockLow_Sources</vt:lpstr>
      <vt:lpstr>MO_SPT_StockLow_Sources_Bloomberg</vt:lpstr>
      <vt:lpstr>MO_SPT_StockLow_Sources_CapIQ</vt:lpstr>
      <vt:lpstr>MO_SPT_StockLow_Sources_FactSet</vt:lpstr>
      <vt:lpstr>MO_SPT_StockLow_Sources_RealTimeOff</vt:lpstr>
      <vt:lpstr>MO_SPT_StockLow_Sources_Thomson</vt:lpstr>
      <vt:lpstr>MO_SubSection_BS_CA</vt:lpstr>
      <vt:lpstr>MO_SubSection_BS_CL</vt:lpstr>
      <vt:lpstr>MO_SubSection_BS_NCA</vt:lpstr>
      <vt:lpstr>MO_SubSection_BS_NCL</vt:lpstr>
      <vt:lpstr>MO_SubSection_BS_SE</vt:lpstr>
      <vt:lpstr>MO_SubSection_CCFS_CFF</vt:lpstr>
      <vt:lpstr>MO_SubSection_CCFS_CFI</vt:lpstr>
      <vt:lpstr>MO_SubSection_CCFS_CFO</vt:lpstr>
      <vt:lpstr>MO_SubSection_CFS_CFF</vt:lpstr>
      <vt:lpstr>MO_SubSection_CFS_CFI</vt:lpstr>
      <vt:lpstr>MO_SubSection_CFS_CFO</vt:lpstr>
      <vt:lpstr>MO_VA_EV</vt:lpstr>
      <vt:lpstr>MO_VA_EV_ToEBITDA</vt:lpstr>
      <vt:lpstr>MO_VA_EV_ToSales</vt:lpstr>
      <vt:lpstr>MO_VA_EVCalc_NCI</vt:lpstr>
      <vt:lpstr>MO_VA_EVCalc_Other</vt:lpstr>
      <vt:lpstr>MO_VA_EVCalc_Prefs</vt:lpstr>
      <vt:lpstr>MO_VA_FCFYield_ToEV</vt:lpstr>
      <vt:lpstr>MO_VA_FCFYield_ToMktCap</vt:lpstr>
      <vt:lpstr>MO_VA_FX_Average</vt:lpstr>
      <vt:lpstr>MO_VA_MarketCap</vt:lpstr>
      <vt:lpstr>MO_VA_P_ToCF</vt:lpstr>
      <vt:lpstr>MO_VA_P_ToE</vt:lpstr>
      <vt:lpstr>MO_VA_StockPrice</vt:lpstr>
      <vt:lpstr>MO_VA_StockPrice_Avg</vt:lpstr>
      <vt:lpstr>MO_VA_StockPrice_High</vt:lpstr>
      <vt:lpstr>MO_VA_StockPrice_Low</vt:lpstr>
      <vt:lpstr>MO_VA_StockPrice_TradingCurrency</vt:lpstr>
      <vt:lpstr>MO_WCF_AP_Margin</vt:lpstr>
      <vt:lpstr>MO_WCF_AP_Margin_Change</vt:lpstr>
      <vt:lpstr>MO_WCF_AR_Margin</vt:lpstr>
      <vt:lpstr>MO_WCF_AR_Margin_Change</vt:lpstr>
      <vt:lpstr>MO_WCF_INV_Margin</vt:lpstr>
      <vt:lpstr>MO_WCF_INV_Margin_Change</vt:lpstr>
      <vt:lpstr>Model!Print_Area</vt:lpstr>
      <vt:lpstr>'Summary Page'!Print_Area</vt:lpstr>
      <vt:lpstr>Model!Print_Titles</vt:lpstr>
      <vt:lpstr>SP.ReportFX</vt:lpstr>
      <vt:lpstr>SP.ValuationToggle</vt:lpstr>
      <vt:lpstr>SP_BSR_Capital</vt:lpstr>
      <vt:lpstr>SP_BSR_CashFlow</vt:lpstr>
      <vt:lpstr>SP_BSR_CashFlow_LTM</vt:lpstr>
      <vt:lpstr>SP_BSR_CL</vt:lpstr>
      <vt:lpstr>SP_BSR_CL_Avg</vt:lpstr>
      <vt:lpstr>SP_BSR_Debt</vt:lpstr>
      <vt:lpstr>SP_BSR_Debt_Avg</vt:lpstr>
      <vt:lpstr>SP_BSR_EBITDA</vt:lpstr>
      <vt:lpstr>SP_BSR_EBITDA_LTM</vt:lpstr>
      <vt:lpstr>SP_BSR_SE</vt:lpstr>
      <vt:lpstr>SP_BSR_SE_Avg</vt:lpstr>
      <vt:lpstr>SP_BSR_TA</vt:lpstr>
      <vt:lpstr>SP_BSR_TA_Avg</vt:lpstr>
      <vt:lpstr>SP_CFA_Acquisition</vt:lpstr>
      <vt:lpstr>SP_CFA_Capex</vt:lpstr>
      <vt:lpstr>SP_CFA_CFO_BeforeWC</vt:lpstr>
      <vt:lpstr>SP_CFA_CFO_PerShare</vt:lpstr>
      <vt:lpstr>SP_CFA_Debt</vt:lpstr>
      <vt:lpstr>SP_CFA_Div</vt:lpstr>
      <vt:lpstr>SP_CFA_Div_PerShare</vt:lpstr>
      <vt:lpstr>SP_CFA_Divestiture</vt:lpstr>
      <vt:lpstr>SP_CFA_Equity</vt:lpstr>
      <vt:lpstr>SP_CFA_FCF_PerShare</vt:lpstr>
      <vt:lpstr>SP_CFA_FCF_PostDiv</vt:lpstr>
      <vt:lpstr>SP_CFA_FCF_PreDiv</vt:lpstr>
      <vt:lpstr>SP_CFA_NetChange</vt:lpstr>
      <vt:lpstr>SP_CFA_Other</vt:lpstr>
      <vt:lpstr>SP_CFA_Payout_vsEPS</vt:lpstr>
      <vt:lpstr>SP_CFA_Payout_vsFCF</vt:lpstr>
      <vt:lpstr>SP_CFA_WC</vt:lpstr>
      <vt:lpstr>SP_Checks_SummaryPage</vt:lpstr>
      <vt:lpstr>SP_Common_Column_A</vt:lpstr>
      <vt:lpstr>SP_Common_Column_B</vt:lpstr>
      <vt:lpstr>SP_Common_ColumnHeader</vt:lpstr>
      <vt:lpstr>SP_Common_QEndDate</vt:lpstr>
      <vt:lpstr>SP_CS_Cash</vt:lpstr>
      <vt:lpstr>SP_CS_Debt</vt:lpstr>
      <vt:lpstr>SP_CS_EV</vt:lpstr>
      <vt:lpstr>SP_CS_EVCalc_Other</vt:lpstr>
      <vt:lpstr>SP_CS_MarketCap</vt:lpstr>
      <vt:lpstr>SP_CS_ShareCount</vt:lpstr>
      <vt:lpstr>SP_CS_StockPrice</vt:lpstr>
      <vt:lpstr>SP_GF_COGS</vt:lpstr>
      <vt:lpstr>SP_GF_DA</vt:lpstr>
      <vt:lpstr>SP_GF_DisCont</vt:lpstr>
      <vt:lpstr>SP_GF_Div_Prefs</vt:lpstr>
      <vt:lpstr>SP_GF_EBITDA</vt:lpstr>
      <vt:lpstr>SP_GF_EBT</vt:lpstr>
      <vt:lpstr>SP_GF_EI</vt:lpstr>
      <vt:lpstr>SP_GF_EPS_GAAP</vt:lpstr>
      <vt:lpstr>SP_GF_IE</vt:lpstr>
      <vt:lpstr>SP_GF_IE_Net</vt:lpstr>
      <vt:lpstr>SP_GF_NCI</vt:lpstr>
      <vt:lpstr>SP_GF_NI</vt:lpstr>
      <vt:lpstr>SP_GF_OI</vt:lpstr>
      <vt:lpstr>SP_GF_Rev</vt:lpstr>
      <vt:lpstr>SP_GF_SBC</vt:lpstr>
      <vt:lpstr>SP_GF_SGA</vt:lpstr>
      <vt:lpstr>SP_GF_Tax</vt:lpstr>
      <vt:lpstr>SP_MA_COGS</vt:lpstr>
      <vt:lpstr>SP_MA_EBITDA</vt:lpstr>
      <vt:lpstr>SP_MA_EBITDA_Adj</vt:lpstr>
      <vt:lpstr>SP_MA_SGA</vt:lpstr>
      <vt:lpstr>SP_NGF_EBITDA</vt:lpstr>
      <vt:lpstr>SP_NGF_EPS</vt:lpstr>
      <vt:lpstr>SP_NGF_NI</vt:lpstr>
      <vt:lpstr>SP_PR_ROA</vt:lpstr>
      <vt:lpstr>SP_PR_ROCE</vt:lpstr>
      <vt:lpstr>SP_PR_ROE</vt:lpstr>
      <vt:lpstr>SP_PR_ROIC</vt:lpstr>
      <vt:lpstr>SP_Section_Checks</vt:lpstr>
      <vt:lpstr>SP_Section_LastRow</vt:lpstr>
      <vt:lpstr>tb_ConsensusEstimate</vt:lpstr>
      <vt:lpstr>tb_EntireModel</vt:lpstr>
      <vt:lpstr>tb_KeyOutputs</vt:lpstr>
      <vt:lpstr>tb_StockPrice</vt:lpstr>
      <vt:lpstr>tb_Tickers</vt:lpstr>
      <vt:lpstr>tb_UpdateLog</vt:lpstr>
      <vt:lpstr>tb_ValuationToggle</vt:lpstr>
      <vt:lpstr>UL.CSIN</vt:lpstr>
      <vt:lpstr>UL.ModelVersion</vt:lpstr>
      <vt:lpstr>UL.MRQ</vt:lpstr>
      <vt:lpstr>UL.MRQColNum</vt:lpstr>
      <vt:lpstr>z_YIW8LT0190_MO_AN_Amortizationof21CFandHuluintangibleassetsandfairvaluestepuponfilmandtelevisioncosts</vt:lpstr>
      <vt:lpstr>z_YIW8LT0190_MO_AN_corporateandunallocatedsharedexpenses</vt:lpstr>
      <vt:lpstr>z_YIW8LT0190_MO_AN_deferredtaxassetwriteoffduetodisneylandparisrecapitalization</vt:lpstr>
      <vt:lpstr>z_YIW8LT0190_MO_AN_epsasreported</vt:lpstr>
      <vt:lpstr>z_YIW8LT0190_MO_AN_epsexcludingcertainitemsaffectingcomparability</vt:lpstr>
      <vt:lpstr>z_YIW8LT0190_MO_AN_favorabletaxadjustmentsrelatedtopretaxearningsofprioryears</vt:lpstr>
      <vt:lpstr>z_YIW8LT0190_MO_AN_Gainfromsaleofpropertyrights</vt:lpstr>
      <vt:lpstr>z_YIW8LT0190_MO_AN_Gainonsaleofrealestate</vt:lpstr>
      <vt:lpstr>z_YIW8LT0190_MO_AN_GainrelatedtotheacquisitionofBAMTech</vt:lpstr>
      <vt:lpstr>z_YIW8LT0190_MO_AN_HuluEquityRedemptionCharge</vt:lpstr>
      <vt:lpstr>z_YIW8LT0190_MO_AN_HuluEquityRedemptionCharge_1</vt:lpstr>
      <vt:lpstr>z_YIW8LT0190_MO_AN_Impairmentofequityinvestments</vt:lpstr>
      <vt:lpstr>z_YIW8LT0190_MO_AN_Impairmentofequityinvestments_1</vt:lpstr>
      <vt:lpstr>z_YIW8LT0190_MO_AN_incomebeforeincometaxes</vt:lpstr>
      <vt:lpstr>z_YIW8LT0190_MO_AN_infinitycharge</vt:lpstr>
      <vt:lpstr>z_YIW8LT0190_MO_AN_infinitycharge_1</vt:lpstr>
      <vt:lpstr>z_YIW8LT0190_MO_AN_interestincomeexpense</vt:lpstr>
      <vt:lpstr>z_YIW8LT0190_MO_AN_OnetimenetbenefitfromtheTaxAct</vt:lpstr>
      <vt:lpstr>z_YIW8LT0190_MO_AN_Otherexpense</vt:lpstr>
      <vt:lpstr>z_YIW8LT0190_MO_AN_Otherexpense_1</vt:lpstr>
      <vt:lpstr>z_YIW8LT0190_MO_AN_restructuringandimpairmentcharges</vt:lpstr>
      <vt:lpstr>z_YIW8LT0190_MO_AN_restructuringandimpairmentcharges_1</vt:lpstr>
      <vt:lpstr>z_YIW8LT0190_MO_AN_segmentoperatingincome</vt:lpstr>
      <vt:lpstr>z_YIW8LT0190_MO_AN_settlementoflitigation</vt:lpstr>
      <vt:lpstr>z_YIW8LT0190_MO_AN_taxbenefitfromprioryearforeignearningsindefinitelyreinvestedoutsidetheus</vt:lpstr>
      <vt:lpstr>z_YIW8LT0190_MO_AN_vicegain</vt:lpstr>
      <vt:lpstr>z_YIW8LT0190_MO_AN_vicegain_1</vt:lpstr>
      <vt:lpstr>z_YIW8LT0190_MO_BlankRow_AN_3</vt:lpstr>
      <vt:lpstr>z_YIW8LT0190_MO_BlankRow_BS_1</vt:lpstr>
      <vt:lpstr>z_YIW8LT0190_MO_BlankRow_BS_2</vt:lpstr>
      <vt:lpstr>z_YIW8LT0190_MO_BlankRow_BS_3</vt:lpstr>
      <vt:lpstr>z_YIW8LT0190_MO_BlankRow_BS_4</vt:lpstr>
      <vt:lpstr>z_YIW8LT0190_MO_BlankRow_BS_5</vt:lpstr>
      <vt:lpstr>z_YIW8LT0190_MO_BlankRow_BS_6</vt:lpstr>
      <vt:lpstr>z_YIW8LT0190_MO_BlankRow_BSS</vt:lpstr>
      <vt:lpstr>z_YIW8LT0190_MO_BlankRow_BSS_1</vt:lpstr>
      <vt:lpstr>z_YIW8LT0190_MO_BlankRow_BSS_2</vt:lpstr>
      <vt:lpstr>z_YIW8LT0190_MO_BlankRow_CCFS</vt:lpstr>
      <vt:lpstr>z_YIW8LT0190_MO_BlankRow_CCFS_1</vt:lpstr>
      <vt:lpstr>z_YIW8LT0190_MO_BlankRow_CCFS_2</vt:lpstr>
      <vt:lpstr>z_YIW8LT0190_MO_BlankRow_CCFS_3</vt:lpstr>
      <vt:lpstr>z_YIW8LT0190_MO_BlankRow_CCFS_4</vt:lpstr>
      <vt:lpstr>z_YIW8LT0190_MO_BlankRow_CFS_2</vt:lpstr>
      <vt:lpstr>z_YIW8LT0190_MO_BlankRow_CFS_3</vt:lpstr>
      <vt:lpstr>z_YIW8LT0190_MO_BlankRow_CFS_4</vt:lpstr>
      <vt:lpstr>z_YIW8LT0190_MO_BlankRow_CFS_5</vt:lpstr>
      <vt:lpstr>z_YIW8LT0190_MO_BlankRow_CFS_6</vt:lpstr>
      <vt:lpstr>z_YIW8LT0190_MO_BlankRow_CFS_7</vt:lpstr>
      <vt:lpstr>z_YIW8LT0190_MO_BlankRow_CFSum</vt:lpstr>
      <vt:lpstr>z_YIW8LT0190_MO_BlankRow_CFSum_1</vt:lpstr>
      <vt:lpstr>z_YIW8LT0190_MO_BlankRow_CFSum_2</vt:lpstr>
      <vt:lpstr>z_YIW8LT0190_MO_BlankRow_DAF</vt:lpstr>
      <vt:lpstr>z_YIW8LT0190_MO_BlankRow_DAF_1</vt:lpstr>
      <vt:lpstr>z_YIW8LT0190_MO_BlankRow_DAF_2</vt:lpstr>
      <vt:lpstr>z_YIW8LT0190_MO_BlankRow_DAF_3</vt:lpstr>
      <vt:lpstr>z_YIW8LT0190_MO_BlankRow_GA_1</vt:lpstr>
      <vt:lpstr>z_YIW8LT0190_MO_BlankRow_GA_2</vt:lpstr>
      <vt:lpstr>z_YIW8LT0190_MO_BlankRow_GA_3</vt:lpstr>
      <vt:lpstr>z_YIW8LT0190_MO_BlankRow_IS</vt:lpstr>
      <vt:lpstr>z_YIW8LT0190_MO_BlankRow_IS_1</vt:lpstr>
      <vt:lpstr>z_YIW8LT0190_MO_BlankRow_MA</vt:lpstr>
      <vt:lpstr>z_YIW8LT0190_MO_BlankRow_MA_1</vt:lpstr>
      <vt:lpstr>z_YIW8LT0190_MO_BlankRow_MA_2</vt:lpstr>
      <vt:lpstr>z_YIW8LT0190_MO_BlankRow_MA_3</vt:lpstr>
      <vt:lpstr>z_YIW8LT0190_MO_BlankRow_MA_4</vt:lpstr>
      <vt:lpstr>z_YIW8LT0190_MO_BlankRow_MA_5</vt:lpstr>
      <vt:lpstr>z_YIW8LT0190_MO_BlankRow_OS_10</vt:lpstr>
      <vt:lpstr>z_YIW8LT0190_MO_BlankRow_OS_100</vt:lpstr>
      <vt:lpstr>z_YIW8LT0190_MO_BlankRow_OS_101</vt:lpstr>
      <vt:lpstr>z_YIW8LT0190_MO_BlankRow_OS_102</vt:lpstr>
      <vt:lpstr>z_YIW8LT0190_MO_BlankRow_OS_103</vt:lpstr>
      <vt:lpstr>z_YIW8LT0190_MO_BlankRow_OS_104</vt:lpstr>
      <vt:lpstr>z_YIW8LT0190_MO_BlankRow_OS_105</vt:lpstr>
      <vt:lpstr>z_YIW8LT0190_MO_BlankRow_OS_106</vt:lpstr>
      <vt:lpstr>z_YIW8LT0190_MO_BlankRow_OS_107</vt:lpstr>
      <vt:lpstr>z_YIW8LT0190_MO_BlankRow_OS_108</vt:lpstr>
      <vt:lpstr>z_YIW8LT0190_MO_BlankRow_OS_109</vt:lpstr>
      <vt:lpstr>z_YIW8LT0190_MO_BlankRow_OS_11</vt:lpstr>
      <vt:lpstr>z_YIW8LT0190_MO_BlankRow_OS_110</vt:lpstr>
      <vt:lpstr>z_YIW8LT0190_MO_BlankRow_OS_111</vt:lpstr>
      <vt:lpstr>z_YIW8LT0190_MO_BlankRow_OS_112</vt:lpstr>
      <vt:lpstr>z_YIW8LT0190_MO_BlankRow_OS_113</vt:lpstr>
      <vt:lpstr>z_YIW8LT0190_MO_BlankRow_OS_114</vt:lpstr>
      <vt:lpstr>z_YIW8LT0190_MO_BlankRow_OS_115</vt:lpstr>
      <vt:lpstr>z_YIW8LT0190_MO_BlankRow_OS_116</vt:lpstr>
      <vt:lpstr>z_YIW8LT0190_MO_BlankRow_OS_117</vt:lpstr>
      <vt:lpstr>z_YIW8LT0190_MO_BlankRow_OS_118</vt:lpstr>
      <vt:lpstr>z_YIW8LT0190_MO_BlankRow_OS_12</vt:lpstr>
      <vt:lpstr>z_YIW8LT0190_MO_BlankRow_OS_13</vt:lpstr>
      <vt:lpstr>z_YIW8LT0190_MO_BlankRow_OS_14</vt:lpstr>
      <vt:lpstr>z_YIW8LT0190_MO_BlankRow_OS_15</vt:lpstr>
      <vt:lpstr>z_YIW8LT0190_MO_BlankRow_OS_16</vt:lpstr>
      <vt:lpstr>z_YIW8LT0190_MO_BlankRow_OS_17</vt:lpstr>
      <vt:lpstr>z_YIW8LT0190_MO_BlankRow_OS_18</vt:lpstr>
      <vt:lpstr>z_YIW8LT0190_MO_BlankRow_OS_19</vt:lpstr>
      <vt:lpstr>z_YIW8LT0190_MO_BlankRow_OS_20</vt:lpstr>
      <vt:lpstr>z_YIW8LT0190_MO_BlankRow_OS_21</vt:lpstr>
      <vt:lpstr>z_YIW8LT0190_MO_BlankRow_OS_22</vt:lpstr>
      <vt:lpstr>z_YIW8LT0190_MO_BlankRow_OS_23</vt:lpstr>
      <vt:lpstr>z_YIW8LT0190_MO_BlankRow_OS_25</vt:lpstr>
      <vt:lpstr>z_YIW8LT0190_MO_BlankRow_OS_26</vt:lpstr>
      <vt:lpstr>z_YIW8LT0190_MO_BlankRow_OS_27</vt:lpstr>
      <vt:lpstr>z_YIW8LT0190_MO_BlankRow_OS_28</vt:lpstr>
      <vt:lpstr>z_YIW8LT0190_MO_BlankRow_OS_29</vt:lpstr>
      <vt:lpstr>z_YIW8LT0190_MO_BlankRow_OS_3</vt:lpstr>
      <vt:lpstr>z_YIW8LT0190_MO_BlankRow_OS_30</vt:lpstr>
      <vt:lpstr>z_YIW8LT0190_MO_BlankRow_OS_31</vt:lpstr>
      <vt:lpstr>z_YIW8LT0190_MO_BlankRow_OS_32</vt:lpstr>
      <vt:lpstr>z_YIW8LT0190_MO_BlankRow_OS_33</vt:lpstr>
      <vt:lpstr>z_YIW8LT0190_MO_BlankRow_OS_34</vt:lpstr>
      <vt:lpstr>z_YIW8LT0190_MO_BlankRow_OS_35</vt:lpstr>
      <vt:lpstr>z_YIW8LT0190_MO_BlankRow_OS_36</vt:lpstr>
      <vt:lpstr>z_YIW8LT0190_MO_BlankRow_OS_37</vt:lpstr>
      <vt:lpstr>z_YIW8LT0190_MO_BlankRow_OS_38</vt:lpstr>
      <vt:lpstr>z_YIW8LT0190_MO_BlankRow_OS_39</vt:lpstr>
      <vt:lpstr>z_YIW8LT0190_MO_BlankRow_OS_4</vt:lpstr>
      <vt:lpstr>z_YIW8LT0190_MO_BlankRow_OS_40</vt:lpstr>
      <vt:lpstr>z_YIW8LT0190_MO_BlankRow_OS_41</vt:lpstr>
      <vt:lpstr>z_YIW8LT0190_MO_BlankRow_OS_42</vt:lpstr>
      <vt:lpstr>z_YIW8LT0190_MO_BlankRow_OS_43</vt:lpstr>
      <vt:lpstr>z_YIW8LT0190_MO_BlankRow_OS_44</vt:lpstr>
      <vt:lpstr>z_YIW8LT0190_MO_BlankRow_OS_45</vt:lpstr>
      <vt:lpstr>z_YIW8LT0190_MO_BlankRow_OS_46</vt:lpstr>
      <vt:lpstr>z_YIW8LT0190_MO_BlankRow_OS_48</vt:lpstr>
      <vt:lpstr>z_YIW8LT0190_MO_BlankRow_OS_5</vt:lpstr>
      <vt:lpstr>z_YIW8LT0190_MO_BlankRow_OS_50</vt:lpstr>
      <vt:lpstr>z_YIW8LT0190_MO_BlankRow_OS_51</vt:lpstr>
      <vt:lpstr>z_YIW8LT0190_MO_BlankRow_OS_52</vt:lpstr>
      <vt:lpstr>z_YIW8LT0190_MO_BlankRow_OS_54</vt:lpstr>
      <vt:lpstr>z_YIW8LT0190_MO_BlankRow_OS_56</vt:lpstr>
      <vt:lpstr>z_YIW8LT0190_MO_BlankRow_OS_57</vt:lpstr>
      <vt:lpstr>z_YIW8LT0190_MO_BlankRow_OS_6</vt:lpstr>
      <vt:lpstr>z_YIW8LT0190_MO_BlankRow_OS_60</vt:lpstr>
      <vt:lpstr>z_YIW8LT0190_MO_BlankRow_OS_61</vt:lpstr>
      <vt:lpstr>z_YIW8LT0190_MO_BlankRow_OS_62</vt:lpstr>
      <vt:lpstr>z_YIW8LT0190_MO_BlankRow_OS_63</vt:lpstr>
      <vt:lpstr>z_YIW8LT0190_MO_BlankRow_OS_64</vt:lpstr>
      <vt:lpstr>z_YIW8LT0190_MO_BlankRow_OS_68</vt:lpstr>
      <vt:lpstr>z_YIW8LT0190_MO_BlankRow_OS_69</vt:lpstr>
      <vt:lpstr>z_YIW8LT0190_MO_BlankRow_OS_7</vt:lpstr>
      <vt:lpstr>z_YIW8LT0190_MO_BlankRow_OS_70</vt:lpstr>
      <vt:lpstr>z_YIW8LT0190_MO_BlankRow_OS_71</vt:lpstr>
      <vt:lpstr>z_YIW8LT0190_MO_BlankRow_OS_72</vt:lpstr>
      <vt:lpstr>z_YIW8LT0190_MO_BlankRow_OS_73</vt:lpstr>
      <vt:lpstr>z_YIW8LT0190_MO_BlankRow_OS_74</vt:lpstr>
      <vt:lpstr>z_YIW8LT0190_MO_BlankRow_OS_75</vt:lpstr>
      <vt:lpstr>z_YIW8LT0190_MO_BlankRow_OS_77</vt:lpstr>
      <vt:lpstr>z_YIW8LT0190_MO_BlankRow_OS_78</vt:lpstr>
      <vt:lpstr>z_YIW8LT0190_MO_BlankRow_OS_79</vt:lpstr>
      <vt:lpstr>z_YIW8LT0190_MO_BlankRow_OS_8</vt:lpstr>
      <vt:lpstr>z_YIW8LT0190_MO_BlankRow_OS_80</vt:lpstr>
      <vt:lpstr>z_YIW8LT0190_MO_BlankRow_OS_81</vt:lpstr>
      <vt:lpstr>z_YIW8LT0190_MO_BlankRow_OS_82</vt:lpstr>
      <vt:lpstr>z_YIW8LT0190_MO_BlankRow_OS_84</vt:lpstr>
      <vt:lpstr>z_YIW8LT0190_MO_BlankRow_OS_85</vt:lpstr>
      <vt:lpstr>z_YIW8LT0190_MO_BlankRow_OS_86</vt:lpstr>
      <vt:lpstr>z_YIW8LT0190_MO_BlankRow_OS_87</vt:lpstr>
      <vt:lpstr>z_YIW8LT0190_MO_BlankRow_OS_88</vt:lpstr>
      <vt:lpstr>z_YIW8LT0190_MO_BlankRow_OS_89</vt:lpstr>
      <vt:lpstr>z_YIW8LT0190_MO_BlankRow_OS_9</vt:lpstr>
      <vt:lpstr>z_YIW8LT0190_MO_BlankRow_OS_90</vt:lpstr>
      <vt:lpstr>z_YIW8LT0190_MO_BlankRow_OS_91</vt:lpstr>
      <vt:lpstr>z_YIW8LT0190_MO_BlankRow_OS_93</vt:lpstr>
      <vt:lpstr>z_YIW8LT0190_MO_BlankRow_OS_94</vt:lpstr>
      <vt:lpstr>z_YIW8LT0190_MO_BlankRow_OS_95</vt:lpstr>
      <vt:lpstr>z_YIW8LT0190_MO_BlankRow_OS_96</vt:lpstr>
      <vt:lpstr>z_YIW8LT0190_MO_BlankRow_OS_97</vt:lpstr>
      <vt:lpstr>z_YIW8LT0190_MO_BlankRow_OS_98</vt:lpstr>
      <vt:lpstr>z_YIW8LT0190_MO_BlankRow_OS_99</vt:lpstr>
      <vt:lpstr>z_YIW8LT0190_MO_BlankRow_RIS</vt:lpstr>
      <vt:lpstr>z_YIW8LT0190_MO_BlankRow_RIS_1</vt:lpstr>
      <vt:lpstr>z_YIW8LT0190_MO_BlankRow_RIS_2</vt:lpstr>
      <vt:lpstr>z_YIW8LT0190_MO_BlankRow_RIS_3</vt:lpstr>
      <vt:lpstr>z_YIW8LT0190_MO_BlankRow_RIS_4</vt:lpstr>
      <vt:lpstr>z_YIW8LT0190_MO_BlankRow_RIS_5</vt:lpstr>
      <vt:lpstr>z_YIW8LT0190_MO_BlankRow_RIS_6</vt:lpstr>
      <vt:lpstr>z_YIW8LT0190_MO_BlankRow_RIS_7</vt:lpstr>
      <vt:lpstr>z_YIW8LT0190_MO_BlankRow_RIS_8</vt:lpstr>
      <vt:lpstr>z_YIW8LT0190_MO_BlankRow_SNA</vt:lpstr>
      <vt:lpstr>z_YIW8LT0190_MO_BlankRow_SNA_1</vt:lpstr>
      <vt:lpstr>z_YIW8LT0190_MO_BlankRow_SNA_10</vt:lpstr>
      <vt:lpstr>z_YIW8LT0190_MO_BlankRow_SNA_11</vt:lpstr>
      <vt:lpstr>z_YIW8LT0190_MO_BlankRow_SNA_12</vt:lpstr>
      <vt:lpstr>z_YIW8LT0190_MO_BlankRow_SNA_13</vt:lpstr>
      <vt:lpstr>z_YIW8LT0190_MO_BlankRow_SNA_2</vt:lpstr>
      <vt:lpstr>z_YIW8LT0190_MO_BlankRow_SNA_3</vt:lpstr>
      <vt:lpstr>z_YIW8LT0190_MO_BlankRow_SNA_4</vt:lpstr>
      <vt:lpstr>z_YIW8LT0190_MO_BlankRow_SNA_5</vt:lpstr>
      <vt:lpstr>z_YIW8LT0190_MO_BlankRow_SNA_6</vt:lpstr>
      <vt:lpstr>z_YIW8LT0190_MO_BlankRow_SNA_7</vt:lpstr>
      <vt:lpstr>z_YIW8LT0190_MO_BlankRow_SNA_8</vt:lpstr>
      <vt:lpstr>z_YIW8LT0190_MO_BlankRow_SNA_9</vt:lpstr>
      <vt:lpstr>z_YIW8LT0190_MO_BS_Accountspayableandotheraccruedliabilities</vt:lpstr>
      <vt:lpstr>z_YIW8LT0190_MO_BS_accumulateddepreciation</vt:lpstr>
      <vt:lpstr>z_YIW8LT0190_MO_BS_Accumulatedothercomprehensiveloss</vt:lpstr>
      <vt:lpstr>z_YIW8LT0190_MO_BS_Assetsheldforsale</vt:lpstr>
      <vt:lpstr>z_YIW8LT0190_MO_BS_Attractions</vt:lpstr>
      <vt:lpstr>z_YIW8LT0190_MO_BS_borrowings</vt:lpstr>
      <vt:lpstr>z_YIW8LT0190_MO_BS_BSCheck</vt:lpstr>
      <vt:lpstr>z_YIW8LT0190_MO_BS_cashandcashequivalents</vt:lpstr>
      <vt:lpstr>z_YIW8LT0190_MO_BS_Commonstock</vt:lpstr>
      <vt:lpstr>z_YIW8LT0190_MO_BS_CurrentAssets</vt:lpstr>
      <vt:lpstr>z_YIW8LT0190_MO_BS_CurrentLiabilities</vt:lpstr>
      <vt:lpstr>z_YIW8LT0190_MO_BS_currentportionofborrowings</vt:lpstr>
      <vt:lpstr>z_YIW8LT0190_MO_BS_deferredincometaxes</vt:lpstr>
      <vt:lpstr>z_YIW8LT0190_MO_BS_deferredincometaxes_1</vt:lpstr>
      <vt:lpstr>z_YIW8LT0190_MO_BS_filmandtelevisioncosts</vt:lpstr>
      <vt:lpstr>z_YIW8LT0190_MO_BS_Goodwill</vt:lpstr>
      <vt:lpstr>z_YIW8LT0190_MO_BS_Intangibleassets</vt:lpstr>
      <vt:lpstr>z_YIW8LT0190_MO_BS_Inventories</vt:lpstr>
      <vt:lpstr>z_YIW8LT0190_MO_BS_investments</vt:lpstr>
      <vt:lpstr>z_YIW8LT0190_MO_BS_land</vt:lpstr>
      <vt:lpstr>z_YIW8LT0190_MO_BS_Liabilitiesheldforsale</vt:lpstr>
      <vt:lpstr>z_YIW8LT0190_MO_BS_NCI</vt:lpstr>
      <vt:lpstr>z_YIW8LT0190_MO_BS_NetIncomeonReportedISNIonRevised</vt:lpstr>
      <vt:lpstr>z_YIW8LT0190_MO_BS_NetIncomeonRevisedISNIonCFstatement</vt:lpstr>
      <vt:lpstr>z_YIW8LT0190_MO_BS_NonCurrentAssets</vt:lpstr>
      <vt:lpstr>z_YIW8LT0190_MO_BS_Noncurrentassetsheldforsalediscontinuedoperations</vt:lpstr>
      <vt:lpstr>z_YIW8LT0190_MO_BS_NonCurrentLiabilities</vt:lpstr>
      <vt:lpstr>z_YIW8LT0190_MO_BS_Noncurrentliabilitiesheldforsalediscontinuedoperations</vt:lpstr>
      <vt:lpstr>z_YIW8LT0190_MO_BS_Otherassets</vt:lpstr>
      <vt:lpstr>z_YIW8LT0190_MO_BS_Othercurrentassets</vt:lpstr>
      <vt:lpstr>z_YIW8LT0190_MO_BS_Otherlongtermliabilities</vt:lpstr>
      <vt:lpstr>z_YIW8LT0190_MO_BS_parks</vt:lpstr>
      <vt:lpstr>z_YIW8LT0190_MO_BS_parks_1</vt:lpstr>
      <vt:lpstr>z_YIW8LT0190_MO_BS_preferredstock</vt:lpstr>
      <vt:lpstr>z_YIW8LT0190_MO_BS_projectsinprogress</vt:lpstr>
      <vt:lpstr>z_YIW8LT0190_MO_BS_Receivables</vt:lpstr>
      <vt:lpstr>z_YIW8LT0190_MO_BS_redeemablenoncontrollinginterest</vt:lpstr>
      <vt:lpstr>z_YIW8LT0190_MO_BS_Restrictedcashincludedincurrentassetsholdforsale</vt:lpstr>
      <vt:lpstr>z_YIW8LT0190_MO_BS_Restrictedcashincludedinotherassets</vt:lpstr>
      <vt:lpstr>z_YIW8LT0190_MO_BS_Restrictedcashincludedinothercurrentassets</vt:lpstr>
      <vt:lpstr>z_YIW8LT0190_MO_BS_retainedearnings</vt:lpstr>
      <vt:lpstr>z_YIW8LT0190_MO_BS_ShareholdersEquity</vt:lpstr>
      <vt:lpstr>z_YIW8LT0190_MO_BS_televisioncostsandadvances</vt:lpstr>
      <vt:lpstr>z_YIW8LT0190_MO_BS_TotalAssets</vt:lpstr>
      <vt:lpstr>z_YIW8LT0190_MO_BS_TotalCurrentAssets</vt:lpstr>
      <vt:lpstr>z_YIW8LT0190_MO_BS_TotalCurrentLiabilities</vt:lpstr>
      <vt:lpstr>z_YIW8LT0190_MO_BS_TotalLiabilities</vt:lpstr>
      <vt:lpstr>z_YIW8LT0190_MO_BS_TotalLiabilitiesSE</vt:lpstr>
      <vt:lpstr>z_YIW8LT0190_MO_BS_TotalNonCurrentAssets</vt:lpstr>
      <vt:lpstr>z_YIW8LT0190_MO_BS_TotalNonCurrentliabilities</vt:lpstr>
      <vt:lpstr>z_YIW8LT0190_MO_BS_TotalSE</vt:lpstr>
      <vt:lpstr>z_YIW8LT0190_MO_BS_treasurystock</vt:lpstr>
      <vt:lpstr>z_YIW8LT0190_MO_BS_Unearnedroyaltiesandotheradvances</vt:lpstr>
      <vt:lpstr>z_YIW8LT0190_MO_BSS_Cash</vt:lpstr>
      <vt:lpstr>z_YIW8LT0190_MO_BSS_Debt</vt:lpstr>
      <vt:lpstr>z_YIW8LT0190_MO_BSS_DebtCashFlow</vt:lpstr>
      <vt:lpstr>z_YIW8LT0190_MO_BSS_DebtEBITDA</vt:lpstr>
      <vt:lpstr>z_YIW8LT0190_MO_BSS_EBITDANetInterestExpense</vt:lpstr>
      <vt:lpstr>z_YIW8LT0190_MO_BSS_EffectiveInterestRateonCash</vt:lpstr>
      <vt:lpstr>z_YIW8LT0190_MO_BSS_EffectiveInterestRateonDebt</vt:lpstr>
      <vt:lpstr>z_YIW8LT0190_MO_BSS_EffectiveNetInterestRateonDebt</vt:lpstr>
      <vt:lpstr>z_YIW8LT0190_MO_BSS_InterestExpense</vt:lpstr>
      <vt:lpstr>z_YIW8LT0190_MO_BSS_InterestIncome</vt:lpstr>
      <vt:lpstr>z_YIW8LT0190_MO_BSS_LTDebt</vt:lpstr>
      <vt:lpstr>z_YIW8LT0190_MO_BSS_NetDebt</vt:lpstr>
      <vt:lpstr>z_YIW8LT0190_MO_BSS_NetInterestExpenseIncome</vt:lpstr>
      <vt:lpstr>z_YIW8LT0190_MO_BSS_STDebt</vt:lpstr>
      <vt:lpstr>z_YIW8LT0190_MO_CCFS_Accountspayableandotheraccruedliabilities</vt:lpstr>
      <vt:lpstr>z_YIW8LT0190_MO_CCFS_Acquisitionofnoncontrollingandredeemablenoncontrollinginterests</vt:lpstr>
      <vt:lpstr>z_YIW8LT0190_MO_CCFS_Acquisitions</vt:lpstr>
      <vt:lpstr>z_YIW8LT0190_MO_CCFS_BeginningCashBalance</vt:lpstr>
      <vt:lpstr>z_YIW8LT0190_MO_CCFS_borrowings</vt:lpstr>
      <vt:lpstr>z_YIW8LT0190_MO_CCFS_Cashdistributionsreceivedfromequityinvestees</vt:lpstr>
      <vt:lpstr>z_YIW8LT0190_MO_CCFS_Cashfromdiscontinuedfinancingactivities</vt:lpstr>
      <vt:lpstr>z_YIW8LT0190_MO_CCFS_Cashprovidedbydiscontinuedoperations</vt:lpstr>
      <vt:lpstr>z_YIW8LT0190_MO_CCFS_Cashusedinfinancingactivitiesdiscontinuedoperations</vt:lpstr>
      <vt:lpstr>z_YIW8LT0190_MO_CCFS_Cashusedinoperationsdiscontinuedoperations</vt:lpstr>
      <vt:lpstr>z_YIW8LT0190_MO_CCFS_CFF</vt:lpstr>
      <vt:lpstr>z_YIW8LT0190_MO_CCFS_CFI</vt:lpstr>
      <vt:lpstr>z_YIW8LT0190_MO_CCFS_CFO</vt:lpstr>
      <vt:lpstr>z_YIW8LT0190_MO_CCFS_CFObeforeWC</vt:lpstr>
      <vt:lpstr>z_YIW8LT0190_MO_CCFS_commercialpaperborrowings</vt:lpstr>
      <vt:lpstr>z_YIW8LT0190_MO_CCFS_contributionsfromnoncontrollinginterestholders</vt:lpstr>
      <vt:lpstr>z_YIW8LT0190_MO_CCFS_deferredincometaxes</vt:lpstr>
      <vt:lpstr>z_YIW8LT0190_MO_CCFS_depreciationandamortization</vt:lpstr>
      <vt:lpstr>z_YIW8LT0190_MO_CCFS_Dividends</vt:lpstr>
      <vt:lpstr>z_YIW8LT0190_MO_CCFS_EndingCashBalance</vt:lpstr>
      <vt:lpstr>z_YIW8LT0190_MO_CCFS_Equitybasedcompensation</vt:lpstr>
      <vt:lpstr>z_YIW8LT0190_MO_CCFS_Equityintheincomeofinvestees</vt:lpstr>
      <vt:lpstr>z_YIW8LT0190_MO_CCFS_FX</vt:lpstr>
      <vt:lpstr>z_YIW8LT0190_MO_CCFS_Gainonacquisition</vt:lpstr>
      <vt:lpstr>z_YIW8LT0190_MO_CCFS_gainsonsalesofinvestments</vt:lpstr>
      <vt:lpstr>z_YIW8LT0190_MO_CCFS_impairmentcharges</vt:lpstr>
      <vt:lpstr>z_YIW8LT0190_MO_CCFS_incometaxes</vt:lpstr>
      <vt:lpstr>z_YIW8LT0190_MO_CCFS_inventories</vt:lpstr>
      <vt:lpstr>z_YIW8LT0190_MO_CCFS_investmentsinparks</vt:lpstr>
      <vt:lpstr>z_YIW8LT0190_MO_CCFS_NetCFF</vt:lpstr>
      <vt:lpstr>z_YIW8LT0190_MO_CCFS_NetCFI</vt:lpstr>
      <vt:lpstr>z_YIW8LT0190_MO_CCFS_NetCFO</vt:lpstr>
      <vt:lpstr>z_YIW8LT0190_MO_CCFS_NetChangeinCashBalance</vt:lpstr>
      <vt:lpstr>z_YIW8LT0190_MO_CCFS_netchangeinfilmandtelevisioncostsandadvances</vt:lpstr>
      <vt:lpstr>z_YIW8LT0190_MO_CCFS_Netchangeinoperatingleaserightofuseassetsliabilities</vt:lpstr>
      <vt:lpstr>z_YIW8LT0190_MO_CCFS_netincome</vt:lpstr>
      <vt:lpstr>z_YIW8LT0190_MO_CCFS_Other</vt:lpstr>
      <vt:lpstr>z_YIW8LT0190_MO_CCFS_Other_1</vt:lpstr>
      <vt:lpstr>z_YIW8LT0190_MO_CCFS_Other_2</vt:lpstr>
      <vt:lpstr>z_YIW8LT0190_MO_CCFS_Otherassets</vt:lpstr>
      <vt:lpstr>z_YIW8LT0190_MO_CCFS_proceedsfromexerciseofstockoptions</vt:lpstr>
      <vt:lpstr>z_YIW8LT0190_MO_CCFS_receivables</vt:lpstr>
      <vt:lpstr>z_YIW8LT0190_MO_CCFS_reductionofborrowings</vt:lpstr>
      <vt:lpstr>z_YIW8LT0190_MO_CCFS_repurchasesofcommonstock</vt:lpstr>
      <vt:lpstr>z_YIW8LT0190_MO_CCFS_salesofinvestmentsproceedsfromdispositions</vt:lpstr>
      <vt:lpstr>z_YIW8LT0190_MO_CFS_Accountspayableandotheraccruedliabilities</vt:lpstr>
      <vt:lpstr>z_YIW8LT0190_MO_CFS_Acquisitionofnoncontrollingandredeemablenoncontrollinginterests</vt:lpstr>
      <vt:lpstr>z_YIW8LT0190_MO_CFS_Acquisitions</vt:lpstr>
      <vt:lpstr>z_YIW8LT0190_MO_CFS_BeginningCashBalance</vt:lpstr>
      <vt:lpstr>z_YIW8LT0190_MO_CFS_borrowings</vt:lpstr>
      <vt:lpstr>z_YIW8LT0190_MO_CFS_Cashdistributionsreceivedfromequityinvestees</vt:lpstr>
      <vt:lpstr>z_YIW8LT0190_MO_CFS_Cashfromdiscontinuedfinancingactivities</vt:lpstr>
      <vt:lpstr>z_YIW8LT0190_MO_CFS_Cashprovidedbydiscontinuedoperations</vt:lpstr>
      <vt:lpstr>z_YIW8LT0190_MO_CFS_Cashusedinfinancingactivitiesdiscontinuedoperations</vt:lpstr>
      <vt:lpstr>z_YIW8LT0190_MO_CFS_Cashusedinoperationsdiscontinuedoperations</vt:lpstr>
      <vt:lpstr>z_YIW8LT0190_MO_CFS_CFCheck</vt:lpstr>
      <vt:lpstr>z_YIW8LT0190_MO_CFS_CFF</vt:lpstr>
      <vt:lpstr>z_YIW8LT0190_MO_CFS_CFI</vt:lpstr>
      <vt:lpstr>z_YIW8LT0190_MO_CFS_CFO</vt:lpstr>
      <vt:lpstr>z_YIW8LT0190_MO_CFS_CFObeforeWC</vt:lpstr>
      <vt:lpstr>z_YIW8LT0190_MO_CFS_commercialpaperborrowings</vt:lpstr>
      <vt:lpstr>z_YIW8LT0190_MO_CFS_contributionsfromnoncontrollinginterestholders</vt:lpstr>
      <vt:lpstr>z_YIW8LT0190_MO_CFS_deferredincometaxes</vt:lpstr>
      <vt:lpstr>z_YIW8LT0190_MO_CFS_depreciationandamortization</vt:lpstr>
      <vt:lpstr>z_YIW8LT0190_MO_CFS_Dividends</vt:lpstr>
      <vt:lpstr>z_YIW8LT0190_MO_CFS_EndingCashBalance</vt:lpstr>
      <vt:lpstr>z_YIW8LT0190_MO_CFS_Equitybasedcompensation</vt:lpstr>
      <vt:lpstr>z_YIW8LT0190_MO_CFS_Equityintheincomeofinvestees</vt:lpstr>
      <vt:lpstr>z_YIW8LT0190_MO_CFS_FX</vt:lpstr>
      <vt:lpstr>z_YIW8LT0190_MO_CFS_Gainonacquisition</vt:lpstr>
      <vt:lpstr>z_YIW8LT0190_MO_CFS_gainsonsalesofinvestments</vt:lpstr>
      <vt:lpstr>z_YIW8LT0190_MO_CFS_impairmentcharges</vt:lpstr>
      <vt:lpstr>z_YIW8LT0190_MO_CFS_incometaxes</vt:lpstr>
      <vt:lpstr>z_YIW8LT0190_MO_CFS_inventories</vt:lpstr>
      <vt:lpstr>z_YIW8LT0190_MO_CFS_investmentsinparks</vt:lpstr>
      <vt:lpstr>z_YIW8LT0190_MO_CFS_NetCFF</vt:lpstr>
      <vt:lpstr>z_YIW8LT0190_MO_CFS_NetCFI</vt:lpstr>
      <vt:lpstr>z_YIW8LT0190_MO_CFS_NetCFO</vt:lpstr>
      <vt:lpstr>z_YIW8LT0190_MO_CFS_NetChangeinCashBalance</vt:lpstr>
      <vt:lpstr>z_YIW8LT0190_MO_CFS_netchangeinfilmandtelevisioncostsandadvances</vt:lpstr>
      <vt:lpstr>z_YIW8LT0190_MO_CFS_Netchangeinoperatingleaserightofuseassetsliabilities</vt:lpstr>
      <vt:lpstr>z_YIW8LT0190_MO_CFS_netincome</vt:lpstr>
      <vt:lpstr>z_YIW8LT0190_MO_CFS_Other</vt:lpstr>
      <vt:lpstr>z_YIW8LT0190_MO_CFS_Other_1</vt:lpstr>
      <vt:lpstr>z_YIW8LT0190_MO_CFS_Other_2</vt:lpstr>
      <vt:lpstr>z_YIW8LT0190_MO_CFS_Otherassets</vt:lpstr>
      <vt:lpstr>z_YIW8LT0190_MO_CFS_proceedsfromexerciseofstockoptions</vt:lpstr>
      <vt:lpstr>z_YIW8LT0190_MO_CFS_receivables</vt:lpstr>
      <vt:lpstr>z_YIW8LT0190_MO_CFS_reductionofborrowings</vt:lpstr>
      <vt:lpstr>z_YIW8LT0190_MO_CFS_Repurchasesofcommonstock</vt:lpstr>
      <vt:lpstr>z_YIW8LT0190_MO_CFS_salesofinvestmentsproceedsfromdispositions</vt:lpstr>
      <vt:lpstr>z_YIW8LT0190_MO_CFSum_Acquisitions</vt:lpstr>
      <vt:lpstr>z_YIW8LT0190_MO_CFSum_Capex</vt:lpstr>
      <vt:lpstr>z_YIW8LT0190_MO_CFSum_CashFlowPerDilutedShare</vt:lpstr>
      <vt:lpstr>z_YIW8LT0190_MO_CFSum_ConsensusEstimatesCapex</vt:lpstr>
      <vt:lpstr>z_YIW8LT0190_MO_CFSum_consensusestimatescashflowperdilutedshare</vt:lpstr>
      <vt:lpstr>z_YIW8LT0190_MO_CFSum_Divestiture</vt:lpstr>
      <vt:lpstr>z_YIW8LT0190_MO_CFSum_DividendPaid</vt:lpstr>
      <vt:lpstr>z_YIW8LT0190_MO_CFSum_DividendPerShare</vt:lpstr>
      <vt:lpstr>z_YIW8LT0190_MO_CFSum_EstimatedSharePriceforIssuanceBuybacks</vt:lpstr>
      <vt:lpstr>z_YIW8LT0190_MO_CFSum_FCF</vt:lpstr>
      <vt:lpstr>z_YIW8LT0190_MO_CFSum_FCF_1</vt:lpstr>
      <vt:lpstr>z_YIW8LT0190_MO_CFSum_FCF_2</vt:lpstr>
      <vt:lpstr>z_YIW8LT0190_MO_CFSum_FCFPostDivDebtBuyback</vt:lpstr>
      <vt:lpstr>z_YIW8LT0190_MO_CFSum_NetDebtIssuanceRepayment</vt:lpstr>
      <vt:lpstr>z_YIW8LT0190_MO_CFSum_NetShareIssuanceBuybacks</vt:lpstr>
      <vt:lpstr>z_YIW8LT0190_MO_CFSum_OperatingCashFlowbeforeWC</vt:lpstr>
      <vt:lpstr>z_YIW8LT0190_MO_Checks_SNA_AdjustedNumbersFYSumofQs</vt:lpstr>
      <vt:lpstr>z_YIW8LT0190_MO_Checks_SNA_BalanceSheetisnotRepeated</vt:lpstr>
      <vt:lpstr>z_YIW8LT0190_MO_Checks_SNA_CapexisUpdated</vt:lpstr>
      <vt:lpstr>z_YIW8LT0190_MO_Checks_SNA_CashFlowisnotRepeated</vt:lpstr>
      <vt:lpstr>z_YIW8LT0190_MO_Checks_SNA_CashFlowSummarySignsareCorrect</vt:lpstr>
      <vt:lpstr>z_YIW8LT0190_MO_Checks_SNA_CashisPositive</vt:lpstr>
      <vt:lpstr>z_YIW8LT0190_MO_Checks_SNA_CFFsubtotalFYSumofQs</vt:lpstr>
      <vt:lpstr>z_YIW8LT0190_MO_Checks_SNA_CFIsubtotalFYSumofQs</vt:lpstr>
      <vt:lpstr>z_YIW8LT0190_MO_Checks_SNA_CFOBeforeWCsubtotalFYSumofQs</vt:lpstr>
      <vt:lpstr>z_YIW8LT0190_MO_Checks_SNA_CFOsubtotalFYSumofQs</vt:lpstr>
      <vt:lpstr>z_YIW8LT0190_MO_Checks_SNA_CFSummaryFYSumofQs</vt:lpstr>
      <vt:lpstr>z_YIW8LT0190_MO_Checks_SNA_DebtisPositive</vt:lpstr>
      <vt:lpstr>z_YIW8LT0190_MO_Checks_SNA_EndingCFEndingCumulativeCF</vt:lpstr>
      <vt:lpstr>z_YIW8LT0190_MO_Checks_SNA_IncomeStatementisnotRepeated</vt:lpstr>
      <vt:lpstr>z_YIW8LT0190_MO_Checks_SNA_Marginaddsupto100</vt:lpstr>
      <vt:lpstr>z_YIW8LT0190_MO_Checks_SNA_MarginisUpdated</vt:lpstr>
      <vt:lpstr>z_YIW8LT0190_MO_Checks_SNA_RISAdjustedNIFYSumofQs</vt:lpstr>
      <vt:lpstr>z_YIW8LT0190_MO_Checks_SNA_RISNIFYSumofQs</vt:lpstr>
      <vt:lpstr>z_YIW8LT0190_MO_Checks_SNA_SegmentedCAPEXCAPEX</vt:lpstr>
      <vt:lpstr>z_YIW8LT0190_MO_Checks_SNA_SegmentedDADA</vt:lpstr>
      <vt:lpstr>z_YIW8LT0190_MO_Checks_SNA_SegmentedEBTEBTinRIS</vt:lpstr>
      <vt:lpstr>z_YIW8LT0190_MO_DAF_AmortizationaspercentageofIntangiblesBoP</vt:lpstr>
      <vt:lpstr>z_YIW8LT0190_MO_DAF_Amortizationofintangibles</vt:lpstr>
      <vt:lpstr>z_YIW8LT0190_MO_DAF_Capexofintangibles</vt:lpstr>
      <vt:lpstr>z_YIW8LT0190_MO_DAF_CapexofPPE</vt:lpstr>
      <vt:lpstr>z_YIW8LT0190_MO_DAF_DepreciationaspercentageofPPEBoP</vt:lpstr>
      <vt:lpstr>z_YIW8LT0190_MO_DAF_Depreciationoffixedassets</vt:lpstr>
      <vt:lpstr>z_YIW8LT0190_MO_DAF_Impliedlifeoffixedassets</vt:lpstr>
      <vt:lpstr>z_YIW8LT0190_MO_DAF_Impliedlifeofintangibles</vt:lpstr>
      <vt:lpstr>z_YIW8LT0190_MO_DAF_IntangiblesBoP</vt:lpstr>
      <vt:lpstr>z_YIW8LT0190_MO_DAF_IntangiblesEoP</vt:lpstr>
      <vt:lpstr>z_YIW8LT0190_MO_DAF_Othernetadditionstointangibles</vt:lpstr>
      <vt:lpstr>z_YIW8LT0190_MO_DAF_OthernetadditionstoPPE</vt:lpstr>
      <vt:lpstr>z_YIW8LT0190_MO_DAF_Percentageofcapexallocatedtointangibleassets</vt:lpstr>
      <vt:lpstr>z_YIW8LT0190_MO_DAF_PPEBoP</vt:lpstr>
      <vt:lpstr>z_YIW8LT0190_MO_DAF_PPEEoP</vt:lpstr>
      <vt:lpstr>z_YIW8LT0190_MO_DAF_TotalCapex</vt:lpstr>
      <vt:lpstr>z_YIW8LT0190_MO_DAF_TotalDA</vt:lpstr>
      <vt:lpstr>z_YIW8LT0190_MO_GA_Broadcastingrevenuesgrowth</vt:lpstr>
      <vt:lpstr>z_YIW8LT0190_MO_GA_CableNetworksRevenuesGrowth</vt:lpstr>
      <vt:lpstr>z_YIW8LT0190_MO_GA_ConsumerProductsrevenuesgrowth</vt:lpstr>
      <vt:lpstr>z_YIW8LT0190_MO_GA_ContentSalesLicensingHomeentertainmentrevenuegrowth</vt:lpstr>
      <vt:lpstr>z_YIW8LT0190_MO_GA_ContentSalesLicensingTheatricaldistributionrevenuegrowth</vt:lpstr>
      <vt:lpstr>z_YIW8LT0190_MO_GA_ContentSalesLicensingTotalrevenuegrowth</vt:lpstr>
      <vt:lpstr>z_YIW8LT0190_MO_GA_ContentSalesLicensingTVSVODdistributionrevenuegrowth</vt:lpstr>
      <vt:lpstr>z_YIW8LT0190_MO_GA_DirecttoConsumerTotalrevenuegrowthrate</vt:lpstr>
      <vt:lpstr>z_YIW8LT0190_MO_GA_DomesticParksandResortsRevenuesGrowth</vt:lpstr>
      <vt:lpstr>z_YIW8LT0190_MO_GA_HomeEntertainmentRevenuesGrowth</vt:lpstr>
      <vt:lpstr>z_YIW8LT0190_MO_GA_InternationalParksandResortsRevenuesGrowth</vt:lpstr>
      <vt:lpstr>z_YIW8LT0190_MO_GA_LicensingPublishingandGamesRevenuesGrowth</vt:lpstr>
      <vt:lpstr>z_YIW8LT0190_MO_GA_LinearNetworkAdvertisingrevenuegrowthrate</vt:lpstr>
      <vt:lpstr>z_YIW8LT0190_MO_GA_LinearNetworkAffiliatefeesrevenuegrowthrate</vt:lpstr>
      <vt:lpstr>z_YIW8LT0190_MO_GA_LinearNetworkBroadcastingadvertisingrevenuegrowthrate</vt:lpstr>
      <vt:lpstr>z_YIW8LT0190_MO_GA_LinearNetworkCableadvertisingrevenuegrowthrate</vt:lpstr>
      <vt:lpstr>z_YIW8LT0190_MO_GA_LinearNetworkDomesticaffiliatefeesrevenuegrowthrate</vt:lpstr>
      <vt:lpstr>z_YIW8LT0190_MO_GA_LinearNetworkDomesticchannelsadvertisingrevenuegrowthrate</vt:lpstr>
      <vt:lpstr>z_YIW8LT0190_MO_GA_LinearNetworkInternationalaffiliatefeesrevenuegrowthrate</vt:lpstr>
      <vt:lpstr>z_YIW8LT0190_MO_GA_LinearNetworkInternationalchannelsadvertisingrevenuegrowthrate</vt:lpstr>
      <vt:lpstr>z_YIW8LT0190_MO_GA_LinearNetworkTotalrevenuegrowthrate</vt:lpstr>
      <vt:lpstr>z_YIW8LT0190_MO_GA_MediaandEntertainmentDistributionTotalrevenuegrowth</vt:lpstr>
      <vt:lpstr>z_YIW8LT0190_MO_GA_Merchandiselicensingandretailrevenuegrowth</vt:lpstr>
      <vt:lpstr>z_YIW8LT0190_MO_GA_Merchandiselicensingrevenuesgrowth</vt:lpstr>
      <vt:lpstr>z_YIW8LT0190_MO_GA_Otherrevenuesgrowth</vt:lpstr>
      <vt:lpstr>z_YIW8LT0190_MO_GA_ParksExperiencesandProductsTotalrevenuegrowth</vt:lpstr>
      <vt:lpstr>z_YIW8LT0190_MO_GA_ParksExperiencesmerchandisefoodandbeveragerevenuegrowth</vt:lpstr>
      <vt:lpstr>z_YIW8LT0190_MO_GA_Parkslicensingandotherrevenuegrowth</vt:lpstr>
      <vt:lpstr>z_YIW8LT0190_MO_GA_ResortsandVacationsrevenuegrowth</vt:lpstr>
      <vt:lpstr>z_YIW8LT0190_MO_GA_RetailandOtherRevenuesGrowth</vt:lpstr>
      <vt:lpstr>z_YIW8LT0190_MO_GA_TheatricalDistributionRevenuesGrowth</vt:lpstr>
      <vt:lpstr>z_YIW8LT0190_MO_GA_Themeparkadmissionsrevenuegrowth</vt:lpstr>
      <vt:lpstr>z_YIW8LT0190_MO_GA_TVSVODDistributionandOtherRevenuesGrowth</vt:lpstr>
      <vt:lpstr>z_YIW8LT0190_MO_GA_TwentyFirstCenturyFoxRevenueGrowth</vt:lpstr>
      <vt:lpstr>z_YIW8LT0190_MO_Header_ColumnHeader</vt:lpstr>
      <vt:lpstr>z_YIW8LT0190_MO_Header_CompanySubTitle</vt:lpstr>
      <vt:lpstr>z_YIW8LT0190_MO_Header_CompanyTitle</vt:lpstr>
      <vt:lpstr>z_YIW8LT0190_MO_Header_FPDays</vt:lpstr>
      <vt:lpstr>z_YIW8LT0190_MO_Header_QEndDate</vt:lpstr>
      <vt:lpstr>z_YIW8LT0190_MO_IS_Consolidatednetincome</vt:lpstr>
      <vt:lpstr>z_YIW8LT0190_MO_IS_costofproductsexclusiveofdepreciationandamortization</vt:lpstr>
      <vt:lpstr>z_YIW8LT0190_MO_IS_costofservicesexclusiveofdepreciationandamortization</vt:lpstr>
      <vt:lpstr>z_YIW8LT0190_MO_IS_depreciationandamortization</vt:lpstr>
      <vt:lpstr>z_YIW8LT0190_MO_IS_Equityintheincomeofinvestees</vt:lpstr>
      <vt:lpstr>z_YIW8LT0190_MO_IS_incomebeforeincometaxes</vt:lpstr>
      <vt:lpstr>z_YIW8LT0190_MO_IS_Incomefromdiscontinuedoperations</vt:lpstr>
      <vt:lpstr>z_YIW8LT0190_MO_IS_incometaxes</vt:lpstr>
      <vt:lpstr>z_YIW8LT0190_MO_IS_interestincomeexpense</vt:lpstr>
      <vt:lpstr>z_YIW8LT0190_MO_IS_ISCheck</vt:lpstr>
      <vt:lpstr>z_YIW8LT0190_MO_IS_lessnetincomeattributabletononcontrollinginterests</vt:lpstr>
      <vt:lpstr>z_YIW8LT0190_MO_IS_LessNetincomefromdiscontinuedoperationattributabletononcontrollinginterests</vt:lpstr>
      <vt:lpstr>z_YIW8LT0190_MO_IS_netincome</vt:lpstr>
      <vt:lpstr>z_YIW8LT0190_MO_IS_netincomeattributabletothewaltdisneycompanydisney</vt:lpstr>
      <vt:lpstr>z_YIW8LT0190_MO_IS_Otherexpense</vt:lpstr>
      <vt:lpstr>z_YIW8LT0190_MO_IS_productsrevenue</vt:lpstr>
      <vt:lpstr>z_YIW8LT0190_MO_IS_restructuringandimpairmentcharges</vt:lpstr>
      <vt:lpstr>z_YIW8LT0190_MO_IS_sellinggeneral</vt:lpstr>
      <vt:lpstr>z_YIW8LT0190_MO_IS_servicesrevenue</vt:lpstr>
      <vt:lpstr>z_YIW8LT0190_MO_IS_totalcostsandexpenses</vt:lpstr>
      <vt:lpstr>z_YIW8LT0190_MO_IS_totalrevenues</vt:lpstr>
      <vt:lpstr>z_YIW8LT0190_MO_MA_AdjustedEBITDAMargin</vt:lpstr>
      <vt:lpstr>z_YIW8LT0190_MO_MA_AverageFXRate</vt:lpstr>
      <vt:lpstr>z_YIW8LT0190_MO_MA_COGSMargin</vt:lpstr>
      <vt:lpstr>z_YIW8LT0190_MO_MA_consensusestimatesadjustedebitdamargin</vt:lpstr>
      <vt:lpstr>z_YIW8LT0190_MO_MA_consensusestimatesgrossmargin</vt:lpstr>
      <vt:lpstr>z_YIW8LT0190_MO_MA_EBITDAMargin</vt:lpstr>
      <vt:lpstr>z_YIW8LT0190_MO_MA_EVSalesAvg</vt:lpstr>
      <vt:lpstr>z_YIW8LT0190_MO_MA_GrossMargin</vt:lpstr>
      <vt:lpstr>z_YIW8LT0190_MO_MA_SGAadjforSBCMargin</vt:lpstr>
      <vt:lpstr>z_YIW8LT0190_MO_MA_StockPriceTradingCurAvg</vt:lpstr>
      <vt:lpstr>z_YIW8LT0190_MO_OS__260</vt:lpstr>
      <vt:lpstr>z_YIW8LT0190_MO_OS__278</vt:lpstr>
      <vt:lpstr>z_YIW8LT0190_MO_OS_21CFandHuluAmortizationexpenses</vt:lpstr>
      <vt:lpstr>z_YIW8LT0190_MO_OS_21CFandHuluAsiaPacificRevenue</vt:lpstr>
      <vt:lpstr>z_YIW8LT0190_MO_OS_21CFandHuluDepreciationandAmortizationexpenses</vt:lpstr>
      <vt:lpstr>z_YIW8LT0190_MO_OS_21CFandHuluDepreciationexpenses</vt:lpstr>
      <vt:lpstr>z_YIW8LT0190_MO_OS_21CFandHuluEuropeRevenue</vt:lpstr>
      <vt:lpstr>z_YIW8LT0190_MO_OS_21CFandHuluLatinAmericaRevenue</vt:lpstr>
      <vt:lpstr>z_YIW8LT0190_MO_OS_21CFandHuluUnitedStatesandCanadaRevenue</vt:lpstr>
      <vt:lpstr>z_YIW8LT0190_MO_OS_21CFCapitalExpenditures</vt:lpstr>
      <vt:lpstr>z_YIW8LT0190_MO_OS_21CFCumulativeCapitalExpenditures</vt:lpstr>
      <vt:lpstr>z_YIW8LT0190_MO_OS_21CFdepreciationandamortizationexpenses</vt:lpstr>
      <vt:lpstr>z_YIW8LT0190_MO_OS_21CFoperatingexpenses</vt:lpstr>
      <vt:lpstr>z_YIW8LT0190_MO_OS_21CFOperatingIncome</vt:lpstr>
      <vt:lpstr>z_YIW8LT0190_MO_OS_21CFOperatingIncome_1</vt:lpstr>
      <vt:lpstr>z_YIW8LT0190_MO_OS_21CFRevenues</vt:lpstr>
      <vt:lpstr>z_YIW8LT0190_MO_OS_Accountspayableandotheraccruedliabilities</vt:lpstr>
      <vt:lpstr>z_YIW8LT0190_MO_OS_AccountspayableandotheraccruedliabilitiesYYChange</vt:lpstr>
      <vt:lpstr>z_YIW8LT0190_MO_OS_Advertising_4</vt:lpstr>
      <vt:lpstr>z_YIW8LT0190_MO_OS_Advertising_5</vt:lpstr>
      <vt:lpstr>z_YIW8LT0190_MO_OS_Advertisingrevenues</vt:lpstr>
      <vt:lpstr>z_YIW8LT0190_MO_OS_Advertisingrevenues_1</vt:lpstr>
      <vt:lpstr>z_YIW8LT0190_MO_OS_Advertisingrevenues_2</vt:lpstr>
      <vt:lpstr>z_YIW8LT0190_MO_OS_Advertisingrevenues_3</vt:lpstr>
      <vt:lpstr>z_YIW8LT0190_MO_OS_Affiliatedfees</vt:lpstr>
      <vt:lpstr>z_YIW8LT0190_MO_OS_Affiliatedfees_1</vt:lpstr>
      <vt:lpstr>z_YIW8LT0190_MO_OS_Affiliatedfees_2</vt:lpstr>
      <vt:lpstr>z_YIW8LT0190_MO_OS_Affiliatefees</vt:lpstr>
      <vt:lpstr>z_YIW8LT0190_MO_OS_Affiliatefees_1</vt:lpstr>
      <vt:lpstr>z_YIW8LT0190_MO_OS_Affiliatefeeselimination</vt:lpstr>
      <vt:lpstr>z_YIW8LT0190_MO_OS_AmericasRevenue</vt:lpstr>
      <vt:lpstr>z_YIW8LT0190_MO_OS_Amortizationof21CFandHuluintangibleassetsandfairvaluestepuponfilmandtelevisioncosts</vt:lpstr>
      <vt:lpstr>z_YIW8LT0190_MO_OS_Amortizationof21CFandHuluintangibleassetsandfairvaluestepuponfilmandtelevisioncosts_1</vt:lpstr>
      <vt:lpstr>z_YIW8LT0190_MO_OS_Amortizationoffairvaluestepupfilmandtvcosts</vt:lpstr>
      <vt:lpstr>z_YIW8LT0190_MO_OS_Amortizationofintangibleassets_2</vt:lpstr>
      <vt:lpstr>z_YIW8LT0190_MO_OS_Amortizationofintangibleassets_3</vt:lpstr>
      <vt:lpstr>z_YIW8LT0190_MO_OS_Amortizationofintangibleassets_4</vt:lpstr>
      <vt:lpstr>z_YIW8LT0190_MO_OS_Amortizationofintangibleassets_5</vt:lpstr>
      <vt:lpstr>z_YIW8LT0190_MO_OS_AmortizationofIntangibleassetsandFairvaluestepuponfilmandtvcosts</vt:lpstr>
      <vt:lpstr>z_YIW8LT0190_MO_OS_AmortizationofIntangibleassetsandFairvaluestepuponfilmandtvcostsCalculated</vt:lpstr>
      <vt:lpstr>z_YIW8LT0190_MO_OS_AmortizationofintangiblerelatedtoTFCFequityinvestees</vt:lpstr>
      <vt:lpstr>z_YIW8LT0190_MO_OS_AmortizationofintangiblerelatedtoTFCFequityinvestees_1</vt:lpstr>
      <vt:lpstr>z_YIW8LT0190_MO_OS_Amortizationofstepupfilmandtvcosts</vt:lpstr>
      <vt:lpstr>z_YIW8LT0190_MO_OS_Amortizationofstepupfilmandtvcosts_1</vt:lpstr>
      <vt:lpstr>z_YIW8LT0190_MO_OS_Amortizationofstepuponfilmandtvcosts</vt:lpstr>
      <vt:lpstr>z_YIW8LT0190_MO_OS_Amortizationofstepuponfilmandtvcostscalculated</vt:lpstr>
      <vt:lpstr>z_YIW8LT0190_MO_OS_AmortizationofTFCFIntangibleassets</vt:lpstr>
      <vt:lpstr>z_YIW8LT0190_MO_OS_AmortizationofTFCFIntangibleassetsandFairvaluestepuponfilmandtvcosts</vt:lpstr>
      <vt:lpstr>z_YIW8LT0190_MO_OS_AmortizationofTFCFIntangibleassetsandFairvaluestepuponfilmandtvcosts_1</vt:lpstr>
      <vt:lpstr>z_YIW8LT0190_MO_OS_AmortizationofTFCFIntangibleassetscalculated</vt:lpstr>
      <vt:lpstr>z_YIW8LT0190_MO_OS_AmortizationofTFCFrelatedequityinvestees</vt:lpstr>
      <vt:lpstr>z_YIW8LT0190_MO_OS_Amortizationofvaluestepupfilmandtvcosts</vt:lpstr>
      <vt:lpstr>z_YIW8LT0190_MO_OS_asiapacificrevenue</vt:lpstr>
      <vt:lpstr>z_YIW8LT0190_MO_OS_BroadcastingCAPEX</vt:lpstr>
      <vt:lpstr>z_YIW8LT0190_MO_OS_BroadcastingcumulativeCAPEX</vt:lpstr>
      <vt:lpstr>z_YIW8LT0190_MO_OS_BroadcastingDepreciationexpenses</vt:lpstr>
      <vt:lpstr>z_YIW8LT0190_MO_OS_BroadcastingNetworksCumulativeCapitalExpenditures</vt:lpstr>
      <vt:lpstr>z_YIW8LT0190_MO_OS_Broadcastingoperatingincome</vt:lpstr>
      <vt:lpstr>z_YIW8LT0190_MO_OS_Broadcastingrevenues</vt:lpstr>
      <vt:lpstr>z_YIW8LT0190_MO_OS_Broadcastingrevenues_1</vt:lpstr>
      <vt:lpstr>z_YIW8LT0190_MO_OS_Broadcastingrevenuesgrowth</vt:lpstr>
      <vt:lpstr>z_YIW8LT0190_MO_OS_Broadcastingsegmentoperatingincome</vt:lpstr>
      <vt:lpstr>z_YIW8LT0190_MO_OS_CableMediaNetworksCumulativeCapitalExpenditures</vt:lpstr>
      <vt:lpstr>z_YIW8LT0190_MO_OS_CableNetworksCAPEX</vt:lpstr>
      <vt:lpstr>z_YIW8LT0190_MO_OS_CableNetworkscumulativeCAPEX</vt:lpstr>
      <vt:lpstr>z_YIW8LT0190_MO_OS_CableNetworksDepreciationexpenses</vt:lpstr>
      <vt:lpstr>z_YIW8LT0190_MO_OS_CableNetworksoperatingincome</vt:lpstr>
      <vt:lpstr>z_YIW8LT0190_MO_OS_CableNetworksrevenues</vt:lpstr>
      <vt:lpstr>z_YIW8LT0190_MO_OS_CableNetworksrevenues_1</vt:lpstr>
      <vt:lpstr>z_YIW8LT0190_MO_OS_CableNetworksrevenuesgrowth</vt:lpstr>
      <vt:lpstr>z_YIW8LT0190_MO_OS_CableNetworkssegmentoperatingincome</vt:lpstr>
      <vt:lpstr>z_YIW8LT0190_MO_OS_ConsoldiatedEquityInvestment</vt:lpstr>
      <vt:lpstr>z_YIW8LT0190_MO_OS_ConsolidatedCOGS</vt:lpstr>
      <vt:lpstr>z_YIW8LT0190_MO_OS_ConsolidatedDA</vt:lpstr>
      <vt:lpstr>z_YIW8LT0190_MO_OS_ConsolidatedSGA</vt:lpstr>
      <vt:lpstr>z_YIW8LT0190_MO_OS_ConsumerProductsInteractiveMediaCAPEX</vt:lpstr>
      <vt:lpstr>z_YIW8LT0190_MO_OS_ConsumerProductsInteractiveMediacumulativeCAPEX</vt:lpstr>
      <vt:lpstr>z_YIW8LT0190_MO_OS_ConsumerProductsInteractiveMediaEBITMargin</vt:lpstr>
      <vt:lpstr>z_YIW8LT0190_MO_OS_ConsumerProductsInteractiveMediaOperatingIncome</vt:lpstr>
      <vt:lpstr>z_YIW8LT0190_MO_OS_ConsumerProductsInteractiveMediaOPEXMargin</vt:lpstr>
      <vt:lpstr>z_YIW8LT0190_MO_OS_consumerproductsinteractivemediarevenuegrowth</vt:lpstr>
      <vt:lpstr>z_YIW8LT0190_MO_OS_ConsumerProductsInteractiveMediaSGAMargin</vt:lpstr>
      <vt:lpstr>z_YIW8LT0190_MO_OS_ConsumerProductsInteractiveMediaTotalRevenues</vt:lpstr>
      <vt:lpstr>z_YIW8LT0190_MO_OS_ConsumerProductsoperatingincome</vt:lpstr>
      <vt:lpstr>z_YIW8LT0190_MO_OS_ConsumerProductsoperatingincome_1</vt:lpstr>
      <vt:lpstr>z_YIW8LT0190_MO_OS_ConsumerProductsrevenue_2</vt:lpstr>
      <vt:lpstr>z_YIW8LT0190_MO_OS_ConsumerProductsrevenues</vt:lpstr>
      <vt:lpstr>z_YIW8LT0190_MO_OS_ConsumerProductsrevenuesgrowth</vt:lpstr>
      <vt:lpstr>z_YIW8LT0190_MO_OS_ContentSalesLicensingDA</vt:lpstr>
      <vt:lpstr>z_YIW8LT0190_MO_OS_ContentSalesLicensingEquityintheincomeofinvestees</vt:lpstr>
      <vt:lpstr>z_YIW8LT0190_MO_OS_ContentSalesLicensingHomeentertainmentrevenue</vt:lpstr>
      <vt:lpstr>z_YIW8LT0190_MO_OS_ContentSalesLicensingOperatingexpenses</vt:lpstr>
      <vt:lpstr>z_YIW8LT0190_MO_OS_ContentSalesLicensingOperatingexpensesmargin</vt:lpstr>
      <vt:lpstr>z_YIW8LT0190_MO_OS_ContentSalesLicensingOperatingIncome</vt:lpstr>
      <vt:lpstr>z_YIW8LT0190_MO_OS_ContentSalesLicensingOperatingincomemargin</vt:lpstr>
      <vt:lpstr>z_YIW8LT0190_MO_OS_ContentSalesLicensingOtherrevenue</vt:lpstr>
      <vt:lpstr>z_YIW8LT0190_MO_OS_ContentSalesLicensingSGA</vt:lpstr>
      <vt:lpstr>z_YIW8LT0190_MO_OS_ContentSalesLicensingSGAmargin</vt:lpstr>
      <vt:lpstr>z_YIW8LT0190_MO_OS_ContentSalesLicensingTheatricaldistributionrevenue</vt:lpstr>
      <vt:lpstr>z_YIW8LT0190_MO_OS_ContentSalesLicensingTotalrevenue</vt:lpstr>
      <vt:lpstr>z_YIW8LT0190_MO_OS_ContentSalesLicensingTVSVODdistributionrevenue</vt:lpstr>
      <vt:lpstr>z_YIW8LT0190_MO_OS_Corporateandunallocatedsharedexpenses</vt:lpstr>
      <vt:lpstr>z_YIW8LT0190_MO_OS_CorporateCAPEX</vt:lpstr>
      <vt:lpstr>z_YIW8LT0190_MO_OS_CorporatecumulativeCAPEX</vt:lpstr>
      <vt:lpstr>z_YIW8LT0190_MO_OS_CorporateCumulativeTotalCapitalExpenditures</vt:lpstr>
      <vt:lpstr>z_YIW8LT0190_MO_OS_CorporateDAexpenses</vt:lpstr>
      <vt:lpstr>z_YIW8LT0190_MO_OS_Corporatedepreciationandamortizationexpenses</vt:lpstr>
      <vt:lpstr>z_YIW8LT0190_MO_OS_Corporatedepreciationandamortizationexpenses_1</vt:lpstr>
      <vt:lpstr>z_YIW8LT0190_MO_OS_Corporateoperatingexpenses</vt:lpstr>
      <vt:lpstr>z_YIW8LT0190_MO_OS_Corporateoperatingexpenses_1</vt:lpstr>
      <vt:lpstr>z_YIW8LT0190_MO_OS_CorporateoperatingExpenses_2</vt:lpstr>
      <vt:lpstr>z_YIW8LT0190_MO_OS_CorporateTotalCapitalExpenditures</vt:lpstr>
      <vt:lpstr>z_YIW8LT0190_MO_OS_Costofgoodssoldanddistributioncosts</vt:lpstr>
      <vt:lpstr>z_YIW8LT0190_MO_OS_Depreciationandamortizationexpenses</vt:lpstr>
      <vt:lpstr>z_YIW8LT0190_MO_OS_Depreciationandamortizationexpenses_1</vt:lpstr>
      <vt:lpstr>z_YIW8LT0190_MO_OS_Depreciationandamortizationexpenses_2</vt:lpstr>
      <vt:lpstr>z_YIW8LT0190_MO_OS_Depreciationandamortizationexpenses_3</vt:lpstr>
      <vt:lpstr>z_YIW8LT0190_MO_OS_Depreciationandamortizationexpenses_4</vt:lpstr>
      <vt:lpstr>z_YIW8LT0190_MO_OS_Depreciationandamortizationexpenses_5</vt:lpstr>
      <vt:lpstr>z_YIW8LT0190_MO_OS_Depreciationandamortizationexpenses_6</vt:lpstr>
      <vt:lpstr>z_YIW8LT0190_MO_OS_Depreciationandamortizationexpenses_7</vt:lpstr>
      <vt:lpstr>z_YIW8LT0190_MO_OS_DirecttoConsumerAdvertisingrevenue</vt:lpstr>
      <vt:lpstr>z_YIW8LT0190_MO_OS_DirecttoConsumerDA</vt:lpstr>
      <vt:lpstr>z_YIW8LT0190_MO_OS_DirecttoConsumerEquityintheincomeofinvestees</vt:lpstr>
      <vt:lpstr>z_YIW8LT0190_MO_OS_DirecttoConsumerInternationalAmortizationexpenses</vt:lpstr>
      <vt:lpstr>z_YIW8LT0190_MO_OS_DirecttoConsumerInternationalCapitalExpenditures</vt:lpstr>
      <vt:lpstr>z_YIW8LT0190_MO_OS_DirecttoConsumerInternationalCumulativeCapitalExpenditures</vt:lpstr>
      <vt:lpstr>z_YIW8LT0190_MO_OS_DirecttoConsumerInternationalDepreciationandAmortizationexpenses</vt:lpstr>
      <vt:lpstr>z_YIW8LT0190_MO_OS_DirecttoConsumerInternationalDepreciationexpenses</vt:lpstr>
      <vt:lpstr>z_YIW8LT0190_MO_OS_DirecttoConsumerInternationalEBITMargin</vt:lpstr>
      <vt:lpstr>z_YIW8LT0190_MO_OS_DirecttoConsumerInternationalOperatingIncome</vt:lpstr>
      <vt:lpstr>z_YIW8LT0190_MO_OS_DirecttoConsumerInternationalOperatingIncome_1</vt:lpstr>
      <vt:lpstr>z_YIW8LT0190_MO_OS_DirecttoConsumerInternationalOperatingIncome_2</vt:lpstr>
      <vt:lpstr>z_YIW8LT0190_MO_OS_DirecttoConsumerInternationalOPEXMargin</vt:lpstr>
      <vt:lpstr>z_YIW8LT0190_MO_OS_DirecttoConsumerInternationalRevenueGrowth</vt:lpstr>
      <vt:lpstr>z_YIW8LT0190_MO_OS_DirecttoConsumerInternationalsAmericasRevenue</vt:lpstr>
      <vt:lpstr>z_YIW8LT0190_MO_OS_DirecttoConsumerInternationalsAsiaPacificRevenue</vt:lpstr>
      <vt:lpstr>z_YIW8LT0190_MO_OS_DirecttoConsumerInternationalsEuropeRevenue</vt:lpstr>
      <vt:lpstr>z_YIW8LT0190_MO_OS_DirecttoConsumerInternationalSGAMargin</vt:lpstr>
      <vt:lpstr>z_YIW8LT0190_MO_OS_DirecttoConsumerInternationalsLatinAmericaRevenue</vt:lpstr>
      <vt:lpstr>z_YIW8LT0190_MO_OS_DirecttoConsumerInternationalsUnitedStatesandCanadaRevenue</vt:lpstr>
      <vt:lpstr>z_YIW8LT0190_MO_OS_DirecttoConsumerInternationalTotalRevenues</vt:lpstr>
      <vt:lpstr>z_YIW8LT0190_MO_OS_DirecttoConsumerInternationalTotalRevenues_1</vt:lpstr>
      <vt:lpstr>z_YIW8LT0190_MO_OS_DirecttoConsumerOperatingexpenses</vt:lpstr>
      <vt:lpstr>z_YIW8LT0190_MO_OS_DirecttoConsumerOperatingexpensesmargin</vt:lpstr>
      <vt:lpstr>z_YIW8LT0190_MO_OS_DirecttoConsumerOperatingIncome</vt:lpstr>
      <vt:lpstr>z_YIW8LT0190_MO_OS_DirecttoConsumerOperatingincomemargin</vt:lpstr>
      <vt:lpstr>z_YIW8LT0190_MO_OS_DirecttoConsumerSGA</vt:lpstr>
      <vt:lpstr>z_YIW8LT0190_MO_OS_DirecttoConsumerSGAmargin</vt:lpstr>
      <vt:lpstr>z_YIW8LT0190_MO_OS_DirecttoConsumerSubscriptionfeesrevenue</vt:lpstr>
      <vt:lpstr>z_YIW8LT0190_MO_OS_DirecttoConsumerTotalrevenue</vt:lpstr>
      <vt:lpstr>z_YIW8LT0190_MO_OS_DirecttoConsumerTVSVODdistributionandotherrevenue</vt:lpstr>
      <vt:lpstr>z_YIW8LT0190_MO_OS_DiscrepancyinSegmentCOGS</vt:lpstr>
      <vt:lpstr>z_YIW8LT0190_MO_OS_DiscrepancyinSegmentDA</vt:lpstr>
      <vt:lpstr>z_YIW8LT0190_MO_OS_DiscrepancyinSegmentSGA</vt:lpstr>
      <vt:lpstr>z_YIW8LT0190_MO_OS_DisneyARPU</vt:lpstr>
      <vt:lpstr>z_YIW8LT0190_MO_OS_Disneyrevenuecalculated</vt:lpstr>
      <vt:lpstr>z_YIW8LT0190_MO_OS_DisneySubscribers</vt:lpstr>
      <vt:lpstr>z_YIW8LT0190_MO_OS_domesticavailableroomnights</vt:lpstr>
      <vt:lpstr>z_YIW8LT0190_MO_OS_domestichoteloccupancy</vt:lpstr>
      <vt:lpstr>z_YIW8LT0190_MO_OS_Domesticincreasedecreaseinparksattendance</vt:lpstr>
      <vt:lpstr>z_YIW8LT0190_MO_OS_Domesticincreasedecreaseinparkspercapitaguestspending</vt:lpstr>
      <vt:lpstr>z_YIW8LT0190_MO_OS_DomesticParksandResortsCAPEX</vt:lpstr>
      <vt:lpstr>z_YIW8LT0190_MO_OS_DomesticParksandResortscumulativeCAPEX</vt:lpstr>
      <vt:lpstr>z_YIW8LT0190_MO_OS_DomesticParksExperiencesConsumerProductsCumulativeCapitalExpenditures</vt:lpstr>
      <vt:lpstr>z_YIW8LT0190_MO_OS_DomesticParksExperiencesConsumerProductsDepreciationexpenses</vt:lpstr>
      <vt:lpstr>z_YIW8LT0190_MO_OS_DomesticParksExperiencesoperatingincome</vt:lpstr>
      <vt:lpstr>z_YIW8LT0190_MO_OS_DomesticParksExperiencesrevenues</vt:lpstr>
      <vt:lpstr>z_YIW8LT0190_MO_OS_DomesticParksExperiencesrevenuesgrowth</vt:lpstr>
      <vt:lpstr>z_YIW8LT0190_MO_OS_Domesticparksincreaseinattendance</vt:lpstr>
      <vt:lpstr>z_YIW8LT0190_MO_OS_Domesticparksincreaseinpercapitaguestspending</vt:lpstr>
      <vt:lpstr>z_YIW8LT0190_MO_OS_domesticperroomguestspending</vt:lpstr>
      <vt:lpstr>z_YIW8LT0190_MO_OS_Domesticresortsavailableroomnights</vt:lpstr>
      <vt:lpstr>z_YIW8LT0190_MO_OS_Domesticresortsoccupancy</vt:lpstr>
      <vt:lpstr>z_YIW8LT0190_MO_OS_Domesticresortsperroomguestspending</vt:lpstr>
      <vt:lpstr>z_YIW8LT0190_MO_OS_Domesticrevenues</vt:lpstr>
      <vt:lpstr>z_YIW8LT0190_MO_OS_DTCbusinessesandotheroperatingincome</vt:lpstr>
      <vt:lpstr>z_YIW8LT0190_MO_OS_DTCbusinessesandotherrevenues</vt:lpstr>
      <vt:lpstr>z_YIW8LT0190_MO_OS_DTCbusinessesandotherrevenuesgrowth</vt:lpstr>
      <vt:lpstr>z_YIW8LT0190_MO_OS_DTCdiscrepancy</vt:lpstr>
      <vt:lpstr>z_YIW8LT0190_MO_OS_EBITReportedinRIS</vt:lpstr>
      <vt:lpstr>z_YIW8LT0190_MO_OS_Eliminationofexpenses</vt:lpstr>
      <vt:lpstr>z_YIW8LT0190_MO_OS_EliminationsAmericas</vt:lpstr>
      <vt:lpstr>z_YIW8LT0190_MO_OS_EliminationsAsiaPacificRevenue</vt:lpstr>
      <vt:lpstr>z_YIW8LT0190_MO_OS_EliminationsEuropeRevenue</vt:lpstr>
      <vt:lpstr>z_YIW8LT0190_MO_OS_EliminationsLatinAmericaRevenue</vt:lpstr>
      <vt:lpstr>z_YIW8LT0190_MO_OS_EliminationsUnitedStatesandCanadaRevenue</vt:lpstr>
      <vt:lpstr>z_YIW8LT0190_MO_OS_Equityintheincomeofinvestees</vt:lpstr>
      <vt:lpstr>z_YIW8LT0190_MO_OS_Equityintheincomeofinvestees_1</vt:lpstr>
      <vt:lpstr>z_YIW8LT0190_MO_OS_Equityintheincomeofinvestees_10</vt:lpstr>
      <vt:lpstr>z_YIW8LT0190_MO_OS_Equityintheincomeofinvestees_11</vt:lpstr>
      <vt:lpstr>z_YIW8LT0190_MO_OS_Equityintheincomeofinvestees_12</vt:lpstr>
      <vt:lpstr>z_YIW8LT0190_MO_OS_Equityintheincomeofinvestees_2</vt:lpstr>
      <vt:lpstr>z_YIW8LT0190_MO_OS_Equityintheincomeofinvestees_3</vt:lpstr>
      <vt:lpstr>z_YIW8LT0190_MO_OS_Equityintheincomeofinvestees_4</vt:lpstr>
      <vt:lpstr>z_YIW8LT0190_MO_OS_Equityintheincomeofinvestees_5</vt:lpstr>
      <vt:lpstr>z_YIW8LT0190_MO_OS_Equityintheincomeofinvestees_6</vt:lpstr>
      <vt:lpstr>z_YIW8LT0190_MO_OS_Equityintheincomeofinvestees_7</vt:lpstr>
      <vt:lpstr>z_YIW8LT0190_MO_OS_Equityintheincomeofinvestees_8</vt:lpstr>
      <vt:lpstr>z_YIW8LT0190_MO_OS_Equityintheincomeofinvestees_9</vt:lpstr>
      <vt:lpstr>z_YIW8LT0190_MO_OS_ESPNARPU</vt:lpstr>
      <vt:lpstr>z_YIW8LT0190_MO_OS_ESPNrevenuecalculated</vt:lpstr>
      <vt:lpstr>z_YIW8LT0190_MO_OS_ESPNSubscribers</vt:lpstr>
      <vt:lpstr>z_YIW8LT0190_MO_OS_europerevenue</vt:lpstr>
      <vt:lpstr>z_YIW8LT0190_MO_OS_Homeentertainment_4</vt:lpstr>
      <vt:lpstr>z_YIW8LT0190_MO_OS_Homeentertainment_5</vt:lpstr>
      <vt:lpstr>z_YIW8LT0190_MO_OS_Homeentertainmentrevenues</vt:lpstr>
      <vt:lpstr>z_YIW8LT0190_MO_OS_Homeentertainmentrevenues_1</vt:lpstr>
      <vt:lpstr>z_YIW8LT0190_MO_OS_Homeentertainmentrevenues_2</vt:lpstr>
      <vt:lpstr>z_YIW8LT0190_MO_OS_Homeentertainmentrevenuesgrowth</vt:lpstr>
      <vt:lpstr>z_YIW8LT0190_MO_OS_HulublendedARPUcalculated</vt:lpstr>
      <vt:lpstr>z_YIW8LT0190_MO_OS_HuluGain</vt:lpstr>
      <vt:lpstr>z_YIW8LT0190_MO_OS_HuluLiveTVSVOD</vt:lpstr>
      <vt:lpstr>z_YIW8LT0190_MO_OS_HuluLiveTVSVODARPU</vt:lpstr>
      <vt:lpstr>z_YIW8LT0190_MO_OS_HuluLiveTVSVODrevenuecalculated</vt:lpstr>
      <vt:lpstr>z_YIW8LT0190_MO_OS_HuluSVODOnly</vt:lpstr>
      <vt:lpstr>z_YIW8LT0190_MO_OS_HuluSVODOnlyARPU</vt:lpstr>
      <vt:lpstr>z_YIW8LT0190_MO_OS_HuluSVODonlyrevenuecalculated</vt:lpstr>
      <vt:lpstr>z_YIW8LT0190_MO_OS_Impairmentofequityinvestment_1</vt:lpstr>
      <vt:lpstr>z_YIW8LT0190_MO_OS_Impairmentofequityinvestments</vt:lpstr>
      <vt:lpstr>z_YIW8LT0190_MO_OS_Impairmentofequityinvestments_1</vt:lpstr>
      <vt:lpstr>z_YIW8LT0190_MO_OS_IncomeBeforeIncomeTaxes</vt:lpstr>
      <vt:lpstr>z_YIW8LT0190_MO_OS_Infinitycharge</vt:lpstr>
      <vt:lpstr>z_YIW8LT0190_MO_OS_Infrastructurecosts</vt:lpstr>
      <vt:lpstr>z_YIW8LT0190_MO_OS_Interestexpenseincomenet</vt:lpstr>
      <vt:lpstr>z_YIW8LT0190_MO_OS_Interestexpenseincomenet_1</vt:lpstr>
      <vt:lpstr>z_YIW8LT0190_MO_OS_internationalavailableroomnights</vt:lpstr>
      <vt:lpstr>z_YIW8LT0190_MO_OS_InternationalChannelsoperatingincome</vt:lpstr>
      <vt:lpstr>z_YIW8LT0190_MO_OS_InternationalChannelsrevenues</vt:lpstr>
      <vt:lpstr>z_YIW8LT0190_MO_OS_Internationalchannelsrevenuesgrowth</vt:lpstr>
      <vt:lpstr>z_YIW8LT0190_MO_OS_internationalhoteloccupancy</vt:lpstr>
      <vt:lpstr>z_YIW8LT0190_MO_OS_Internationalincreasedecreaseinparksattendance</vt:lpstr>
      <vt:lpstr>z_YIW8LT0190_MO_OS_Internationalincreasedecreaseinparkspercapitaguestspending</vt:lpstr>
      <vt:lpstr>z_YIW8LT0190_MO_OS_InternationalParksandResortsCAPEX</vt:lpstr>
      <vt:lpstr>z_YIW8LT0190_MO_OS_InternationalParksandResortscumulativeCAPEX</vt:lpstr>
      <vt:lpstr>z_YIW8LT0190_MO_OS_InternationalParksExperiencesConsumerProductsCumulativeCapitalExpenditures</vt:lpstr>
      <vt:lpstr>z_YIW8LT0190_MO_OS_InternationalParksExperiencesConsumerProductsDepreciationexpenses</vt:lpstr>
      <vt:lpstr>z_YIW8LT0190_MO_OS_InternationalParksExperiencesoperatingincome</vt:lpstr>
      <vt:lpstr>z_YIW8LT0190_MO_OS_InternationalParksExperiencesrevenues</vt:lpstr>
      <vt:lpstr>z_YIW8LT0190_MO_OS_InternationalParksExperiencesrevenuesgrowth</vt:lpstr>
      <vt:lpstr>z_YIW8LT0190_MO_OS_Internationalparksincreaseinattendance</vt:lpstr>
      <vt:lpstr>z_YIW8LT0190_MO_OS_Internationalparksincreaseinpercapitaguestspending</vt:lpstr>
      <vt:lpstr>z_YIW8LT0190_MO_OS_internationalperroomguestspending</vt:lpstr>
      <vt:lpstr>z_YIW8LT0190_MO_OS_Internationalresortsavailableroomnights</vt:lpstr>
      <vt:lpstr>z_YIW8LT0190_MO_OS_Internationalresortsoccupancy</vt:lpstr>
      <vt:lpstr>z_YIW8LT0190_MO_OS_Internationalresortsperroomguestspending</vt:lpstr>
      <vt:lpstr>z_YIW8LT0190_MO_OS_Internationalrevenues</vt:lpstr>
      <vt:lpstr>z_YIW8LT0190_MO_OS_Inventories</vt:lpstr>
      <vt:lpstr>z_YIW8LT0190_MO_OS_InventoriesYYChange</vt:lpstr>
      <vt:lpstr>z_YIW8LT0190_MO_OS_LatinAmericaandOtherRevenue</vt:lpstr>
      <vt:lpstr>z_YIW8LT0190_MO_OS_Licensingpublishingandgamesrevenues</vt:lpstr>
      <vt:lpstr>z_YIW8LT0190_MO_OS_LinearNetworkAdvertisingrevenue</vt:lpstr>
      <vt:lpstr>z_YIW8LT0190_MO_OS_LinearNetworkAffiliatefeesrevenue</vt:lpstr>
      <vt:lpstr>z_YIW8LT0190_MO_OS_LinearNetworkBroadcastingadvertisingrevenue</vt:lpstr>
      <vt:lpstr>z_YIW8LT0190_MO_OS_LinearNetworkCableadvertisingrevenue</vt:lpstr>
      <vt:lpstr>z_YIW8LT0190_MO_OS_LinearNetworkDA</vt:lpstr>
      <vt:lpstr>z_YIW8LT0190_MO_OS_LinearNetworkDomesticaffiliatefeesrevenue</vt:lpstr>
      <vt:lpstr>z_YIW8LT0190_MO_OS_LinearNetworkDomesticchannelsadvertisingrevenue</vt:lpstr>
      <vt:lpstr>z_YIW8LT0190_MO_OS_LinearNetworkDomesticchannelsoperatingincomemargin</vt:lpstr>
      <vt:lpstr>z_YIW8LT0190_MO_OS_LinearNetworkDomesticchannelsrevenue</vt:lpstr>
      <vt:lpstr>z_YIW8LT0190_MO_OS_LinearNetworkEquityintheincomeofinvestees</vt:lpstr>
      <vt:lpstr>z_YIW8LT0190_MO_OS_LinearNetworkInternationalaffiliatefeesrevenue</vt:lpstr>
      <vt:lpstr>z_YIW8LT0190_MO_OS_LinearNetworkInternationalchannelsadvertisingrevenue</vt:lpstr>
      <vt:lpstr>z_YIW8LT0190_MO_OS_LinearNetworkInternationalchannelsoperatingincomemargin</vt:lpstr>
      <vt:lpstr>z_YIW8LT0190_MO_OS_LinearNetworkInternationalchannelsrevenue</vt:lpstr>
      <vt:lpstr>z_YIW8LT0190_MO_OS_LinearNetworkOperatingexpenses</vt:lpstr>
      <vt:lpstr>z_YIW8LT0190_MO_OS_LinearNetworkOperatingexpensesmargin</vt:lpstr>
      <vt:lpstr>z_YIW8LT0190_MO_OS_LinearNetworkOperatingIncome</vt:lpstr>
      <vt:lpstr>z_YIW8LT0190_MO_OS_LinearNetworkOperatingIncome_2</vt:lpstr>
      <vt:lpstr>z_YIW8LT0190_MO_OS_LinearNetworkOperatingincomemargin</vt:lpstr>
      <vt:lpstr>z_YIW8LT0190_MO_OS_LinearNetworkOtherrevenue</vt:lpstr>
      <vt:lpstr>z_YIW8LT0190_MO_OS_LinearNetworksDomesticchannelsoperatingincome</vt:lpstr>
      <vt:lpstr>z_YIW8LT0190_MO_OS_LinearNetworkSGA</vt:lpstr>
      <vt:lpstr>z_YIW8LT0190_MO_OS_LinearNetworkSGAmargin</vt:lpstr>
      <vt:lpstr>z_YIW8LT0190_MO_OS_LinearNetworksInternationalchannelsoperatingincome</vt:lpstr>
      <vt:lpstr>z_YIW8LT0190_MO_OS_LinearNetworkTotalrevenue</vt:lpstr>
      <vt:lpstr>z_YIW8LT0190_MO_OS_LinearNetworkTotalrevenue_1</vt:lpstr>
      <vt:lpstr>z_YIW8LT0190_MO_OS_MediaandEntertainmentDistributionAmortization</vt:lpstr>
      <vt:lpstr>z_YIW8LT0190_MO_OS_MediaandEntertainmentDistributionCapex</vt:lpstr>
      <vt:lpstr>z_YIW8LT0190_MO_OS_MediaandEntertainmentDistributionContentSalesLicensingandOtherrevenue</vt:lpstr>
      <vt:lpstr>z_YIW8LT0190_MO_OS_MediaandEntertainmentDistributionDA</vt:lpstr>
      <vt:lpstr>z_YIW8LT0190_MO_OS_MediaandEntertainmentDistributionDA_2</vt:lpstr>
      <vt:lpstr>z_YIW8LT0190_MO_OS_MediaandEntertainmentDistributionDADiscrepancy</vt:lpstr>
      <vt:lpstr>z_YIW8LT0190_MO_OS_MediaandEntertainmentDistributionDepreciation</vt:lpstr>
      <vt:lpstr>z_YIW8LT0190_MO_OS_MediaandEntertainmentDistributionDirecttoConsumerrevenue</vt:lpstr>
      <vt:lpstr>z_YIW8LT0190_MO_OS_MediaandEntertainmentDistributionEliminationofIntrasegmentrevenue</vt:lpstr>
      <vt:lpstr>z_YIW8LT0190_MO_OS_MediaandEntertainmentDistributionEliminationofIntrasegmentrevenue_1</vt:lpstr>
      <vt:lpstr>z_YIW8LT0190_MO_OS_MediaandEntertainmentDistributionEquityintheincomeofinvestees</vt:lpstr>
      <vt:lpstr>z_YIW8LT0190_MO_OS_MediaandEntertainmentDistributionLinearNetworksrevenue</vt:lpstr>
      <vt:lpstr>z_YIW8LT0190_MO_OS_MediaandEntertainmentDistributionOperatingexpenses</vt:lpstr>
      <vt:lpstr>z_YIW8LT0190_MO_OS_MediaandEntertainmentDistributionOperatingIncome</vt:lpstr>
      <vt:lpstr>z_YIW8LT0190_MO_OS_MediaandEntertainmentDistributionOperatingIncome_1</vt:lpstr>
      <vt:lpstr>z_YIW8LT0190_MO_OS_MediaandEntertainmentDistributionOperatingincomemargin</vt:lpstr>
      <vt:lpstr>z_YIW8LT0190_MO_OS_MediaandEntertainmentDistributionSGA</vt:lpstr>
      <vt:lpstr>z_YIW8LT0190_MO_OS_MediaandEntertainmentDistributionTotalrevenue</vt:lpstr>
      <vt:lpstr>z_YIW8LT0190_MO_OS_MediaandEntertainmentDistributionTotalrevenue_1</vt:lpstr>
      <vt:lpstr>z_YIW8LT0190_MO_OS_MediaNetworksAmericasRevenue</vt:lpstr>
      <vt:lpstr>z_YIW8LT0190_MO_OS_MediaNetworksAmortizationexpenses</vt:lpstr>
      <vt:lpstr>z_YIW8LT0190_MO_OS_MediaNetworksAsiaPacificRevenue</vt:lpstr>
      <vt:lpstr>z_YIW8LT0190_MO_OS_MediaNetworksCAPEX</vt:lpstr>
      <vt:lpstr>z_YIW8LT0190_MO_OS_MediaNetworksCapitalExpenditures</vt:lpstr>
      <vt:lpstr>z_YIW8LT0190_MO_OS_MediaNetworkscontenttransactionswithDTCI</vt:lpstr>
      <vt:lpstr>z_YIW8LT0190_MO_OS_MediaNetworkscontenttransactionswithDTCI_1</vt:lpstr>
      <vt:lpstr>z_YIW8LT0190_MO_OS_MediaNetworkscumulativeCAPEX</vt:lpstr>
      <vt:lpstr>z_YIW8LT0190_MO_OS_MediaNetworksCumulativeCapitalExpenditures</vt:lpstr>
      <vt:lpstr>z_YIW8LT0190_MO_OS_MediaNetworksDepreciationandAmortizationexpenses</vt:lpstr>
      <vt:lpstr>z_YIW8LT0190_MO_OS_MediaNetworksDepreciationexpenses</vt:lpstr>
      <vt:lpstr>z_YIW8LT0190_MO_OS_MediaNetworksEBITMargin</vt:lpstr>
      <vt:lpstr>z_YIW8LT0190_MO_OS_MediaNetworksEBITMargin_1</vt:lpstr>
      <vt:lpstr>z_YIW8LT0190_MO_OS_MediaNetworksEuropeRevenue</vt:lpstr>
      <vt:lpstr>z_YIW8LT0190_MO_OS_MediaNetworksLatinAmericaRevenue</vt:lpstr>
      <vt:lpstr>z_YIW8LT0190_MO_OS_MediaNetworksOperatingIncome</vt:lpstr>
      <vt:lpstr>z_YIW8LT0190_MO_OS_MediaNetworksOperatingIncome_1</vt:lpstr>
      <vt:lpstr>z_YIW8LT0190_MO_OS_MediaNetworksOperatingIncome_2</vt:lpstr>
      <vt:lpstr>z_YIW8LT0190_MO_OS_MediaNetworksOperatingIncome_3</vt:lpstr>
      <vt:lpstr>z_YIW8LT0190_MO_OS_MediaNetworksOperatingIncome_4</vt:lpstr>
      <vt:lpstr>z_YIW8LT0190_MO_OS_MediaNetworksOPEXMargin</vt:lpstr>
      <vt:lpstr>z_YIW8LT0190_MO_OS_MediaNetworksOPEXMargin_1</vt:lpstr>
      <vt:lpstr>z_YIW8LT0190_MO_OS_medianetworksrevenuegrowth</vt:lpstr>
      <vt:lpstr>z_YIW8LT0190_MO_OS_MediaNetworksRevenueGrowth_1</vt:lpstr>
      <vt:lpstr>z_YIW8LT0190_MO_OS_MediaNetworksSGAMargin</vt:lpstr>
      <vt:lpstr>z_YIW8LT0190_MO_OS_MediaNetworksSGAMargin_1</vt:lpstr>
      <vt:lpstr>z_YIW8LT0190_MO_OS_MediaNetworksTotalRevenues</vt:lpstr>
      <vt:lpstr>z_YIW8LT0190_MO_OS_MediaNetworksTotalRevenues_1</vt:lpstr>
      <vt:lpstr>z_YIW8LT0190_MO_OS_MediaNetworksTotalRevenues_2</vt:lpstr>
      <vt:lpstr>z_YIW8LT0190_MO_OS_MediaNetworksTotalRevenues_3</vt:lpstr>
      <vt:lpstr>z_YIW8LT0190_MO_OS_MediaNetworksUnitedStatesandCanadaRevenue</vt:lpstr>
      <vt:lpstr>z_YIW8LT0190_MO_OS_Merchandiselicensing_4</vt:lpstr>
      <vt:lpstr>z_YIW8LT0190_MO_OS_Merchandiselicensingandretail</vt:lpstr>
      <vt:lpstr>z_YIW8LT0190_MO_OS_Merchandiselicensingrevenues</vt:lpstr>
      <vt:lpstr>z_YIW8LT0190_MO_OS_Merchandiselicensingrevenues_1</vt:lpstr>
      <vt:lpstr>z_YIW8LT0190_MO_OS_Merchandiselicensingrevenuesgrowth</vt:lpstr>
      <vt:lpstr>z_YIW8LT0190_MO_OS_Operatingexpenses</vt:lpstr>
      <vt:lpstr>z_YIW8LT0190_MO_OS_Operatingexpenses_1</vt:lpstr>
      <vt:lpstr>z_YIW8LT0190_MO_OS_Operatingexpenses_2</vt:lpstr>
      <vt:lpstr>z_YIW8LT0190_MO_OS_Operatingexpenses_3</vt:lpstr>
      <vt:lpstr>z_YIW8LT0190_MO_OS_Operatingexpenses_4</vt:lpstr>
      <vt:lpstr>z_YIW8LT0190_MO_OS_Operatingexpenses_5</vt:lpstr>
      <vt:lpstr>z_YIW8LT0190_MO_OS_Operatingexpenses_6</vt:lpstr>
      <vt:lpstr>z_YIW8LT0190_MO_OS_Operatingexpenses_7</vt:lpstr>
      <vt:lpstr>z_YIW8LT0190_MO_OS_Operatinglabor</vt:lpstr>
      <vt:lpstr>z_YIW8LT0190_MO_OS_Other_11</vt:lpstr>
      <vt:lpstr>z_YIW8LT0190_MO_OS_Other_8</vt:lpstr>
      <vt:lpstr>z_YIW8LT0190_MO_OS_Other_9</vt:lpstr>
      <vt:lpstr>z_YIW8LT0190_MO_OS_Otherexpenseincomenet</vt:lpstr>
      <vt:lpstr>z_YIW8LT0190_MO_OS_Otherexpenseincomenet_1</vt:lpstr>
      <vt:lpstr>z_YIW8LT0190_MO_OS_Otheroperatingexpense</vt:lpstr>
      <vt:lpstr>z_YIW8LT0190_MO_OS_Otherrevenue_5</vt:lpstr>
      <vt:lpstr>z_YIW8LT0190_MO_OS_Otherrevenues</vt:lpstr>
      <vt:lpstr>z_YIW8LT0190_MO_OS_Otherrevenues_1</vt:lpstr>
      <vt:lpstr>z_YIW8LT0190_MO_OS_Otherrevenues_2</vt:lpstr>
      <vt:lpstr>z_YIW8LT0190_MO_OS_Otherrevenues_3</vt:lpstr>
      <vt:lpstr>z_YIW8LT0190_MO_OS_Otherrevenuesgrowth</vt:lpstr>
      <vt:lpstr>z_YIW8LT0190_MO_OS_ParksandResortsEBITMargin</vt:lpstr>
      <vt:lpstr>z_YIW8LT0190_MO_OS_ParksandResortsOperatingIncome</vt:lpstr>
      <vt:lpstr>z_YIW8LT0190_MO_OS_ParksandResortsOPEXMargin</vt:lpstr>
      <vt:lpstr>z_YIW8LT0190_MO_OS_ParksandResortsSGAMargin</vt:lpstr>
      <vt:lpstr>z_YIW8LT0190_MO_OS_ParksandResortsTotalRevenues</vt:lpstr>
      <vt:lpstr>z_YIW8LT0190_MO_OS_ParksExperienceandProductsAmericasRevenue</vt:lpstr>
      <vt:lpstr>z_YIW8LT0190_MO_OS_ParksExperienceandProductsAsiaPacificRevenue</vt:lpstr>
      <vt:lpstr>z_YIW8LT0190_MO_OS_ParksExperienceandProductsEuropeRevenue</vt:lpstr>
      <vt:lpstr>z_YIW8LT0190_MO_OS_ParksExperienceandProductsLatinAmericaRevenue</vt:lpstr>
      <vt:lpstr>z_YIW8LT0190_MO_OS_ParksExperienceandProductsUnitedStatesandCanadaRevenue</vt:lpstr>
      <vt:lpstr>z_YIW8LT0190_MO_OS_ParksExperiencesandProductsAmortization</vt:lpstr>
      <vt:lpstr>z_YIW8LT0190_MO_OS_ParksExperiencesandProductsCapex</vt:lpstr>
      <vt:lpstr>z_YIW8LT0190_MO_OS_ParksExperiencesandProductsConsumerProductsOperatingincomemargin</vt:lpstr>
      <vt:lpstr>z_YIW8LT0190_MO_OS_ParksExperiencesandProductsDA</vt:lpstr>
      <vt:lpstr>z_YIW8LT0190_MO_OS_ParksExperiencesandProductsDA_2</vt:lpstr>
      <vt:lpstr>z_YIW8LT0190_MO_OS_ParksExperiencesandProductsDADiscrepancy</vt:lpstr>
      <vt:lpstr>z_YIW8LT0190_MO_OS_ParksExperiencesandProductsDepreciation</vt:lpstr>
      <vt:lpstr>z_YIW8LT0190_MO_OS_ParksExperiencesandProductsDomesticOperatingincomemargin</vt:lpstr>
      <vt:lpstr>z_YIW8LT0190_MO_OS_ParksExperiencesandProductsEquityintheincomeofinvestees</vt:lpstr>
      <vt:lpstr>z_YIW8LT0190_MO_OS_ParksExperiencesandProductsInternationalOperatingincomemargin</vt:lpstr>
      <vt:lpstr>z_YIW8LT0190_MO_OS_ParksExperiencesandProductsMerchandiselicensingandretailrevenue</vt:lpstr>
      <vt:lpstr>z_YIW8LT0190_MO_OS_ParksExperiencesandProductsOperatingexpenses</vt:lpstr>
      <vt:lpstr>z_YIW8LT0190_MO_OS_ParksExperiencesandProductsOperatingexpensesmargin</vt:lpstr>
      <vt:lpstr>z_YIW8LT0190_MO_OS_ParksExperiencesandProductsOperatingIncome</vt:lpstr>
      <vt:lpstr>z_YIW8LT0190_MO_OS_ParksExperiencesandProductsOperatingincome_1</vt:lpstr>
      <vt:lpstr>z_YIW8LT0190_MO_OS_ParksExperiencesandProductsOperatingincome_3</vt:lpstr>
      <vt:lpstr>z_YIW8LT0190_MO_OS_ParksExperiencesandProductsOperatingincomemargin</vt:lpstr>
      <vt:lpstr>z_YIW8LT0190_MO_OS_ParksExperiencesandProductsParksExperiencesmerchandisefoodandbeveragerevenue</vt:lpstr>
      <vt:lpstr>z_YIW8LT0190_MO_OS_ParksExperiencesandProductsParkslicensingandotherrevenue</vt:lpstr>
      <vt:lpstr>z_YIW8LT0190_MO_OS_ParksExperiencesandProductsResortsandVacationsrevenue</vt:lpstr>
      <vt:lpstr>z_YIW8LT0190_MO_OS_ParksExperiencesandProductsSGA</vt:lpstr>
      <vt:lpstr>z_YIW8LT0190_MO_OS_ParksExperiencesandProductsSGAmargin</vt:lpstr>
      <vt:lpstr>z_YIW8LT0190_MO_OS_ParksExperiencesandProductsThemeparkadmissionsrevenue</vt:lpstr>
      <vt:lpstr>z_YIW8LT0190_MO_OS_ParksExperiencesandProductsTotalrevenue</vt:lpstr>
      <vt:lpstr>z_YIW8LT0190_MO_OS_ParksExperiencesandProductsTotalrevenue_1</vt:lpstr>
      <vt:lpstr>z_YIW8LT0190_MO_OS_ParksExperiencesandProductsTotalrevenue_2</vt:lpstr>
      <vt:lpstr>z_YIW8LT0190_MO_OS_ParksExperiencesConsumerProductsAmortizationexpenses</vt:lpstr>
      <vt:lpstr>z_YIW8LT0190_MO_OS_ParksExperiencesConsumerProductsCapitalExpenditures</vt:lpstr>
      <vt:lpstr>z_YIW8LT0190_MO_OS_ParksExperiencesConsumerProductsCumulativeCapitalExpenditures</vt:lpstr>
      <vt:lpstr>z_YIW8LT0190_MO_OS_ParksExperiencesConsumerProductsDepreciationandAmortizationexpenses</vt:lpstr>
      <vt:lpstr>z_YIW8LT0190_MO_OS_ParksExperiencesConsumerProductsDepreciationexpenses</vt:lpstr>
      <vt:lpstr>z_YIW8LT0190_MO_OS_ParksExperiencesConsumerProductsEBITMargin</vt:lpstr>
      <vt:lpstr>z_YIW8LT0190_MO_OS_ParksExperiencesConsumerProductsOperatingIncome</vt:lpstr>
      <vt:lpstr>z_YIW8LT0190_MO_OS_ParksExperiencesConsumerProductsOperatingIncome_1</vt:lpstr>
      <vt:lpstr>z_YIW8LT0190_MO_OS_ParksExperiencesConsumerProductsOperatingIncome_2</vt:lpstr>
      <vt:lpstr>z_YIW8LT0190_MO_OS_ParksExperiencesConsumerProductsOPEXMargin</vt:lpstr>
      <vt:lpstr>z_YIW8LT0190_MO_OS_ParksExperiencesConsumerProductsRevenueGrowth</vt:lpstr>
      <vt:lpstr>z_YIW8LT0190_MO_OS_ParksExperiencesConsumerProductsSGAMargin</vt:lpstr>
      <vt:lpstr>z_YIW8LT0190_MO_OS_ParksExperiencesConsumerProductsTotalRevenues</vt:lpstr>
      <vt:lpstr>z_YIW8LT0190_MO_OS_ParksExperiencesConsumerProductsTotalRevenues_1</vt:lpstr>
      <vt:lpstr>z_YIW8LT0190_MO_OS_ParksExperiencesDomesticoperatingincome</vt:lpstr>
      <vt:lpstr>z_YIW8LT0190_MO_OS_ParksExperiencesDomesticrevenue</vt:lpstr>
      <vt:lpstr>z_YIW8LT0190_MO_OS_ParksExperiencesInternationaloperatingincome</vt:lpstr>
      <vt:lpstr>z_YIW8LT0190_MO_OS_ParksExperiencesInternationalrevenue</vt:lpstr>
      <vt:lpstr>z_YIW8LT0190_MO_OS_ParksExperiencesmerchandisefoodandbeverage</vt:lpstr>
      <vt:lpstr>z_YIW8LT0190_MO_OS_ParksExperiencestotaloperatingincome</vt:lpstr>
      <vt:lpstr>z_YIW8LT0190_MO_OS_ParksExperiencestotalrevenues</vt:lpstr>
      <vt:lpstr>z_YIW8LT0190_MO_OS_Parkslicensingandother</vt:lpstr>
      <vt:lpstr>z_YIW8LT0190_MO_OS_QQDisneyARPUgrowth</vt:lpstr>
      <vt:lpstr>z_YIW8LT0190_MO_OS_QQDisneysubscribergrowth</vt:lpstr>
      <vt:lpstr>z_YIW8LT0190_MO_OS_QQESPNARPUgrowth</vt:lpstr>
      <vt:lpstr>z_YIW8LT0190_MO_OS_QQESPNsubscribergrowth</vt:lpstr>
      <vt:lpstr>z_YIW8LT0190_MO_OS_QQLiveTVSVODARPUgrowth</vt:lpstr>
      <vt:lpstr>z_YIW8LT0190_MO_OS_QQLiveTVSVODsubscribergrowth</vt:lpstr>
      <vt:lpstr>z_YIW8LT0190_MO_OS_QQSVODonlyARPUgrowth</vt:lpstr>
      <vt:lpstr>z_YIW8LT0190_MO_OS_QQSVODonlysubscribergrowth</vt:lpstr>
      <vt:lpstr>z_YIW8LT0190_MO_OS_Receivables</vt:lpstr>
      <vt:lpstr>z_YIW8LT0190_MO_OS_ReceivablesYYChange</vt:lpstr>
      <vt:lpstr>z_YIW8LT0190_MO_OS_Resortandvacations</vt:lpstr>
      <vt:lpstr>z_YIW8LT0190_MO_OS_Resortsandvacations</vt:lpstr>
      <vt:lpstr>z_YIW8LT0190_MO_OS_Restructuringandimpairmentcharges</vt:lpstr>
      <vt:lpstr>z_YIW8LT0190_MO_OS_Restructuringandimpairmentcharges_1</vt:lpstr>
      <vt:lpstr>z_YIW8LT0190_MO_OS_Restructuringandimpairmentcharges_2</vt:lpstr>
      <vt:lpstr>z_YIW8LT0190_MO_OS_Restructuringandimpairmentcharges_3</vt:lpstr>
      <vt:lpstr>z_YIW8LT0190_MO_OS_Restructuringandimpairmentcharges_4</vt:lpstr>
      <vt:lpstr>z_YIW8LT0190_MO_OS_Retailandotherrevenues</vt:lpstr>
      <vt:lpstr>z_YIW8LT0190_MO_OS_Retailandwholesalesalesofmerchandisefoodandbeverage</vt:lpstr>
      <vt:lpstr>z_YIW8LT0190_MO_OS_SegmentCOGS</vt:lpstr>
      <vt:lpstr>z_YIW8LT0190_MO_OS_SegmentDA</vt:lpstr>
      <vt:lpstr>z_YIW8LT0190_MO_OS_SegmentEquityInvestment</vt:lpstr>
      <vt:lpstr>z_YIW8LT0190_MO_OS_SegmentOperatingIncome</vt:lpstr>
      <vt:lpstr>z_YIW8LT0190_MO_OS_SegmentOperatingIncome_1</vt:lpstr>
      <vt:lpstr>z_YIW8LT0190_MO_OS_SegmentSGA</vt:lpstr>
      <vt:lpstr>z_YIW8LT0190_MO_OS_Sellinggeneraladministrativeandotherexpenses</vt:lpstr>
      <vt:lpstr>z_YIW8LT0190_MO_OS_Sellinggeneraladministrativeandotherexpenses_1</vt:lpstr>
      <vt:lpstr>z_YIW8LT0190_MO_OS_Sellinggeneraladministrativeandotherexpenses_2</vt:lpstr>
      <vt:lpstr>z_YIW8LT0190_MO_OS_Sellinggeneraladministrativeandotherexpenses_3</vt:lpstr>
      <vt:lpstr>z_YIW8LT0190_MO_OS_Sellinggeneraladministrativeandotherexpenses_4</vt:lpstr>
      <vt:lpstr>z_YIW8LT0190_MO_OS_Sellinggeneraladministrativeandotherexpenses_5</vt:lpstr>
      <vt:lpstr>z_YIW8LT0190_MO_OS_Sellinggeneraladministrativeandotherexpenses_6</vt:lpstr>
      <vt:lpstr>z_YIW8LT0190_MO_OS_Sellinggeneraladministrativeandotherexpenses_7</vt:lpstr>
      <vt:lpstr>z_YIW8LT0190_MO_OS_StudioEntertainmentAmortizationexpenses</vt:lpstr>
      <vt:lpstr>z_YIW8LT0190_MO_OS_StudioEntertainmentCAPEX</vt:lpstr>
      <vt:lpstr>z_YIW8LT0190_MO_OS_StudioEntertainmentcontenttransactionswithDTCI</vt:lpstr>
      <vt:lpstr>z_YIW8LT0190_MO_OS_StudioEntertainmentcontenttransactionswithDTCI_1</vt:lpstr>
      <vt:lpstr>z_YIW8LT0190_MO_OS_StudioEntertainmentcontenttransactionswithMediaNetworks</vt:lpstr>
      <vt:lpstr>z_YIW8LT0190_MO_OS_StudioEntertainmentcontenttransactionswithMediaNetworks_1</vt:lpstr>
      <vt:lpstr>z_YIW8LT0190_MO_OS_StudioEntertainmentcumulativeCAPEX</vt:lpstr>
      <vt:lpstr>z_YIW8LT0190_MO_OS_StudioEntertainmentCumulativeTotalCapitalExpenditures</vt:lpstr>
      <vt:lpstr>z_YIW8LT0190_MO_OS_StudioEntertainmentDepreciationandAmortizationexpenses</vt:lpstr>
      <vt:lpstr>z_YIW8LT0190_MO_OS_StudioEntertainmentDepreciationexpenses</vt:lpstr>
      <vt:lpstr>z_YIW8LT0190_MO_OS_StudioEntertainmentEBITMargin</vt:lpstr>
      <vt:lpstr>z_YIW8LT0190_MO_OS_StudioEntertainmentEBITMargin_1</vt:lpstr>
      <vt:lpstr>z_YIW8LT0190_MO_OS_StudioEntertainmentOperatingIncome</vt:lpstr>
      <vt:lpstr>z_YIW8LT0190_MO_OS_StudioEntertainmentOperatingIncome_1</vt:lpstr>
      <vt:lpstr>z_YIW8LT0190_MO_OS_StudioEntertainmentOperatingIncome_2</vt:lpstr>
      <vt:lpstr>z_YIW8LT0190_MO_OS_StudioEntertainmentOPEXMargin</vt:lpstr>
      <vt:lpstr>z_YIW8LT0190_MO_OS_StudioEntertainmentOPEXMargin_1</vt:lpstr>
      <vt:lpstr>z_YIW8LT0190_MO_OS_studioentertainmentrevenuegrowth</vt:lpstr>
      <vt:lpstr>z_YIW8LT0190_MO_OS_StudioEntertainmentRevenueGrowth_1</vt:lpstr>
      <vt:lpstr>z_YIW8LT0190_MO_OS_StudioEntertainmentsAmericasRevenue</vt:lpstr>
      <vt:lpstr>z_YIW8LT0190_MO_OS_StudioEntertainmentsAsiaPacificRevenue</vt:lpstr>
      <vt:lpstr>z_YIW8LT0190_MO_OS_StudioEntertainmentsEuropeRevenue</vt:lpstr>
      <vt:lpstr>z_YIW8LT0190_MO_OS_StudioEntertainmentSGAMargin</vt:lpstr>
      <vt:lpstr>z_YIW8LT0190_MO_OS_StudioEntertainmentSGAMargin_1</vt:lpstr>
      <vt:lpstr>z_YIW8LT0190_MO_OS_StudioEntertainmentsLatinAmericaRevenue</vt:lpstr>
      <vt:lpstr>z_YIW8LT0190_MO_OS_StudioEntertainmentsUnitedStatesandCanadaRevenue</vt:lpstr>
      <vt:lpstr>z_YIW8LT0190_MO_OS_StudioEntertainmentTotalCapitalExpenditures</vt:lpstr>
      <vt:lpstr>z_YIW8LT0190_MO_OS_StudioEntertainmentTotalRevenues</vt:lpstr>
      <vt:lpstr>z_YIW8LT0190_MO_OS_StudioEntertainmentTotalRevenues_1</vt:lpstr>
      <vt:lpstr>z_YIW8LT0190_MO_OS_Subscriptionfee_1</vt:lpstr>
      <vt:lpstr>z_YIW8LT0190_MO_OS_Subscriptionfeesandotherrevenues</vt:lpstr>
      <vt:lpstr>z_YIW8LT0190_MO_OS_Theatricaldistributionlicensing</vt:lpstr>
      <vt:lpstr>z_YIW8LT0190_MO_OS_Theatricaldistributionlicensing_1</vt:lpstr>
      <vt:lpstr>z_YIW8LT0190_MO_OS_Theatricaldistributionrevenues</vt:lpstr>
      <vt:lpstr>z_YIW8LT0190_MO_OS_Theatricaldistributionrevenues_1</vt:lpstr>
      <vt:lpstr>z_YIW8LT0190_MO_OS_Theatricaldistributionrevenuesgrowth</vt:lpstr>
      <vt:lpstr>z_YIW8LT0190_MO_OS_Themeparkadmissions</vt:lpstr>
      <vt:lpstr>z_YIW8LT0190_MO_OS_Themeparkadmissions_1</vt:lpstr>
      <vt:lpstr>z_YIW8LT0190_MO_OS_TotalDirecttoConsumerInternationalGeographicRevenue</vt:lpstr>
      <vt:lpstr>z_YIW8LT0190_MO_OS_TotalDTCrevenuecalculated</vt:lpstr>
      <vt:lpstr>z_YIW8LT0190_MO_OS_TotalDTCrevenuereported</vt:lpstr>
      <vt:lpstr>z_YIW8LT0190_MO_OS_TotalEliminationsGeographicRevenue</vt:lpstr>
      <vt:lpstr>z_YIW8LT0190_MO_OS_TotalHulurevenue</vt:lpstr>
      <vt:lpstr>z_YIW8LT0190_MO_OS_TotalHuluSubscribers</vt:lpstr>
      <vt:lpstr>z_YIW8LT0190_MO_OS_TotalIncreaseDecreaseinParksAttendance</vt:lpstr>
      <vt:lpstr>z_YIW8LT0190_MO_OS_TotalIncreaseDecreaseinParksPerCapitaGuestSpending</vt:lpstr>
      <vt:lpstr>z_YIW8LT0190_MO_OS_TotalIntersegmentContentTransactionOperatingIncome</vt:lpstr>
      <vt:lpstr>z_YIW8LT0190_MO_OS_TotalIntersegmentContentTransactionOperatingIncome_1</vt:lpstr>
      <vt:lpstr>z_YIW8LT0190_MO_OS_TotalIntersegmentContentTransactionRevenues</vt:lpstr>
      <vt:lpstr>z_YIW8LT0190_MO_OS_TotalIntersegmentContentTransactionRevenuesbysource</vt:lpstr>
      <vt:lpstr>z_YIW8LT0190_MO_OS_TotalMediaNetworksGeographicRevenue</vt:lpstr>
      <vt:lpstr>z_YIW8LT0190_MO_OS_Totaloperatingexpenses</vt:lpstr>
      <vt:lpstr>z_YIW8LT0190_MO_OS_TotalParksandResortsCAPEX</vt:lpstr>
      <vt:lpstr>z_YIW8LT0190_MO_OS_TotalParksandResortscumulativeCAPEX</vt:lpstr>
      <vt:lpstr>z_YIW8LT0190_MO_OS_totalparksandresortsrevenuegrowth</vt:lpstr>
      <vt:lpstr>z_YIW8LT0190_MO_OS_TotalParksExperienceandProductsGeographicRevenue</vt:lpstr>
      <vt:lpstr>z_YIW8LT0190_MO_OS_TotalResortsAvailableRoomNights</vt:lpstr>
      <vt:lpstr>z_YIW8LT0190_MO_OS_TotalResortsOccupancy</vt:lpstr>
      <vt:lpstr>z_YIW8LT0190_MO_OS_TotalResortsPerRoomGuestSpending</vt:lpstr>
      <vt:lpstr>z_YIW8LT0190_MO_OS_totalrevenue_1</vt:lpstr>
      <vt:lpstr>z_YIW8LT0190_MO_OS_TotalRevenue_2</vt:lpstr>
      <vt:lpstr>z_YIW8LT0190_MO_OS_Totalrevenue_3</vt:lpstr>
      <vt:lpstr>z_YIW8LT0190_MO_OS_TotalRevenueGrowth</vt:lpstr>
      <vt:lpstr>z_YIW8LT0190_MO_OS_TotalStudioEntertainmentGeographicRevenue</vt:lpstr>
      <vt:lpstr>z_YIW8LT0190_MO_OS_TVSVODdistributionandotherrevenues</vt:lpstr>
      <vt:lpstr>z_YIW8LT0190_MO_OS_TVSVODdistributionandotherrevenues_1</vt:lpstr>
      <vt:lpstr>z_YIW8LT0190_MO_OS_TVSVODdistributionandotherrevenues_2</vt:lpstr>
      <vt:lpstr>z_YIW8LT0190_MO_OS_TVSVODdistributionandotherrevenues_3</vt:lpstr>
      <vt:lpstr>z_YIW8LT0190_MO_OS_TVSVODdistributionandotherrevenuesgrowth</vt:lpstr>
      <vt:lpstr>z_YIW8LT0190_MO_OS_TVSVODdistributionlicensing_1</vt:lpstr>
      <vt:lpstr>z_YIW8LT0190_MO_OS_TVSVODdistributionlicensing_2</vt:lpstr>
      <vt:lpstr>z_YIW8LT0190_MO_OS_TVSVODdistributionlicensingelimination</vt:lpstr>
      <vt:lpstr>z_YIW8LT0190_MO_OS_TVSVODdistributionlicensingrevenues</vt:lpstr>
      <vt:lpstr>z_YIW8LT0190_MO_OS_unitedstatesandcanadarevenue</vt:lpstr>
      <vt:lpstr>z_YIW8LT0190_MO_OS_Vicegain</vt:lpstr>
      <vt:lpstr>z_YIW8LT0190_MO_OS_YYDisneyARPUgrowth</vt:lpstr>
      <vt:lpstr>z_YIW8LT0190_MO_OS_YYDisneysubscribergrowth</vt:lpstr>
      <vt:lpstr>z_YIW8LT0190_MO_OS_YYESPNARPUgrowth</vt:lpstr>
      <vt:lpstr>z_YIW8LT0190_MO_OS_YYESPNsubscribergrowth</vt:lpstr>
      <vt:lpstr>z_YIW8LT0190_MO_OS_YYLiveTVSVODARPUgrowth</vt:lpstr>
      <vt:lpstr>z_YIW8LT0190_MO_OS_YYLiveTVSVODsubscribergrowth</vt:lpstr>
      <vt:lpstr>z_YIW8LT0190_MO_OS_YYLiveTVSVODsubscribergrowth_1</vt:lpstr>
      <vt:lpstr>z_YIW8LT0190_MO_OS_YYSVODonlyARPUgrowth</vt:lpstr>
      <vt:lpstr>z_YIW8LT0190_MO_OS_YYSVODonlysubscribergrowth</vt:lpstr>
      <vt:lpstr>z_YIW8LT0190_MO_RIS_AdjustedEarningsPerShareWAD</vt:lpstr>
      <vt:lpstr>z_YIW8LT0190_MO_RIS_AdjustedEBITDANoAdjustments</vt:lpstr>
      <vt:lpstr>z_YIW8LT0190_MO_RIS_AdjustedNetIncome</vt:lpstr>
      <vt:lpstr>z_YIW8LT0190_MO_RIS_AdjustedSharesOutstandingWAD</vt:lpstr>
      <vt:lpstr>z_YIW8LT0190_MO_RIS_AdjustmentsforConvertibleSecurities</vt:lpstr>
      <vt:lpstr>z_YIW8LT0190_MO_RIS_Amortizationofintangible</vt:lpstr>
      <vt:lpstr>z_YIW8LT0190_MO_RIS_COGS</vt:lpstr>
      <vt:lpstr>z_YIW8LT0190_MO_RIS_consensusestimatesadjustedearningspersharewad</vt:lpstr>
      <vt:lpstr>z_YIW8LT0190_MO_RIS_consensusestimatesadjustedebitda</vt:lpstr>
      <vt:lpstr>z_YIW8LT0190_MO_RIS_consensusestimatesnetrevenue</vt:lpstr>
      <vt:lpstr>z_YIW8LT0190_MO_RIS_Currenttax</vt:lpstr>
      <vt:lpstr>z_YIW8LT0190_MO_RIS_Currenttaxrate</vt:lpstr>
      <vt:lpstr>z_YIW8LT0190_MO_RIS_DA</vt:lpstr>
      <vt:lpstr>z_YIW8LT0190_MO_RIS_Deferredtax</vt:lpstr>
      <vt:lpstr>z_YIW8LT0190_MO_RIS_Deferredtaxrate</vt:lpstr>
      <vt:lpstr>z_YIW8LT0190_MO_RIS_DilutedNetIncometoCommonShareholders</vt:lpstr>
      <vt:lpstr>z_YIW8LT0190_MO_RIS_DiscontinuedOperations</vt:lpstr>
      <vt:lpstr>z_YIW8LT0190_MO_RIS_EarningsfromEquityInvestments</vt:lpstr>
      <vt:lpstr>z_YIW8LT0190_MO_RIS_EarningsPerShareWAB</vt:lpstr>
      <vt:lpstr>z_YIW8LT0190_MO_RIS_EarningsPerShareWAD</vt:lpstr>
      <vt:lpstr>z_YIW8LT0190_MO_RIS_EarningstoPreferredandOtherSecurities</vt:lpstr>
      <vt:lpstr>z_YIW8LT0190_MO_RIS_EBIT</vt:lpstr>
      <vt:lpstr>z_YIW8LT0190_MO_RIS_EBITDA</vt:lpstr>
      <vt:lpstr>z_YIW8LT0190_MO_RIS_EBT</vt:lpstr>
      <vt:lpstr>z_YIW8LT0190_MO_RIS_GrossProfit</vt:lpstr>
      <vt:lpstr>z_YIW8LT0190_MO_RIS_Interestexpense</vt:lpstr>
      <vt:lpstr>z_YIW8LT0190_MO_RIS_NetIncomefromContinuedOperation</vt:lpstr>
      <vt:lpstr>z_YIW8LT0190_MO_RIS_NetIncometoCommonShareholders</vt:lpstr>
      <vt:lpstr>z_YIW8LT0190_MO_RIS_NetIncometoNCI</vt:lpstr>
      <vt:lpstr>z_YIW8LT0190_MO_RIS_NetRevenue</vt:lpstr>
      <vt:lpstr>z_YIW8LT0190_MO_RIS_NonGAAPAdjustments</vt:lpstr>
      <vt:lpstr>z_YIW8LT0190_MO_RIS_NonGAAPAdjustmentsforDilutiveSecurities</vt:lpstr>
      <vt:lpstr>z_YIW8LT0190_MO_RIS_Onetimeitem</vt:lpstr>
      <vt:lpstr>z_YIW8LT0190_MO_RIS_Otheritems</vt:lpstr>
      <vt:lpstr>z_YIW8LT0190_MO_RIS_SBC</vt:lpstr>
      <vt:lpstr>z_YIW8LT0190_MO_RIS_SGAadjforSBC</vt:lpstr>
      <vt:lpstr>z_YIW8LT0190_MO_RIS_SharesOutstandingWAB</vt:lpstr>
      <vt:lpstr>z_YIW8LT0190_MO_RIS_SharesOutstandingWAD</vt:lpstr>
      <vt:lpstr>z_YIW8LT0190_MO_Section_AN_AdjustedNumbers</vt:lpstr>
      <vt:lpstr>z_YIW8LT0190_MO_Section_BS_BalanceSheet</vt:lpstr>
      <vt:lpstr>z_YIW8LT0190_MO_Section_BS_ModelChecks</vt:lpstr>
      <vt:lpstr>z_YIW8LT0190_MO_Section_BSS_BalanceSheetSummary</vt:lpstr>
      <vt:lpstr>z_YIW8LT0190_MO_Section_CCFS_CumulativeCashFlowStatement</vt:lpstr>
      <vt:lpstr>z_YIW8LT0190_MO_Section_CFS_CashFlowStatement</vt:lpstr>
      <vt:lpstr>z_YIW8LT0190_MO_Section_CFSum_CashFlowSummary</vt:lpstr>
      <vt:lpstr>z_YIW8LT0190_MO_Section_DAF_DAForecasting</vt:lpstr>
      <vt:lpstr>z_YIW8LT0190_MO_Section_GA_GrowthAnalysis</vt:lpstr>
      <vt:lpstr>z_YIW8LT0190_MO_Section_IS_IncomeStatement</vt:lpstr>
      <vt:lpstr>z_YIW8LT0190_MO_Section_MA_MarginAnalysis</vt:lpstr>
      <vt:lpstr>z_YIW8LT0190_MO_Section_OS_FinancialSummaryOperatingIncome</vt:lpstr>
      <vt:lpstr>z_YIW8LT0190_MO_Section_OS_HistoricalSegmentedResultsPriorQ12021SegmentReorganization</vt:lpstr>
      <vt:lpstr>z_YIW8LT0190_MO_Section_OS_KeyMetricsDirecttoConsumerInternationalSupplementalRevenueandSegmentOperatingIncomeMDA</vt:lpstr>
      <vt:lpstr>z_YIW8LT0190_MO_Section_OS_KeyMetricsDirecttoConsumerOperatingStatsFS</vt:lpstr>
      <vt:lpstr>z_YIW8LT0190_MO_Section_OS_KeyMetricsMediaNetworksSupplementalRevenueandSegmentOperatingIncomeMDA</vt:lpstr>
      <vt:lpstr>z_YIW8LT0190_MO_Section_OS_KeyMetricsParks_1</vt:lpstr>
      <vt:lpstr>z_YIW8LT0190_MO_Section_OS_KeyMetricsParksandResortsStatisticsMDA</vt:lpstr>
      <vt:lpstr>z_YIW8LT0190_MO_Section_OS_KeyMetricsParksandResortsStatisticsMDA_1</vt:lpstr>
      <vt:lpstr>z_YIW8LT0190_MO_Section_OS_KeyMetricsParksExperiencesConsumerProductsRevenuebyRegionFS</vt:lpstr>
      <vt:lpstr>z_YIW8LT0190_MO_Section_OS_KeyMetricsParksExperiencesConsumerProductsSegmentOperatingIncomeMDA</vt:lpstr>
      <vt:lpstr>z_YIW8LT0190_MO_Section_OS_KeyMetricsStudioEntertainmentMDA</vt:lpstr>
      <vt:lpstr>z_YIW8LT0190_MO_Section_OS_KeyMetricsSupplementalRevenueandSegmentOperatingIncomeMDA</vt:lpstr>
      <vt:lpstr>z_YIW8LT0190_MO_Section_OS_SegmentedResultsConsumerProductsInteractiveMediaMDA</vt:lpstr>
      <vt:lpstr>z_YIW8LT0190_MO_Section_OS_SegmentedResultsCorporateandUnallocatedSharedExpensesMDA</vt:lpstr>
      <vt:lpstr>z_YIW8LT0190_MO_Section_OS_SegmentedResultsCorporateandUnallocatedSharedExpensesMDA_1</vt:lpstr>
      <vt:lpstr>z_YIW8LT0190_MO_Section_OS_SegmentedResultsDirecttoConsumerInternationalMDA</vt:lpstr>
      <vt:lpstr>z_YIW8LT0190_MO_Section_OS_SegmentedResultsEliminationsMDA</vt:lpstr>
      <vt:lpstr>z_YIW8LT0190_MO_Section_OS_SegmentedResultsGeographicBreakdownFS</vt:lpstr>
      <vt:lpstr>z_YIW8LT0190_MO_Section_OS_SegmentedResultsMediaandEntertainmentDistributionFS</vt:lpstr>
      <vt:lpstr>z_YIW8LT0190_MO_Section_OS_SegmentedResultsMediaNetworksMDA</vt:lpstr>
      <vt:lpstr>z_YIW8LT0190_MO_Section_OS_SegmentedResultsMediaNetworksMDA_1</vt:lpstr>
      <vt:lpstr>z_YIW8LT0190_MO_Section_OS_SegmentedResultsParks_1</vt:lpstr>
      <vt:lpstr>z_YIW8LT0190_MO_Section_OS_SegmentedResultsParksandResortsMDA</vt:lpstr>
      <vt:lpstr>z_YIW8LT0190_MO_Section_OS_SegmentedResultsParksExperiencesandProductsFS</vt:lpstr>
      <vt:lpstr>z_YIW8LT0190_MO_Section_OS_SegmentedResultsStudioEntertainmentMDA</vt:lpstr>
      <vt:lpstr>z_YIW8LT0190_MO_Section_OS_SegmentedResultsStudioEntertainmentMDA_1</vt:lpstr>
      <vt:lpstr>z_YIW8LT0190_MO_Section_OS_SegmentedResultsTwentyFirstCenturyFoxMDA</vt:lpstr>
      <vt:lpstr>z_YIW8LT0190_MO_Section_OS_WorkingCapitalForecasting</vt:lpstr>
      <vt:lpstr>z_YIW8LT0190_MO_Section_RIS_RevisedIncomeStatement</vt:lpstr>
      <vt:lpstr>z_YIW8LT0190_MO_Section_SNA_Canalyst</vt:lpstr>
      <vt:lpstr>z_YIW8LT0190_MO_Section_TB_Tables</vt:lpstr>
      <vt:lpstr>z_YIW8LT0190_MO_Section_VA_Valuation</vt:lpstr>
      <vt:lpstr>z_YIW8LT0190_MO_Unstructured_SNA_AdjustedEarningsPerShareWAD</vt:lpstr>
      <vt:lpstr>z_YIW8LT0190_MO_Unstructured_SNA_AdjustedEBITDA</vt:lpstr>
      <vt:lpstr>z_YIW8LT0190_MO_Unstructured_SNA_Avg</vt:lpstr>
      <vt:lpstr>z_YIW8LT0190_MO_Unstructured_SNA_Bloomberg</vt:lpstr>
      <vt:lpstr>z_YIW8LT0190_MO_Unstructured_SNA_Bloomberg_1</vt:lpstr>
      <vt:lpstr>z_YIW8LT0190_MO_Unstructured_SNA_Bloomberg_2</vt:lpstr>
      <vt:lpstr>z_YIW8LT0190_MO_Unstructured_SNA_Bloomberg_3</vt:lpstr>
      <vt:lpstr>z_YIW8LT0190_MO_Unstructured_SNA_CapitalIQ</vt:lpstr>
      <vt:lpstr>z_YIW8LT0190_MO_Unstructured_SNA_CapitalIQ_1</vt:lpstr>
      <vt:lpstr>z_YIW8LT0190_MO_Unstructured_SNA_CapitalIQ_2</vt:lpstr>
      <vt:lpstr>z_YIW8LT0190_MO_Unstructured_SNA_CapitalIQ_3</vt:lpstr>
      <vt:lpstr>z_YIW8LT0190_MO_Unstructured_SNA_ConsensusEstimatesAdjustedEarningsPerShareWAD</vt:lpstr>
      <vt:lpstr>z_YIW8LT0190_MO_Unstructured_SNA_ConsensusEstimatesAdjustedEBITDA</vt:lpstr>
      <vt:lpstr>z_YIW8LT0190_MO_Unstructured_SNA_ConsensusEstimatesCapex</vt:lpstr>
      <vt:lpstr>z_YIW8LT0190_MO_Unstructured_SNA_ConsensusEstimatesCashFlowPerDilutedShare</vt:lpstr>
      <vt:lpstr>z_YIW8LT0190_MO_Unstructured_SNA_ConsensusEstimatesGrossMargin</vt:lpstr>
      <vt:lpstr>z_YIW8LT0190_MO_Unstructured_SNA_ConsensusEstimatesNetRevenue</vt:lpstr>
      <vt:lpstr>z_YIW8LT0190_MO_Unstructured_SNA_ConsensusEstimateTable</vt:lpstr>
      <vt:lpstr>z_YIW8LT0190_MO_Unstructured_SNA_CurrentFiscalYear</vt:lpstr>
      <vt:lpstr>z_YIW8LT0190_MO_Unstructured_SNA_DataSourceIndex</vt:lpstr>
      <vt:lpstr>z_YIW8LT0190_MO_Unstructured_SNA_DISN</vt:lpstr>
      <vt:lpstr>z_YIW8LT0190_MO_Unstructured_SNA_DISUS</vt:lpstr>
      <vt:lpstr>z_YIW8LT0190_MO_Unstructured_SNA_DISUS_1</vt:lpstr>
      <vt:lpstr>z_YIW8LT0190_MO_Unstructured_SNA_EVEBITDAAvg</vt:lpstr>
      <vt:lpstr>z_YIW8LT0190_MO_Unstructured_SNA_FactSet</vt:lpstr>
      <vt:lpstr>z_YIW8LT0190_MO_Unstructured_SNA_FactSet_1</vt:lpstr>
      <vt:lpstr>z_YIW8LT0190_MO_Unstructured_SNA_FactSet_2</vt:lpstr>
      <vt:lpstr>z_YIW8LT0190_MO_Unstructured_SNA_FactSet_3</vt:lpstr>
      <vt:lpstr>z_YIW8LT0190_MO_Unstructured_SNA_FirstForecastFiscalYear</vt:lpstr>
      <vt:lpstr>z_YIW8LT0190_MO_Unstructured_SNA_FiscalPeriodStartDate</vt:lpstr>
      <vt:lpstr>z_YIW8LT0190_MO_Unstructured_SNA_FXAverageRealTimeOffSource</vt:lpstr>
      <vt:lpstr>z_YIW8LT0190_MO_Unstructured_SNA_FYorFQ</vt:lpstr>
      <vt:lpstr>z_YIW8LT0190_MO_Unstructured_SNA_GeneralTable</vt:lpstr>
      <vt:lpstr>z_YIW8LT0190_MO_Unstructured_SNA_High</vt:lpstr>
      <vt:lpstr>z_YIW8LT0190_MO_Unstructured_SNA_IsHistoricalPeriod</vt:lpstr>
      <vt:lpstr>z_YIW8LT0190_MO_Unstructured_SNA_KeyOutputs</vt:lpstr>
      <vt:lpstr>z_YIW8LT0190_MO_Unstructured_SNA_LastPrice</vt:lpstr>
      <vt:lpstr>z_YIW8LT0190_MO_Unstructured_SNA_LastPriceDate</vt:lpstr>
      <vt:lpstr>z_YIW8LT0190_MO_Unstructured_SNA_LastPriceFormula</vt:lpstr>
      <vt:lpstr>z_YIW8LT0190_MO_Unstructured_SNA_Low</vt:lpstr>
      <vt:lpstr>z_YIW8LT0190_MO_Unstructured_SNA_ModelSheetCurrencyHardcoded</vt:lpstr>
      <vt:lpstr>z_YIW8LT0190_MO_Unstructured_SNA_MostRecentFiscalPeriodMRFP</vt:lpstr>
      <vt:lpstr>z_YIW8LT0190_MO_Unstructured_SNA_MostRecentFX</vt:lpstr>
      <vt:lpstr>z_YIW8LT0190_MO_Unstructured_SNA_MostRecentFXHardcoded</vt:lpstr>
      <vt:lpstr>z_YIW8LT0190_MO_Unstructured_SNA_MRFPColumnNumber</vt:lpstr>
      <vt:lpstr>z_YIW8LT0190_MO_Unstructured_SNA_NetRevenue</vt:lpstr>
      <vt:lpstr>z_YIW8LT0190_MO_Unstructured_SNA_NYSEDIS</vt:lpstr>
      <vt:lpstr>z_YIW8LT0190_MO_Unstructured_SNA_PEAvg</vt:lpstr>
      <vt:lpstr>z_YIW8LT0190_MO_Unstructured_SNA_Period</vt:lpstr>
      <vt:lpstr>z_YIW8LT0190_MO_Unstructured_SNA_RealTimeOffSource</vt:lpstr>
      <vt:lpstr>z_YIW8LT0190_MO_Unstructured_SNA_RealTimeOffSource_1</vt:lpstr>
      <vt:lpstr>z_YIW8LT0190_MO_Unstructured_SNA_RealTimeOffSource_2</vt:lpstr>
      <vt:lpstr>z_YIW8LT0190_MO_Unstructured_SNA_RealTimeOffSource_3</vt:lpstr>
      <vt:lpstr>z_YIW8LT0190_MO_Unstructured_SNA_RealTimeStockPrice</vt:lpstr>
      <vt:lpstr>z_YIW8LT0190_MO_Unstructured_SNA_Refinitiv</vt:lpstr>
      <vt:lpstr>z_YIW8LT0190_MO_Unstructured_SNA_Refinitiv_1</vt:lpstr>
      <vt:lpstr>z_YIW8LT0190_MO_Unstructured_SNA_Refinitiv_2</vt:lpstr>
      <vt:lpstr>z_YIW8LT0190_MO_Unstructured_SNA_Refinitiv_3</vt:lpstr>
      <vt:lpstr>z_YIW8LT0190_MO_Unstructured_SNA_StockAverageRealTimeOffSource</vt:lpstr>
      <vt:lpstr>z_YIW8LT0190_MO_Unstructured_SNA_StockHighRealTimeOffSource</vt:lpstr>
      <vt:lpstr>z_YIW8LT0190_MO_Unstructured_SNA_StockLowRealTimeOffSource</vt:lpstr>
      <vt:lpstr>z_YIW8LT0190_MO_Unstructured_SNA_StockPriceTable</vt:lpstr>
      <vt:lpstr>z_YIW8LT0190_MO_Unstructured_SNA_TickerSymbol</vt:lpstr>
      <vt:lpstr>z_YIW8LT0190_MO_Unstructured_SNA_TradeCurrency</vt:lpstr>
      <vt:lpstr>z_YIW8LT0190_MO_Unstructured_SNA_TradeCurrencyHardcoded</vt:lpstr>
      <vt:lpstr>z_YIW8LT0190_MO_Unstructured_SNA_ValuationToggleTable</vt:lpstr>
      <vt:lpstr>z_YIW8LT0190_MO_VA_EnterpriseValueAverage</vt:lpstr>
      <vt:lpstr>z_YIW8LT0190_MO_VA_enterprisevaluecomponents</vt:lpstr>
      <vt:lpstr>z_YIW8LT0190_MO_VA_EVEBITDAAverage</vt:lpstr>
      <vt:lpstr>z_YIW8LT0190_MO_VA_FCFYieldtoAverageEnterpriseValue</vt:lpstr>
      <vt:lpstr>z_YIW8LT0190_MO_VA_FCFYieldtoAverageMarketCap</vt:lpstr>
      <vt:lpstr>z_YIW8LT0190_MO_VA_MarketCapAverage</vt:lpstr>
      <vt:lpstr>z_YIW8LT0190_MO_VA_NoncontrollingInterest</vt:lpstr>
      <vt:lpstr>z_YIW8LT0190_MO_VA_OtherEVComponents</vt:lpstr>
      <vt:lpstr>z_YIW8LT0190_MO_VA_PCFAverage</vt:lpstr>
      <vt:lpstr>z_YIW8LT0190_MO_VA_PEAverage</vt:lpstr>
      <vt:lpstr>z_YIW8LT0190_MO_VA_PreferredShares</vt:lpstr>
      <vt:lpstr>z_YIW8LT0190_MO_VA_StockAvg</vt:lpstr>
      <vt:lpstr>z_YIW8LT0190_MO_VA_StockHigh</vt:lpstr>
      <vt:lpstr>z_YIW8LT0190_MO_VA_StockLow</vt:lpstr>
      <vt:lpstr>z_YIW8LT0190_MO_VA_StockPriceAverage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Canalyst</dc:creator>
  <cp:keywords/>
  <dc:description/>
  <cp:lastModifiedBy>Canalyst (HS)</cp:lastModifiedBy>
  <cp:lastPrinted>2016-04-29T05:43:54Z</cp:lastPrinted>
  <dcterms:created xsi:type="dcterms:W3CDTF">2016-04-22T21:21:10Z</dcterms:created>
  <dcterms:modified xsi:type="dcterms:W3CDTF">2021-10-25T23:34:46Z</dcterms:modified>
  <cp:category/>
</cp:coreProperties>
</file>