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Steve S\Desktop\WB\_Trainer\"/>
    </mc:Choice>
  </mc:AlternateContent>
  <xr:revisionPtr revIDLastSave="0" documentId="13_ncr:1_{E232375B-7631-496E-94B2-57E5E1D82CC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s 228-232" sheetId="1" r:id="rId1"/>
    <sheet name="Page 233" sheetId="2" r:id="rId2"/>
    <sheet name="Page 235" sheetId="3" r:id="rId3"/>
    <sheet name="Page 236" sheetId="6" r:id="rId4"/>
    <sheet name="Page 237" sheetId="7" r:id="rId5"/>
    <sheet name="Page 241" sheetId="9" r:id="rId6"/>
    <sheet name="Page 241-244" sheetId="10" r:id="rId7"/>
  </sheets>
  <definedNames>
    <definedName name="means" localSheetId="3">'Page 236'!$F$3:$F$6</definedName>
    <definedName name="means" localSheetId="4">'Page 237'!$F$3:$F$6</definedName>
    <definedName name="means">'Page 235'!$F$3:$F$6</definedName>
    <definedName name="portfoliox" localSheetId="4">'Page 237'!$B$11:$B$14</definedName>
    <definedName name="portfoliox">'Page 236'!$B$11:$B$14</definedName>
    <definedName name="portfolioy" localSheetId="4">'Page 237'!$C$11:$C$14</definedName>
    <definedName name="portfolioy">'Page 236'!$C$11:$C$14</definedName>
    <definedName name="portfolioz" localSheetId="4">'Page 237'!$D$11:$D$14</definedName>
    <definedName name="portfolioz">'Page 236'!$D$11:$D$14</definedName>
    <definedName name="portx">'Page 235'!$A$11:$A$14</definedName>
    <definedName name="solver_adj" localSheetId="5" hidden="1">'Page 241'!#REF!</definedName>
    <definedName name="solver_cvg" localSheetId="5" hidden="1">0.0001</definedName>
    <definedName name="solver_drv" localSheetId="5" hidden="1">1</definedName>
    <definedName name="solver_est" localSheetId="5" hidden="1">1</definedName>
    <definedName name="solver_itr" localSheetId="5" hidden="1">100</definedName>
    <definedName name="solver_lin" localSheetId="5" hidden="1">2</definedName>
    <definedName name="solver_neg" localSheetId="5" hidden="1">2</definedName>
    <definedName name="solver_num" localSheetId="5" hidden="1">0</definedName>
    <definedName name="solver_nwt" localSheetId="5" hidden="1">1</definedName>
    <definedName name="solver_opt" localSheetId="5" hidden="1">'Page 241'!#REF!</definedName>
    <definedName name="solver_pre" localSheetId="5" hidden="1">0.000001</definedName>
    <definedName name="solver_scl" localSheetId="5" hidden="1">2</definedName>
    <definedName name="solver_sho" localSheetId="5" hidden="1">2</definedName>
    <definedName name="solver_tim" localSheetId="5" hidden="1">100</definedName>
    <definedName name="solver_tol" localSheetId="5" hidden="1">0.05</definedName>
    <definedName name="solver_typ" localSheetId="5" hidden="1">2</definedName>
    <definedName name="solver_val" localSheetId="5" hidden="1">0</definedName>
    <definedName name="varcov" localSheetId="3">'Page 236'!$A$3:$D$6</definedName>
    <definedName name="varcov" localSheetId="4">'Page 237'!$A$3:$D$6</definedName>
    <definedName name="varcov">'Page 235'!$A$3:$D$6</definedName>
  </definedName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4" i="10" l="1"/>
  <c r="E11" i="10"/>
  <c r="D11" i="10"/>
  <c r="C11" i="10"/>
  <c r="B11" i="10"/>
  <c r="A10" i="9"/>
  <c r="C6" i="9"/>
  <c r="B6" i="9"/>
  <c r="A6" i="9"/>
  <c r="B5" i="9"/>
  <c r="A5" i="9"/>
  <c r="A4" i="9"/>
  <c r="C38" i="10"/>
  <c r="H3" i="10"/>
  <c r="C42" i="10"/>
  <c r="B12" i="9"/>
  <c r="C43" i="10"/>
  <c r="C37" i="10"/>
  <c r="F33" i="10"/>
  <c r="F16" i="10"/>
  <c r="F34" i="10"/>
  <c r="F32" i="10"/>
  <c r="F11" i="10"/>
  <c r="G16" i="9"/>
  <c r="G12" i="9"/>
  <c r="C39" i="10"/>
  <c r="A12" i="9" l="1" a="1"/>
  <c r="A12" i="9" s="1"/>
  <c r="B15" i="10" a="1"/>
  <c r="E17" i="10" s="1"/>
  <c r="B11" i="2"/>
  <c r="B18" i="10" l="1"/>
  <c r="C15" i="10"/>
  <c r="C17" i="10"/>
  <c r="D17" i="10"/>
  <c r="A14" i="9"/>
  <c r="A15" i="9"/>
  <c r="D18" i="10"/>
  <c r="E15" i="10"/>
  <c r="B16" i="10"/>
  <c r="B23" i="10" s="1" a="1"/>
  <c r="E16" i="10"/>
  <c r="E18" i="10"/>
  <c r="C16" i="10"/>
  <c r="C18" i="10"/>
  <c r="A13" i="9"/>
  <c r="D15" i="10"/>
  <c r="D16" i="10"/>
  <c r="B15" i="10"/>
  <c r="B17" i="10"/>
  <c r="F12" i="9" a="1"/>
  <c r="C6" i="7"/>
  <c r="B6" i="7"/>
  <c r="A6" i="7"/>
  <c r="B5" i="7"/>
  <c r="A5" i="7"/>
  <c r="A4" i="7"/>
  <c r="C6" i="6"/>
  <c r="B6" i="6"/>
  <c r="A6" i="6"/>
  <c r="B5" i="6"/>
  <c r="A5" i="6"/>
  <c r="A4" i="6"/>
  <c r="B11" i="6" s="1" a="1"/>
  <c r="B11" i="6" s="1"/>
  <c r="C6" i="3"/>
  <c r="B6" i="3"/>
  <c r="A6" i="3"/>
  <c r="B5" i="3"/>
  <c r="A11" i="3" s="1" a="1"/>
  <c r="A11" i="3" s="1"/>
  <c r="A5" i="3"/>
  <c r="A4" i="3"/>
  <c r="C6" i="2"/>
  <c r="B6" i="2"/>
  <c r="A6" i="2"/>
  <c r="B5" i="2"/>
  <c r="A5" i="2"/>
  <c r="A4" i="2"/>
  <c r="A11" i="2" s="1" a="1"/>
  <c r="A14" i="2" s="1"/>
  <c r="B5" i="1"/>
  <c r="C6" i="1"/>
  <c r="B6" i="1"/>
  <c r="A6" i="1"/>
  <c r="A5" i="1"/>
  <c r="A4" i="1"/>
  <c r="A18" i="1"/>
  <c r="C25" i="6"/>
  <c r="C22" i="7"/>
  <c r="C21" i="6"/>
  <c r="E11" i="6"/>
  <c r="B11" i="3"/>
  <c r="C17" i="3"/>
  <c r="C36" i="1"/>
  <c r="C26" i="6"/>
  <c r="C23" i="6"/>
  <c r="E17" i="6"/>
  <c r="C17" i="2"/>
  <c r="C16" i="3"/>
  <c r="D42" i="1"/>
  <c r="C23" i="7"/>
  <c r="E16" i="6"/>
  <c r="C38" i="1"/>
  <c r="C37" i="1"/>
  <c r="C16" i="2"/>
  <c r="C24" i="6"/>
  <c r="C11" i="6" l="1" a="1"/>
  <c r="C11" i="6" s="1"/>
  <c r="B24" i="10"/>
  <c r="B23" i="10"/>
  <c r="B25" i="10"/>
  <c r="B26" i="10"/>
  <c r="F14" i="9"/>
  <c r="F13" i="9"/>
  <c r="F12" i="9"/>
  <c r="F15" i="9"/>
  <c r="D11" i="6" a="1"/>
  <c r="D14" i="6" s="1"/>
  <c r="B11" i="7" a="1"/>
  <c r="B12" i="7" s="1"/>
  <c r="C11" i="7" a="1"/>
  <c r="B14" i="6"/>
  <c r="B13" i="6"/>
  <c r="B12" i="6"/>
  <c r="A14" i="3"/>
  <c r="A13" i="3"/>
  <c r="A12" i="3"/>
  <c r="A13" i="2"/>
  <c r="A12" i="2"/>
  <c r="A11" i="2"/>
  <c r="G4" i="1"/>
  <c r="G5" i="1"/>
  <c r="G6" i="1"/>
  <c r="G3" i="1"/>
  <c r="H3" i="1"/>
  <c r="B12" i="1"/>
  <c r="G16" i="1"/>
  <c r="G28" i="1"/>
  <c r="C30" i="1"/>
  <c r="G20" i="1"/>
  <c r="G26" i="1"/>
  <c r="G12" i="1"/>
  <c r="B20" i="1"/>
  <c r="C31" i="1"/>
  <c r="G27" i="1"/>
  <c r="G24" i="1"/>
  <c r="C12" i="6" l="1"/>
  <c r="C13" i="6"/>
  <c r="C14" i="6"/>
  <c r="D13" i="6"/>
  <c r="G3" i="10" a="1"/>
  <c r="F16" i="9"/>
  <c r="B20" i="9" a="1"/>
  <c r="B20" i="9" s="1"/>
  <c r="B19" i="9"/>
  <c r="N27" i="9" s="1"/>
  <c r="D12" i="6"/>
  <c r="D11" i="6"/>
  <c r="B21" i="6" s="1"/>
  <c r="B17" i="2" a="1"/>
  <c r="B17" i="2" s="1"/>
  <c r="B16" i="2"/>
  <c r="B17" i="6" a="1"/>
  <c r="B17" i="6" s="1"/>
  <c r="C16" i="6"/>
  <c r="B13" i="7"/>
  <c r="B14" i="7"/>
  <c r="B11" i="7"/>
  <c r="D16" i="6"/>
  <c r="C11" i="7"/>
  <c r="C12" i="7"/>
  <c r="C14" i="7"/>
  <c r="C13" i="7"/>
  <c r="B16" i="6"/>
  <c r="C17" i="6" a="1"/>
  <c r="C17" i="6" s="1"/>
  <c r="B17" i="3" a="1"/>
  <c r="B17" i="3" s="1"/>
  <c r="B16" i="3"/>
  <c r="A20" i="1" a="1"/>
  <c r="A23" i="1" s="1"/>
  <c r="A12" i="1" a="1"/>
  <c r="A12" i="1" s="1"/>
  <c r="D17" i="6" l="1" a="1"/>
  <c r="D17" i="6" s="1"/>
  <c r="G9" i="10"/>
  <c r="G5" i="10"/>
  <c r="G8" i="10"/>
  <c r="G4" i="10"/>
  <c r="G6" i="10"/>
  <c r="G7" i="10"/>
  <c r="G3" i="10"/>
  <c r="B16" i="7"/>
  <c r="B17" i="7" a="1"/>
  <c r="B17" i="7" s="1"/>
  <c r="B18" i="7" a="1"/>
  <c r="B18" i="7" s="1"/>
  <c r="C17" i="7" a="1"/>
  <c r="C17" i="7" s="1"/>
  <c r="C16" i="7"/>
  <c r="B23" i="6"/>
  <c r="B25" i="6"/>
  <c r="B26" i="6"/>
  <c r="B24" i="6"/>
  <c r="A20" i="1"/>
  <c r="A21" i="1"/>
  <c r="A22" i="1"/>
  <c r="A15" i="1"/>
  <c r="A13" i="1"/>
  <c r="A14" i="1"/>
  <c r="D34" i="10" l="1"/>
  <c r="E33" i="10"/>
  <c r="B32" i="10"/>
  <c r="D33" i="10"/>
  <c r="G11" i="10"/>
  <c r="C33" i="10"/>
  <c r="E34" i="10"/>
  <c r="B33" i="10"/>
  <c r="C32" i="10"/>
  <c r="C34" i="10"/>
  <c r="E32" i="10"/>
  <c r="B34" i="10"/>
  <c r="D32" i="10"/>
  <c r="B22" i="7"/>
  <c r="C28" i="7" s="1"/>
  <c r="B23" i="7"/>
  <c r="B28" i="7" s="1"/>
  <c r="F22" i="1"/>
  <c r="F21" i="1"/>
  <c r="F20" i="1"/>
  <c r="F23" i="1"/>
  <c r="F12" i="1"/>
  <c r="F14" i="1"/>
  <c r="F13" i="1"/>
  <c r="F15" i="1"/>
  <c r="B39" i="10" l="1"/>
  <c r="B37" i="10"/>
  <c r="B42" i="10" s="1"/>
  <c r="B38" i="10"/>
  <c r="B43" i="10" s="1"/>
  <c r="F26" i="1" a="1"/>
  <c r="F26" i="1" s="1"/>
  <c r="F27" i="1" a="1"/>
  <c r="F27" i="1" s="1"/>
  <c r="F28" i="1" s="1"/>
  <c r="F24" i="1"/>
  <c r="F16" i="1"/>
  <c r="B27" i="1" a="1"/>
  <c r="B27" i="1" s="1"/>
  <c r="B26" i="1" a="1"/>
  <c r="B26" i="1" s="1"/>
  <c r="B36" i="1" s="1"/>
  <c r="C42" i="1" s="1"/>
  <c r="B30" i="1" a="1"/>
  <c r="B30" i="1" s="1"/>
  <c r="B28" i="1" l="1"/>
  <c r="B31" i="1" s="1"/>
  <c r="B37" i="1"/>
  <c r="B38" i="1" s="1"/>
  <c r="B42" i="1" s="1"/>
</calcChain>
</file>

<file path=xl/sharedStrings.xml><?xml version="1.0" encoding="utf-8"?>
<sst xmlns="http://schemas.openxmlformats.org/spreadsheetml/2006/main" count="126" uniqueCount="72">
  <si>
    <t>Variance-covariance, S</t>
  </si>
  <si>
    <t>Mean returns E(r)</t>
  </si>
  <si>
    <t>Constant, c</t>
  </si>
  <si>
    <t>E(r) minus constant</t>
  </si>
  <si>
    <t>CALCULATING THE FRONTIER</t>
  </si>
  <si>
    <t>Computing an envelope portfolio with constant = 0</t>
  </si>
  <si>
    <t>z</t>
  </si>
  <si>
    <t>Sum</t>
  </si>
  <si>
    <t>Envelope portfolio
 x</t>
  </si>
  <si>
    <t>Envelope portfolio
 y</t>
  </si>
  <si>
    <t>E(x)</t>
  </si>
  <si>
    <t>Var(x)</t>
  </si>
  <si>
    <t>Sigma(x)</t>
  </si>
  <si>
    <t>E(y)</t>
  </si>
  <si>
    <t>Var(y)</t>
  </si>
  <si>
    <t>Sigma(y)</t>
  </si>
  <si>
    <t>Cov(x,y)</t>
  </si>
  <si>
    <t>Corr(x,y)</t>
  </si>
  <si>
    <t>A single portfolio calculation</t>
  </si>
  <si>
    <t>Proportion of x</t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</si>
  <si>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Arial"/>
        <family val="2"/>
      </rPr>
      <t>p</t>
    </r>
  </si>
  <si>
    <r>
      <t>E(r</t>
    </r>
    <r>
      <rPr>
        <vertAlign val="subscript"/>
        <sz val="11"/>
        <color theme="1"/>
        <rFont val="Arial"/>
        <family val="2"/>
      </rPr>
      <t>p</t>
    </r>
    <r>
      <rPr>
        <sz val="11"/>
        <color theme="1"/>
        <rFont val="Arial"/>
        <family val="2"/>
      </rPr>
      <t>)</t>
    </r>
  </si>
  <si>
    <r>
      <rPr>
        <sz val="11"/>
        <color theme="1"/>
        <rFont val="Symbol"/>
        <family val="1"/>
        <charset val="2"/>
      </rPr>
      <t>s</t>
    </r>
    <r>
      <rPr>
        <vertAlign val="subscript"/>
        <sz val="11"/>
        <color theme="1"/>
        <rFont val="Arial"/>
        <family val="2"/>
      </rPr>
      <t>p</t>
    </r>
    <r>
      <rPr>
        <vertAlign val="superscript"/>
        <sz val="11"/>
        <color theme="1"/>
        <rFont val="Arial"/>
        <family val="2"/>
      </rPr>
      <t>2</t>
    </r>
  </si>
  <si>
    <t>Data table:  We vary the proportion of x to produce a graph of the frontier</t>
  </si>
  <si>
    <t>Proportion
of x</t>
  </si>
  <si>
    <t>Sigma</t>
  </si>
  <si>
    <t>Return</t>
  </si>
  <si>
    <t>FINDING ENVELOPE PORTFOLIOS IN ONE STEP</t>
  </si>
  <si>
    <t>Constant</t>
  </si>
  <si>
    <t>Envelope portfolio</t>
  </si>
  <si>
    <t>Portfolio mean</t>
  </si>
  <si>
    <t>Portfolio sigma</t>
  </si>
  <si>
    <t>CALCULATING THE ENVELOPE
All constants c lead to the same envelope</t>
  </si>
  <si>
    <t>Portfolio
y</t>
  </si>
  <si>
    <t>Portfolio
x</t>
  </si>
  <si>
    <t>Portfolio
z</t>
  </si>
  <si>
    <t>Check</t>
  </si>
  <si>
    <t>z1</t>
  </si>
  <si>
    <t>z2</t>
  </si>
  <si>
    <t>z3</t>
  </si>
  <si>
    <t>z4</t>
  </si>
  <si>
    <t>Proportion</t>
  </si>
  <si>
    <t>Show:  portfolio z is a linear proportion of portfolio x and portfolio y</t>
  </si>
  <si>
    <t>SOME c's CAN LEAD TO INEFFICIENT PORTFOLIOS</t>
  </si>
  <si>
    <t>Mean</t>
  </si>
  <si>
    <t>Single portfolio calculation</t>
  </si>
  <si>
    <t>Data table to determine the frontier</t>
  </si>
  <si>
    <r>
      <t>IF c = r</t>
    </r>
    <r>
      <rPr>
        <b/>
        <vertAlign val="subscript"/>
        <sz val="14"/>
        <rFont val="Arial"/>
        <family val="2"/>
      </rPr>
      <t xml:space="preserve">f  </t>
    </r>
    <r>
      <rPr>
        <b/>
        <sz val="14"/>
        <rFont val="Arial"/>
        <family val="2"/>
      </rPr>
      <t xml:space="preserve">AND THE OPTIMIZING PORTFOLIO IS EFFICIENT, THEN THE ENVELOPE PORTFOLIO IS OPTIMAL
</t>
    </r>
    <r>
      <rPr>
        <b/>
        <sz val="12"/>
        <rFont val="Arial"/>
        <family val="2"/>
      </rPr>
      <t xml:space="preserve">The portfolio </t>
    </r>
    <r>
      <rPr>
        <b/>
        <i/>
        <sz val="12"/>
        <rFont val="Arial"/>
        <family val="2"/>
      </rPr>
      <t>x</t>
    </r>
    <r>
      <rPr>
        <b/>
        <sz val="12"/>
        <rFont val="Arial"/>
        <family val="2"/>
      </rPr>
      <t xml:space="preserve"> determined by the constant c = 4% is optimal</t>
    </r>
  </si>
  <si>
    <t>Variance-covariance matrix</t>
  </si>
  <si>
    <t>Expected returns</t>
  </si>
  <si>
    <t>Envelope portfolio
x</t>
  </si>
  <si>
    <r>
      <t>E(r</t>
    </r>
    <r>
      <rPr>
        <vertAlign val="subscript"/>
        <sz val="10"/>
        <rFont val="Arial"/>
        <family val="2"/>
      </rPr>
      <t>x</t>
    </r>
    <r>
      <rPr>
        <sz val="11"/>
        <color theme="1"/>
        <rFont val="Arial"/>
        <family val="2"/>
      </rPr>
      <t>)</t>
    </r>
  </si>
  <si>
    <r>
      <t>s</t>
    </r>
    <r>
      <rPr>
        <vertAlign val="subscript"/>
        <sz val="10"/>
        <rFont val="Arial"/>
        <family val="2"/>
      </rPr>
      <t>x</t>
    </r>
  </si>
  <si>
    <t>ILLUSTRATING PROPOSITIONS 3-5</t>
  </si>
  <si>
    <t>Dates</t>
  </si>
  <si>
    <t>Asset 1</t>
  </si>
  <si>
    <t>Asset 2</t>
  </si>
  <si>
    <t>Asset 3</t>
  </si>
  <si>
    <t>Asset 4</t>
  </si>
  <si>
    <t>Efficient portfolio w</t>
  </si>
  <si>
    <t>Finding an efficient portfolio w</t>
  </si>
  <si>
    <t>Step 1:  Regress each asset's returns on those of the efficient portfolio w</t>
  </si>
  <si>
    <t>Alpha</t>
  </si>
  <si>
    <t>Beta</t>
  </si>
  <si>
    <t>R-squared</t>
  </si>
  <si>
    <t>Step 2:  Regress the asset mean returns on their betas</t>
  </si>
  <si>
    <t>Intercept</t>
  </si>
  <si>
    <t>Slope</t>
  </si>
  <si>
    <r>
      <t>Check Propositions 3 &amp; 4:  Step 2 coefficients should be:
Intercept = c, Slope = E(r</t>
    </r>
    <r>
      <rPr>
        <b/>
        <vertAlign val="subscript"/>
        <sz val="10"/>
        <rFont val="Arial"/>
        <family val="2"/>
      </rPr>
      <t>w</t>
    </r>
    <r>
      <rPr>
        <b/>
        <sz val="10"/>
        <rFont val="Arial"/>
        <family val="2"/>
      </rPr>
      <t>) - c</t>
    </r>
  </si>
  <si>
    <t>Intercept = c ?</t>
  </si>
  <si>
    <r>
      <t>Slope = E(r</t>
    </r>
    <r>
      <rPr>
        <vertAlign val="subscript"/>
        <sz val="10"/>
        <rFont val="Arial"/>
        <family val="2"/>
      </rPr>
      <t>w</t>
    </r>
    <r>
      <rPr>
        <sz val="11"/>
        <color theme="1"/>
        <rFont val="Arial"/>
        <family val="2"/>
      </rPr>
      <t>) - c ?</t>
    </r>
  </si>
  <si>
    <t>Implementing propositions 3-5—finding the SML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</si>
</sst>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"/>
    <numFmt numFmtId="165" formatCode="0.0"/>
    <numFmt numFmtId="166" formatCode="0.00000000000000000%"/>
    <numFmt numFmtId="167" formatCode="0.0000000000000000"/>
  </numFmts>
  <fonts count="1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b/>
      <sz val="14"/>
      <color theme="1"/>
      <name val="Arial"/>
      <family val="2"/>
    </font>
    <font>
      <sz val="11"/>
      <color theme="1"/>
      <name val="Symbol"/>
      <family val="1"/>
      <charset val="2"/>
    </font>
    <font>
      <vertAlign val="subscript"/>
      <sz val="11"/>
      <color theme="1"/>
      <name val="Arial"/>
      <family val="2"/>
    </font>
    <font>
      <vertAlign val="superscript"/>
      <sz val="11"/>
      <color theme="1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vertAlign val="subscript"/>
      <sz val="14"/>
      <name val="Arial"/>
      <family val="2"/>
    </font>
    <font>
      <b/>
      <sz val="12"/>
      <name val="Arial"/>
      <family val="2"/>
    </font>
    <font>
      <b/>
      <i/>
      <sz val="12"/>
      <name val="Arial"/>
      <family val="2"/>
    </font>
    <font>
      <b/>
      <sz val="10"/>
      <name val="Arial"/>
      <family val="2"/>
    </font>
    <font>
      <vertAlign val="subscript"/>
      <sz val="10"/>
      <name val="Arial"/>
      <family val="2"/>
    </font>
    <font>
      <sz val="10"/>
      <name val="Symbol"/>
      <family val="1"/>
      <charset val="2"/>
    </font>
    <font>
      <b/>
      <vertAlign val="subscript"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7" fillId="0" borderId="0"/>
    <xf numFmtId="9" fontId="7" fillId="0" borderId="0" applyFont="0" applyFill="0" applyBorder="0" applyAlignment="0" applyProtection="0"/>
  </cellStyleXfs>
  <cellXfs count="66">
    <xf numFmtId="0" fontId="0" fillId="0" borderId="0" xfId="0"/>
    <xf numFmtId="0" fontId="2" fillId="0" borderId="0" xfId="0" applyFont="1" applyAlignment="1">
      <alignment horizontal="center" wrapText="1"/>
    </xf>
    <xf numFmtId="2" fontId="0" fillId="0" borderId="0" xfId="0" applyNumberFormat="1"/>
    <xf numFmtId="9" fontId="0" fillId="0" borderId="0" xfId="0" applyNumberFormat="1"/>
    <xf numFmtId="0" fontId="2" fillId="0" borderId="0" xfId="0" applyFont="1"/>
    <xf numFmtId="10" fontId="0" fillId="0" borderId="0" xfId="1" applyNumberFormat="1" applyFont="1"/>
    <xf numFmtId="164" fontId="0" fillId="0" borderId="0" xfId="0" applyNumberFormat="1"/>
    <xf numFmtId="2" fontId="2" fillId="0" borderId="0" xfId="0" applyNumberFormat="1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/>
    </xf>
    <xf numFmtId="10" fontId="0" fillId="0" borderId="0" xfId="0" applyNumberFormat="1"/>
    <xf numFmtId="0" fontId="0" fillId="0" borderId="0" xfId="0" applyAlignment="1">
      <alignment wrapText="1"/>
    </xf>
    <xf numFmtId="0" fontId="2" fillId="0" borderId="0" xfId="0" applyFont="1" applyAlignment="1">
      <alignment horizontal="center"/>
    </xf>
    <xf numFmtId="0" fontId="3" fillId="0" borderId="0" xfId="0" applyFont="1" applyAlignment="1"/>
    <xf numFmtId="10" fontId="0" fillId="2" borderId="0" xfId="1" applyNumberFormat="1" applyFont="1" applyFill="1"/>
    <xf numFmtId="164" fontId="0" fillId="0" borderId="0" xfId="0" applyNumberFormat="1" applyAlignment="1">
      <alignment vertical="center"/>
    </xf>
    <xf numFmtId="0" fontId="0" fillId="2" borderId="0" xfId="0" applyFill="1"/>
    <xf numFmtId="10" fontId="0" fillId="0" borderId="0" xfId="1" applyNumberFormat="1" applyFont="1" applyFill="1"/>
    <xf numFmtId="0" fontId="0" fillId="0" borderId="0" xfId="0" applyFill="1"/>
    <xf numFmtId="0" fontId="0" fillId="0" borderId="0" xfId="0" applyFill="1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horizontal="center" wrapText="1"/>
    </xf>
    <xf numFmtId="10" fontId="0" fillId="0" borderId="0" xfId="0" applyNumberFormat="1" applyFill="1"/>
    <xf numFmtId="165" fontId="0" fillId="0" borderId="0" xfId="0" applyNumberFormat="1" applyAlignment="1">
      <alignment horizontal="center"/>
    </xf>
    <xf numFmtId="9" fontId="0" fillId="2" borderId="0" xfId="0" applyNumberFormat="1" applyFill="1"/>
    <xf numFmtId="0" fontId="8" fillId="0" borderId="0" xfId="2" applyFont="1" applyAlignment="1"/>
    <xf numFmtId="0" fontId="7" fillId="0" borderId="0" xfId="2"/>
    <xf numFmtId="0" fontId="7" fillId="0" borderId="0" xfId="2" applyAlignment="1">
      <alignment vertical="center"/>
    </xf>
    <xf numFmtId="0" fontId="12" fillId="0" borderId="0" xfId="2" applyFont="1" applyAlignment="1">
      <alignment horizontal="center" vertical="center" wrapText="1"/>
    </xf>
    <xf numFmtId="0" fontId="12" fillId="0" borderId="0" xfId="2" applyFont="1" applyAlignment="1">
      <alignment horizontal="center" wrapText="1"/>
    </xf>
    <xf numFmtId="2" fontId="7" fillId="0" borderId="0" xfId="2" applyNumberFormat="1" applyAlignment="1">
      <alignment horizontal="center"/>
    </xf>
    <xf numFmtId="0" fontId="7" fillId="0" borderId="0" xfId="2" applyAlignment="1">
      <alignment horizontal="center"/>
    </xf>
    <xf numFmtId="0" fontId="7" fillId="0" borderId="0" xfId="2" applyAlignment="1">
      <alignment horizontal="right"/>
    </xf>
    <xf numFmtId="0" fontId="7" fillId="3" borderId="0" xfId="2" applyFill="1"/>
    <xf numFmtId="0" fontId="12" fillId="0" borderId="0" xfId="2" applyFont="1"/>
    <xf numFmtId="164" fontId="7" fillId="0" borderId="0" xfId="2" applyNumberFormat="1"/>
    <xf numFmtId="0" fontId="12" fillId="0" borderId="0" xfId="2" applyFont="1" applyAlignment="1">
      <alignment horizontal="center" vertical="center"/>
    </xf>
    <xf numFmtId="0" fontId="7" fillId="0" borderId="0" xfId="2" applyAlignment="1">
      <alignment horizontal="center" vertical="center"/>
    </xf>
    <xf numFmtId="164" fontId="7" fillId="0" borderId="0" xfId="2" applyNumberFormat="1" applyAlignment="1">
      <alignment horizontal="center" vertical="center"/>
    </xf>
    <xf numFmtId="164" fontId="7" fillId="0" borderId="0" xfId="2" applyNumberFormat="1" applyAlignment="1">
      <alignment horizontal="center"/>
    </xf>
    <xf numFmtId="164" fontId="7" fillId="0" borderId="0" xfId="2" applyNumberFormat="1" applyBorder="1" applyAlignment="1">
      <alignment horizontal="center"/>
    </xf>
    <xf numFmtId="164" fontId="7" fillId="3" borderId="0" xfId="2" applyNumberFormat="1" applyFill="1" applyBorder="1"/>
    <xf numFmtId="0" fontId="14" fillId="3" borderId="0" xfId="2" applyFont="1" applyFill="1"/>
    <xf numFmtId="164" fontId="7" fillId="3" borderId="0" xfId="2" applyNumberFormat="1" applyFill="1"/>
    <xf numFmtId="0" fontId="12" fillId="0" borderId="0" xfId="2" applyFont="1" applyAlignment="1">
      <alignment horizontal="center"/>
    </xf>
    <xf numFmtId="10" fontId="7" fillId="0" borderId="0" xfId="3" applyNumberFormat="1"/>
    <xf numFmtId="10" fontId="7" fillId="0" borderId="0" xfId="3" applyNumberFormat="1" applyAlignment="1">
      <alignment horizontal="center"/>
    </xf>
    <xf numFmtId="10" fontId="7" fillId="0" borderId="0" xfId="2" applyNumberFormat="1"/>
    <xf numFmtId="0" fontId="10" fillId="0" borderId="0" xfId="2" applyFont="1"/>
    <xf numFmtId="10" fontId="7" fillId="0" borderId="0" xfId="3" applyNumberFormat="1" applyFont="1"/>
    <xf numFmtId="10" fontId="0" fillId="0" borderId="0" xfId="3" applyNumberFormat="1" applyFont="1"/>
    <xf numFmtId="166" fontId="7" fillId="0" borderId="0" xfId="2" applyNumberFormat="1"/>
    <xf numFmtId="167" fontId="7" fillId="0" borderId="0" xfId="2" applyNumberFormat="1"/>
    <xf numFmtId="0" fontId="0" fillId="0" borderId="0" xfId="0" applyAlignment="1">
      <alignment vertical="center" wrapText="1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0" borderId="0" xfId="2" applyFont="1" applyAlignment="1">
      <alignment horizontal="center" vertical="center" wrapText="1"/>
    </xf>
    <xf numFmtId="0" fontId="8" fillId="0" borderId="0" xfId="2" applyFont="1" applyAlignment="1">
      <alignment horizontal="center" vertical="center"/>
    </xf>
    <xf numFmtId="0" fontId="12" fillId="0" borderId="0" xfId="2" applyFont="1" applyAlignment="1">
      <alignment horizontal="center" vertical="center"/>
    </xf>
    <xf numFmtId="0" fontId="8" fillId="0" borderId="0" xfId="2" applyFont="1" applyAlignment="1">
      <alignment horizontal="center"/>
    </xf>
    <xf numFmtId="0" fontId="7" fillId="4" borderId="0" xfId="2" applyFill="1" applyAlignment="1">
      <alignment horizontal="center" vertical="center" wrapText="1"/>
    </xf>
    <xf numFmtId="0" fontId="12" fillId="0" borderId="0" xfId="2" applyFont="1" applyAlignment="1">
      <alignment horizontal="left" vertical="center" wrapText="1"/>
    </xf>
  </cellXfs>
  <cellStyles count="4">
    <cellStyle name="Normal" xfId="0" builtinId="0"/>
    <cellStyle name="Normal 2" xfId="2" xr:uid="{00000000-0005-0000-0000-000001000000}"/>
    <cellStyle name="Percent" xfId="1" builtinId="5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dPt>
            <c:idx val="7"/>
            <c:marker>
              <c:symbol val="x"/>
              <c:size val="1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9AAB-4CA7-A32C-415D0AA76349}"/>
              </c:ext>
            </c:extLst>
          </c:dPt>
          <c:dPt>
            <c:idx val="12"/>
            <c:marker>
              <c:symbol val="x"/>
              <c:size val="1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1-9AAB-4CA7-A32C-415D0AA76349}"/>
              </c:ext>
            </c:extLst>
          </c:dPt>
          <c:dPt>
            <c:idx val="22"/>
            <c:marker>
              <c:symbol val="diamond"/>
              <c:size val="14"/>
              <c:spPr>
                <a:solidFill>
                  <a:srgbClr val="FF0000"/>
                </a:solidFill>
              </c:spPr>
            </c:marker>
            <c:bubble3D val="0"/>
            <c:spPr>
              <a:ln w="57150"/>
            </c:spPr>
            <c:extLst>
              <c:ext xmlns:c16="http://schemas.microsoft.com/office/drawing/2014/chart" uri="{C3380CC4-5D6E-409C-BE32-E72D297353CC}">
                <c16:uniqueId val="{00000003-9AAB-4CA7-A32C-415D0AA76349}"/>
              </c:ext>
            </c:extLst>
          </c:dPt>
          <c:xVal>
            <c:numRef>
              <c:f>'Pages 228-232'!$B$43:$B$65</c:f>
              <c:numCache>
                <c:formatCode>0.00%</c:formatCode>
                <c:ptCount val="23"/>
                <c:pt idx="0">
                  <c:v>0.54562053626684992</c:v>
                </c:pt>
                <c:pt idx="1">
                  <c:v>0.50929213134105078</c:v>
                </c:pt>
                <c:pt idx="2">
                  <c:v>0.48558357802391755</c:v>
                </c:pt>
                <c:pt idx="3">
                  <c:v>0.46235677440086403</c:v>
                </c:pt>
                <c:pt idx="4">
                  <c:v>0.43968807330821968</c:v>
                </c:pt>
                <c:pt idx="5">
                  <c:v>0.41766835668012781</c:v>
                </c:pt>
                <c:pt idx="6">
                  <c:v>0.39640578946519428</c:v>
                </c:pt>
                <c:pt idx="7">
                  <c:v>0.37602883274880772</c:v>
                </c:pt>
                <c:pt idx="8">
                  <c:v>0.35203675037970206</c:v>
                </c:pt>
                <c:pt idx="9">
                  <c:v>0.33002168598437048</c:v>
                </c:pt>
                <c:pt idx="10">
                  <c:v>0.31040457771210145</c:v>
                </c:pt>
                <c:pt idx="11">
                  <c:v>0.30681038033070501</c:v>
                </c:pt>
                <c:pt idx="12">
                  <c:v>0.29366637456795341</c:v>
                </c:pt>
                <c:pt idx="13">
                  <c:v>0.28269543507520695</c:v>
                </c:pt>
                <c:pt idx="14">
                  <c:v>0.27415856335357625</c:v>
                </c:pt>
                <c:pt idx="15">
                  <c:v>0.26828821460342733</c:v>
                </c:pt>
                <c:pt idx="16">
                  <c:v>0.26526148178232306</c:v>
                </c:pt>
                <c:pt idx="17">
                  <c:v>0.26517575440992747</c:v>
                </c:pt>
                <c:pt idx="18">
                  <c:v>0.26803385443569622</c:v>
                </c:pt>
                <c:pt idx="19">
                  <c:v>0.27374358971069834</c:v>
                </c:pt>
                <c:pt idx="20">
                  <c:v>0.2821318806498192</c:v>
                </c:pt>
                <c:pt idx="21">
                  <c:v>0.29296874003478501</c:v>
                </c:pt>
                <c:pt idx="22">
                  <c:v>0.30599412834790946</c:v>
                </c:pt>
              </c:numCache>
            </c:numRef>
          </c:xVal>
          <c:yVal>
            <c:numRef>
              <c:f>'Pages 228-232'!$C$43:$C$65</c:f>
              <c:numCache>
                <c:formatCode>0.00%</c:formatCode>
                <c:ptCount val="23"/>
                <c:pt idx="0">
                  <c:v>0.14200484241375419</c:v>
                </c:pt>
                <c:pt idx="1">
                  <c:v>0.13621121239164544</c:v>
                </c:pt>
                <c:pt idx="2">
                  <c:v>0.13234879237690622</c:v>
                </c:pt>
                <c:pt idx="3">
                  <c:v>0.12848637236216706</c:v>
                </c:pt>
                <c:pt idx="4">
                  <c:v>0.12462395234742792</c:v>
                </c:pt>
                <c:pt idx="5">
                  <c:v>0.12076153233268871</c:v>
                </c:pt>
                <c:pt idx="6">
                  <c:v>0.11689911231794957</c:v>
                </c:pt>
                <c:pt idx="7">
                  <c:v>0.1130366923032104</c:v>
                </c:pt>
                <c:pt idx="8">
                  <c:v>0.10820866728478644</c:v>
                </c:pt>
                <c:pt idx="9">
                  <c:v>0.10338064226636248</c:v>
                </c:pt>
                <c:pt idx="10">
                  <c:v>9.8552617247938512E-2</c:v>
                </c:pt>
                <c:pt idx="11">
                  <c:v>9.7587012244253715E-2</c:v>
                </c:pt>
                <c:pt idx="12">
                  <c:v>9.3724592229514556E-2</c:v>
                </c:pt>
                <c:pt idx="13">
                  <c:v>8.9862172214775396E-2</c:v>
                </c:pt>
                <c:pt idx="14">
                  <c:v>8.5999752200036222E-2</c:v>
                </c:pt>
                <c:pt idx="15">
                  <c:v>8.2137332185297035E-2</c:v>
                </c:pt>
                <c:pt idx="16">
                  <c:v>7.8274912170557889E-2</c:v>
                </c:pt>
                <c:pt idx="17">
                  <c:v>7.4412492155818716E-2</c:v>
                </c:pt>
                <c:pt idx="18">
                  <c:v>7.0550072141079528E-2</c:v>
                </c:pt>
                <c:pt idx="19">
                  <c:v>6.6687652126340397E-2</c:v>
                </c:pt>
                <c:pt idx="20">
                  <c:v>6.2825232111601209E-2</c:v>
                </c:pt>
                <c:pt idx="21">
                  <c:v>5.8962812096862049E-2</c:v>
                </c:pt>
                <c:pt idx="22">
                  <c:v>5.5100392082122862E-2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AAB-4CA7-A32C-415D0AA763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32907256"/>
        <c:axId val="318314328"/>
      </c:scatterChart>
      <c:valAx>
        <c:axId val="532907256"/>
        <c:scaling>
          <c:orientation val="minMax"/>
          <c:min val="0.2"/>
        </c:scaling>
        <c:delete val="0"/>
        <c:axPos val="b"/>
        <c:numFmt formatCode="0%" sourceLinked="0"/>
        <c:majorTickMark val="out"/>
        <c:minorTickMark val="none"/>
        <c:tickLblPos val="nextTo"/>
        <c:crossAx val="318314328"/>
        <c:crosses val="autoZero"/>
        <c:crossBetween val="midCat"/>
      </c:valAx>
      <c:valAx>
        <c:axId val="318314328"/>
        <c:scaling>
          <c:orientation val="minMax"/>
          <c:min val="4.0000000000000008E-2"/>
        </c:scaling>
        <c:delete val="0"/>
        <c:axPos val="l"/>
        <c:numFmt formatCode="0%" sourceLinked="0"/>
        <c:majorTickMark val="out"/>
        <c:minorTickMark val="none"/>
        <c:tickLblPos val="nextTo"/>
        <c:crossAx val="532907256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dPt>
            <c:idx val="10"/>
            <c:marker>
              <c:symbol val="diamond"/>
              <c:size val="10"/>
              <c:spPr>
                <a:solidFill>
                  <a:srgbClr val="FF0000"/>
                </a:solidFill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2CFE-4087-BF61-0547639DC59C}"/>
              </c:ext>
            </c:extLst>
          </c:dPt>
          <c:xVal>
            <c:numRef>
              <c:f>'Page 237'!$B$29:$B$44</c:f>
              <c:numCache>
                <c:formatCode>0.00%</c:formatCode>
                <c:ptCount val="16"/>
                <c:pt idx="0">
                  <c:v>0.861972114194967</c:v>
                </c:pt>
                <c:pt idx="1">
                  <c:v>0.75742084749037231</c:v>
                </c:pt>
                <c:pt idx="2">
                  <c:v>0.65488298438388892</c:v>
                </c:pt>
                <c:pt idx="3">
                  <c:v>0.55547463913061479</c:v>
                </c:pt>
                <c:pt idx="4">
                  <c:v>0.46122380105350957</c:v>
                </c:pt>
                <c:pt idx="5">
                  <c:v>0.37602883274880772</c:v>
                </c:pt>
                <c:pt idx="6">
                  <c:v>0.30751087772278396</c:v>
                </c:pt>
                <c:pt idx="7">
                  <c:v>0.26874367943537919</c:v>
                </c:pt>
                <c:pt idx="8">
                  <c:v>0.27272396120311371</c:v>
                </c:pt>
                <c:pt idx="9">
                  <c:v>0.31784984072890748</c:v>
                </c:pt>
                <c:pt idx="10">
                  <c:v>0.39009441414571544</c:v>
                </c:pt>
                <c:pt idx="11">
                  <c:v>0.47729838791180595</c:v>
                </c:pt>
                <c:pt idx="12">
                  <c:v>0.57266815759037215</c:v>
                </c:pt>
                <c:pt idx="13">
                  <c:v>0.67273981210562883</c:v>
                </c:pt>
                <c:pt idx="14">
                  <c:v>0.77569572599383629</c:v>
                </c:pt>
                <c:pt idx="15">
                  <c:v>0.88052474827089078</c:v>
                </c:pt>
              </c:numCache>
            </c:numRef>
          </c:xVal>
          <c:yVal>
            <c:numRef>
              <c:f>'Page 237'!$C$29:$C$44</c:f>
              <c:numCache>
                <c:formatCode>0.00%</c:formatCode>
                <c:ptCount val="16"/>
                <c:pt idx="0">
                  <c:v>0.18933162104052931</c:v>
                </c:pt>
                <c:pt idx="1">
                  <c:v>0.17407263529306552</c:v>
                </c:pt>
                <c:pt idx="2">
                  <c:v>0.15881364954560176</c:v>
                </c:pt>
                <c:pt idx="3">
                  <c:v>0.14355466379813794</c:v>
                </c:pt>
                <c:pt idx="4">
                  <c:v>0.12829567805067418</c:v>
                </c:pt>
                <c:pt idx="5">
                  <c:v>0.1130366923032104</c:v>
                </c:pt>
                <c:pt idx="6">
                  <c:v>9.7777706555746621E-2</c:v>
                </c:pt>
                <c:pt idx="7">
                  <c:v>8.2518720808282833E-2</c:v>
                </c:pt>
                <c:pt idx="8">
                  <c:v>6.7259735060819045E-2</c:v>
                </c:pt>
                <c:pt idx="9">
                  <c:v>5.2000749313355257E-2</c:v>
                </c:pt>
                <c:pt idx="10">
                  <c:v>3.6741763565891476E-2</c:v>
                </c:pt>
                <c:pt idx="11">
                  <c:v>2.1482777818427699E-2</c:v>
                </c:pt>
                <c:pt idx="12">
                  <c:v>6.2237920709639141E-3</c:v>
                </c:pt>
                <c:pt idx="13">
                  <c:v>-9.0351936764998877E-3</c:v>
                </c:pt>
                <c:pt idx="14">
                  <c:v>-2.4294179423963669E-2</c:v>
                </c:pt>
                <c:pt idx="15">
                  <c:v>-3.9553165171427443E-2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CFE-4087-BF61-0547639DC5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7875912"/>
        <c:axId val="311223088"/>
      </c:scatterChart>
      <c:valAx>
        <c:axId val="317875912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crossAx val="311223088"/>
        <c:crosses val="autoZero"/>
        <c:crossBetween val="midCat"/>
      </c:valAx>
      <c:valAx>
        <c:axId val="311223088"/>
        <c:scaling>
          <c:orientation val="minMax"/>
        </c:scaling>
        <c:delete val="0"/>
        <c:axPos val="l"/>
        <c:numFmt formatCode="0%" sourceLinked="0"/>
        <c:majorTickMark val="out"/>
        <c:minorTickMark val="none"/>
        <c:tickLblPos val="nextTo"/>
        <c:crossAx val="317875912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4482779957624706"/>
          <c:y val="0.11578957287346908"/>
          <c:w val="0.78620805484248379"/>
          <c:h val="0.68421111243413546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Pt>
            <c:idx val="28"/>
            <c:marker>
              <c:symbol val="diamond"/>
              <c:size val="10"/>
              <c:spPr>
                <a:solidFill>
                  <a:srgbClr val="FF0000"/>
                </a:solidFill>
                <a:ln>
                  <a:solidFill>
                    <a:srgbClr val="FF0000"/>
                  </a:solidFill>
                  <a:prstDash val="solid"/>
                </a:ln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0-A282-4EC6-B249-8347F0CFE966}"/>
              </c:ext>
            </c:extLst>
          </c:dPt>
          <c:xVal>
            <c:numRef>
              <c:f>'Page 241'!$L$20:$L$48</c:f>
              <c:numCache>
                <c:formatCode>General</c:formatCode>
                <c:ptCount val="29"/>
                <c:pt idx="0">
                  <c:v>0.21993805158731042</c:v>
                </c:pt>
                <c:pt idx="1">
                  <c:v>0.2164321629484347</c:v>
                </c:pt>
                <c:pt idx="2">
                  <c:v>0.21310770581613184</c:v>
                </c:pt>
                <c:pt idx="3">
                  <c:v>0.20997329805252407</c:v>
                </c:pt>
                <c:pt idx="4">
                  <c:v>0.2070375714913964</c:v>
                </c:pt>
                <c:pt idx="5">
                  <c:v>0.20430909088980331</c:v>
                </c:pt>
                <c:pt idx="6">
                  <c:v>0.2017962629201607</c:v>
                </c:pt>
                <c:pt idx="7">
                  <c:v>0.19950723629490036</c:v>
                </c:pt>
                <c:pt idx="8">
                  <c:v>0.19844909819197518</c:v>
                </c:pt>
                <c:pt idx="9">
                  <c:v>0.19744979472432397</c:v>
                </c:pt>
                <c:pt idx="10">
                  <c:v>0.19651022346035232</c:v>
                </c:pt>
                <c:pt idx="11">
                  <c:v>0.19563124504150151</c:v>
                </c:pt>
                <c:pt idx="12">
                  <c:v>0.19481367963474455</c:v>
                </c:pt>
                <c:pt idx="13">
                  <c:v>0.19405830343858063</c:v>
                </c:pt>
                <c:pt idx="14">
                  <c:v>0.19336584527362127</c:v>
                </c:pt>
                <c:pt idx="15">
                  <c:v>0.19273698328964869</c:v>
                </c:pt>
                <c:pt idx="16">
                  <c:v>0.19217234182133772</c:v>
                </c:pt>
                <c:pt idx="17">
                  <c:v>0.19167248842463094</c:v>
                </c:pt>
                <c:pt idx="18">
                  <c:v>0.19086911590759811</c:v>
                </c:pt>
                <c:pt idx="19">
                  <c:v>0.19033017231371338</c:v>
                </c:pt>
                <c:pt idx="20">
                  <c:v>0.1900579071644993</c:v>
                </c:pt>
                <c:pt idx="21">
                  <c:v>0.19005346657110175</c:v>
                </c:pt>
                <c:pt idx="22">
                  <c:v>0.19031686928067681</c:v>
                </c:pt>
                <c:pt idx="23">
                  <c:v>0.19084700628269075</c:v>
                </c:pt>
                <c:pt idx="24">
                  <c:v>0.19164166399427479</c:v>
                </c:pt>
                <c:pt idx="25">
                  <c:v>0.19269756990446321</c:v>
                </c:pt>
                <c:pt idx="26">
                  <c:v>0.19401045851406651</c:v>
                </c:pt>
                <c:pt idx="27">
                  <c:v>0.19557515454615695</c:v>
                </c:pt>
              </c:numCache>
            </c:numRef>
          </c:xVal>
          <c:yVal>
            <c:numRef>
              <c:f>'Page 241'!$M$20:$M$48</c:f>
              <c:numCache>
                <c:formatCode>General</c:formatCode>
                <c:ptCount val="29"/>
                <c:pt idx="0">
                  <c:v>7.3377156127424029E-2</c:v>
                </c:pt>
                <c:pt idx="1">
                  <c:v>7.3039155329599786E-2</c:v>
                </c:pt>
                <c:pt idx="2">
                  <c:v>7.2701154531775516E-2</c:v>
                </c:pt>
                <c:pt idx="3">
                  <c:v>7.2363153733951274E-2</c:v>
                </c:pt>
                <c:pt idx="4">
                  <c:v>7.202515293612699E-2</c:v>
                </c:pt>
                <c:pt idx="5">
                  <c:v>7.1687152138302762E-2</c:v>
                </c:pt>
                <c:pt idx="6">
                  <c:v>7.1349151340478506E-2</c:v>
                </c:pt>
                <c:pt idx="7">
                  <c:v>7.1011150542654236E-2</c:v>
                </c:pt>
                <c:pt idx="8">
                  <c:v>7.0842150143742122E-2</c:v>
                </c:pt>
                <c:pt idx="9">
                  <c:v>7.067314974482998E-2</c:v>
                </c:pt>
                <c:pt idx="10">
                  <c:v>7.0504149345917852E-2</c:v>
                </c:pt>
                <c:pt idx="11">
                  <c:v>7.0335148947005724E-2</c:v>
                </c:pt>
                <c:pt idx="12">
                  <c:v>7.0166148548093596E-2</c:v>
                </c:pt>
                <c:pt idx="13">
                  <c:v>6.9997148149181468E-2</c:v>
                </c:pt>
                <c:pt idx="14">
                  <c:v>6.982814775026934E-2</c:v>
                </c:pt>
                <c:pt idx="15">
                  <c:v>6.9659147351357212E-2</c:v>
                </c:pt>
                <c:pt idx="16">
                  <c:v>6.9490146952445084E-2</c:v>
                </c:pt>
                <c:pt idx="17">
                  <c:v>6.9321146553532956E-2</c:v>
                </c:pt>
                <c:pt idx="18">
                  <c:v>6.89831457557087E-2</c:v>
                </c:pt>
                <c:pt idx="19">
                  <c:v>6.8645144957884457E-2</c:v>
                </c:pt>
                <c:pt idx="20">
                  <c:v>6.8307144160060174E-2</c:v>
                </c:pt>
                <c:pt idx="21">
                  <c:v>6.7969143362235931E-2</c:v>
                </c:pt>
                <c:pt idx="22">
                  <c:v>6.7631142564411661E-2</c:v>
                </c:pt>
                <c:pt idx="23">
                  <c:v>6.7293141766587419E-2</c:v>
                </c:pt>
                <c:pt idx="24">
                  <c:v>6.6955140968763163E-2</c:v>
                </c:pt>
                <c:pt idx="25">
                  <c:v>6.6617140170938921E-2</c:v>
                </c:pt>
                <c:pt idx="26">
                  <c:v>6.6279139373114665E-2</c:v>
                </c:pt>
                <c:pt idx="27">
                  <c:v>6.5941138575290409E-2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282-4EC6-B249-8347F0CFE966}"/>
            </c:ext>
          </c:extLst>
        </c:ser>
        <c:ser>
          <c:idx val="1"/>
          <c:order val="1"/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dPt>
            <c:idx val="7"/>
            <c:marker>
              <c:symbol val="square"/>
              <c:size val="10"/>
            </c:marker>
            <c:bubble3D val="0"/>
            <c:extLst>
              <c:ext xmlns:c16="http://schemas.microsoft.com/office/drawing/2014/chart" uri="{C3380CC4-5D6E-409C-BE32-E72D297353CC}">
                <c16:uniqueId val="{00000002-A282-4EC6-B249-8347F0CFE966}"/>
              </c:ext>
            </c:extLst>
          </c:dPt>
          <c:xVal>
            <c:numRef>
              <c:f>'Page 241'!$L$20:$L$47</c:f>
              <c:numCache>
                <c:formatCode>General</c:formatCode>
                <c:ptCount val="28"/>
                <c:pt idx="0">
                  <c:v>0.21993805158731042</c:v>
                </c:pt>
                <c:pt idx="1">
                  <c:v>0.2164321629484347</c:v>
                </c:pt>
                <c:pt idx="2">
                  <c:v>0.21310770581613184</c:v>
                </c:pt>
                <c:pt idx="3">
                  <c:v>0.20997329805252407</c:v>
                </c:pt>
                <c:pt idx="4">
                  <c:v>0.2070375714913964</c:v>
                </c:pt>
                <c:pt idx="5">
                  <c:v>0.20430909088980331</c:v>
                </c:pt>
                <c:pt idx="6">
                  <c:v>0.2017962629201607</c:v>
                </c:pt>
                <c:pt idx="7">
                  <c:v>0.19950723629490036</c:v>
                </c:pt>
                <c:pt idx="8">
                  <c:v>0.19844909819197518</c:v>
                </c:pt>
                <c:pt idx="9">
                  <c:v>0.19744979472432397</c:v>
                </c:pt>
                <c:pt idx="10">
                  <c:v>0.19651022346035232</c:v>
                </c:pt>
                <c:pt idx="11">
                  <c:v>0.19563124504150151</c:v>
                </c:pt>
                <c:pt idx="12">
                  <c:v>0.19481367963474455</c:v>
                </c:pt>
                <c:pt idx="13">
                  <c:v>0.19405830343858063</c:v>
                </c:pt>
                <c:pt idx="14">
                  <c:v>0.19336584527362127</c:v>
                </c:pt>
                <c:pt idx="15">
                  <c:v>0.19273698328964869</c:v>
                </c:pt>
                <c:pt idx="16">
                  <c:v>0.19217234182133772</c:v>
                </c:pt>
                <c:pt idx="17">
                  <c:v>0.19167248842463094</c:v>
                </c:pt>
                <c:pt idx="18">
                  <c:v>0.19086911590759811</c:v>
                </c:pt>
                <c:pt idx="19">
                  <c:v>0.19033017231371338</c:v>
                </c:pt>
                <c:pt idx="20">
                  <c:v>0.1900579071644993</c:v>
                </c:pt>
                <c:pt idx="21">
                  <c:v>0.19005346657110175</c:v>
                </c:pt>
                <c:pt idx="22">
                  <c:v>0.19031686928067681</c:v>
                </c:pt>
                <c:pt idx="23">
                  <c:v>0.19084700628269075</c:v>
                </c:pt>
                <c:pt idx="24">
                  <c:v>0.19164166399427479</c:v>
                </c:pt>
                <c:pt idx="25">
                  <c:v>0.19269756990446321</c:v>
                </c:pt>
                <c:pt idx="26">
                  <c:v>0.19401045851406651</c:v>
                </c:pt>
                <c:pt idx="27">
                  <c:v>0.19557515454615695</c:v>
                </c:pt>
              </c:numCache>
            </c:numRef>
          </c:xVal>
          <c:yVal>
            <c:numRef>
              <c:f>'Page 241'!$N$20:$N$47</c:f>
              <c:numCache>
                <c:formatCode>General</c:formatCode>
                <c:ptCount val="28"/>
                <c:pt idx="7" formatCode="0.0000">
                  <c:v>7.1011150542654236E-2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282-4EC6-B249-8347F0CFE9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1223872"/>
        <c:axId val="311224264"/>
      </c:scatterChart>
      <c:valAx>
        <c:axId val="311223872"/>
        <c:scaling>
          <c:orientation val="minMax"/>
        </c:scaling>
        <c:delete val="0"/>
        <c:axPos val="b"/>
        <c:numFmt formatCode="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1224264"/>
        <c:crosses val="autoZero"/>
        <c:crossBetween val="midCat"/>
      </c:valAx>
      <c:valAx>
        <c:axId val="311224264"/>
        <c:scaling>
          <c:orientation val="minMax"/>
        </c:scaling>
        <c:delete val="0"/>
        <c:axPos val="l"/>
        <c:numFmt formatCode="0.0%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311223872"/>
        <c:crosses val="autoZero"/>
        <c:crossBetween val="midCat"/>
        <c:majorUnit val="2.1000000000000003E-3"/>
      </c:valAx>
      <c:spPr>
        <a:noFill/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575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  <c:printSettings>
    <c:headerFooter alignWithMargins="0"/>
    <c:pageMargins b="1" l="0.75" r="0.75" t="1" header="0.5" footer="0.5"/>
    <c:pageSetup orientation="landscape" verticalDpi="0"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281940</xdr:colOff>
      <xdr:row>43</xdr:row>
      <xdr:rowOff>45720</xdr:rowOff>
    </xdr:from>
    <xdr:to>
      <xdr:col>8</xdr:col>
      <xdr:colOff>464820</xdr:colOff>
      <xdr:row>59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175260</xdr:colOff>
      <xdr:row>27</xdr:row>
      <xdr:rowOff>144780</xdr:rowOff>
    </xdr:from>
    <xdr:to>
      <xdr:col>7</xdr:col>
      <xdr:colOff>1249680</xdr:colOff>
      <xdr:row>43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68580</xdr:colOff>
      <xdr:row>17</xdr:row>
      <xdr:rowOff>60960</xdr:rowOff>
    </xdr:from>
    <xdr:to>
      <xdr:col>6</xdr:col>
      <xdr:colOff>1775460</xdr:colOff>
      <xdr:row>29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</xdr:colOff>
      <xdr:row>23</xdr:row>
      <xdr:rowOff>160020</xdr:rowOff>
    </xdr:from>
    <xdr:to>
      <xdr:col>2</xdr:col>
      <xdr:colOff>701040</xdr:colOff>
      <xdr:row>24</xdr:row>
      <xdr:rowOff>99060</xdr:rowOff>
    </xdr:to>
    <xdr:sp macro="" textlink="">
      <xdr:nvSpPr>
        <xdr:cNvPr id="2" name="Lin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SpPr>
          <a:spLocks noChangeShapeType="1"/>
        </xdr:cNvSpPr>
      </xdr:nvSpPr>
      <xdr:spPr bwMode="auto">
        <a:xfrm flipH="1" flipV="1">
          <a:off x="1889760" y="4069080"/>
          <a:ext cx="662940" cy="10668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65"/>
  <sheetViews>
    <sheetView tabSelected="1" workbookViewId="0">
      <selection activeCell="G9" sqref="G9"/>
    </sheetView>
  </sheetViews>
  <sheetFormatPr defaultRowHeight="14.25" x14ac:dyDescent="0.2"/>
  <cols>
    <col min="1" max="1" width="11" customWidth="1"/>
    <col min="2" max="5" width="8.75" customWidth="1"/>
    <col min="6" max="6" width="9.875" customWidth="1"/>
    <col min="8" max="8" width="17.25" customWidth="1"/>
    <col min="11" max="11" width="11.75" customWidth="1"/>
  </cols>
  <sheetData>
    <row r="1" spans="1:13" ht="18" x14ac:dyDescent="0.25">
      <c r="A1" s="54" t="s">
        <v>4</v>
      </c>
      <c r="B1" s="54"/>
      <c r="C1" s="54"/>
      <c r="D1" s="54"/>
      <c r="E1" s="54"/>
      <c r="F1" s="54"/>
    </row>
    <row r="2" spans="1:13" ht="45" x14ac:dyDescent="0.25">
      <c r="A2" s="55" t="s">
        <v>0</v>
      </c>
      <c r="B2" s="55"/>
      <c r="C2" s="55"/>
      <c r="D2" s="55"/>
      <c r="F2" s="1" t="s">
        <v>1</v>
      </c>
      <c r="G2" s="7" t="s">
        <v>3</v>
      </c>
      <c r="H2" s="2"/>
      <c r="I2" s="2"/>
      <c r="J2" s="2"/>
      <c r="L2" s="3"/>
    </row>
    <row r="3" spans="1:13" x14ac:dyDescent="0.2">
      <c r="A3" s="2">
        <v>0.1</v>
      </c>
      <c r="B3" s="2">
        <v>0.01</v>
      </c>
      <c r="C3" s="2">
        <v>0.03</v>
      </c>
      <c r="D3" s="2">
        <v>0.05</v>
      </c>
      <c r="F3" s="3">
        <v>0.06</v>
      </c>
      <c r="G3" s="5">
        <f>F3-$B$8</f>
        <v>1.9999999999999997E-2</v>
      </c>
      <c r="H3" s="2" t="e">
        <f ca="1">getformula(G3)</f>
        <v>#NAME?</v>
      </c>
      <c r="I3" s="2"/>
      <c r="J3" s="2"/>
      <c r="K3" s="2"/>
      <c r="L3" s="2"/>
      <c r="M3" s="2"/>
    </row>
    <row r="4" spans="1:13" x14ac:dyDescent="0.2">
      <c r="A4" s="2">
        <f>B3</f>
        <v>0.01</v>
      </c>
      <c r="B4" s="2">
        <v>0.3</v>
      </c>
      <c r="C4" s="2">
        <v>0.06</v>
      </c>
      <c r="D4" s="2">
        <v>-0.04</v>
      </c>
      <c r="F4" s="3">
        <v>0.08</v>
      </c>
      <c r="G4" s="5">
        <f t="shared" ref="G4:G6" si="0">F4-$B$8</f>
        <v>0.04</v>
      </c>
      <c r="H4" s="2"/>
      <c r="I4" s="2"/>
      <c r="J4" s="2"/>
      <c r="K4" s="2"/>
      <c r="L4" s="2"/>
      <c r="M4" s="2"/>
    </row>
    <row r="5" spans="1:13" x14ac:dyDescent="0.2">
      <c r="A5" s="2">
        <f>C3</f>
        <v>0.03</v>
      </c>
      <c r="B5" s="2">
        <f>C4</f>
        <v>0.06</v>
      </c>
      <c r="C5" s="2">
        <v>0.4</v>
      </c>
      <c r="D5" s="2">
        <v>0.02</v>
      </c>
      <c r="F5" s="3">
        <v>0.1</v>
      </c>
      <c r="G5" s="5">
        <f t="shared" si="0"/>
        <v>6.0000000000000005E-2</v>
      </c>
      <c r="H5" s="2"/>
      <c r="I5" s="2"/>
      <c r="J5" s="2"/>
      <c r="K5" s="2"/>
      <c r="L5" s="2"/>
      <c r="M5" s="2"/>
    </row>
    <row r="6" spans="1:13" x14ac:dyDescent="0.2">
      <c r="A6" s="2">
        <f>D3</f>
        <v>0.05</v>
      </c>
      <c r="B6" s="2">
        <f>D4</f>
        <v>-0.04</v>
      </c>
      <c r="C6" s="2">
        <f>D5</f>
        <v>0.02</v>
      </c>
      <c r="D6" s="2">
        <v>0.5</v>
      </c>
      <c r="F6" s="3">
        <v>0.15</v>
      </c>
      <c r="G6" s="5">
        <f t="shared" si="0"/>
        <v>0.10999999999999999</v>
      </c>
      <c r="H6" s="2"/>
      <c r="I6" s="2"/>
      <c r="J6" s="2"/>
      <c r="K6" s="2"/>
      <c r="L6" s="2"/>
      <c r="M6" s="2"/>
    </row>
    <row r="8" spans="1:13" x14ac:dyDescent="0.2">
      <c r="A8" t="s">
        <v>2</v>
      </c>
      <c r="B8" s="10">
        <v>0.04</v>
      </c>
    </row>
    <row r="10" spans="1:13" ht="15" x14ac:dyDescent="0.25">
      <c r="A10" s="4" t="s">
        <v>5</v>
      </c>
    </row>
    <row r="11" spans="1:13" ht="45" x14ac:dyDescent="0.2">
      <c r="A11" s="8" t="s">
        <v>6</v>
      </c>
      <c r="B11" s="9"/>
      <c r="C11" s="9"/>
      <c r="D11" s="9"/>
      <c r="E11" s="9"/>
      <c r="F11" s="8" t="s">
        <v>8</v>
      </c>
    </row>
    <row r="12" spans="1:13" x14ac:dyDescent="0.2">
      <c r="A12" s="6">
        <f t="array" ref="A12:A15">MMULT(MINVERSE(A3:D6),F3:F6)</f>
        <v>0.38610628324643165</v>
      </c>
      <c r="B12" t="e">
        <f ca="1">getformula(A12)</f>
        <v>#NAME?</v>
      </c>
      <c r="F12" s="6">
        <f>A12/SUM($A$12:$A$15)</f>
        <v>0.35527263160809713</v>
      </c>
      <c r="G12" t="e">
        <f ca="1">getformula(F12)</f>
        <v>#NAME?</v>
      </c>
    </row>
    <row r="13" spans="1:13" x14ac:dyDescent="0.2">
      <c r="A13" s="6">
        <v>0.25673204974832409</v>
      </c>
      <c r="F13" s="6">
        <f t="shared" ref="F13:F15" si="1">A13/SUM($A$12:$A$15)</f>
        <v>0.23622995763063889</v>
      </c>
    </row>
    <row r="14" spans="1:13" x14ac:dyDescent="0.2">
      <c r="A14" s="6">
        <v>0.16877337125401595</v>
      </c>
      <c r="F14" s="6">
        <f t="shared" si="1"/>
        <v>0.15529547783223951</v>
      </c>
    </row>
    <row r="15" spans="1:13" x14ac:dyDescent="0.2">
      <c r="A15" s="6">
        <v>0.27517700080506213</v>
      </c>
      <c r="F15" s="6">
        <f t="shared" si="1"/>
        <v>0.25320193292902443</v>
      </c>
    </row>
    <row r="16" spans="1:13" x14ac:dyDescent="0.2">
      <c r="E16" t="s">
        <v>7</v>
      </c>
      <c r="F16" s="6">
        <f>SUM(F12:F15)</f>
        <v>1</v>
      </c>
      <c r="G16" t="e">
        <f ca="1">getformula(F16)</f>
        <v>#NAME?</v>
      </c>
    </row>
    <row r="18" spans="1:7" ht="15" x14ac:dyDescent="0.25">
      <c r="A18" s="4" t="str">
        <f>"Computing an envelope portfolio with constant = "&amp;TEXT(B8,"0.00%")</f>
        <v>Computing an envelope portfolio with constant = 4.00%</v>
      </c>
    </row>
    <row r="19" spans="1:7" ht="45" x14ac:dyDescent="0.2">
      <c r="A19" s="8" t="s">
        <v>6</v>
      </c>
      <c r="B19" s="9"/>
      <c r="C19" s="9"/>
      <c r="D19" s="9"/>
      <c r="E19" s="9"/>
      <c r="F19" s="8" t="s">
        <v>9</v>
      </c>
    </row>
    <row r="20" spans="1:7" x14ac:dyDescent="0.2">
      <c r="A20" s="6">
        <f t="array" ref="A20:A23">MMULT(MINVERSE(A3:D6),G3:G6)</f>
        <v>4.0396060462421612E-2</v>
      </c>
      <c r="B20" t="e">
        <f ca="1">getformula(A20)</f>
        <v>#NAME?</v>
      </c>
      <c r="F20" s="6">
        <f>A20/SUM($A$20:$A$23)</f>
        <v>7.8206024587775952E-2</v>
      </c>
      <c r="G20" t="e">
        <f ca="1">getformula(F20)</f>
        <v>#NAME?</v>
      </c>
    </row>
    <row r="21" spans="1:7" x14ac:dyDescent="0.2">
      <c r="A21" s="6">
        <v>0.13863620973748958</v>
      </c>
      <c r="F21" s="6">
        <f t="shared" ref="F21:F23" si="2">A21/SUM($A$20:$A$23)</f>
        <v>0.2683971333682923</v>
      </c>
    </row>
    <row r="22" spans="1:7" x14ac:dyDescent="0.2">
      <c r="A22" s="6">
        <v>0.11505240427661033</v>
      </c>
      <c r="F22" s="6">
        <f t="shared" si="2"/>
        <v>0.22273932296218615</v>
      </c>
    </row>
    <row r="23" spans="1:7" x14ac:dyDescent="0.2">
      <c r="A23" s="6">
        <v>0.22244919456169257</v>
      </c>
      <c r="F23" s="6">
        <f t="shared" si="2"/>
        <v>0.4306575190817456</v>
      </c>
    </row>
    <row r="24" spans="1:7" x14ac:dyDescent="0.2">
      <c r="E24" t="s">
        <v>7</v>
      </c>
      <c r="F24" s="6">
        <f>SUM(F20:F23)</f>
        <v>1</v>
      </c>
      <c r="G24" t="e">
        <f ca="1">getformula(F24)</f>
        <v>#NAME?</v>
      </c>
    </row>
    <row r="26" spans="1:7" x14ac:dyDescent="0.2">
      <c r="A26" t="s">
        <v>10</v>
      </c>
      <c r="B26" s="5">
        <f t="array" ref="B26">MMULT(TRANSPOSE(F12:F15),F3:F6)</f>
        <v>9.3724592229514556E-2</v>
      </c>
      <c r="E26" t="s">
        <v>13</v>
      </c>
      <c r="F26" s="5">
        <f t="array" ref="F26">MMULT(TRANSPOSE(F20:F23),F3:F6)</f>
        <v>0.1130366923032104</v>
      </c>
      <c r="G26" t="e">
        <f ca="1">getformula(F26)</f>
        <v>#NAME?</v>
      </c>
    </row>
    <row r="27" spans="1:7" x14ac:dyDescent="0.2">
      <c r="A27" t="s">
        <v>11</v>
      </c>
      <c r="B27" s="6">
        <f t="array" ref="B27">MMULT(MMULT(TRANSPOSE(F12:F15),A3:D6),F12:F15)</f>
        <v>8.6239939551885511E-2</v>
      </c>
      <c r="E27" t="s">
        <v>14</v>
      </c>
      <c r="F27" s="6">
        <f t="array" ref="F27">MMULT(MMULT(TRANSPOSE(F20:F23),A3:D6),F20:F23)</f>
        <v>0.14139768305843081</v>
      </c>
      <c r="G27" t="e">
        <f ca="1">getformula(F27)</f>
        <v>#NAME?</v>
      </c>
    </row>
    <row r="28" spans="1:7" x14ac:dyDescent="0.2">
      <c r="A28" t="s">
        <v>12</v>
      </c>
      <c r="B28" s="5">
        <f>SQRT(B27)</f>
        <v>0.29366637456795341</v>
      </c>
      <c r="E28" t="s">
        <v>15</v>
      </c>
      <c r="F28" s="5">
        <f>SQRT(F27)</f>
        <v>0.37602883274880772</v>
      </c>
      <c r="G28" t="e">
        <f ca="1">getformula(F28)</f>
        <v>#NAME?</v>
      </c>
    </row>
    <row r="30" spans="1:7" x14ac:dyDescent="0.2">
      <c r="A30" t="s">
        <v>16</v>
      </c>
      <c r="B30" s="6">
        <f t="array" ref="B30">MMULT(MMULT(TRANSPOSE(F12:F15),A3:D6),F20:F23)</f>
        <v>0.10400981513477467</v>
      </c>
      <c r="C30" t="e">
        <f ca="1">getformula(B30)</f>
        <v>#NAME?</v>
      </c>
    </row>
    <row r="31" spans="1:7" x14ac:dyDescent="0.2">
      <c r="A31" t="s">
        <v>17</v>
      </c>
      <c r="B31" s="6">
        <f>B30/(B28*F28)</f>
        <v>0.94188733267960922</v>
      </c>
      <c r="C31" t="e">
        <f ca="1">getformula(B31)</f>
        <v>#NAME?</v>
      </c>
    </row>
    <row r="34" spans="1:4" ht="15" x14ac:dyDescent="0.25">
      <c r="A34" s="4" t="s">
        <v>18</v>
      </c>
    </row>
    <row r="35" spans="1:4" ht="28.5" x14ac:dyDescent="0.2">
      <c r="A35" s="11" t="s">
        <v>19</v>
      </c>
      <c r="B35">
        <v>0.3</v>
      </c>
    </row>
    <row r="36" spans="1:4" ht="18.75" x14ac:dyDescent="0.35">
      <c r="A36" t="s">
        <v>21</v>
      </c>
      <c r="B36" s="5">
        <f>B35*B26+(1-B35)*F26</f>
        <v>0.10724306228110164</v>
      </c>
      <c r="C36" t="e">
        <f ca="1">getformula(B36)</f>
        <v>#NAME?</v>
      </c>
    </row>
    <row r="37" spans="1:4" ht="18.75" x14ac:dyDescent="0.35">
      <c r="A37" t="s">
        <v>22</v>
      </c>
      <c r="B37" s="6">
        <f>B35^2*B27+(1-B35)^2*F27+2*B35*(1-B35)*B30</f>
        <v>0.12073058161490614</v>
      </c>
      <c r="C37" t="e">
        <f ca="1">getformula(B37)</f>
        <v>#NAME?</v>
      </c>
    </row>
    <row r="38" spans="1:4" ht="18.75" x14ac:dyDescent="0.35">
      <c r="A38" t="s">
        <v>20</v>
      </c>
      <c r="B38" s="5">
        <f>SQRT(B37)</f>
        <v>0.34746306510894959</v>
      </c>
      <c r="C38" t="e">
        <f ca="1">getformula(B38)</f>
        <v>#NAME?</v>
      </c>
    </row>
    <row r="40" spans="1:4" ht="15" x14ac:dyDescent="0.25">
      <c r="A40" s="4" t="s">
        <v>23</v>
      </c>
    </row>
    <row r="41" spans="1:4" ht="30" x14ac:dyDescent="0.25">
      <c r="A41" s="1" t="s">
        <v>24</v>
      </c>
      <c r="B41" s="12" t="s">
        <v>25</v>
      </c>
      <c r="C41" s="12" t="s">
        <v>26</v>
      </c>
    </row>
    <row r="42" spans="1:4" x14ac:dyDescent="0.2">
      <c r="B42" s="10">
        <f>B38</f>
        <v>0.34746306510894959</v>
      </c>
      <c r="C42" s="10">
        <f>B36</f>
        <v>0.10724306228110164</v>
      </c>
      <c r="D42" t="e">
        <f ca="1">getformula(C42)&amp;", data table header"</f>
        <v>#NAME?</v>
      </c>
    </row>
    <row r="43" spans="1:4" x14ac:dyDescent="0.2">
      <c r="A43" s="23">
        <v>-1.5</v>
      </c>
      <c r="B43" s="5">
        <f t="dataTable" ref="B43:C65" dt2D="0" dtr="0" r1="B35"/>
        <v>0.54562053626684992</v>
      </c>
      <c r="C43" s="5">
        <v>0.14200484241375419</v>
      </c>
    </row>
    <row r="44" spans="1:4" x14ac:dyDescent="0.2">
      <c r="A44" s="23">
        <v>-1.2</v>
      </c>
      <c r="B44" s="5">
        <v>0.50929213134105078</v>
      </c>
      <c r="C44" s="5">
        <v>0.13621121239164544</v>
      </c>
    </row>
    <row r="45" spans="1:4" x14ac:dyDescent="0.2">
      <c r="A45" s="23">
        <v>-1</v>
      </c>
      <c r="B45" s="5">
        <v>0.48558357802391755</v>
      </c>
      <c r="C45" s="5">
        <v>0.13234879237690622</v>
      </c>
    </row>
    <row r="46" spans="1:4" x14ac:dyDescent="0.2">
      <c r="A46" s="23">
        <v>-0.8</v>
      </c>
      <c r="B46" s="5">
        <v>0.46235677440086403</v>
      </c>
      <c r="C46" s="5">
        <v>0.12848637236216706</v>
      </c>
    </row>
    <row r="47" spans="1:4" x14ac:dyDescent="0.2">
      <c r="A47" s="23">
        <v>-0.6</v>
      </c>
      <c r="B47" s="5">
        <v>0.43968807330821968</v>
      </c>
      <c r="C47" s="5">
        <v>0.12462395234742792</v>
      </c>
    </row>
    <row r="48" spans="1:4" x14ac:dyDescent="0.2">
      <c r="A48" s="23">
        <v>-0.4</v>
      </c>
      <c r="B48" s="5">
        <v>0.41766835668012781</v>
      </c>
      <c r="C48" s="5">
        <v>0.12076153233268871</v>
      </c>
    </row>
    <row r="49" spans="1:3" x14ac:dyDescent="0.2">
      <c r="A49" s="23">
        <v>-0.2</v>
      </c>
      <c r="B49" s="5">
        <v>0.39640578946519428</v>
      </c>
      <c r="C49" s="5">
        <v>0.11689911231794957</v>
      </c>
    </row>
    <row r="50" spans="1:3" x14ac:dyDescent="0.2">
      <c r="A50" s="23">
        <v>0</v>
      </c>
      <c r="B50" s="5">
        <v>0.37602883274880772</v>
      </c>
      <c r="C50" s="5">
        <v>0.1130366923032104</v>
      </c>
    </row>
    <row r="51" spans="1:3" x14ac:dyDescent="0.2">
      <c r="A51" s="23">
        <v>0.25</v>
      </c>
      <c r="B51" s="5">
        <v>0.35203675037970206</v>
      </c>
      <c r="C51" s="5">
        <v>0.10820866728478644</v>
      </c>
    </row>
    <row r="52" spans="1:3" x14ac:dyDescent="0.2">
      <c r="A52" s="23">
        <v>0.5</v>
      </c>
      <c r="B52" s="5">
        <v>0.33002168598437048</v>
      </c>
      <c r="C52" s="5">
        <v>0.10338064226636248</v>
      </c>
    </row>
    <row r="53" spans="1:3" x14ac:dyDescent="0.2">
      <c r="A53" s="23">
        <v>0.75</v>
      </c>
      <c r="B53" s="5">
        <v>0.31040457771210145</v>
      </c>
      <c r="C53" s="5">
        <v>9.8552617247938512E-2</v>
      </c>
    </row>
    <row r="54" spans="1:3" x14ac:dyDescent="0.2">
      <c r="A54" s="23">
        <v>0.8</v>
      </c>
      <c r="B54" s="5">
        <v>0.30681038033070501</v>
      </c>
      <c r="C54" s="5">
        <v>9.7587012244253715E-2</v>
      </c>
    </row>
    <row r="55" spans="1:3" x14ac:dyDescent="0.2">
      <c r="A55" s="23">
        <v>1</v>
      </c>
      <c r="B55" s="5">
        <v>0.29366637456795341</v>
      </c>
      <c r="C55" s="5">
        <v>9.3724592229514556E-2</v>
      </c>
    </row>
    <row r="56" spans="1:3" x14ac:dyDescent="0.2">
      <c r="A56" s="23">
        <v>1.2</v>
      </c>
      <c r="B56" s="5">
        <v>0.28269543507520695</v>
      </c>
      <c r="C56" s="5">
        <v>8.9862172214775396E-2</v>
      </c>
    </row>
    <row r="57" spans="1:3" x14ac:dyDescent="0.2">
      <c r="A57" s="23">
        <v>1.4</v>
      </c>
      <c r="B57" s="5">
        <v>0.27415856335357625</v>
      </c>
      <c r="C57" s="5">
        <v>8.5999752200036222E-2</v>
      </c>
    </row>
    <row r="58" spans="1:3" x14ac:dyDescent="0.2">
      <c r="A58" s="23">
        <v>1.6</v>
      </c>
      <c r="B58" s="5">
        <v>0.26828821460342733</v>
      </c>
      <c r="C58" s="5">
        <v>8.2137332185297035E-2</v>
      </c>
    </row>
    <row r="59" spans="1:3" x14ac:dyDescent="0.2">
      <c r="A59" s="23">
        <v>1.8</v>
      </c>
      <c r="B59" s="5">
        <v>0.26526148178232306</v>
      </c>
      <c r="C59" s="5">
        <v>7.8274912170557889E-2</v>
      </c>
    </row>
    <row r="60" spans="1:3" x14ac:dyDescent="0.2">
      <c r="A60" s="23">
        <v>2</v>
      </c>
      <c r="B60" s="5">
        <v>0.26517575440992747</v>
      </c>
      <c r="C60" s="5">
        <v>7.4412492155818716E-2</v>
      </c>
    </row>
    <row r="61" spans="1:3" x14ac:dyDescent="0.2">
      <c r="A61" s="23">
        <v>2.2000000000000002</v>
      </c>
      <c r="B61" s="5">
        <v>0.26803385443569622</v>
      </c>
      <c r="C61" s="5">
        <v>7.0550072141079528E-2</v>
      </c>
    </row>
    <row r="62" spans="1:3" x14ac:dyDescent="0.2">
      <c r="A62" s="23">
        <v>2.4</v>
      </c>
      <c r="B62" s="5">
        <v>0.27374358971069834</v>
      </c>
      <c r="C62" s="5">
        <v>6.6687652126340397E-2</v>
      </c>
    </row>
    <row r="63" spans="1:3" x14ac:dyDescent="0.2">
      <c r="A63" s="23">
        <v>2.6</v>
      </c>
      <c r="B63" s="5">
        <v>0.2821318806498192</v>
      </c>
      <c r="C63" s="5">
        <v>6.2825232111601209E-2</v>
      </c>
    </row>
    <row r="64" spans="1:3" x14ac:dyDescent="0.2">
      <c r="A64" s="23">
        <v>2.8</v>
      </c>
      <c r="B64" s="5">
        <v>0.29296874003478501</v>
      </c>
      <c r="C64" s="5">
        <v>5.8962812096862049E-2</v>
      </c>
    </row>
    <row r="65" spans="1:3" x14ac:dyDescent="0.2">
      <c r="A65" s="23">
        <v>3</v>
      </c>
      <c r="B65" s="14">
        <v>0.30599412834790946</v>
      </c>
      <c r="C65" s="14">
        <v>5.5100392082122862E-2</v>
      </c>
    </row>
  </sheetData>
  <mergeCells count="2">
    <mergeCell ref="A1:F1"/>
    <mergeCell ref="A2:D2"/>
  </mergeCells>
  <printOptions headings="1" gridLines="1"/>
  <pageMargins left="0.7" right="0.7" top="0.75" bottom="0.75" header="0.3" footer="0.3"/>
  <pageSetup paperSize="9" orientation="portrait" verticalDpi="4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G17"/>
  <sheetViews>
    <sheetView workbookViewId="0">
      <selection sqref="A1:G1"/>
    </sheetView>
  </sheetViews>
  <sheetFormatPr defaultRowHeight="14.25" x14ac:dyDescent="0.2"/>
  <cols>
    <col min="1" max="1" width="10" customWidth="1"/>
    <col min="7" max="7" width="26.625" customWidth="1"/>
  </cols>
  <sheetData>
    <row r="1" spans="1:7" ht="18" x14ac:dyDescent="0.25">
      <c r="A1" s="54" t="s">
        <v>27</v>
      </c>
      <c r="B1" s="54"/>
      <c r="C1" s="54"/>
      <c r="D1" s="54"/>
      <c r="E1" s="54"/>
      <c r="F1" s="54"/>
      <c r="G1" s="54"/>
    </row>
    <row r="2" spans="1:7" ht="45" x14ac:dyDescent="0.25">
      <c r="A2" s="55" t="s">
        <v>0</v>
      </c>
      <c r="B2" s="55"/>
      <c r="C2" s="55"/>
      <c r="D2" s="55"/>
      <c r="F2" s="1" t="s">
        <v>1</v>
      </c>
    </row>
    <row r="3" spans="1:7" x14ac:dyDescent="0.2">
      <c r="A3" s="2">
        <v>0.1</v>
      </c>
      <c r="B3" s="2">
        <v>0.01</v>
      </c>
      <c r="C3" s="2">
        <v>0.03</v>
      </c>
      <c r="D3" s="2">
        <v>0.05</v>
      </c>
      <c r="F3" s="3">
        <v>0.06</v>
      </c>
    </row>
    <row r="4" spans="1:7" x14ac:dyDescent="0.2">
      <c r="A4" s="2">
        <f>B3</f>
        <v>0.01</v>
      </c>
      <c r="B4" s="2">
        <v>0.3</v>
      </c>
      <c r="C4" s="2">
        <v>0.06</v>
      </c>
      <c r="D4" s="2">
        <v>-0.04</v>
      </c>
      <c r="F4" s="3">
        <v>0.08</v>
      </c>
    </row>
    <row r="5" spans="1:7" x14ac:dyDescent="0.2">
      <c r="A5" s="2">
        <f>C3</f>
        <v>0.03</v>
      </c>
      <c r="B5" s="2">
        <f>C4</f>
        <v>0.06</v>
      </c>
      <c r="C5" s="2">
        <v>0.4</v>
      </c>
      <c r="D5" s="2">
        <v>0.02</v>
      </c>
      <c r="F5" s="3">
        <v>0.1</v>
      </c>
    </row>
    <row r="6" spans="1:7" x14ac:dyDescent="0.2">
      <c r="A6" s="2">
        <f>D3</f>
        <v>0.05</v>
      </c>
      <c r="B6" s="2">
        <f>D4</f>
        <v>-0.04</v>
      </c>
      <c r="C6" s="2">
        <f>D5</f>
        <v>0.02</v>
      </c>
      <c r="D6" s="2">
        <v>0.5</v>
      </c>
      <c r="F6" s="3">
        <v>0.15</v>
      </c>
    </row>
    <row r="8" spans="1:7" x14ac:dyDescent="0.2">
      <c r="A8" t="s">
        <v>28</v>
      </c>
      <c r="B8" s="3">
        <v>0.04</v>
      </c>
    </row>
    <row r="10" spans="1:7" ht="30" x14ac:dyDescent="0.25">
      <c r="A10" s="1" t="s">
        <v>29</v>
      </c>
    </row>
    <row r="11" spans="1:7" ht="13.9" customHeight="1" x14ac:dyDescent="0.2">
      <c r="A11" s="6">
        <f t="array" ref="A11:A14">MMULT(MINVERSE(A3:D6),F3:F6-B8)/SUM(MMULT(MINVERSE(A3:D6),F3:F6-B8))</f>
        <v>7.8206024587775952E-2</v>
      </c>
      <c r="B11" s="56" t="e">
        <f ca="1">getformula(A11)</f>
        <v>#NAME?</v>
      </c>
      <c r="C11" s="56"/>
      <c r="D11" s="56"/>
      <c r="E11" s="56"/>
      <c r="F11" s="56"/>
    </row>
    <row r="12" spans="1:7" x14ac:dyDescent="0.2">
      <c r="A12" s="6">
        <v>0.2683971333682923</v>
      </c>
      <c r="B12" s="56"/>
      <c r="C12" s="56"/>
      <c r="D12" s="56"/>
      <c r="E12" s="56"/>
      <c r="F12" s="56"/>
    </row>
    <row r="13" spans="1:7" x14ac:dyDescent="0.2">
      <c r="A13" s="6">
        <v>0.22273932296218615</v>
      </c>
      <c r="B13" s="56"/>
      <c r="C13" s="56"/>
      <c r="D13" s="56"/>
      <c r="E13" s="56"/>
      <c r="F13" s="56"/>
    </row>
    <row r="14" spans="1:7" x14ac:dyDescent="0.2">
      <c r="A14" s="6">
        <v>0.4306575190817456</v>
      </c>
      <c r="B14" s="56"/>
      <c r="C14" s="56"/>
      <c r="D14" s="56"/>
      <c r="E14" s="56"/>
      <c r="F14" s="56"/>
    </row>
    <row r="16" spans="1:7" ht="28.5" x14ac:dyDescent="0.2">
      <c r="A16" s="11" t="s">
        <v>30</v>
      </c>
      <c r="B16" s="5">
        <f>SUMPRODUCT(A11:A14,F3:F6)</f>
        <v>0.1130366923032104</v>
      </c>
      <c r="C16" t="e">
        <f ca="1">getformula(B16)</f>
        <v>#NAME?</v>
      </c>
    </row>
    <row r="17" spans="1:3" ht="28.5" x14ac:dyDescent="0.2">
      <c r="A17" s="11" t="s">
        <v>31</v>
      </c>
      <c r="B17" s="5">
        <f t="array" ref="B17">SQRT(MMULT(MMULT(TRANSPOSE(A11:A14),A3:D6),A11:A14))</f>
        <v>0.37602883274880772</v>
      </c>
      <c r="C17" t="e">
        <f ca="1">getformula(B17)</f>
        <v>#NAME?</v>
      </c>
    </row>
  </sheetData>
  <mergeCells count="3">
    <mergeCell ref="A2:D2"/>
    <mergeCell ref="A1:G1"/>
    <mergeCell ref="B11:F14"/>
  </mergeCells>
  <printOptions headings="1" gridLines="1"/>
  <pageMargins left="0.7" right="0.7" top="0.75" bottom="0.75" header="0.3" footer="0.3"/>
  <pageSetup paperSize="9" orientation="portrait" verticalDpi="4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G17"/>
  <sheetViews>
    <sheetView workbookViewId="0">
      <selection sqref="A1:G1"/>
    </sheetView>
  </sheetViews>
  <sheetFormatPr defaultRowHeight="14.25" x14ac:dyDescent="0.2"/>
  <cols>
    <col min="1" max="1" width="10" customWidth="1"/>
    <col min="7" max="7" width="26.625" customWidth="1"/>
  </cols>
  <sheetData>
    <row r="1" spans="1:7" ht="18" x14ac:dyDescent="0.25">
      <c r="A1" s="54" t="s">
        <v>27</v>
      </c>
      <c r="B1" s="54"/>
      <c r="C1" s="54"/>
      <c r="D1" s="54"/>
      <c r="E1" s="54"/>
      <c r="F1" s="54"/>
      <c r="G1" s="54"/>
    </row>
    <row r="2" spans="1:7" ht="45" x14ac:dyDescent="0.25">
      <c r="A2" s="55" t="s">
        <v>0</v>
      </c>
      <c r="B2" s="55"/>
      <c r="C2" s="55"/>
      <c r="D2" s="55"/>
      <c r="F2" s="1" t="s">
        <v>1</v>
      </c>
    </row>
    <row r="3" spans="1:7" x14ac:dyDescent="0.2">
      <c r="A3" s="2">
        <v>0.1</v>
      </c>
      <c r="B3" s="2">
        <v>0.01</v>
      </c>
      <c r="C3" s="2">
        <v>0.03</v>
      </c>
      <c r="D3" s="2">
        <v>0.05</v>
      </c>
      <c r="F3" s="3">
        <v>0.06</v>
      </c>
    </row>
    <row r="4" spans="1:7" x14ac:dyDescent="0.2">
      <c r="A4" s="2">
        <f>B3</f>
        <v>0.01</v>
      </c>
      <c r="B4" s="2">
        <v>0.3</v>
      </c>
      <c r="C4" s="2">
        <v>0.06</v>
      </c>
      <c r="D4" s="2">
        <v>-0.04</v>
      </c>
      <c r="F4" s="3">
        <v>0.08</v>
      </c>
    </row>
    <row r="5" spans="1:7" x14ac:dyDescent="0.2">
      <c r="A5" s="2">
        <f>C3</f>
        <v>0.03</v>
      </c>
      <c r="B5" s="2">
        <f>C4</f>
        <v>0.06</v>
      </c>
      <c r="C5" s="2">
        <v>0.4</v>
      </c>
      <c r="D5" s="2">
        <v>0.02</v>
      </c>
      <c r="F5" s="3">
        <v>0.1</v>
      </c>
    </row>
    <row r="6" spans="1:7" x14ac:dyDescent="0.2">
      <c r="A6" s="2">
        <f>D3</f>
        <v>0.05</v>
      </c>
      <c r="B6" s="2">
        <f>D4</f>
        <v>-0.04</v>
      </c>
      <c r="C6" s="2">
        <f>D5</f>
        <v>0.02</v>
      </c>
      <c r="D6" s="2">
        <v>0.5</v>
      </c>
      <c r="F6" s="3">
        <v>0.15</v>
      </c>
    </row>
    <row r="8" spans="1:7" x14ac:dyDescent="0.2">
      <c r="A8" t="s">
        <v>28</v>
      </c>
      <c r="B8" s="3">
        <v>0.04</v>
      </c>
    </row>
    <row r="10" spans="1:7" ht="30" x14ac:dyDescent="0.25">
      <c r="A10" s="1" t="s">
        <v>29</v>
      </c>
    </row>
    <row r="11" spans="1:7" ht="13.9" customHeight="1" x14ac:dyDescent="0.2">
      <c r="A11" s="6">
        <f t="array" ref="A11:A14">MMULT(MINVERSE(varcov),means-B8)/SUM(MMULT(MINVERSE(varcov),means-B8))</f>
        <v>7.8206024587775952E-2</v>
      </c>
      <c r="B11" s="56" t="e">
        <f ca="1">getformula(A11)</f>
        <v>#NAME?</v>
      </c>
      <c r="C11" s="56"/>
      <c r="D11" s="56"/>
      <c r="E11" s="56"/>
      <c r="F11" s="56"/>
    </row>
    <row r="12" spans="1:7" x14ac:dyDescent="0.2">
      <c r="A12" s="6">
        <v>0.2683971333682923</v>
      </c>
      <c r="B12" s="56"/>
      <c r="C12" s="56"/>
      <c r="D12" s="56"/>
      <c r="E12" s="56"/>
      <c r="F12" s="56"/>
    </row>
    <row r="13" spans="1:7" x14ac:dyDescent="0.2">
      <c r="A13" s="6">
        <v>0.22273932296218615</v>
      </c>
      <c r="B13" s="56"/>
      <c r="C13" s="56"/>
      <c r="D13" s="56"/>
      <c r="E13" s="56"/>
      <c r="F13" s="56"/>
    </row>
    <row r="14" spans="1:7" x14ac:dyDescent="0.2">
      <c r="A14" s="6">
        <v>0.4306575190817456</v>
      </c>
      <c r="B14" s="56"/>
      <c r="C14" s="56"/>
      <c r="D14" s="56"/>
      <c r="E14" s="56"/>
      <c r="F14" s="56"/>
    </row>
    <row r="16" spans="1:7" ht="28.5" x14ac:dyDescent="0.2">
      <c r="A16" s="11" t="s">
        <v>30</v>
      </c>
      <c r="B16" s="14">
        <f>SUMPRODUCT(portx,means)</f>
        <v>0.1130366923032104</v>
      </c>
      <c r="C16" t="e">
        <f ca="1">getformula(B16)</f>
        <v>#NAME?</v>
      </c>
    </row>
    <row r="17" spans="1:3" ht="28.5" x14ac:dyDescent="0.2">
      <c r="A17" s="11" t="s">
        <v>31</v>
      </c>
      <c r="B17" s="14">
        <f t="array" ref="B17">SQRT(MMULT(MMULT(TRANSPOSE(portx),varcov),portx))</f>
        <v>0.37602883274880772</v>
      </c>
      <c r="C17" t="e">
        <f ca="1">getformula(B17)</f>
        <v>#NAME?</v>
      </c>
    </row>
  </sheetData>
  <mergeCells count="3">
    <mergeCell ref="A1:G1"/>
    <mergeCell ref="A2:D2"/>
    <mergeCell ref="B11:F14"/>
  </mergeCells>
  <printOptions headings="1" gridLines="1"/>
  <pageMargins left="0.7" right="0.7" top="0.75" bottom="0.75" header="0.3" footer="0.3"/>
  <pageSetup paperSize="9" orientation="portrait" verticalDpi="4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H26"/>
  <sheetViews>
    <sheetView workbookViewId="0">
      <selection sqref="A1:G1"/>
    </sheetView>
  </sheetViews>
  <sheetFormatPr defaultRowHeight="14.25" x14ac:dyDescent="0.2"/>
  <cols>
    <col min="1" max="1" width="11.5" customWidth="1"/>
    <col min="7" max="7" width="19.5" customWidth="1"/>
    <col min="8" max="8" width="16.875" customWidth="1"/>
  </cols>
  <sheetData>
    <row r="1" spans="1:8" ht="36" customHeight="1" x14ac:dyDescent="0.25">
      <c r="A1" s="58" t="s">
        <v>32</v>
      </c>
      <c r="B1" s="59"/>
      <c r="C1" s="59"/>
      <c r="D1" s="59"/>
      <c r="E1" s="59"/>
      <c r="F1" s="59"/>
      <c r="G1" s="59"/>
      <c r="H1" s="13"/>
    </row>
    <row r="2" spans="1:8" ht="45" x14ac:dyDescent="0.25">
      <c r="A2" s="55" t="s">
        <v>0</v>
      </c>
      <c r="B2" s="55"/>
      <c r="C2" s="55"/>
      <c r="D2" s="55"/>
      <c r="F2" s="1" t="s">
        <v>1</v>
      </c>
    </row>
    <row r="3" spans="1:8" x14ac:dyDescent="0.2">
      <c r="A3" s="2">
        <v>0.1</v>
      </c>
      <c r="B3" s="2">
        <v>0.01</v>
      </c>
      <c r="C3" s="2">
        <v>0.03</v>
      </c>
      <c r="D3" s="2">
        <v>0.05</v>
      </c>
      <c r="F3" s="3">
        <v>0.06</v>
      </c>
    </row>
    <row r="4" spans="1:8" x14ac:dyDescent="0.2">
      <c r="A4" s="2">
        <f>B3</f>
        <v>0.01</v>
      </c>
      <c r="B4" s="2">
        <v>0.3</v>
      </c>
      <c r="C4" s="2">
        <v>0.06</v>
      </c>
      <c r="D4" s="2">
        <v>-0.04</v>
      </c>
      <c r="F4" s="3">
        <v>0.08</v>
      </c>
    </row>
    <row r="5" spans="1:8" x14ac:dyDescent="0.2">
      <c r="A5" s="2">
        <f>C3</f>
        <v>0.03</v>
      </c>
      <c r="B5" s="2">
        <f>C4</f>
        <v>0.06</v>
      </c>
      <c r="C5" s="2">
        <v>0.4</v>
      </c>
      <c r="D5" s="2">
        <v>0.02</v>
      </c>
      <c r="F5" s="3">
        <v>0.1</v>
      </c>
    </row>
    <row r="6" spans="1:8" x14ac:dyDescent="0.2">
      <c r="A6" s="2">
        <f>D3</f>
        <v>0.05</v>
      </c>
      <c r="B6" s="2">
        <f>D4</f>
        <v>-0.04</v>
      </c>
      <c r="C6" s="2">
        <f>D5</f>
        <v>0.02</v>
      </c>
      <c r="D6" s="2">
        <v>0.5</v>
      </c>
      <c r="F6" s="3">
        <v>0.15</v>
      </c>
    </row>
    <row r="8" spans="1:8" x14ac:dyDescent="0.2">
      <c r="A8" t="s">
        <v>28</v>
      </c>
      <c r="B8" s="3">
        <v>0</v>
      </c>
      <c r="C8" s="3">
        <v>0.04</v>
      </c>
      <c r="D8" s="3">
        <v>0.06</v>
      </c>
    </row>
    <row r="10" spans="1:8" ht="30" x14ac:dyDescent="0.25">
      <c r="A10" s="1"/>
      <c r="B10" s="1" t="s">
        <v>34</v>
      </c>
      <c r="C10" s="1" t="s">
        <v>33</v>
      </c>
      <c r="D10" s="1" t="s">
        <v>35</v>
      </c>
    </row>
    <row r="11" spans="1:8" ht="13.9" customHeight="1" x14ac:dyDescent="0.2">
      <c r="A11" s="6"/>
      <c r="B11" s="15">
        <f t="array" ref="B11:B14">MMULT(MINVERSE(varcov),means-B8)/SUM(MMULT(MINVERSE(varcov),means-B8))</f>
        <v>0.35527263160809713</v>
      </c>
      <c r="C11" s="15">
        <f t="array" ref="C11:C14">MMULT(MINVERSE(varcov),means-C8)/SUM(MMULT(MINVERSE(varcov),means-C8))</f>
        <v>7.8206024587775952E-2</v>
      </c>
      <c r="D11" s="15">
        <f t="array" ref="D11:D14">MMULT(MINVERSE(varcov),means-D8)/SUM(MMULT(MINVERSE(varcov),means-D8))</f>
        <v>-0.57240863571335665</v>
      </c>
      <c r="E11" s="56" t="e">
        <f ca="1">getformula(D11)</f>
        <v>#NAME?</v>
      </c>
      <c r="F11" s="56"/>
      <c r="G11" s="56"/>
    </row>
    <row r="12" spans="1:8" x14ac:dyDescent="0.2">
      <c r="A12" s="6"/>
      <c r="B12" s="15">
        <v>0.23622995763063889</v>
      </c>
      <c r="C12" s="15">
        <v>0.2683971333682923</v>
      </c>
      <c r="D12" s="15">
        <v>0.34393289114319164</v>
      </c>
      <c r="E12" s="56"/>
      <c r="F12" s="56"/>
      <c r="G12" s="56"/>
    </row>
    <row r="13" spans="1:8" x14ac:dyDescent="0.2">
      <c r="A13" s="6"/>
      <c r="B13" s="15">
        <v>0.15529547783223951</v>
      </c>
      <c r="C13" s="15">
        <v>0.22273932296218615</v>
      </c>
      <c r="D13" s="15">
        <v>0.38111262843022503</v>
      </c>
      <c r="E13" s="56"/>
      <c r="F13" s="56"/>
      <c r="G13" s="56"/>
    </row>
    <row r="14" spans="1:8" x14ac:dyDescent="0.2">
      <c r="A14" s="6"/>
      <c r="B14" s="15">
        <v>0.25320193292902443</v>
      </c>
      <c r="C14" s="15">
        <v>0.4306575190817456</v>
      </c>
      <c r="D14" s="15">
        <v>0.84736311613994009</v>
      </c>
      <c r="E14" s="56"/>
      <c r="F14" s="56"/>
      <c r="G14" s="56"/>
    </row>
    <row r="16" spans="1:8" ht="28.5" x14ac:dyDescent="0.2">
      <c r="A16" s="11" t="s">
        <v>30</v>
      </c>
      <c r="B16" s="14">
        <f>SUMPRODUCT(portfoliox,means)</f>
        <v>9.3724592229514556E-2</v>
      </c>
      <c r="C16" s="14">
        <f>SUMPRODUCT(portfolioy,means)</f>
        <v>0.1130366923032104</v>
      </c>
      <c r="D16" s="14">
        <f>SUMPRODUCT(portfolioz,means)</f>
        <v>0.15838584341266745</v>
      </c>
      <c r="E16" t="e">
        <f ca="1">getformula(D16)</f>
        <v>#NAME?</v>
      </c>
    </row>
    <row r="17" spans="1:7" ht="28.5" x14ac:dyDescent="0.2">
      <c r="A17" s="11" t="s">
        <v>31</v>
      </c>
      <c r="B17" s="14">
        <f t="array" ref="B17">SQRT(MMULT(MMULT(TRANSPOSE(portfoliox),varcov),portfoliox))</f>
        <v>0.29366637456795341</v>
      </c>
      <c r="C17" s="14">
        <f t="array" ref="C17">SQRT(MMULT(MMULT(TRANSPOSE(portfolioy),varcov),portfolioy))</f>
        <v>0.37602883274880772</v>
      </c>
      <c r="D17" s="14">
        <f t="array" ref="D17">SQRT(MMULT(MMULT(TRANSPOSE(portfolioz),varcov),portfolioz))</f>
        <v>0.65204651123986135</v>
      </c>
      <c r="E17" s="57" t="e">
        <f ca="1">getformula(D17)</f>
        <v>#NAME?</v>
      </c>
      <c r="F17" s="57"/>
      <c r="G17" s="57"/>
    </row>
    <row r="18" spans="1:7" x14ac:dyDescent="0.2">
      <c r="E18" s="57"/>
      <c r="F18" s="57"/>
      <c r="G18" s="57"/>
    </row>
    <row r="20" spans="1:7" ht="15" x14ac:dyDescent="0.25">
      <c r="A20" s="4" t="s">
        <v>42</v>
      </c>
    </row>
    <row r="21" spans="1:7" x14ac:dyDescent="0.2">
      <c r="A21" s="16" t="s">
        <v>41</v>
      </c>
      <c r="B21" s="16">
        <f>(D11-C11)/(B11-C11)</f>
        <v>-2.3482247366367539</v>
      </c>
      <c r="C21" t="e">
        <f ca="1">getformula(B21)</f>
        <v>#NAME?</v>
      </c>
    </row>
    <row r="22" spans="1:7" x14ac:dyDescent="0.2">
      <c r="A22" t="s">
        <v>36</v>
      </c>
    </row>
    <row r="23" spans="1:7" x14ac:dyDescent="0.2">
      <c r="A23" t="s">
        <v>37</v>
      </c>
      <c r="B23" s="6">
        <f>$B$21*B11+(1-$B$21)*C11</f>
        <v>-0.57240863571335676</v>
      </c>
      <c r="C23" t="e">
        <f ca="1">getformula(B23)</f>
        <v>#NAME?</v>
      </c>
    </row>
    <row r="24" spans="1:7" x14ac:dyDescent="0.2">
      <c r="A24" t="s">
        <v>38</v>
      </c>
      <c r="B24" s="6">
        <f t="shared" ref="B24:B26" si="0">$B$21*B12+(1-$B$21)*C12</f>
        <v>0.3439328911431917</v>
      </c>
      <c r="C24" t="e">
        <f ca="1">getformula(B24)</f>
        <v>#NAME?</v>
      </c>
    </row>
    <row r="25" spans="1:7" x14ac:dyDescent="0.2">
      <c r="A25" t="s">
        <v>39</v>
      </c>
      <c r="B25" s="6">
        <f t="shared" si="0"/>
        <v>0.38111262843022509</v>
      </c>
      <c r="C25" t="e">
        <f ca="1">getformula(B25)</f>
        <v>#NAME?</v>
      </c>
    </row>
    <row r="26" spans="1:7" x14ac:dyDescent="0.2">
      <c r="A26" t="s">
        <v>40</v>
      </c>
      <c r="B26" s="6">
        <f t="shared" si="0"/>
        <v>0.84736311613994009</v>
      </c>
      <c r="C26" t="e">
        <f ca="1">getformula(B26)</f>
        <v>#NAME?</v>
      </c>
    </row>
  </sheetData>
  <mergeCells count="4">
    <mergeCell ref="E17:G18"/>
    <mergeCell ref="A1:G1"/>
    <mergeCell ref="A2:D2"/>
    <mergeCell ref="E11:G14"/>
  </mergeCells>
  <printOptions headings="1" gridLines="1"/>
  <pageMargins left="0.7" right="0.7" top="0.75" bottom="0.75" header="0.3" footer="0.3"/>
  <pageSetup paperSize="9" orientation="portrait" verticalDpi="4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6"/>
  <dimension ref="A1:H44"/>
  <sheetViews>
    <sheetView workbookViewId="0">
      <selection sqref="A1:G1"/>
    </sheetView>
  </sheetViews>
  <sheetFormatPr defaultRowHeight="14.25" x14ac:dyDescent="0.2"/>
  <cols>
    <col min="1" max="1" width="11.5" customWidth="1"/>
    <col min="7" max="7" width="19.5" customWidth="1"/>
    <col min="8" max="8" width="16.875" customWidth="1"/>
  </cols>
  <sheetData>
    <row r="1" spans="1:8" ht="29.45" customHeight="1" x14ac:dyDescent="0.25">
      <c r="A1" s="58" t="s">
        <v>43</v>
      </c>
      <c r="B1" s="59"/>
      <c r="C1" s="59"/>
      <c r="D1" s="59"/>
      <c r="E1" s="59"/>
      <c r="F1" s="59"/>
      <c r="G1" s="59"/>
      <c r="H1" s="13"/>
    </row>
    <row r="2" spans="1:8" ht="45" x14ac:dyDescent="0.25">
      <c r="A2" s="55" t="s">
        <v>0</v>
      </c>
      <c r="B2" s="55"/>
      <c r="C2" s="55"/>
      <c r="D2" s="55"/>
      <c r="F2" s="1" t="s">
        <v>1</v>
      </c>
    </row>
    <row r="3" spans="1:8" x14ac:dyDescent="0.2">
      <c r="A3" s="2">
        <v>0.1</v>
      </c>
      <c r="B3" s="2">
        <v>0.01</v>
      </c>
      <c r="C3" s="2">
        <v>0.03</v>
      </c>
      <c r="D3" s="2">
        <v>0.05</v>
      </c>
      <c r="F3" s="3">
        <v>0.06</v>
      </c>
    </row>
    <row r="4" spans="1:8" x14ac:dyDescent="0.2">
      <c r="A4" s="2">
        <f>B3</f>
        <v>0.01</v>
      </c>
      <c r="B4" s="2">
        <v>0.3</v>
      </c>
      <c r="C4" s="2">
        <v>0.06</v>
      </c>
      <c r="D4" s="2">
        <v>-0.04</v>
      </c>
      <c r="F4" s="3">
        <v>0.08</v>
      </c>
    </row>
    <row r="5" spans="1:8" x14ac:dyDescent="0.2">
      <c r="A5" s="2">
        <f>C3</f>
        <v>0.03</v>
      </c>
      <c r="B5" s="2">
        <f>C4</f>
        <v>0.06</v>
      </c>
      <c r="C5" s="2">
        <v>0.4</v>
      </c>
      <c r="D5" s="2">
        <v>0.02</v>
      </c>
      <c r="F5" s="3">
        <v>0.1</v>
      </c>
    </row>
    <row r="6" spans="1:8" x14ac:dyDescent="0.2">
      <c r="A6" s="2">
        <f>D3</f>
        <v>0.05</v>
      </c>
      <c r="B6" s="2">
        <f>D4</f>
        <v>-0.04</v>
      </c>
      <c r="C6" s="2">
        <f>D5</f>
        <v>0.02</v>
      </c>
      <c r="D6" s="2">
        <v>0.5</v>
      </c>
      <c r="F6" s="3">
        <v>0.15</v>
      </c>
    </row>
    <row r="8" spans="1:8" x14ac:dyDescent="0.2">
      <c r="A8" t="s">
        <v>28</v>
      </c>
      <c r="B8" s="24">
        <v>0.11</v>
      </c>
      <c r="C8" s="3">
        <v>0.04</v>
      </c>
      <c r="D8" s="3"/>
    </row>
    <row r="10" spans="1:8" ht="30" x14ac:dyDescent="0.25">
      <c r="A10" s="1"/>
      <c r="B10" s="1" t="s">
        <v>34</v>
      </c>
      <c r="C10" s="1" t="s">
        <v>33</v>
      </c>
      <c r="D10" s="1"/>
    </row>
    <row r="11" spans="1:8" ht="13.9" customHeight="1" x14ac:dyDescent="0.2">
      <c r="A11" s="6"/>
      <c r="B11" s="15">
        <f t="array" ref="B11:B14">MMULT(MINVERSE(varcov),means-B8)/SUM(MMULT(MINVERSE(varcov),means-B8))</f>
        <v>1.172793198299575</v>
      </c>
      <c r="C11" s="15">
        <f t="array" ref="C11:C14">MMULT(MINVERSE(varcov),means-C8)/SUM(MMULT(MINVERSE(varcov),means-C8))</f>
        <v>7.8206024587775952E-2</v>
      </c>
      <c r="D11" s="15"/>
      <c r="E11" s="53"/>
      <c r="F11" s="53"/>
      <c r="G11" s="53"/>
    </row>
    <row r="12" spans="1:8" x14ac:dyDescent="0.2">
      <c r="A12" s="6"/>
      <c r="B12" s="15">
        <v>0.14131657914478624</v>
      </c>
      <c r="C12" s="15">
        <v>0.2683971333682923</v>
      </c>
      <c r="D12" s="15"/>
      <c r="E12" s="53"/>
      <c r="F12" s="53"/>
      <c r="G12" s="53"/>
    </row>
    <row r="13" spans="1:8" x14ac:dyDescent="0.2">
      <c r="A13" s="6"/>
      <c r="B13" s="15">
        <v>-4.3706239059764972E-2</v>
      </c>
      <c r="C13" s="15">
        <v>0.22273932296218615</v>
      </c>
      <c r="D13" s="15"/>
      <c r="E13" s="53"/>
      <c r="F13" s="53"/>
      <c r="G13" s="53"/>
    </row>
    <row r="14" spans="1:8" x14ac:dyDescent="0.2">
      <c r="A14" s="6"/>
      <c r="B14" s="15">
        <v>-0.27040353838459619</v>
      </c>
      <c r="C14" s="15">
        <v>0.4306575190817456</v>
      </c>
      <c r="D14" s="15"/>
      <c r="E14" s="53"/>
      <c r="F14" s="53"/>
      <c r="G14" s="53"/>
    </row>
    <row r="16" spans="1:8" ht="28.5" x14ac:dyDescent="0.2">
      <c r="A16" s="11" t="s">
        <v>30</v>
      </c>
      <c r="B16" s="14">
        <f>SUMPRODUCT(portfoliox,means)</f>
        <v>3.6741763565891476E-2</v>
      </c>
      <c r="C16" s="17">
        <f>SUMPRODUCT(portfolioy,means)</f>
        <v>0.1130366923032104</v>
      </c>
      <c r="D16" s="17"/>
      <c r="E16" s="18"/>
      <c r="F16" s="18"/>
      <c r="G16" s="18"/>
    </row>
    <row r="17" spans="1:7" ht="28.5" x14ac:dyDescent="0.2">
      <c r="A17" s="11" t="s">
        <v>31</v>
      </c>
      <c r="B17" s="14">
        <f t="array" ref="B17">SQRT(MMULT(MMULT(TRANSPOSE(portfoliox),varcov),portfoliox))</f>
        <v>0.39009441414571544</v>
      </c>
      <c r="C17" s="17">
        <f t="array" ref="C17">SQRT(MMULT(MMULT(TRANSPOSE(portfolioy),varcov),portfolioy))</f>
        <v>0.37602883274880772</v>
      </c>
      <c r="D17" s="17"/>
      <c r="E17" s="19"/>
      <c r="F17" s="19"/>
      <c r="G17" s="19"/>
    </row>
    <row r="18" spans="1:7" x14ac:dyDescent="0.2">
      <c r="A18" t="s">
        <v>16</v>
      </c>
      <c r="B18">
        <f t="array" ref="B18">MMULT(MMULT(TRANSPOSE(portfoliox),varcov),portfolioy)</f>
        <v>-6.3078853670822527E-3</v>
      </c>
      <c r="D18" s="18"/>
      <c r="E18" s="19"/>
      <c r="F18" s="19"/>
      <c r="G18" s="19"/>
    </row>
    <row r="19" spans="1:7" x14ac:dyDescent="0.2">
      <c r="D19" s="18"/>
      <c r="E19" s="19"/>
      <c r="F19" s="19"/>
      <c r="G19" s="19"/>
    </row>
    <row r="20" spans="1:7" x14ac:dyDescent="0.2">
      <c r="A20" t="s">
        <v>45</v>
      </c>
      <c r="D20" s="18"/>
      <c r="E20" s="19"/>
      <c r="F20" s="19"/>
      <c r="G20" s="19"/>
    </row>
    <row r="21" spans="1:7" x14ac:dyDescent="0.2">
      <c r="A21" t="s">
        <v>19</v>
      </c>
      <c r="B21">
        <v>0.6</v>
      </c>
      <c r="D21" s="18"/>
      <c r="E21" s="19"/>
      <c r="F21" s="19"/>
      <c r="G21" s="19"/>
    </row>
    <row r="22" spans="1:7" x14ac:dyDescent="0.2">
      <c r="A22" t="s">
        <v>44</v>
      </c>
      <c r="B22" s="5">
        <f>B21*B16+(1-B21)*C16</f>
        <v>6.7259735060819045E-2</v>
      </c>
      <c r="C22" t="e">
        <f ca="1">getformula(B22)</f>
        <v>#NAME?</v>
      </c>
      <c r="D22" s="18"/>
      <c r="E22" s="19"/>
      <c r="F22" s="19"/>
      <c r="G22" s="19"/>
    </row>
    <row r="23" spans="1:7" x14ac:dyDescent="0.2">
      <c r="A23" t="s">
        <v>25</v>
      </c>
      <c r="B23" s="5">
        <f>SQRT(B21^2*B17^2+(1-B21)^2*C17^2+2*B21*(1-B21)*B18)</f>
        <v>0.27272396120311371</v>
      </c>
      <c r="C23" t="e">
        <f ca="1">getformula(B23)</f>
        <v>#NAME?</v>
      </c>
      <c r="D23" s="18"/>
      <c r="E23" s="19"/>
      <c r="F23" s="19"/>
      <c r="G23" s="19"/>
    </row>
    <row r="24" spans="1:7" x14ac:dyDescent="0.2">
      <c r="D24" s="18"/>
      <c r="E24" s="19"/>
      <c r="F24" s="19"/>
      <c r="G24" s="19"/>
    </row>
    <row r="26" spans="1:7" ht="15" x14ac:dyDescent="0.25">
      <c r="A26" s="20" t="s">
        <v>46</v>
      </c>
      <c r="B26" s="18"/>
      <c r="C26" s="18"/>
    </row>
    <row r="27" spans="1:7" ht="30" x14ac:dyDescent="0.25">
      <c r="A27" s="21" t="s">
        <v>19</v>
      </c>
      <c r="B27" s="21" t="s">
        <v>25</v>
      </c>
      <c r="C27" s="21" t="s">
        <v>44</v>
      </c>
    </row>
    <row r="28" spans="1:7" x14ac:dyDescent="0.2">
      <c r="A28" s="18"/>
      <c r="B28" s="22">
        <f>B23</f>
        <v>0.27272396120311371</v>
      </c>
      <c r="C28" s="22">
        <f>B22</f>
        <v>6.7259735060819045E-2</v>
      </c>
    </row>
    <row r="29" spans="1:7" x14ac:dyDescent="0.2">
      <c r="A29" s="23">
        <v>-1</v>
      </c>
      <c r="B29" s="5">
        <f t="dataTable" ref="B29:C44" dt2D="0" dtr="0" r1="B21"/>
        <v>0.861972114194967</v>
      </c>
      <c r="C29" s="5">
        <v>0.18933162104052931</v>
      </c>
    </row>
    <row r="30" spans="1:7" x14ac:dyDescent="0.2">
      <c r="A30" s="23">
        <v>-0.8</v>
      </c>
      <c r="B30" s="5">
        <v>0.75742084749037231</v>
      </c>
      <c r="C30" s="5">
        <v>0.17407263529306552</v>
      </c>
    </row>
    <row r="31" spans="1:7" x14ac:dyDescent="0.2">
      <c r="A31" s="23">
        <v>-0.6</v>
      </c>
      <c r="B31" s="5">
        <v>0.65488298438388892</v>
      </c>
      <c r="C31" s="5">
        <v>0.15881364954560176</v>
      </c>
    </row>
    <row r="32" spans="1:7" x14ac:dyDescent="0.2">
      <c r="A32" s="23">
        <v>-0.4</v>
      </c>
      <c r="B32" s="5">
        <v>0.55547463913061479</v>
      </c>
      <c r="C32" s="5">
        <v>0.14355466379813794</v>
      </c>
    </row>
    <row r="33" spans="1:3" x14ac:dyDescent="0.2">
      <c r="A33" s="23">
        <v>-0.2</v>
      </c>
      <c r="B33" s="5">
        <v>0.46122380105350957</v>
      </c>
      <c r="C33" s="5">
        <v>0.12829567805067418</v>
      </c>
    </row>
    <row r="34" spans="1:3" x14ac:dyDescent="0.2">
      <c r="A34" s="23">
        <v>0</v>
      </c>
      <c r="B34" s="5">
        <v>0.37602883274880772</v>
      </c>
      <c r="C34" s="5">
        <v>0.1130366923032104</v>
      </c>
    </row>
    <row r="35" spans="1:3" x14ac:dyDescent="0.2">
      <c r="A35" s="23">
        <v>0.2</v>
      </c>
      <c r="B35" s="5">
        <v>0.30751087772278396</v>
      </c>
      <c r="C35" s="5">
        <v>9.7777706555746621E-2</v>
      </c>
    </row>
    <row r="36" spans="1:3" x14ac:dyDescent="0.2">
      <c r="A36" s="23">
        <v>0.4</v>
      </c>
      <c r="B36" s="5">
        <v>0.26874367943537919</v>
      </c>
      <c r="C36" s="5">
        <v>8.2518720808282833E-2</v>
      </c>
    </row>
    <row r="37" spans="1:3" x14ac:dyDescent="0.2">
      <c r="A37" s="23">
        <v>0.6</v>
      </c>
      <c r="B37" s="5">
        <v>0.27272396120311371</v>
      </c>
      <c r="C37" s="5">
        <v>6.7259735060819045E-2</v>
      </c>
    </row>
    <row r="38" spans="1:3" x14ac:dyDescent="0.2">
      <c r="A38" s="23">
        <v>0.8</v>
      </c>
      <c r="B38" s="5">
        <v>0.31784984072890748</v>
      </c>
      <c r="C38" s="5">
        <v>5.2000749313355257E-2</v>
      </c>
    </row>
    <row r="39" spans="1:3" x14ac:dyDescent="0.2">
      <c r="A39" s="23">
        <v>1</v>
      </c>
      <c r="B39" s="5">
        <v>0.39009441414571544</v>
      </c>
      <c r="C39" s="5">
        <v>3.6741763565891476E-2</v>
      </c>
    </row>
    <row r="40" spans="1:3" x14ac:dyDescent="0.2">
      <c r="A40" s="23">
        <v>1.2</v>
      </c>
      <c r="B40" s="5">
        <v>0.47729838791180595</v>
      </c>
      <c r="C40" s="5">
        <v>2.1482777818427699E-2</v>
      </c>
    </row>
    <row r="41" spans="1:3" x14ac:dyDescent="0.2">
      <c r="A41" s="23">
        <v>1.4</v>
      </c>
      <c r="B41" s="5">
        <v>0.57266815759037215</v>
      </c>
      <c r="C41" s="5">
        <v>6.2237920709639141E-3</v>
      </c>
    </row>
    <row r="42" spans="1:3" x14ac:dyDescent="0.2">
      <c r="A42" s="23">
        <v>1.6</v>
      </c>
      <c r="B42" s="5">
        <v>0.67273981210562883</v>
      </c>
      <c r="C42" s="5">
        <v>-9.0351936764998877E-3</v>
      </c>
    </row>
    <row r="43" spans="1:3" x14ac:dyDescent="0.2">
      <c r="A43" s="23">
        <v>1.8</v>
      </c>
      <c r="B43" s="5">
        <v>0.77569572599383629</v>
      </c>
      <c r="C43" s="5">
        <v>-2.4294179423963669E-2</v>
      </c>
    </row>
    <row r="44" spans="1:3" x14ac:dyDescent="0.2">
      <c r="A44" s="23">
        <v>2</v>
      </c>
      <c r="B44" s="5">
        <v>0.88052474827089078</v>
      </c>
      <c r="C44" s="5">
        <v>-3.9553165171427443E-2</v>
      </c>
    </row>
  </sheetData>
  <mergeCells count="2">
    <mergeCell ref="A1:G1"/>
    <mergeCell ref="A2:D2"/>
  </mergeCells>
  <printOptions headings="1" gridLines="1"/>
  <pageMargins left="0.7" right="0.7" top="0.75" bottom="0.75" header="0.3" footer="0.3"/>
  <pageSetup paperSize="9" orientation="portrait" verticalDpi="4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10"/>
  <dimension ref="A1:N48"/>
  <sheetViews>
    <sheetView workbookViewId="0">
      <selection sqref="A1:G1"/>
    </sheetView>
  </sheetViews>
  <sheetFormatPr defaultRowHeight="12.75" x14ac:dyDescent="0.2"/>
  <cols>
    <col min="1" max="1" width="13.75" style="26" customWidth="1"/>
    <col min="2" max="4" width="8.75" style="26"/>
    <col min="5" max="5" width="11.125" style="26" customWidth="1"/>
    <col min="6" max="6" width="8.5" style="26" customWidth="1"/>
    <col min="7" max="7" width="24.25" style="26" bestFit="1" customWidth="1"/>
    <col min="8" max="8" width="29.75" style="26" customWidth="1"/>
    <col min="9" max="256" width="8.75" style="26"/>
    <col min="257" max="257" width="13.75" style="26" customWidth="1"/>
    <col min="258" max="260" width="8.75" style="26"/>
    <col min="261" max="261" width="11.125" style="26" customWidth="1"/>
    <col min="262" max="262" width="8.5" style="26" customWidth="1"/>
    <col min="263" max="263" width="24.25" style="26" bestFit="1" customWidth="1"/>
    <col min="264" max="264" width="29.75" style="26" customWidth="1"/>
    <col min="265" max="512" width="8.75" style="26"/>
    <col min="513" max="513" width="13.75" style="26" customWidth="1"/>
    <col min="514" max="516" width="8.75" style="26"/>
    <col min="517" max="517" width="11.125" style="26" customWidth="1"/>
    <col min="518" max="518" width="8.5" style="26" customWidth="1"/>
    <col min="519" max="519" width="24.25" style="26" bestFit="1" customWidth="1"/>
    <col min="520" max="520" width="29.75" style="26" customWidth="1"/>
    <col min="521" max="768" width="8.75" style="26"/>
    <col min="769" max="769" width="13.75" style="26" customWidth="1"/>
    <col min="770" max="772" width="8.75" style="26"/>
    <col min="773" max="773" width="11.125" style="26" customWidth="1"/>
    <col min="774" max="774" width="8.5" style="26" customWidth="1"/>
    <col min="775" max="775" width="24.25" style="26" bestFit="1" customWidth="1"/>
    <col min="776" max="776" width="29.75" style="26" customWidth="1"/>
    <col min="777" max="1024" width="8.75" style="26"/>
    <col min="1025" max="1025" width="13.75" style="26" customWidth="1"/>
    <col min="1026" max="1028" width="8.75" style="26"/>
    <col min="1029" max="1029" width="11.125" style="26" customWidth="1"/>
    <col min="1030" max="1030" width="8.5" style="26" customWidth="1"/>
    <col min="1031" max="1031" width="24.25" style="26" bestFit="1" customWidth="1"/>
    <col min="1032" max="1032" width="29.75" style="26" customWidth="1"/>
    <col min="1033" max="1280" width="8.75" style="26"/>
    <col min="1281" max="1281" width="13.75" style="26" customWidth="1"/>
    <col min="1282" max="1284" width="8.75" style="26"/>
    <col min="1285" max="1285" width="11.125" style="26" customWidth="1"/>
    <col min="1286" max="1286" width="8.5" style="26" customWidth="1"/>
    <col min="1287" max="1287" width="24.25" style="26" bestFit="1" customWidth="1"/>
    <col min="1288" max="1288" width="29.75" style="26" customWidth="1"/>
    <col min="1289" max="1536" width="8.75" style="26"/>
    <col min="1537" max="1537" width="13.75" style="26" customWidth="1"/>
    <col min="1538" max="1540" width="8.75" style="26"/>
    <col min="1541" max="1541" width="11.125" style="26" customWidth="1"/>
    <col min="1542" max="1542" width="8.5" style="26" customWidth="1"/>
    <col min="1543" max="1543" width="24.25" style="26" bestFit="1" customWidth="1"/>
    <col min="1544" max="1544" width="29.75" style="26" customWidth="1"/>
    <col min="1545" max="1792" width="8.75" style="26"/>
    <col min="1793" max="1793" width="13.75" style="26" customWidth="1"/>
    <col min="1794" max="1796" width="8.75" style="26"/>
    <col min="1797" max="1797" width="11.125" style="26" customWidth="1"/>
    <col min="1798" max="1798" width="8.5" style="26" customWidth="1"/>
    <col min="1799" max="1799" width="24.25" style="26" bestFit="1" customWidth="1"/>
    <col min="1800" max="1800" width="29.75" style="26" customWidth="1"/>
    <col min="1801" max="2048" width="8.75" style="26"/>
    <col min="2049" max="2049" width="13.75" style="26" customWidth="1"/>
    <col min="2050" max="2052" width="8.75" style="26"/>
    <col min="2053" max="2053" width="11.125" style="26" customWidth="1"/>
    <col min="2054" max="2054" width="8.5" style="26" customWidth="1"/>
    <col min="2055" max="2055" width="24.25" style="26" bestFit="1" customWidth="1"/>
    <col min="2056" max="2056" width="29.75" style="26" customWidth="1"/>
    <col min="2057" max="2304" width="8.75" style="26"/>
    <col min="2305" max="2305" width="13.75" style="26" customWidth="1"/>
    <col min="2306" max="2308" width="8.75" style="26"/>
    <col min="2309" max="2309" width="11.125" style="26" customWidth="1"/>
    <col min="2310" max="2310" width="8.5" style="26" customWidth="1"/>
    <col min="2311" max="2311" width="24.25" style="26" bestFit="1" customWidth="1"/>
    <col min="2312" max="2312" width="29.75" style="26" customWidth="1"/>
    <col min="2313" max="2560" width="8.75" style="26"/>
    <col min="2561" max="2561" width="13.75" style="26" customWidth="1"/>
    <col min="2562" max="2564" width="8.75" style="26"/>
    <col min="2565" max="2565" width="11.125" style="26" customWidth="1"/>
    <col min="2566" max="2566" width="8.5" style="26" customWidth="1"/>
    <col min="2567" max="2567" width="24.25" style="26" bestFit="1" customWidth="1"/>
    <col min="2568" max="2568" width="29.75" style="26" customWidth="1"/>
    <col min="2569" max="2816" width="8.75" style="26"/>
    <col min="2817" max="2817" width="13.75" style="26" customWidth="1"/>
    <col min="2818" max="2820" width="8.75" style="26"/>
    <col min="2821" max="2821" width="11.125" style="26" customWidth="1"/>
    <col min="2822" max="2822" width="8.5" style="26" customWidth="1"/>
    <col min="2823" max="2823" width="24.25" style="26" bestFit="1" customWidth="1"/>
    <col min="2824" max="2824" width="29.75" style="26" customWidth="1"/>
    <col min="2825" max="3072" width="8.75" style="26"/>
    <col min="3073" max="3073" width="13.75" style="26" customWidth="1"/>
    <col min="3074" max="3076" width="8.75" style="26"/>
    <col min="3077" max="3077" width="11.125" style="26" customWidth="1"/>
    <col min="3078" max="3078" width="8.5" style="26" customWidth="1"/>
    <col min="3079" max="3079" width="24.25" style="26" bestFit="1" customWidth="1"/>
    <col min="3080" max="3080" width="29.75" style="26" customWidth="1"/>
    <col min="3081" max="3328" width="8.75" style="26"/>
    <col min="3329" max="3329" width="13.75" style="26" customWidth="1"/>
    <col min="3330" max="3332" width="8.75" style="26"/>
    <col min="3333" max="3333" width="11.125" style="26" customWidth="1"/>
    <col min="3334" max="3334" width="8.5" style="26" customWidth="1"/>
    <col min="3335" max="3335" width="24.25" style="26" bestFit="1" customWidth="1"/>
    <col min="3336" max="3336" width="29.75" style="26" customWidth="1"/>
    <col min="3337" max="3584" width="8.75" style="26"/>
    <col min="3585" max="3585" width="13.75" style="26" customWidth="1"/>
    <col min="3586" max="3588" width="8.75" style="26"/>
    <col min="3589" max="3589" width="11.125" style="26" customWidth="1"/>
    <col min="3590" max="3590" width="8.5" style="26" customWidth="1"/>
    <col min="3591" max="3591" width="24.25" style="26" bestFit="1" customWidth="1"/>
    <col min="3592" max="3592" width="29.75" style="26" customWidth="1"/>
    <col min="3593" max="3840" width="8.75" style="26"/>
    <col min="3841" max="3841" width="13.75" style="26" customWidth="1"/>
    <col min="3842" max="3844" width="8.75" style="26"/>
    <col min="3845" max="3845" width="11.125" style="26" customWidth="1"/>
    <col min="3846" max="3846" width="8.5" style="26" customWidth="1"/>
    <col min="3847" max="3847" width="24.25" style="26" bestFit="1" customWidth="1"/>
    <col min="3848" max="3848" width="29.75" style="26" customWidth="1"/>
    <col min="3849" max="4096" width="8.75" style="26"/>
    <col min="4097" max="4097" width="13.75" style="26" customWidth="1"/>
    <col min="4098" max="4100" width="8.75" style="26"/>
    <col min="4101" max="4101" width="11.125" style="26" customWidth="1"/>
    <col min="4102" max="4102" width="8.5" style="26" customWidth="1"/>
    <col min="4103" max="4103" width="24.25" style="26" bestFit="1" customWidth="1"/>
    <col min="4104" max="4104" width="29.75" style="26" customWidth="1"/>
    <col min="4105" max="4352" width="8.75" style="26"/>
    <col min="4353" max="4353" width="13.75" style="26" customWidth="1"/>
    <col min="4354" max="4356" width="8.75" style="26"/>
    <col min="4357" max="4357" width="11.125" style="26" customWidth="1"/>
    <col min="4358" max="4358" width="8.5" style="26" customWidth="1"/>
    <col min="4359" max="4359" width="24.25" style="26" bestFit="1" customWidth="1"/>
    <col min="4360" max="4360" width="29.75" style="26" customWidth="1"/>
    <col min="4361" max="4608" width="8.75" style="26"/>
    <col min="4609" max="4609" width="13.75" style="26" customWidth="1"/>
    <col min="4610" max="4612" width="8.75" style="26"/>
    <col min="4613" max="4613" width="11.125" style="26" customWidth="1"/>
    <col min="4614" max="4614" width="8.5" style="26" customWidth="1"/>
    <col min="4615" max="4615" width="24.25" style="26" bestFit="1" customWidth="1"/>
    <col min="4616" max="4616" width="29.75" style="26" customWidth="1"/>
    <col min="4617" max="4864" width="8.75" style="26"/>
    <col min="4865" max="4865" width="13.75" style="26" customWidth="1"/>
    <col min="4866" max="4868" width="8.75" style="26"/>
    <col min="4869" max="4869" width="11.125" style="26" customWidth="1"/>
    <col min="4870" max="4870" width="8.5" style="26" customWidth="1"/>
    <col min="4871" max="4871" width="24.25" style="26" bestFit="1" customWidth="1"/>
    <col min="4872" max="4872" width="29.75" style="26" customWidth="1"/>
    <col min="4873" max="5120" width="8.75" style="26"/>
    <col min="5121" max="5121" width="13.75" style="26" customWidth="1"/>
    <col min="5122" max="5124" width="8.75" style="26"/>
    <col min="5125" max="5125" width="11.125" style="26" customWidth="1"/>
    <col min="5126" max="5126" width="8.5" style="26" customWidth="1"/>
    <col min="5127" max="5127" width="24.25" style="26" bestFit="1" customWidth="1"/>
    <col min="5128" max="5128" width="29.75" style="26" customWidth="1"/>
    <col min="5129" max="5376" width="8.75" style="26"/>
    <col min="5377" max="5377" width="13.75" style="26" customWidth="1"/>
    <col min="5378" max="5380" width="8.75" style="26"/>
    <col min="5381" max="5381" width="11.125" style="26" customWidth="1"/>
    <col min="5382" max="5382" width="8.5" style="26" customWidth="1"/>
    <col min="5383" max="5383" width="24.25" style="26" bestFit="1" customWidth="1"/>
    <col min="5384" max="5384" width="29.75" style="26" customWidth="1"/>
    <col min="5385" max="5632" width="8.75" style="26"/>
    <col min="5633" max="5633" width="13.75" style="26" customWidth="1"/>
    <col min="5634" max="5636" width="8.75" style="26"/>
    <col min="5637" max="5637" width="11.125" style="26" customWidth="1"/>
    <col min="5638" max="5638" width="8.5" style="26" customWidth="1"/>
    <col min="5639" max="5639" width="24.25" style="26" bestFit="1" customWidth="1"/>
    <col min="5640" max="5640" width="29.75" style="26" customWidth="1"/>
    <col min="5641" max="5888" width="8.75" style="26"/>
    <col min="5889" max="5889" width="13.75" style="26" customWidth="1"/>
    <col min="5890" max="5892" width="8.75" style="26"/>
    <col min="5893" max="5893" width="11.125" style="26" customWidth="1"/>
    <col min="5894" max="5894" width="8.5" style="26" customWidth="1"/>
    <col min="5895" max="5895" width="24.25" style="26" bestFit="1" customWidth="1"/>
    <col min="5896" max="5896" width="29.75" style="26" customWidth="1"/>
    <col min="5897" max="6144" width="8.75" style="26"/>
    <col min="6145" max="6145" width="13.75" style="26" customWidth="1"/>
    <col min="6146" max="6148" width="8.75" style="26"/>
    <col min="6149" max="6149" width="11.125" style="26" customWidth="1"/>
    <col min="6150" max="6150" width="8.5" style="26" customWidth="1"/>
    <col min="6151" max="6151" width="24.25" style="26" bestFit="1" customWidth="1"/>
    <col min="6152" max="6152" width="29.75" style="26" customWidth="1"/>
    <col min="6153" max="6400" width="8.75" style="26"/>
    <col min="6401" max="6401" width="13.75" style="26" customWidth="1"/>
    <col min="6402" max="6404" width="8.75" style="26"/>
    <col min="6405" max="6405" width="11.125" style="26" customWidth="1"/>
    <col min="6406" max="6406" width="8.5" style="26" customWidth="1"/>
    <col min="6407" max="6407" width="24.25" style="26" bestFit="1" customWidth="1"/>
    <col min="6408" max="6408" width="29.75" style="26" customWidth="1"/>
    <col min="6409" max="6656" width="8.75" style="26"/>
    <col min="6657" max="6657" width="13.75" style="26" customWidth="1"/>
    <col min="6658" max="6660" width="8.75" style="26"/>
    <col min="6661" max="6661" width="11.125" style="26" customWidth="1"/>
    <col min="6662" max="6662" width="8.5" style="26" customWidth="1"/>
    <col min="6663" max="6663" width="24.25" style="26" bestFit="1" customWidth="1"/>
    <col min="6664" max="6664" width="29.75" style="26" customWidth="1"/>
    <col min="6665" max="6912" width="8.75" style="26"/>
    <col min="6913" max="6913" width="13.75" style="26" customWidth="1"/>
    <col min="6914" max="6916" width="8.75" style="26"/>
    <col min="6917" max="6917" width="11.125" style="26" customWidth="1"/>
    <col min="6918" max="6918" width="8.5" style="26" customWidth="1"/>
    <col min="6919" max="6919" width="24.25" style="26" bestFit="1" customWidth="1"/>
    <col min="6920" max="6920" width="29.75" style="26" customWidth="1"/>
    <col min="6921" max="7168" width="8.75" style="26"/>
    <col min="7169" max="7169" width="13.75" style="26" customWidth="1"/>
    <col min="7170" max="7172" width="8.75" style="26"/>
    <col min="7173" max="7173" width="11.125" style="26" customWidth="1"/>
    <col min="7174" max="7174" width="8.5" style="26" customWidth="1"/>
    <col min="7175" max="7175" width="24.25" style="26" bestFit="1" customWidth="1"/>
    <col min="7176" max="7176" width="29.75" style="26" customWidth="1"/>
    <col min="7177" max="7424" width="8.75" style="26"/>
    <col min="7425" max="7425" width="13.75" style="26" customWidth="1"/>
    <col min="7426" max="7428" width="8.75" style="26"/>
    <col min="7429" max="7429" width="11.125" style="26" customWidth="1"/>
    <col min="7430" max="7430" width="8.5" style="26" customWidth="1"/>
    <col min="7431" max="7431" width="24.25" style="26" bestFit="1" customWidth="1"/>
    <col min="7432" max="7432" width="29.75" style="26" customWidth="1"/>
    <col min="7433" max="7680" width="8.75" style="26"/>
    <col min="7681" max="7681" width="13.75" style="26" customWidth="1"/>
    <col min="7682" max="7684" width="8.75" style="26"/>
    <col min="7685" max="7685" width="11.125" style="26" customWidth="1"/>
    <col min="7686" max="7686" width="8.5" style="26" customWidth="1"/>
    <col min="7687" max="7687" width="24.25" style="26" bestFit="1" customWidth="1"/>
    <col min="7688" max="7688" width="29.75" style="26" customWidth="1"/>
    <col min="7689" max="7936" width="8.75" style="26"/>
    <col min="7937" max="7937" width="13.75" style="26" customWidth="1"/>
    <col min="7938" max="7940" width="8.75" style="26"/>
    <col min="7941" max="7941" width="11.125" style="26" customWidth="1"/>
    <col min="7942" max="7942" width="8.5" style="26" customWidth="1"/>
    <col min="7943" max="7943" width="24.25" style="26" bestFit="1" customWidth="1"/>
    <col min="7944" max="7944" width="29.75" style="26" customWidth="1"/>
    <col min="7945" max="8192" width="8.75" style="26"/>
    <col min="8193" max="8193" width="13.75" style="26" customWidth="1"/>
    <col min="8194" max="8196" width="8.75" style="26"/>
    <col min="8197" max="8197" width="11.125" style="26" customWidth="1"/>
    <col min="8198" max="8198" width="8.5" style="26" customWidth="1"/>
    <col min="8199" max="8199" width="24.25" style="26" bestFit="1" customWidth="1"/>
    <col min="8200" max="8200" width="29.75" style="26" customWidth="1"/>
    <col min="8201" max="8448" width="8.75" style="26"/>
    <col min="8449" max="8449" width="13.75" style="26" customWidth="1"/>
    <col min="8450" max="8452" width="8.75" style="26"/>
    <col min="8453" max="8453" width="11.125" style="26" customWidth="1"/>
    <col min="8454" max="8454" width="8.5" style="26" customWidth="1"/>
    <col min="8455" max="8455" width="24.25" style="26" bestFit="1" customWidth="1"/>
    <col min="8456" max="8456" width="29.75" style="26" customWidth="1"/>
    <col min="8457" max="8704" width="8.75" style="26"/>
    <col min="8705" max="8705" width="13.75" style="26" customWidth="1"/>
    <col min="8706" max="8708" width="8.75" style="26"/>
    <col min="8709" max="8709" width="11.125" style="26" customWidth="1"/>
    <col min="8710" max="8710" width="8.5" style="26" customWidth="1"/>
    <col min="8711" max="8711" width="24.25" style="26" bestFit="1" customWidth="1"/>
    <col min="8712" max="8712" width="29.75" style="26" customWidth="1"/>
    <col min="8713" max="8960" width="8.75" style="26"/>
    <col min="8961" max="8961" width="13.75" style="26" customWidth="1"/>
    <col min="8962" max="8964" width="8.75" style="26"/>
    <col min="8965" max="8965" width="11.125" style="26" customWidth="1"/>
    <col min="8966" max="8966" width="8.5" style="26" customWidth="1"/>
    <col min="8967" max="8967" width="24.25" style="26" bestFit="1" customWidth="1"/>
    <col min="8968" max="8968" width="29.75" style="26" customWidth="1"/>
    <col min="8969" max="9216" width="8.75" style="26"/>
    <col min="9217" max="9217" width="13.75" style="26" customWidth="1"/>
    <col min="9218" max="9220" width="8.75" style="26"/>
    <col min="9221" max="9221" width="11.125" style="26" customWidth="1"/>
    <col min="9222" max="9222" width="8.5" style="26" customWidth="1"/>
    <col min="9223" max="9223" width="24.25" style="26" bestFit="1" customWidth="1"/>
    <col min="9224" max="9224" width="29.75" style="26" customWidth="1"/>
    <col min="9225" max="9472" width="8.75" style="26"/>
    <col min="9473" max="9473" width="13.75" style="26" customWidth="1"/>
    <col min="9474" max="9476" width="8.75" style="26"/>
    <col min="9477" max="9477" width="11.125" style="26" customWidth="1"/>
    <col min="9478" max="9478" width="8.5" style="26" customWidth="1"/>
    <col min="9479" max="9479" width="24.25" style="26" bestFit="1" customWidth="1"/>
    <col min="9480" max="9480" width="29.75" style="26" customWidth="1"/>
    <col min="9481" max="9728" width="8.75" style="26"/>
    <col min="9729" max="9729" width="13.75" style="26" customWidth="1"/>
    <col min="9730" max="9732" width="8.75" style="26"/>
    <col min="9733" max="9733" width="11.125" style="26" customWidth="1"/>
    <col min="9734" max="9734" width="8.5" style="26" customWidth="1"/>
    <col min="9735" max="9735" width="24.25" style="26" bestFit="1" customWidth="1"/>
    <col min="9736" max="9736" width="29.75" style="26" customWidth="1"/>
    <col min="9737" max="9984" width="8.75" style="26"/>
    <col min="9985" max="9985" width="13.75" style="26" customWidth="1"/>
    <col min="9986" max="9988" width="8.75" style="26"/>
    <col min="9989" max="9989" width="11.125" style="26" customWidth="1"/>
    <col min="9990" max="9990" width="8.5" style="26" customWidth="1"/>
    <col min="9991" max="9991" width="24.25" style="26" bestFit="1" customWidth="1"/>
    <col min="9992" max="9992" width="29.75" style="26" customWidth="1"/>
    <col min="9993" max="10240" width="8.75" style="26"/>
    <col min="10241" max="10241" width="13.75" style="26" customWidth="1"/>
    <col min="10242" max="10244" width="8.75" style="26"/>
    <col min="10245" max="10245" width="11.125" style="26" customWidth="1"/>
    <col min="10246" max="10246" width="8.5" style="26" customWidth="1"/>
    <col min="10247" max="10247" width="24.25" style="26" bestFit="1" customWidth="1"/>
    <col min="10248" max="10248" width="29.75" style="26" customWidth="1"/>
    <col min="10249" max="10496" width="8.75" style="26"/>
    <col min="10497" max="10497" width="13.75" style="26" customWidth="1"/>
    <col min="10498" max="10500" width="8.75" style="26"/>
    <col min="10501" max="10501" width="11.125" style="26" customWidth="1"/>
    <col min="10502" max="10502" width="8.5" style="26" customWidth="1"/>
    <col min="10503" max="10503" width="24.25" style="26" bestFit="1" customWidth="1"/>
    <col min="10504" max="10504" width="29.75" style="26" customWidth="1"/>
    <col min="10505" max="10752" width="8.75" style="26"/>
    <col min="10753" max="10753" width="13.75" style="26" customWidth="1"/>
    <col min="10754" max="10756" width="8.75" style="26"/>
    <col min="10757" max="10757" width="11.125" style="26" customWidth="1"/>
    <col min="10758" max="10758" width="8.5" style="26" customWidth="1"/>
    <col min="10759" max="10759" width="24.25" style="26" bestFit="1" customWidth="1"/>
    <col min="10760" max="10760" width="29.75" style="26" customWidth="1"/>
    <col min="10761" max="11008" width="8.75" style="26"/>
    <col min="11009" max="11009" width="13.75" style="26" customWidth="1"/>
    <col min="11010" max="11012" width="8.75" style="26"/>
    <col min="11013" max="11013" width="11.125" style="26" customWidth="1"/>
    <col min="11014" max="11014" width="8.5" style="26" customWidth="1"/>
    <col min="11015" max="11015" width="24.25" style="26" bestFit="1" customWidth="1"/>
    <col min="11016" max="11016" width="29.75" style="26" customWidth="1"/>
    <col min="11017" max="11264" width="8.75" style="26"/>
    <col min="11265" max="11265" width="13.75" style="26" customWidth="1"/>
    <col min="11266" max="11268" width="8.75" style="26"/>
    <col min="11269" max="11269" width="11.125" style="26" customWidth="1"/>
    <col min="11270" max="11270" width="8.5" style="26" customWidth="1"/>
    <col min="11271" max="11271" width="24.25" style="26" bestFit="1" customWidth="1"/>
    <col min="11272" max="11272" width="29.75" style="26" customWidth="1"/>
    <col min="11273" max="11520" width="8.75" style="26"/>
    <col min="11521" max="11521" width="13.75" style="26" customWidth="1"/>
    <col min="11522" max="11524" width="8.75" style="26"/>
    <col min="11525" max="11525" width="11.125" style="26" customWidth="1"/>
    <col min="11526" max="11526" width="8.5" style="26" customWidth="1"/>
    <col min="11527" max="11527" width="24.25" style="26" bestFit="1" customWidth="1"/>
    <col min="11528" max="11528" width="29.75" style="26" customWidth="1"/>
    <col min="11529" max="11776" width="8.75" style="26"/>
    <col min="11777" max="11777" width="13.75" style="26" customWidth="1"/>
    <col min="11778" max="11780" width="8.75" style="26"/>
    <col min="11781" max="11781" width="11.125" style="26" customWidth="1"/>
    <col min="11782" max="11782" width="8.5" style="26" customWidth="1"/>
    <col min="11783" max="11783" width="24.25" style="26" bestFit="1" customWidth="1"/>
    <col min="11784" max="11784" width="29.75" style="26" customWidth="1"/>
    <col min="11785" max="12032" width="8.75" style="26"/>
    <col min="12033" max="12033" width="13.75" style="26" customWidth="1"/>
    <col min="12034" max="12036" width="8.75" style="26"/>
    <col min="12037" max="12037" width="11.125" style="26" customWidth="1"/>
    <col min="12038" max="12038" width="8.5" style="26" customWidth="1"/>
    <col min="12039" max="12039" width="24.25" style="26" bestFit="1" customWidth="1"/>
    <col min="12040" max="12040" width="29.75" style="26" customWidth="1"/>
    <col min="12041" max="12288" width="8.75" style="26"/>
    <col min="12289" max="12289" width="13.75" style="26" customWidth="1"/>
    <col min="12290" max="12292" width="8.75" style="26"/>
    <col min="12293" max="12293" width="11.125" style="26" customWidth="1"/>
    <col min="12294" max="12294" width="8.5" style="26" customWidth="1"/>
    <col min="12295" max="12295" width="24.25" style="26" bestFit="1" customWidth="1"/>
    <col min="12296" max="12296" width="29.75" style="26" customWidth="1"/>
    <col min="12297" max="12544" width="8.75" style="26"/>
    <col min="12545" max="12545" width="13.75" style="26" customWidth="1"/>
    <col min="12546" max="12548" width="8.75" style="26"/>
    <col min="12549" max="12549" width="11.125" style="26" customWidth="1"/>
    <col min="12550" max="12550" width="8.5" style="26" customWidth="1"/>
    <col min="12551" max="12551" width="24.25" style="26" bestFit="1" customWidth="1"/>
    <col min="12552" max="12552" width="29.75" style="26" customWidth="1"/>
    <col min="12553" max="12800" width="8.75" style="26"/>
    <col min="12801" max="12801" width="13.75" style="26" customWidth="1"/>
    <col min="12802" max="12804" width="8.75" style="26"/>
    <col min="12805" max="12805" width="11.125" style="26" customWidth="1"/>
    <col min="12806" max="12806" width="8.5" style="26" customWidth="1"/>
    <col min="12807" max="12807" width="24.25" style="26" bestFit="1" customWidth="1"/>
    <col min="12808" max="12808" width="29.75" style="26" customWidth="1"/>
    <col min="12809" max="13056" width="8.75" style="26"/>
    <col min="13057" max="13057" width="13.75" style="26" customWidth="1"/>
    <col min="13058" max="13060" width="8.75" style="26"/>
    <col min="13061" max="13061" width="11.125" style="26" customWidth="1"/>
    <col min="13062" max="13062" width="8.5" style="26" customWidth="1"/>
    <col min="13063" max="13063" width="24.25" style="26" bestFit="1" customWidth="1"/>
    <col min="13064" max="13064" width="29.75" style="26" customWidth="1"/>
    <col min="13065" max="13312" width="8.75" style="26"/>
    <col min="13313" max="13313" width="13.75" style="26" customWidth="1"/>
    <col min="13314" max="13316" width="8.75" style="26"/>
    <col min="13317" max="13317" width="11.125" style="26" customWidth="1"/>
    <col min="13318" max="13318" width="8.5" style="26" customWidth="1"/>
    <col min="13319" max="13319" width="24.25" style="26" bestFit="1" customWidth="1"/>
    <col min="13320" max="13320" width="29.75" style="26" customWidth="1"/>
    <col min="13321" max="13568" width="8.75" style="26"/>
    <col min="13569" max="13569" width="13.75" style="26" customWidth="1"/>
    <col min="13570" max="13572" width="8.75" style="26"/>
    <col min="13573" max="13573" width="11.125" style="26" customWidth="1"/>
    <col min="13574" max="13574" width="8.5" style="26" customWidth="1"/>
    <col min="13575" max="13575" width="24.25" style="26" bestFit="1" customWidth="1"/>
    <col min="13576" max="13576" width="29.75" style="26" customWidth="1"/>
    <col min="13577" max="13824" width="8.75" style="26"/>
    <col min="13825" max="13825" width="13.75" style="26" customWidth="1"/>
    <col min="13826" max="13828" width="8.75" style="26"/>
    <col min="13829" max="13829" width="11.125" style="26" customWidth="1"/>
    <col min="13830" max="13830" width="8.5" style="26" customWidth="1"/>
    <col min="13831" max="13831" width="24.25" style="26" bestFit="1" customWidth="1"/>
    <col min="13832" max="13832" width="29.75" style="26" customWidth="1"/>
    <col min="13833" max="14080" width="8.75" style="26"/>
    <col min="14081" max="14081" width="13.75" style="26" customWidth="1"/>
    <col min="14082" max="14084" width="8.75" style="26"/>
    <col min="14085" max="14085" width="11.125" style="26" customWidth="1"/>
    <col min="14086" max="14086" width="8.5" style="26" customWidth="1"/>
    <col min="14087" max="14087" width="24.25" style="26" bestFit="1" customWidth="1"/>
    <col min="14088" max="14088" width="29.75" style="26" customWidth="1"/>
    <col min="14089" max="14336" width="8.75" style="26"/>
    <col min="14337" max="14337" width="13.75" style="26" customWidth="1"/>
    <col min="14338" max="14340" width="8.75" style="26"/>
    <col min="14341" max="14341" width="11.125" style="26" customWidth="1"/>
    <col min="14342" max="14342" width="8.5" style="26" customWidth="1"/>
    <col min="14343" max="14343" width="24.25" style="26" bestFit="1" customWidth="1"/>
    <col min="14344" max="14344" width="29.75" style="26" customWidth="1"/>
    <col min="14345" max="14592" width="8.75" style="26"/>
    <col min="14593" max="14593" width="13.75" style="26" customWidth="1"/>
    <col min="14594" max="14596" width="8.75" style="26"/>
    <col min="14597" max="14597" width="11.125" style="26" customWidth="1"/>
    <col min="14598" max="14598" width="8.5" style="26" customWidth="1"/>
    <col min="14599" max="14599" width="24.25" style="26" bestFit="1" customWidth="1"/>
    <col min="14600" max="14600" width="29.75" style="26" customWidth="1"/>
    <col min="14601" max="14848" width="8.75" style="26"/>
    <col min="14849" max="14849" width="13.75" style="26" customWidth="1"/>
    <col min="14850" max="14852" width="8.75" style="26"/>
    <col min="14853" max="14853" width="11.125" style="26" customWidth="1"/>
    <col min="14854" max="14854" width="8.5" style="26" customWidth="1"/>
    <col min="14855" max="14855" width="24.25" style="26" bestFit="1" customWidth="1"/>
    <col min="14856" max="14856" width="29.75" style="26" customWidth="1"/>
    <col min="14857" max="15104" width="8.75" style="26"/>
    <col min="15105" max="15105" width="13.75" style="26" customWidth="1"/>
    <col min="15106" max="15108" width="8.75" style="26"/>
    <col min="15109" max="15109" width="11.125" style="26" customWidth="1"/>
    <col min="15110" max="15110" width="8.5" style="26" customWidth="1"/>
    <col min="15111" max="15111" width="24.25" style="26" bestFit="1" customWidth="1"/>
    <col min="15112" max="15112" width="29.75" style="26" customWidth="1"/>
    <col min="15113" max="15360" width="8.75" style="26"/>
    <col min="15361" max="15361" width="13.75" style="26" customWidth="1"/>
    <col min="15362" max="15364" width="8.75" style="26"/>
    <col min="15365" max="15365" width="11.125" style="26" customWidth="1"/>
    <col min="15366" max="15366" width="8.5" style="26" customWidth="1"/>
    <col min="15367" max="15367" width="24.25" style="26" bestFit="1" customWidth="1"/>
    <col min="15368" max="15368" width="29.75" style="26" customWidth="1"/>
    <col min="15369" max="15616" width="8.75" style="26"/>
    <col min="15617" max="15617" width="13.75" style="26" customWidth="1"/>
    <col min="15618" max="15620" width="8.75" style="26"/>
    <col min="15621" max="15621" width="11.125" style="26" customWidth="1"/>
    <col min="15622" max="15622" width="8.5" style="26" customWidth="1"/>
    <col min="15623" max="15623" width="24.25" style="26" bestFit="1" customWidth="1"/>
    <col min="15624" max="15624" width="29.75" style="26" customWidth="1"/>
    <col min="15625" max="15872" width="8.75" style="26"/>
    <col min="15873" max="15873" width="13.75" style="26" customWidth="1"/>
    <col min="15874" max="15876" width="8.75" style="26"/>
    <col min="15877" max="15877" width="11.125" style="26" customWidth="1"/>
    <col min="15878" max="15878" width="8.5" style="26" customWidth="1"/>
    <col min="15879" max="15879" width="24.25" style="26" bestFit="1" customWidth="1"/>
    <col min="15880" max="15880" width="29.75" style="26" customWidth="1"/>
    <col min="15881" max="16128" width="8.75" style="26"/>
    <col min="16129" max="16129" width="13.75" style="26" customWidth="1"/>
    <col min="16130" max="16132" width="8.75" style="26"/>
    <col min="16133" max="16133" width="11.125" style="26" customWidth="1"/>
    <col min="16134" max="16134" width="8.5" style="26" customWidth="1"/>
    <col min="16135" max="16135" width="24.25" style="26" bestFit="1" customWidth="1"/>
    <col min="16136" max="16136" width="29.75" style="26" customWidth="1"/>
    <col min="16137" max="16384" width="8.75" style="26"/>
  </cols>
  <sheetData>
    <row r="1" spans="1:9" ht="56.25" customHeight="1" x14ac:dyDescent="0.25">
      <c r="A1" s="60" t="s">
        <v>47</v>
      </c>
      <c r="B1" s="61"/>
      <c r="C1" s="61"/>
      <c r="D1" s="61"/>
      <c r="E1" s="61"/>
      <c r="F1" s="61"/>
      <c r="G1" s="61"/>
      <c r="H1" s="25"/>
      <c r="I1" s="25"/>
    </row>
    <row r="2" spans="1:9" ht="25.5" x14ac:dyDescent="0.2">
      <c r="A2" s="62" t="s">
        <v>48</v>
      </c>
      <c r="B2" s="62"/>
      <c r="C2" s="62"/>
      <c r="D2" s="62"/>
      <c r="E2" s="27"/>
      <c r="F2" s="28" t="s">
        <v>49</v>
      </c>
      <c r="G2" s="29"/>
    </row>
    <row r="3" spans="1:9" x14ac:dyDescent="0.2">
      <c r="A3" s="30">
        <v>0.4</v>
      </c>
      <c r="B3" s="30">
        <v>0.03</v>
      </c>
      <c r="C3" s="30">
        <v>0.02</v>
      </c>
      <c r="D3" s="30">
        <v>0</v>
      </c>
      <c r="E3" s="31"/>
      <c r="F3" s="31">
        <v>0.06</v>
      </c>
      <c r="G3" s="32"/>
    </row>
    <row r="4" spans="1:9" x14ac:dyDescent="0.2">
      <c r="A4" s="30">
        <f>B3</f>
        <v>0.03</v>
      </c>
      <c r="B4" s="30">
        <v>0.2</v>
      </c>
      <c r="C4" s="30">
        <v>1E-3</v>
      </c>
      <c r="D4" s="30">
        <v>-0.06</v>
      </c>
      <c r="E4" s="31"/>
      <c r="F4" s="31">
        <v>0.05</v>
      </c>
      <c r="G4" s="32"/>
    </row>
    <row r="5" spans="1:9" x14ac:dyDescent="0.2">
      <c r="A5" s="30">
        <f>C3</f>
        <v>0.02</v>
      </c>
      <c r="B5" s="30">
        <f>C4</f>
        <v>1E-3</v>
      </c>
      <c r="C5" s="30">
        <v>0.3</v>
      </c>
      <c r="D5" s="30">
        <v>0.03</v>
      </c>
      <c r="E5" s="31"/>
      <c r="F5" s="31">
        <v>7.0000000000000007E-2</v>
      </c>
      <c r="G5" s="32"/>
    </row>
    <row r="6" spans="1:9" x14ac:dyDescent="0.2">
      <c r="A6" s="30">
        <f>D3</f>
        <v>0</v>
      </c>
      <c r="B6" s="30">
        <f>D4</f>
        <v>-0.06</v>
      </c>
      <c r="C6" s="30">
        <f>D5</f>
        <v>0.03</v>
      </c>
      <c r="D6" s="30">
        <v>0.1</v>
      </c>
      <c r="E6" s="31"/>
      <c r="F6" s="31">
        <v>0.08</v>
      </c>
      <c r="G6" s="32"/>
    </row>
    <row r="8" spans="1:9" x14ac:dyDescent="0.2">
      <c r="A8" s="33" t="s">
        <v>28</v>
      </c>
      <c r="B8" s="33">
        <v>0.04</v>
      </c>
    </row>
    <row r="10" spans="1:9" x14ac:dyDescent="0.2">
      <c r="A10" s="34" t="str">
        <f>"Computing an envelope portfolio with constant = "&amp;TEXT(B8,"0.00")</f>
        <v>Computing an envelope portfolio with constant = 0.04</v>
      </c>
      <c r="B10" s="35"/>
      <c r="C10" s="35"/>
      <c r="D10" s="35"/>
      <c r="E10" s="35"/>
      <c r="F10" s="35"/>
    </row>
    <row r="11" spans="1:9" ht="38.25" x14ac:dyDescent="0.2">
      <c r="A11" s="36" t="s">
        <v>6</v>
      </c>
      <c r="B11" s="37"/>
      <c r="C11" s="38"/>
      <c r="D11" s="38"/>
      <c r="E11" s="38"/>
      <c r="F11" s="28" t="s">
        <v>50</v>
      </c>
    </row>
    <row r="12" spans="1:9" x14ac:dyDescent="0.2">
      <c r="A12" s="39">
        <f t="array" ref="A12:A15">MMULT(MINVERSE(A3:D6),F3:F6-B8)</f>
        <v>3.2970145650599497E-2</v>
      </c>
      <c r="B12" s="26" t="e">
        <f ca="1">getformula(A12)</f>
        <v>#NAME?</v>
      </c>
      <c r="C12" s="35"/>
      <c r="D12" s="35"/>
      <c r="E12" s="35"/>
      <c r="F12" s="40">
        <f t="array" ref="F12:F15">A12:A15/SUM(A12:A15)</f>
        <v>4.2317528124238286E-2</v>
      </c>
      <c r="G12" s="26" t="e">
        <f ca="1">getformula(F12)</f>
        <v>#NAME?</v>
      </c>
    </row>
    <row r="13" spans="1:9" x14ac:dyDescent="0.2">
      <c r="A13" s="39">
        <v>0.19586384485394703</v>
      </c>
      <c r="C13" s="35"/>
      <c r="D13" s="35"/>
      <c r="E13" s="35"/>
      <c r="F13" s="40">
        <v>0.25139330141168598</v>
      </c>
    </row>
    <row r="14" spans="1:9" x14ac:dyDescent="0.2">
      <c r="A14" s="39">
        <v>4.6801319707089437E-2</v>
      </c>
      <c r="C14" s="35"/>
      <c r="D14" s="35"/>
      <c r="E14" s="35"/>
      <c r="F14" s="40">
        <v>6.0069985251042193E-2</v>
      </c>
    </row>
    <row r="15" spans="1:9" x14ac:dyDescent="0.2">
      <c r="A15" s="39">
        <v>0.50347791100024131</v>
      </c>
      <c r="C15" s="35"/>
      <c r="D15" s="35"/>
      <c r="E15" s="35"/>
      <c r="F15" s="40">
        <v>0.64621918521303356</v>
      </c>
    </row>
    <row r="16" spans="1:9" x14ac:dyDescent="0.2">
      <c r="B16" s="35"/>
      <c r="C16" s="35"/>
      <c r="D16" s="35"/>
      <c r="E16" s="35" t="s">
        <v>7</v>
      </c>
      <c r="F16" s="39">
        <f>SUM(F12:F15)</f>
        <v>1</v>
      </c>
      <c r="G16" s="26" t="e">
        <f ca="1">getformula(F16)</f>
        <v>#NAME?</v>
      </c>
    </row>
    <row r="19" spans="1:14" ht="15.75" x14ac:dyDescent="0.3">
      <c r="A19" s="33" t="s">
        <v>51</v>
      </c>
      <c r="B19" s="41">
        <f>SUMPRODUCT(F12:F15,F3:F6)</f>
        <v>7.1011150542654236E-2</v>
      </c>
      <c r="L19" s="26" t="s">
        <v>25</v>
      </c>
      <c r="M19" s="26" t="s">
        <v>26</v>
      </c>
    </row>
    <row r="20" spans="1:14" ht="15.75" x14ac:dyDescent="0.3">
      <c r="A20" s="42" t="s">
        <v>52</v>
      </c>
      <c r="B20" s="43">
        <f t="array" ref="B20">SQRT(MMULT(MMULT(TRANSPOSE(F12:F15),A3:D6),F12:F15))</f>
        <v>0.19950723629490036</v>
      </c>
      <c r="L20" s="26">
        <v>0.21993805158731042</v>
      </c>
      <c r="M20" s="26">
        <v>7.3377156127424029E-2</v>
      </c>
    </row>
    <row r="21" spans="1:14" x14ac:dyDescent="0.2">
      <c r="L21" s="26">
        <v>0.2164321629484347</v>
      </c>
      <c r="M21" s="26">
        <v>7.3039155329599786E-2</v>
      </c>
    </row>
    <row r="22" spans="1:14" x14ac:dyDescent="0.2">
      <c r="L22" s="26">
        <v>0.21310770581613184</v>
      </c>
      <c r="M22" s="26">
        <v>7.2701154531775516E-2</v>
      </c>
    </row>
    <row r="23" spans="1:14" x14ac:dyDescent="0.2">
      <c r="L23" s="26">
        <v>0.20997329805252407</v>
      </c>
      <c r="M23" s="26">
        <v>7.2363153733951274E-2</v>
      </c>
    </row>
    <row r="24" spans="1:14" x14ac:dyDescent="0.2">
      <c r="L24" s="26">
        <v>0.2070375714913964</v>
      </c>
      <c r="M24" s="26">
        <v>7.202515293612699E-2</v>
      </c>
    </row>
    <row r="25" spans="1:14" x14ac:dyDescent="0.2">
      <c r="L25" s="26">
        <v>0.20430909088980331</v>
      </c>
      <c r="M25" s="26">
        <v>7.1687152138302762E-2</v>
      </c>
    </row>
    <row r="26" spans="1:14" x14ac:dyDescent="0.2">
      <c r="L26" s="26">
        <v>0.2017962629201607</v>
      </c>
      <c r="M26" s="26">
        <v>7.1349151340478506E-2</v>
      </c>
    </row>
    <row r="27" spans="1:14" x14ac:dyDescent="0.2">
      <c r="L27" s="26">
        <v>0.19950723629490036</v>
      </c>
      <c r="M27" s="26">
        <v>7.1011150542654236E-2</v>
      </c>
      <c r="N27" s="35">
        <f>B19</f>
        <v>7.1011150542654236E-2</v>
      </c>
    </row>
    <row r="28" spans="1:14" x14ac:dyDescent="0.2">
      <c r="L28" s="26">
        <v>0.19844909819197518</v>
      </c>
      <c r="M28" s="26">
        <v>7.0842150143742122E-2</v>
      </c>
    </row>
    <row r="29" spans="1:14" x14ac:dyDescent="0.2">
      <c r="L29" s="26">
        <v>0.19744979472432397</v>
      </c>
      <c r="M29" s="26">
        <v>7.067314974482998E-2</v>
      </c>
    </row>
    <row r="30" spans="1:14" x14ac:dyDescent="0.2">
      <c r="L30" s="26">
        <v>0.19651022346035232</v>
      </c>
      <c r="M30" s="26">
        <v>7.0504149345917852E-2</v>
      </c>
    </row>
    <row r="31" spans="1:14" x14ac:dyDescent="0.2">
      <c r="L31" s="26">
        <v>0.19563124504150151</v>
      </c>
      <c r="M31" s="26">
        <v>7.0335148947005724E-2</v>
      </c>
    </row>
    <row r="32" spans="1:14" x14ac:dyDescent="0.2">
      <c r="L32" s="26">
        <v>0.19481367963474455</v>
      </c>
      <c r="M32" s="26">
        <v>7.0166148548093596E-2</v>
      </c>
    </row>
    <row r="33" spans="12:13" x14ac:dyDescent="0.2">
      <c r="L33" s="26">
        <v>0.19405830343858063</v>
      </c>
      <c r="M33" s="26">
        <v>6.9997148149181468E-2</v>
      </c>
    </row>
    <row r="34" spans="12:13" x14ac:dyDescent="0.2">
      <c r="L34" s="26">
        <v>0.19336584527362127</v>
      </c>
      <c r="M34" s="26">
        <v>6.982814775026934E-2</v>
      </c>
    </row>
    <row r="35" spans="12:13" x14ac:dyDescent="0.2">
      <c r="L35" s="26">
        <v>0.19273698328964869</v>
      </c>
      <c r="M35" s="26">
        <v>6.9659147351357212E-2</v>
      </c>
    </row>
    <row r="36" spans="12:13" x14ac:dyDescent="0.2">
      <c r="L36" s="26">
        <v>0.19217234182133772</v>
      </c>
      <c r="M36" s="26">
        <v>6.9490146952445084E-2</v>
      </c>
    </row>
    <row r="37" spans="12:13" x14ac:dyDescent="0.2">
      <c r="L37" s="26">
        <v>0.19167248842463094</v>
      </c>
      <c r="M37" s="26">
        <v>6.9321146553532956E-2</v>
      </c>
    </row>
    <row r="38" spans="12:13" x14ac:dyDescent="0.2">
      <c r="L38" s="26">
        <v>0.19086911590759811</v>
      </c>
      <c r="M38" s="26">
        <v>6.89831457557087E-2</v>
      </c>
    </row>
    <row r="39" spans="12:13" x14ac:dyDescent="0.2">
      <c r="L39" s="26">
        <v>0.19033017231371338</v>
      </c>
      <c r="M39" s="26">
        <v>6.8645144957884457E-2</v>
      </c>
    </row>
    <row r="40" spans="12:13" x14ac:dyDescent="0.2">
      <c r="L40" s="26">
        <v>0.1900579071644993</v>
      </c>
      <c r="M40" s="26">
        <v>6.8307144160060174E-2</v>
      </c>
    </row>
    <row r="41" spans="12:13" x14ac:dyDescent="0.2">
      <c r="L41" s="26">
        <v>0.19005346657110175</v>
      </c>
      <c r="M41" s="26">
        <v>6.7969143362235931E-2</v>
      </c>
    </row>
    <row r="42" spans="12:13" x14ac:dyDescent="0.2">
      <c r="L42" s="26">
        <v>0.19031686928067681</v>
      </c>
      <c r="M42" s="26">
        <v>6.7631142564411661E-2</v>
      </c>
    </row>
    <row r="43" spans="12:13" x14ac:dyDescent="0.2">
      <c r="L43" s="26">
        <v>0.19084700628269075</v>
      </c>
      <c r="M43" s="26">
        <v>6.7293141766587419E-2</v>
      </c>
    </row>
    <row r="44" spans="12:13" x14ac:dyDescent="0.2">
      <c r="L44" s="26">
        <v>0.19164166399427479</v>
      </c>
      <c r="M44" s="26">
        <v>6.6955140968763163E-2</v>
      </c>
    </row>
    <row r="45" spans="12:13" x14ac:dyDescent="0.2">
      <c r="L45" s="26">
        <v>0.19269756990446321</v>
      </c>
      <c r="M45" s="26">
        <v>6.6617140170938921E-2</v>
      </c>
    </row>
    <row r="46" spans="12:13" x14ac:dyDescent="0.2">
      <c r="L46" s="26">
        <v>0.19401045851406651</v>
      </c>
      <c r="M46" s="26">
        <v>6.6279139373114665E-2</v>
      </c>
    </row>
    <row r="47" spans="12:13" x14ac:dyDescent="0.2">
      <c r="L47" s="26">
        <v>0.19557515454615695</v>
      </c>
      <c r="M47" s="26">
        <v>6.5941138575290409E-2</v>
      </c>
    </row>
    <row r="48" spans="12:13" x14ac:dyDescent="0.2">
      <c r="L48" s="35"/>
      <c r="M48" s="35"/>
    </row>
  </sheetData>
  <mergeCells count="2">
    <mergeCell ref="A1:G1"/>
    <mergeCell ref="A2:D2"/>
  </mergeCells>
  <printOptions headings="1" gridLines="1"/>
  <pageMargins left="0.75" right="0.75" top="1" bottom="1" header="0.5" footer="0.5"/>
  <pageSetup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"/>
  <dimension ref="A1:I47"/>
  <sheetViews>
    <sheetView workbookViewId="0">
      <selection sqref="A1:F1"/>
    </sheetView>
  </sheetViews>
  <sheetFormatPr defaultRowHeight="12.75" x14ac:dyDescent="0.2"/>
  <cols>
    <col min="1" max="1" width="14.75" style="26" customWidth="1"/>
    <col min="2" max="5" width="9.625" style="26" customWidth="1"/>
    <col min="6" max="6" width="18.75" style="26" customWidth="1"/>
    <col min="7" max="7" width="19.25" style="26" customWidth="1"/>
    <col min="8" max="8" width="24.875" style="26" bestFit="1" customWidth="1"/>
    <col min="9" max="256" width="8.75" style="26"/>
    <col min="257" max="257" width="14.75" style="26" customWidth="1"/>
    <col min="258" max="261" width="9.625" style="26" customWidth="1"/>
    <col min="262" max="262" width="18.75" style="26" customWidth="1"/>
    <col min="263" max="263" width="19.25" style="26" customWidth="1"/>
    <col min="264" max="264" width="24.875" style="26" bestFit="1" customWidth="1"/>
    <col min="265" max="512" width="8.75" style="26"/>
    <col min="513" max="513" width="14.75" style="26" customWidth="1"/>
    <col min="514" max="517" width="9.625" style="26" customWidth="1"/>
    <col min="518" max="518" width="18.75" style="26" customWidth="1"/>
    <col min="519" max="519" width="19.25" style="26" customWidth="1"/>
    <col min="520" max="520" width="24.875" style="26" bestFit="1" customWidth="1"/>
    <col min="521" max="768" width="8.75" style="26"/>
    <col min="769" max="769" width="14.75" style="26" customWidth="1"/>
    <col min="770" max="773" width="9.625" style="26" customWidth="1"/>
    <col min="774" max="774" width="18.75" style="26" customWidth="1"/>
    <col min="775" max="775" width="19.25" style="26" customWidth="1"/>
    <col min="776" max="776" width="24.875" style="26" bestFit="1" customWidth="1"/>
    <col min="777" max="1024" width="8.75" style="26"/>
    <col min="1025" max="1025" width="14.75" style="26" customWidth="1"/>
    <col min="1026" max="1029" width="9.625" style="26" customWidth="1"/>
    <col min="1030" max="1030" width="18.75" style="26" customWidth="1"/>
    <col min="1031" max="1031" width="19.25" style="26" customWidth="1"/>
    <col min="1032" max="1032" width="24.875" style="26" bestFit="1" customWidth="1"/>
    <col min="1033" max="1280" width="8.75" style="26"/>
    <col min="1281" max="1281" width="14.75" style="26" customWidth="1"/>
    <col min="1282" max="1285" width="9.625" style="26" customWidth="1"/>
    <col min="1286" max="1286" width="18.75" style="26" customWidth="1"/>
    <col min="1287" max="1287" width="19.25" style="26" customWidth="1"/>
    <col min="1288" max="1288" width="24.875" style="26" bestFit="1" customWidth="1"/>
    <col min="1289" max="1536" width="8.75" style="26"/>
    <col min="1537" max="1537" width="14.75" style="26" customWidth="1"/>
    <col min="1538" max="1541" width="9.625" style="26" customWidth="1"/>
    <col min="1542" max="1542" width="18.75" style="26" customWidth="1"/>
    <col min="1543" max="1543" width="19.25" style="26" customWidth="1"/>
    <col min="1544" max="1544" width="24.875" style="26" bestFit="1" customWidth="1"/>
    <col min="1545" max="1792" width="8.75" style="26"/>
    <col min="1793" max="1793" width="14.75" style="26" customWidth="1"/>
    <col min="1794" max="1797" width="9.625" style="26" customWidth="1"/>
    <col min="1798" max="1798" width="18.75" style="26" customWidth="1"/>
    <col min="1799" max="1799" width="19.25" style="26" customWidth="1"/>
    <col min="1800" max="1800" width="24.875" style="26" bestFit="1" customWidth="1"/>
    <col min="1801" max="2048" width="8.75" style="26"/>
    <col min="2049" max="2049" width="14.75" style="26" customWidth="1"/>
    <col min="2050" max="2053" width="9.625" style="26" customWidth="1"/>
    <col min="2054" max="2054" width="18.75" style="26" customWidth="1"/>
    <col min="2055" max="2055" width="19.25" style="26" customWidth="1"/>
    <col min="2056" max="2056" width="24.875" style="26" bestFit="1" customWidth="1"/>
    <col min="2057" max="2304" width="8.75" style="26"/>
    <col min="2305" max="2305" width="14.75" style="26" customWidth="1"/>
    <col min="2306" max="2309" width="9.625" style="26" customWidth="1"/>
    <col min="2310" max="2310" width="18.75" style="26" customWidth="1"/>
    <col min="2311" max="2311" width="19.25" style="26" customWidth="1"/>
    <col min="2312" max="2312" width="24.875" style="26" bestFit="1" customWidth="1"/>
    <col min="2313" max="2560" width="8.75" style="26"/>
    <col min="2561" max="2561" width="14.75" style="26" customWidth="1"/>
    <col min="2562" max="2565" width="9.625" style="26" customWidth="1"/>
    <col min="2566" max="2566" width="18.75" style="26" customWidth="1"/>
    <col min="2567" max="2567" width="19.25" style="26" customWidth="1"/>
    <col min="2568" max="2568" width="24.875" style="26" bestFit="1" customWidth="1"/>
    <col min="2569" max="2816" width="8.75" style="26"/>
    <col min="2817" max="2817" width="14.75" style="26" customWidth="1"/>
    <col min="2818" max="2821" width="9.625" style="26" customWidth="1"/>
    <col min="2822" max="2822" width="18.75" style="26" customWidth="1"/>
    <col min="2823" max="2823" width="19.25" style="26" customWidth="1"/>
    <col min="2824" max="2824" width="24.875" style="26" bestFit="1" customWidth="1"/>
    <col min="2825" max="3072" width="8.75" style="26"/>
    <col min="3073" max="3073" width="14.75" style="26" customWidth="1"/>
    <col min="3074" max="3077" width="9.625" style="26" customWidth="1"/>
    <col min="3078" max="3078" width="18.75" style="26" customWidth="1"/>
    <col min="3079" max="3079" width="19.25" style="26" customWidth="1"/>
    <col min="3080" max="3080" width="24.875" style="26" bestFit="1" customWidth="1"/>
    <col min="3081" max="3328" width="8.75" style="26"/>
    <col min="3329" max="3329" width="14.75" style="26" customWidth="1"/>
    <col min="3330" max="3333" width="9.625" style="26" customWidth="1"/>
    <col min="3334" max="3334" width="18.75" style="26" customWidth="1"/>
    <col min="3335" max="3335" width="19.25" style="26" customWidth="1"/>
    <col min="3336" max="3336" width="24.875" style="26" bestFit="1" customWidth="1"/>
    <col min="3337" max="3584" width="8.75" style="26"/>
    <col min="3585" max="3585" width="14.75" style="26" customWidth="1"/>
    <col min="3586" max="3589" width="9.625" style="26" customWidth="1"/>
    <col min="3590" max="3590" width="18.75" style="26" customWidth="1"/>
    <col min="3591" max="3591" width="19.25" style="26" customWidth="1"/>
    <col min="3592" max="3592" width="24.875" style="26" bestFit="1" customWidth="1"/>
    <col min="3593" max="3840" width="8.75" style="26"/>
    <col min="3841" max="3841" width="14.75" style="26" customWidth="1"/>
    <col min="3842" max="3845" width="9.625" style="26" customWidth="1"/>
    <col min="3846" max="3846" width="18.75" style="26" customWidth="1"/>
    <col min="3847" max="3847" width="19.25" style="26" customWidth="1"/>
    <col min="3848" max="3848" width="24.875" style="26" bestFit="1" customWidth="1"/>
    <col min="3849" max="4096" width="8.75" style="26"/>
    <col min="4097" max="4097" width="14.75" style="26" customWidth="1"/>
    <col min="4098" max="4101" width="9.625" style="26" customWidth="1"/>
    <col min="4102" max="4102" width="18.75" style="26" customWidth="1"/>
    <col min="4103" max="4103" width="19.25" style="26" customWidth="1"/>
    <col min="4104" max="4104" width="24.875" style="26" bestFit="1" customWidth="1"/>
    <col min="4105" max="4352" width="8.75" style="26"/>
    <col min="4353" max="4353" width="14.75" style="26" customWidth="1"/>
    <col min="4354" max="4357" width="9.625" style="26" customWidth="1"/>
    <col min="4358" max="4358" width="18.75" style="26" customWidth="1"/>
    <col min="4359" max="4359" width="19.25" style="26" customWidth="1"/>
    <col min="4360" max="4360" width="24.875" style="26" bestFit="1" customWidth="1"/>
    <col min="4361" max="4608" width="8.75" style="26"/>
    <col min="4609" max="4609" width="14.75" style="26" customWidth="1"/>
    <col min="4610" max="4613" width="9.625" style="26" customWidth="1"/>
    <col min="4614" max="4614" width="18.75" style="26" customWidth="1"/>
    <col min="4615" max="4615" width="19.25" style="26" customWidth="1"/>
    <col min="4616" max="4616" width="24.875" style="26" bestFit="1" customWidth="1"/>
    <col min="4617" max="4864" width="8.75" style="26"/>
    <col min="4865" max="4865" width="14.75" style="26" customWidth="1"/>
    <col min="4866" max="4869" width="9.625" style="26" customWidth="1"/>
    <col min="4870" max="4870" width="18.75" style="26" customWidth="1"/>
    <col min="4871" max="4871" width="19.25" style="26" customWidth="1"/>
    <col min="4872" max="4872" width="24.875" style="26" bestFit="1" customWidth="1"/>
    <col min="4873" max="5120" width="8.75" style="26"/>
    <col min="5121" max="5121" width="14.75" style="26" customWidth="1"/>
    <col min="5122" max="5125" width="9.625" style="26" customWidth="1"/>
    <col min="5126" max="5126" width="18.75" style="26" customWidth="1"/>
    <col min="5127" max="5127" width="19.25" style="26" customWidth="1"/>
    <col min="5128" max="5128" width="24.875" style="26" bestFit="1" customWidth="1"/>
    <col min="5129" max="5376" width="8.75" style="26"/>
    <col min="5377" max="5377" width="14.75" style="26" customWidth="1"/>
    <col min="5378" max="5381" width="9.625" style="26" customWidth="1"/>
    <col min="5382" max="5382" width="18.75" style="26" customWidth="1"/>
    <col min="5383" max="5383" width="19.25" style="26" customWidth="1"/>
    <col min="5384" max="5384" width="24.875" style="26" bestFit="1" customWidth="1"/>
    <col min="5385" max="5632" width="8.75" style="26"/>
    <col min="5633" max="5633" width="14.75" style="26" customWidth="1"/>
    <col min="5634" max="5637" width="9.625" style="26" customWidth="1"/>
    <col min="5638" max="5638" width="18.75" style="26" customWidth="1"/>
    <col min="5639" max="5639" width="19.25" style="26" customWidth="1"/>
    <col min="5640" max="5640" width="24.875" style="26" bestFit="1" customWidth="1"/>
    <col min="5641" max="5888" width="8.75" style="26"/>
    <col min="5889" max="5889" width="14.75" style="26" customWidth="1"/>
    <col min="5890" max="5893" width="9.625" style="26" customWidth="1"/>
    <col min="5894" max="5894" width="18.75" style="26" customWidth="1"/>
    <col min="5895" max="5895" width="19.25" style="26" customWidth="1"/>
    <col min="5896" max="5896" width="24.875" style="26" bestFit="1" customWidth="1"/>
    <col min="5897" max="6144" width="8.75" style="26"/>
    <col min="6145" max="6145" width="14.75" style="26" customWidth="1"/>
    <col min="6146" max="6149" width="9.625" style="26" customWidth="1"/>
    <col min="6150" max="6150" width="18.75" style="26" customWidth="1"/>
    <col min="6151" max="6151" width="19.25" style="26" customWidth="1"/>
    <col min="6152" max="6152" width="24.875" style="26" bestFit="1" customWidth="1"/>
    <col min="6153" max="6400" width="8.75" style="26"/>
    <col min="6401" max="6401" width="14.75" style="26" customWidth="1"/>
    <col min="6402" max="6405" width="9.625" style="26" customWidth="1"/>
    <col min="6406" max="6406" width="18.75" style="26" customWidth="1"/>
    <col min="6407" max="6407" width="19.25" style="26" customWidth="1"/>
    <col min="6408" max="6408" width="24.875" style="26" bestFit="1" customWidth="1"/>
    <col min="6409" max="6656" width="8.75" style="26"/>
    <col min="6657" max="6657" width="14.75" style="26" customWidth="1"/>
    <col min="6658" max="6661" width="9.625" style="26" customWidth="1"/>
    <col min="6662" max="6662" width="18.75" style="26" customWidth="1"/>
    <col min="6663" max="6663" width="19.25" style="26" customWidth="1"/>
    <col min="6664" max="6664" width="24.875" style="26" bestFit="1" customWidth="1"/>
    <col min="6665" max="6912" width="8.75" style="26"/>
    <col min="6913" max="6913" width="14.75" style="26" customWidth="1"/>
    <col min="6914" max="6917" width="9.625" style="26" customWidth="1"/>
    <col min="6918" max="6918" width="18.75" style="26" customWidth="1"/>
    <col min="6919" max="6919" width="19.25" style="26" customWidth="1"/>
    <col min="6920" max="6920" width="24.875" style="26" bestFit="1" customWidth="1"/>
    <col min="6921" max="7168" width="8.75" style="26"/>
    <col min="7169" max="7169" width="14.75" style="26" customWidth="1"/>
    <col min="7170" max="7173" width="9.625" style="26" customWidth="1"/>
    <col min="7174" max="7174" width="18.75" style="26" customWidth="1"/>
    <col min="7175" max="7175" width="19.25" style="26" customWidth="1"/>
    <col min="7176" max="7176" width="24.875" style="26" bestFit="1" customWidth="1"/>
    <col min="7177" max="7424" width="8.75" style="26"/>
    <col min="7425" max="7425" width="14.75" style="26" customWidth="1"/>
    <col min="7426" max="7429" width="9.625" style="26" customWidth="1"/>
    <col min="7430" max="7430" width="18.75" style="26" customWidth="1"/>
    <col min="7431" max="7431" width="19.25" style="26" customWidth="1"/>
    <col min="7432" max="7432" width="24.875" style="26" bestFit="1" customWidth="1"/>
    <col min="7433" max="7680" width="8.75" style="26"/>
    <col min="7681" max="7681" width="14.75" style="26" customWidth="1"/>
    <col min="7682" max="7685" width="9.625" style="26" customWidth="1"/>
    <col min="7686" max="7686" width="18.75" style="26" customWidth="1"/>
    <col min="7687" max="7687" width="19.25" style="26" customWidth="1"/>
    <col min="7688" max="7688" width="24.875" style="26" bestFit="1" customWidth="1"/>
    <col min="7689" max="7936" width="8.75" style="26"/>
    <col min="7937" max="7937" width="14.75" style="26" customWidth="1"/>
    <col min="7938" max="7941" width="9.625" style="26" customWidth="1"/>
    <col min="7942" max="7942" width="18.75" style="26" customWidth="1"/>
    <col min="7943" max="7943" width="19.25" style="26" customWidth="1"/>
    <col min="7944" max="7944" width="24.875" style="26" bestFit="1" customWidth="1"/>
    <col min="7945" max="8192" width="8.75" style="26"/>
    <col min="8193" max="8193" width="14.75" style="26" customWidth="1"/>
    <col min="8194" max="8197" width="9.625" style="26" customWidth="1"/>
    <col min="8198" max="8198" width="18.75" style="26" customWidth="1"/>
    <col min="8199" max="8199" width="19.25" style="26" customWidth="1"/>
    <col min="8200" max="8200" width="24.875" style="26" bestFit="1" customWidth="1"/>
    <col min="8201" max="8448" width="8.75" style="26"/>
    <col min="8449" max="8449" width="14.75" style="26" customWidth="1"/>
    <col min="8450" max="8453" width="9.625" style="26" customWidth="1"/>
    <col min="8454" max="8454" width="18.75" style="26" customWidth="1"/>
    <col min="8455" max="8455" width="19.25" style="26" customWidth="1"/>
    <col min="8456" max="8456" width="24.875" style="26" bestFit="1" customWidth="1"/>
    <col min="8457" max="8704" width="8.75" style="26"/>
    <col min="8705" max="8705" width="14.75" style="26" customWidth="1"/>
    <col min="8706" max="8709" width="9.625" style="26" customWidth="1"/>
    <col min="8710" max="8710" width="18.75" style="26" customWidth="1"/>
    <col min="8711" max="8711" width="19.25" style="26" customWidth="1"/>
    <col min="8712" max="8712" width="24.875" style="26" bestFit="1" customWidth="1"/>
    <col min="8713" max="8960" width="8.75" style="26"/>
    <col min="8961" max="8961" width="14.75" style="26" customWidth="1"/>
    <col min="8962" max="8965" width="9.625" style="26" customWidth="1"/>
    <col min="8966" max="8966" width="18.75" style="26" customWidth="1"/>
    <col min="8967" max="8967" width="19.25" style="26" customWidth="1"/>
    <col min="8968" max="8968" width="24.875" style="26" bestFit="1" customWidth="1"/>
    <col min="8969" max="9216" width="8.75" style="26"/>
    <col min="9217" max="9217" width="14.75" style="26" customWidth="1"/>
    <col min="9218" max="9221" width="9.625" style="26" customWidth="1"/>
    <col min="9222" max="9222" width="18.75" style="26" customWidth="1"/>
    <col min="9223" max="9223" width="19.25" style="26" customWidth="1"/>
    <col min="9224" max="9224" width="24.875" style="26" bestFit="1" customWidth="1"/>
    <col min="9225" max="9472" width="8.75" style="26"/>
    <col min="9473" max="9473" width="14.75" style="26" customWidth="1"/>
    <col min="9474" max="9477" width="9.625" style="26" customWidth="1"/>
    <col min="9478" max="9478" width="18.75" style="26" customWidth="1"/>
    <col min="9479" max="9479" width="19.25" style="26" customWidth="1"/>
    <col min="9480" max="9480" width="24.875" style="26" bestFit="1" customWidth="1"/>
    <col min="9481" max="9728" width="8.75" style="26"/>
    <col min="9729" max="9729" width="14.75" style="26" customWidth="1"/>
    <col min="9730" max="9733" width="9.625" style="26" customWidth="1"/>
    <col min="9734" max="9734" width="18.75" style="26" customWidth="1"/>
    <col min="9735" max="9735" width="19.25" style="26" customWidth="1"/>
    <col min="9736" max="9736" width="24.875" style="26" bestFit="1" customWidth="1"/>
    <col min="9737" max="9984" width="8.75" style="26"/>
    <col min="9985" max="9985" width="14.75" style="26" customWidth="1"/>
    <col min="9986" max="9989" width="9.625" style="26" customWidth="1"/>
    <col min="9990" max="9990" width="18.75" style="26" customWidth="1"/>
    <col min="9991" max="9991" width="19.25" style="26" customWidth="1"/>
    <col min="9992" max="9992" width="24.875" style="26" bestFit="1" customWidth="1"/>
    <col min="9993" max="10240" width="8.75" style="26"/>
    <col min="10241" max="10241" width="14.75" style="26" customWidth="1"/>
    <col min="10242" max="10245" width="9.625" style="26" customWidth="1"/>
    <col min="10246" max="10246" width="18.75" style="26" customWidth="1"/>
    <col min="10247" max="10247" width="19.25" style="26" customWidth="1"/>
    <col min="10248" max="10248" width="24.875" style="26" bestFit="1" customWidth="1"/>
    <col min="10249" max="10496" width="8.75" style="26"/>
    <col min="10497" max="10497" width="14.75" style="26" customWidth="1"/>
    <col min="10498" max="10501" width="9.625" style="26" customWidth="1"/>
    <col min="10502" max="10502" width="18.75" style="26" customWidth="1"/>
    <col min="10503" max="10503" width="19.25" style="26" customWidth="1"/>
    <col min="10504" max="10504" width="24.875" style="26" bestFit="1" customWidth="1"/>
    <col min="10505" max="10752" width="8.75" style="26"/>
    <col min="10753" max="10753" width="14.75" style="26" customWidth="1"/>
    <col min="10754" max="10757" width="9.625" style="26" customWidth="1"/>
    <col min="10758" max="10758" width="18.75" style="26" customWidth="1"/>
    <col min="10759" max="10759" width="19.25" style="26" customWidth="1"/>
    <col min="10760" max="10760" width="24.875" style="26" bestFit="1" customWidth="1"/>
    <col min="10761" max="11008" width="8.75" style="26"/>
    <col min="11009" max="11009" width="14.75" style="26" customWidth="1"/>
    <col min="11010" max="11013" width="9.625" style="26" customWidth="1"/>
    <col min="11014" max="11014" width="18.75" style="26" customWidth="1"/>
    <col min="11015" max="11015" width="19.25" style="26" customWidth="1"/>
    <col min="11016" max="11016" width="24.875" style="26" bestFit="1" customWidth="1"/>
    <col min="11017" max="11264" width="8.75" style="26"/>
    <col min="11265" max="11265" width="14.75" style="26" customWidth="1"/>
    <col min="11266" max="11269" width="9.625" style="26" customWidth="1"/>
    <col min="11270" max="11270" width="18.75" style="26" customWidth="1"/>
    <col min="11271" max="11271" width="19.25" style="26" customWidth="1"/>
    <col min="11272" max="11272" width="24.875" style="26" bestFit="1" customWidth="1"/>
    <col min="11273" max="11520" width="8.75" style="26"/>
    <col min="11521" max="11521" width="14.75" style="26" customWidth="1"/>
    <col min="11522" max="11525" width="9.625" style="26" customWidth="1"/>
    <col min="11526" max="11526" width="18.75" style="26" customWidth="1"/>
    <col min="11527" max="11527" width="19.25" style="26" customWidth="1"/>
    <col min="11528" max="11528" width="24.875" style="26" bestFit="1" customWidth="1"/>
    <col min="11529" max="11776" width="8.75" style="26"/>
    <col min="11777" max="11777" width="14.75" style="26" customWidth="1"/>
    <col min="11778" max="11781" width="9.625" style="26" customWidth="1"/>
    <col min="11782" max="11782" width="18.75" style="26" customWidth="1"/>
    <col min="11783" max="11783" width="19.25" style="26" customWidth="1"/>
    <col min="11784" max="11784" width="24.875" style="26" bestFit="1" customWidth="1"/>
    <col min="11785" max="12032" width="8.75" style="26"/>
    <col min="12033" max="12033" width="14.75" style="26" customWidth="1"/>
    <col min="12034" max="12037" width="9.625" style="26" customWidth="1"/>
    <col min="12038" max="12038" width="18.75" style="26" customWidth="1"/>
    <col min="12039" max="12039" width="19.25" style="26" customWidth="1"/>
    <col min="12040" max="12040" width="24.875" style="26" bestFit="1" customWidth="1"/>
    <col min="12041" max="12288" width="8.75" style="26"/>
    <col min="12289" max="12289" width="14.75" style="26" customWidth="1"/>
    <col min="12290" max="12293" width="9.625" style="26" customWidth="1"/>
    <col min="12294" max="12294" width="18.75" style="26" customWidth="1"/>
    <col min="12295" max="12295" width="19.25" style="26" customWidth="1"/>
    <col min="12296" max="12296" width="24.875" style="26" bestFit="1" customWidth="1"/>
    <col min="12297" max="12544" width="8.75" style="26"/>
    <col min="12545" max="12545" width="14.75" style="26" customWidth="1"/>
    <col min="12546" max="12549" width="9.625" style="26" customWidth="1"/>
    <col min="12550" max="12550" width="18.75" style="26" customWidth="1"/>
    <col min="12551" max="12551" width="19.25" style="26" customWidth="1"/>
    <col min="12552" max="12552" width="24.875" style="26" bestFit="1" customWidth="1"/>
    <col min="12553" max="12800" width="8.75" style="26"/>
    <col min="12801" max="12801" width="14.75" style="26" customWidth="1"/>
    <col min="12802" max="12805" width="9.625" style="26" customWidth="1"/>
    <col min="12806" max="12806" width="18.75" style="26" customWidth="1"/>
    <col min="12807" max="12807" width="19.25" style="26" customWidth="1"/>
    <col min="12808" max="12808" width="24.875" style="26" bestFit="1" customWidth="1"/>
    <col min="12809" max="13056" width="8.75" style="26"/>
    <col min="13057" max="13057" width="14.75" style="26" customWidth="1"/>
    <col min="13058" max="13061" width="9.625" style="26" customWidth="1"/>
    <col min="13062" max="13062" width="18.75" style="26" customWidth="1"/>
    <col min="13063" max="13063" width="19.25" style="26" customWidth="1"/>
    <col min="13064" max="13064" width="24.875" style="26" bestFit="1" customWidth="1"/>
    <col min="13065" max="13312" width="8.75" style="26"/>
    <col min="13313" max="13313" width="14.75" style="26" customWidth="1"/>
    <col min="13314" max="13317" width="9.625" style="26" customWidth="1"/>
    <col min="13318" max="13318" width="18.75" style="26" customWidth="1"/>
    <col min="13319" max="13319" width="19.25" style="26" customWidth="1"/>
    <col min="13320" max="13320" width="24.875" style="26" bestFit="1" customWidth="1"/>
    <col min="13321" max="13568" width="8.75" style="26"/>
    <col min="13569" max="13569" width="14.75" style="26" customWidth="1"/>
    <col min="13570" max="13573" width="9.625" style="26" customWidth="1"/>
    <col min="13574" max="13574" width="18.75" style="26" customWidth="1"/>
    <col min="13575" max="13575" width="19.25" style="26" customWidth="1"/>
    <col min="13576" max="13576" width="24.875" style="26" bestFit="1" customWidth="1"/>
    <col min="13577" max="13824" width="8.75" style="26"/>
    <col min="13825" max="13825" width="14.75" style="26" customWidth="1"/>
    <col min="13826" max="13829" width="9.625" style="26" customWidth="1"/>
    <col min="13830" max="13830" width="18.75" style="26" customWidth="1"/>
    <col min="13831" max="13831" width="19.25" style="26" customWidth="1"/>
    <col min="13832" max="13832" width="24.875" style="26" bestFit="1" customWidth="1"/>
    <col min="13833" max="14080" width="8.75" style="26"/>
    <col min="14081" max="14081" width="14.75" style="26" customWidth="1"/>
    <col min="14082" max="14085" width="9.625" style="26" customWidth="1"/>
    <col min="14086" max="14086" width="18.75" style="26" customWidth="1"/>
    <col min="14087" max="14087" width="19.25" style="26" customWidth="1"/>
    <col min="14088" max="14088" width="24.875" style="26" bestFit="1" customWidth="1"/>
    <col min="14089" max="14336" width="8.75" style="26"/>
    <col min="14337" max="14337" width="14.75" style="26" customWidth="1"/>
    <col min="14338" max="14341" width="9.625" style="26" customWidth="1"/>
    <col min="14342" max="14342" width="18.75" style="26" customWidth="1"/>
    <col min="14343" max="14343" width="19.25" style="26" customWidth="1"/>
    <col min="14344" max="14344" width="24.875" style="26" bestFit="1" customWidth="1"/>
    <col min="14345" max="14592" width="8.75" style="26"/>
    <col min="14593" max="14593" width="14.75" style="26" customWidth="1"/>
    <col min="14594" max="14597" width="9.625" style="26" customWidth="1"/>
    <col min="14598" max="14598" width="18.75" style="26" customWidth="1"/>
    <col min="14599" max="14599" width="19.25" style="26" customWidth="1"/>
    <col min="14600" max="14600" width="24.875" style="26" bestFit="1" customWidth="1"/>
    <col min="14601" max="14848" width="8.75" style="26"/>
    <col min="14849" max="14849" width="14.75" style="26" customWidth="1"/>
    <col min="14850" max="14853" width="9.625" style="26" customWidth="1"/>
    <col min="14854" max="14854" width="18.75" style="26" customWidth="1"/>
    <col min="14855" max="14855" width="19.25" style="26" customWidth="1"/>
    <col min="14856" max="14856" width="24.875" style="26" bestFit="1" customWidth="1"/>
    <col min="14857" max="15104" width="8.75" style="26"/>
    <col min="15105" max="15105" width="14.75" style="26" customWidth="1"/>
    <col min="15106" max="15109" width="9.625" style="26" customWidth="1"/>
    <col min="15110" max="15110" width="18.75" style="26" customWidth="1"/>
    <col min="15111" max="15111" width="19.25" style="26" customWidth="1"/>
    <col min="15112" max="15112" width="24.875" style="26" bestFit="1" customWidth="1"/>
    <col min="15113" max="15360" width="8.75" style="26"/>
    <col min="15361" max="15361" width="14.75" style="26" customWidth="1"/>
    <col min="15362" max="15365" width="9.625" style="26" customWidth="1"/>
    <col min="15366" max="15366" width="18.75" style="26" customWidth="1"/>
    <col min="15367" max="15367" width="19.25" style="26" customWidth="1"/>
    <col min="15368" max="15368" width="24.875" style="26" bestFit="1" customWidth="1"/>
    <col min="15369" max="15616" width="8.75" style="26"/>
    <col min="15617" max="15617" width="14.75" style="26" customWidth="1"/>
    <col min="15618" max="15621" width="9.625" style="26" customWidth="1"/>
    <col min="15622" max="15622" width="18.75" style="26" customWidth="1"/>
    <col min="15623" max="15623" width="19.25" style="26" customWidth="1"/>
    <col min="15624" max="15624" width="24.875" style="26" bestFit="1" customWidth="1"/>
    <col min="15625" max="15872" width="8.75" style="26"/>
    <col min="15873" max="15873" width="14.75" style="26" customWidth="1"/>
    <col min="15874" max="15877" width="9.625" style="26" customWidth="1"/>
    <col min="15878" max="15878" width="18.75" style="26" customWidth="1"/>
    <col min="15879" max="15879" width="19.25" style="26" customWidth="1"/>
    <col min="15880" max="15880" width="24.875" style="26" bestFit="1" customWidth="1"/>
    <col min="15881" max="16128" width="8.75" style="26"/>
    <col min="16129" max="16129" width="14.75" style="26" customWidth="1"/>
    <col min="16130" max="16133" width="9.625" style="26" customWidth="1"/>
    <col min="16134" max="16134" width="18.75" style="26" customWidth="1"/>
    <col min="16135" max="16135" width="19.25" style="26" customWidth="1"/>
    <col min="16136" max="16136" width="24.875" style="26" bestFit="1" customWidth="1"/>
    <col min="16137" max="16384" width="8.75" style="26"/>
  </cols>
  <sheetData>
    <row r="1" spans="1:9" ht="18" x14ac:dyDescent="0.25">
      <c r="A1" s="63" t="s">
        <v>53</v>
      </c>
      <c r="B1" s="63"/>
      <c r="C1" s="63"/>
      <c r="D1" s="63"/>
      <c r="E1" s="63"/>
      <c r="F1" s="63"/>
      <c r="G1" s="25"/>
      <c r="H1" s="25"/>
    </row>
    <row r="2" spans="1:9" x14ac:dyDescent="0.2">
      <c r="A2" s="44" t="s">
        <v>54</v>
      </c>
      <c r="B2" s="44" t="s">
        <v>55</v>
      </c>
      <c r="C2" s="44" t="s">
        <v>56</v>
      </c>
      <c r="D2" s="44" t="s">
        <v>57</v>
      </c>
      <c r="E2" s="44" t="s">
        <v>58</v>
      </c>
      <c r="G2" s="44" t="s">
        <v>59</v>
      </c>
    </row>
    <row r="3" spans="1:9" x14ac:dyDescent="0.2">
      <c r="A3" s="31">
        <v>1</v>
      </c>
      <c r="B3" s="45">
        <v>-6.6255605887467039E-2</v>
      </c>
      <c r="C3" s="45">
        <v>-2.4904679180075117E-2</v>
      </c>
      <c r="D3" s="45">
        <v>-4.269514666027549E-2</v>
      </c>
      <c r="E3" s="45">
        <v>0.1172</v>
      </c>
      <c r="G3" s="46">
        <f t="array" ref="G3:G9">MMULT(B3:E9,B23:B26)</f>
        <v>-1.8222825757319806E-2</v>
      </c>
      <c r="H3" s="47" t="e">
        <f ca="1">getformula(G3)</f>
        <v>#NAME?</v>
      </c>
      <c r="I3" s="47"/>
    </row>
    <row r="4" spans="1:9" x14ac:dyDescent="0.2">
      <c r="A4" s="31">
        <v>2</v>
      </c>
      <c r="B4" s="45">
        <v>8.5300000000000001E-2</v>
      </c>
      <c r="C4" s="45">
        <v>2.4400000000000002E-2</v>
      </c>
      <c r="D4" s="45">
        <v>-3.1543618535442949E-2</v>
      </c>
      <c r="E4" s="45">
        <v>-8.3299999999999999E-2</v>
      </c>
      <c r="G4" s="46">
        <v>9.9087550844717976E-3</v>
      </c>
      <c r="H4" s="47"/>
      <c r="I4" s="47"/>
    </row>
    <row r="5" spans="1:9" x14ac:dyDescent="0.2">
      <c r="A5" s="31">
        <v>3</v>
      </c>
      <c r="B5" s="45">
        <v>1.7937188329115412E-2</v>
      </c>
      <c r="C5" s="45">
        <v>4.4606698040520781E-2</v>
      </c>
      <c r="D5" s="45">
        <v>1.9195027491194547E-2</v>
      </c>
      <c r="E5" s="45">
        <v>0.19180375767263116</v>
      </c>
      <c r="G5" s="46">
        <v>5.4706257461176799E-2</v>
      </c>
      <c r="H5" s="47"/>
      <c r="I5" s="47"/>
    </row>
    <row r="6" spans="1:9" x14ac:dyDescent="0.2">
      <c r="A6" s="31">
        <v>4</v>
      </c>
      <c r="B6" s="45">
        <v>7.2484350433373146E-2</v>
      </c>
      <c r="C6" s="45">
        <v>0.17896441688028816</v>
      </c>
      <c r="D6" s="45">
        <v>-6.5257342301863905E-2</v>
      </c>
      <c r="E6" s="45">
        <v>-7.4061437799726737E-2</v>
      </c>
      <c r="G6" s="46">
        <v>3.6503513841059508E-2</v>
      </c>
      <c r="H6" s="47"/>
      <c r="I6" s="47"/>
    </row>
    <row r="7" spans="1:9" x14ac:dyDescent="0.2">
      <c r="A7" s="31">
        <v>5</v>
      </c>
      <c r="B7" s="45">
        <v>7.545292033896033E-3</v>
      </c>
      <c r="C7" s="45">
        <v>-8.2229955942229177E-2</v>
      </c>
      <c r="D7" s="45">
        <v>-1.757117827535767E-2</v>
      </c>
      <c r="E7" s="45">
        <v>-1.443594623294148E-2</v>
      </c>
      <c r="G7" s="46">
        <v>-2.5107488636137654E-2</v>
      </c>
      <c r="H7" s="47"/>
      <c r="I7" s="47"/>
    </row>
    <row r="8" spans="1:9" x14ac:dyDescent="0.2">
      <c r="A8" s="31">
        <v>6</v>
      </c>
      <c r="B8" s="45">
        <v>-1.5696373666933345E-2</v>
      </c>
      <c r="C8" s="45">
        <v>8.3192591965755795E-3</v>
      </c>
      <c r="D8" s="45">
        <v>0.1288</v>
      </c>
      <c r="E8" s="45">
        <v>-5.9221112814114754E-2</v>
      </c>
      <c r="G8" s="46">
        <v>2.1615229585562404E-2</v>
      </c>
      <c r="H8" s="47"/>
      <c r="I8" s="47"/>
    </row>
    <row r="9" spans="1:9" x14ac:dyDescent="0.2">
      <c r="A9" s="31">
        <v>7</v>
      </c>
      <c r="B9" s="45">
        <v>-2.0984886675167722E-2</v>
      </c>
      <c r="C9" s="45">
        <v>5.1431364020888035E-2</v>
      </c>
      <c r="D9" s="45">
        <v>0.1340676294208841</v>
      </c>
      <c r="E9" s="45">
        <v>-4.5686250612152913E-3</v>
      </c>
      <c r="G9" s="46">
        <v>4.1386712004944544E-2</v>
      </c>
      <c r="H9" s="47"/>
      <c r="I9" s="47"/>
    </row>
    <row r="11" spans="1:9" x14ac:dyDescent="0.2">
      <c r="A11" s="26" t="s">
        <v>44</v>
      </c>
      <c r="B11" s="45">
        <f>AVERAGE(B3:B9)</f>
        <v>1.1475709223830927E-2</v>
      </c>
      <c r="C11" s="45">
        <f>AVERAGE(C3:C9)</f>
        <v>2.8655300430852609E-2</v>
      </c>
      <c r="D11" s="45">
        <f>AVERAGE(D3:D9)</f>
        <v>1.7856481591305519E-2</v>
      </c>
      <c r="E11" s="45">
        <f>AVERAGE(E3:E9)</f>
        <v>1.0488090823518989E-2</v>
      </c>
      <c r="F11" s="45" t="e">
        <f ca="1">getformula(E11)</f>
        <v>#NAME?</v>
      </c>
      <c r="G11" s="46">
        <f>AVERAGE(G3:G9)</f>
        <v>1.7255736226251088E-2</v>
      </c>
    </row>
    <row r="12" spans="1:9" x14ac:dyDescent="0.2">
      <c r="B12" s="45"/>
      <c r="C12" s="45"/>
      <c r="D12" s="45"/>
      <c r="E12" s="45"/>
      <c r="F12" s="45"/>
    </row>
    <row r="13" spans="1:9" x14ac:dyDescent="0.2">
      <c r="A13" s="34" t="s">
        <v>48</v>
      </c>
    </row>
    <row r="14" spans="1:9" x14ac:dyDescent="0.2">
      <c r="B14" s="31" t="s">
        <v>55</v>
      </c>
      <c r="C14" s="31" t="s">
        <v>56</v>
      </c>
      <c r="D14" s="31" t="s">
        <v>57</v>
      </c>
      <c r="E14" s="31" t="s">
        <v>58</v>
      </c>
    </row>
    <row r="15" spans="1:9" x14ac:dyDescent="0.2">
      <c r="A15" s="26" t="s">
        <v>55</v>
      </c>
      <c r="B15" s="35">
        <f t="array" ref="B15:E18">MMULT(TRANSPOSE(B3:E9-B11:E11),B3:E9-B11:E11)/7</f>
        <v>2.4376355465752187E-3</v>
      </c>
      <c r="C15" s="35">
        <v>1.910205859138172E-3</v>
      </c>
      <c r="D15" s="35">
        <v>-1.5213980341143869E-3</v>
      </c>
      <c r="E15" s="35">
        <v>-2.3892178138495862E-3</v>
      </c>
    </row>
    <row r="16" spans="1:9" x14ac:dyDescent="0.2">
      <c r="A16" s="26" t="s">
        <v>56</v>
      </c>
      <c r="B16" s="35">
        <v>1.910205859138172E-3</v>
      </c>
      <c r="C16" s="35">
        <v>5.5659857568364493E-3</v>
      </c>
      <c r="D16" s="35">
        <v>-6.7128169135941441E-4</v>
      </c>
      <c r="E16" s="35">
        <v>-1.6134761521794001E-3</v>
      </c>
      <c r="F16" s="64" t="e">
        <f ca="1">"cells "&amp;CHAR(COLUMN(B15)+64)&amp;ROW(B15)&amp;":"&amp;CHAR(COLUMN(E18)+64)&amp;ROW(E18)&amp;" contain the formula "&amp;ggetformula(B15)</f>
        <v>#NAME?</v>
      </c>
      <c r="G16" s="64"/>
    </row>
    <row r="17" spans="1:7" x14ac:dyDescent="0.2">
      <c r="A17" s="26" t="s">
        <v>57</v>
      </c>
      <c r="B17" s="35">
        <v>-1.5213980341143869E-3</v>
      </c>
      <c r="C17" s="35">
        <v>-6.7128169135941441E-4</v>
      </c>
      <c r="D17" s="35">
        <v>5.7264547491596863E-3</v>
      </c>
      <c r="E17" s="35">
        <v>-4.5129243537122291E-4</v>
      </c>
      <c r="F17" s="64"/>
      <c r="G17" s="64"/>
    </row>
    <row r="18" spans="1:7" x14ac:dyDescent="0.2">
      <c r="A18" s="26" t="s">
        <v>58</v>
      </c>
      <c r="B18" s="35">
        <v>-2.3892178138495862E-3</v>
      </c>
      <c r="C18" s="35">
        <v>-1.6134761521794001E-3</v>
      </c>
      <c r="D18" s="35">
        <v>-4.5129243537122291E-4</v>
      </c>
      <c r="E18" s="35">
        <v>9.4164166805685689E-3</v>
      </c>
      <c r="F18" s="64"/>
      <c r="G18" s="64"/>
    </row>
    <row r="20" spans="1:7" x14ac:dyDescent="0.2">
      <c r="A20" s="34" t="s">
        <v>60</v>
      </c>
    </row>
    <row r="21" spans="1:7" x14ac:dyDescent="0.2">
      <c r="A21" s="26" t="s">
        <v>28</v>
      </c>
      <c r="B21" s="47">
        <v>5.0000000000000001E-3</v>
      </c>
    </row>
    <row r="23" spans="1:7" x14ac:dyDescent="0.2">
      <c r="A23" s="26" t="s">
        <v>55</v>
      </c>
      <c r="B23" s="35">
        <f t="array" ref="B23:B26">MMULT(MINVERSE(B15:E18),TRANSPOSE(B11:E11)-B21)/SUM(MMULT(MINVERSE(B15:E18),TRANSPOSE(B11:E11)-B21))</f>
        <v>0.31285942027940788</v>
      </c>
    </row>
    <row r="24" spans="1:7" x14ac:dyDescent="0.2">
      <c r="A24" s="26" t="s">
        <v>56</v>
      </c>
      <c r="B24" s="35">
        <v>0.24641147896469962</v>
      </c>
      <c r="D24" s="64" t="str">
        <f>{"Cells B23:B26 contain the formula {=MMULT(MINVERSE(B15:E18),TRANSPOSE(B11:E11)-B21)/SUM(MMULT(MINVERSE(B15:E18),TRANSPOSE(B11:E11)-B21))}"}</f>
        <v>Cells B23:B26 contain the formula {=MMULT(MINVERSE(B15:E18),TRANSPOSE(B11:E11)-B21)/SUM(MMULT(MINVERSE(B15:E18),TRANSPOSE(B11:E11)-B21))}</v>
      </c>
      <c r="E24" s="64"/>
      <c r="F24" s="64"/>
      <c r="G24" s="64"/>
    </row>
    <row r="25" spans="1:7" x14ac:dyDescent="0.2">
      <c r="A25" s="26" t="s">
        <v>57</v>
      </c>
      <c r="B25" s="35">
        <v>0.26899369984741706</v>
      </c>
      <c r="D25" s="64"/>
      <c r="E25" s="64"/>
      <c r="F25" s="64"/>
      <c r="G25" s="64"/>
    </row>
    <row r="26" spans="1:7" x14ac:dyDescent="0.2">
      <c r="A26" s="26" t="s">
        <v>58</v>
      </c>
      <c r="B26" s="35">
        <v>0.17173540090847547</v>
      </c>
      <c r="D26" s="64"/>
      <c r="E26" s="64"/>
      <c r="F26" s="64"/>
      <c r="G26" s="64"/>
    </row>
    <row r="29" spans="1:7" ht="15.75" x14ac:dyDescent="0.25">
      <c r="A29" s="48" t="s">
        <v>71</v>
      </c>
    </row>
    <row r="30" spans="1:7" x14ac:dyDescent="0.2">
      <c r="A30" s="49" t="s">
        <v>61</v>
      </c>
      <c r="B30" s="45"/>
      <c r="C30" s="45"/>
      <c r="D30" s="45"/>
    </row>
    <row r="31" spans="1:7" x14ac:dyDescent="0.2">
      <c r="B31" s="44" t="s">
        <v>55</v>
      </c>
      <c r="C31" s="44" t="s">
        <v>56</v>
      </c>
      <c r="D31" s="44" t="s">
        <v>57</v>
      </c>
      <c r="E31" s="44" t="s">
        <v>58</v>
      </c>
    </row>
    <row r="32" spans="1:7" x14ac:dyDescent="0.2">
      <c r="A32" s="26" t="s">
        <v>62</v>
      </c>
      <c r="B32" s="35">
        <f>INTERCEPT(B3:B9,$G$3:$G$9)</f>
        <v>2.3580904874729788E-3</v>
      </c>
      <c r="C32" s="35">
        <f>INTERCEPT(C3:C9,$G$3:$G$9)</f>
        <v>-4.6507055937546719E-3</v>
      </c>
      <c r="D32" s="35">
        <f>INTERCEPT(D3:D9,$G$3:$G$9)</f>
        <v>-2.4508742435548972E-4</v>
      </c>
      <c r="E32" s="35">
        <f>INTERCEPT(E3:E9,$G$3:$G$9)</f>
        <v>2.7610113655335599E-3</v>
      </c>
      <c r="F32" s="35" t="e">
        <f ca="1">getformula(E32)</f>
        <v>#NAME?</v>
      </c>
    </row>
    <row r="33" spans="1:6" x14ac:dyDescent="0.2">
      <c r="A33" s="26" t="s">
        <v>63</v>
      </c>
      <c r="B33" s="35">
        <f>SLOPE(B3:B9,$G$3:$G$9)</f>
        <v>0.52838190250540273</v>
      </c>
      <c r="C33" s="35">
        <f>SLOPE(C3:C9,$G$3:$G$9)</f>
        <v>1.9301411187509332</v>
      </c>
      <c r="D33" s="35">
        <f>SLOPE(D3:D9,$G$3:$G$9)</f>
        <v>1.049017484871098</v>
      </c>
      <c r="E33" s="35">
        <f>SLOPE(E3:E9,$G$3:$G$9)</f>
        <v>0.44779772689328967</v>
      </c>
      <c r="F33" s="35" t="e">
        <f ca="1">getformula(E33)</f>
        <v>#NAME?</v>
      </c>
    </row>
    <row r="34" spans="1:6" x14ac:dyDescent="0.2">
      <c r="A34" s="26" t="s">
        <v>64</v>
      </c>
      <c r="B34" s="35">
        <f>RSQ(B3:B9,$G$3:$G$9)</f>
        <v>8.9689683964278413E-2</v>
      </c>
      <c r="C34" s="35">
        <f>RSQ(C3:C9,$G$3:$G$9)</f>
        <v>0.52414498455428704</v>
      </c>
      <c r="D34" s="35">
        <f>RSQ(D3:D9,$G$3:$G$9)</f>
        <v>0.15048562636313398</v>
      </c>
      <c r="E34" s="35">
        <f>RSQ(E3:E9,$G$3:$G$9)</f>
        <v>1.6676061990681626E-2</v>
      </c>
      <c r="F34" s="35" t="e">
        <f ca="1">getformula(E34)</f>
        <v>#NAME?</v>
      </c>
    </row>
    <row r="36" spans="1:6" x14ac:dyDescent="0.2">
      <c r="A36" s="26" t="s">
        <v>65</v>
      </c>
    </row>
    <row r="37" spans="1:6" ht="14.25" x14ac:dyDescent="0.2">
      <c r="A37" s="26" t="s">
        <v>66</v>
      </c>
      <c r="B37" s="50">
        <f>INTERCEPT(B11:E11,B33:E33)</f>
        <v>5.0000000000000062E-3</v>
      </c>
      <c r="C37" s="35" t="e">
        <f ca="1">getformula(B37)</f>
        <v>#NAME?</v>
      </c>
    </row>
    <row r="38" spans="1:6" x14ac:dyDescent="0.2">
      <c r="A38" s="26" t="s">
        <v>67</v>
      </c>
      <c r="B38" s="35">
        <f>SLOPE(B11:E11,B33:E33)</f>
        <v>1.2255736226251082E-2</v>
      </c>
      <c r="C38" s="35" t="e">
        <f ca="1">getformula(B38)</f>
        <v>#NAME?</v>
      </c>
    </row>
    <row r="39" spans="1:6" x14ac:dyDescent="0.2">
      <c r="A39" s="26" t="s">
        <v>64</v>
      </c>
      <c r="B39" s="35">
        <f>RSQ(B11:E11,B33:E33)</f>
        <v>0.99999999999999978</v>
      </c>
      <c r="C39" s="35" t="e">
        <f ca="1">getformula(B39)</f>
        <v>#NAME?</v>
      </c>
    </row>
    <row r="40" spans="1:6" x14ac:dyDescent="0.2">
      <c r="B40" s="35"/>
      <c r="C40" s="35"/>
    </row>
    <row r="41" spans="1:6" ht="30" customHeight="1" x14ac:dyDescent="0.2">
      <c r="A41" s="65" t="s">
        <v>68</v>
      </c>
      <c r="B41" s="65"/>
      <c r="C41" s="65"/>
      <c r="D41" s="65"/>
      <c r="E41" s="65"/>
    </row>
    <row r="42" spans="1:6" x14ac:dyDescent="0.2">
      <c r="A42" s="26" t="s">
        <v>69</v>
      </c>
      <c r="B42" s="31" t="str">
        <f>IF(ROUND(B37-B21,10)=0,"yes","no")</f>
        <v>yes</v>
      </c>
      <c r="C42" s="35" t="e">
        <f ca="1">getformula(B42)</f>
        <v>#NAME?</v>
      </c>
    </row>
    <row r="43" spans="1:6" ht="15.75" x14ac:dyDescent="0.3">
      <c r="A43" s="26" t="s">
        <v>70</v>
      </c>
      <c r="B43" s="39" t="str">
        <f>IF(B38=G11-B21,"yes","no")</f>
        <v>yes</v>
      </c>
      <c r="C43" s="35" t="e">
        <f ca="1">getformula(B43)</f>
        <v>#NAME?</v>
      </c>
    </row>
    <row r="46" spans="1:6" x14ac:dyDescent="0.2">
      <c r="C46" s="47"/>
      <c r="F46" s="51"/>
    </row>
    <row r="47" spans="1:6" x14ac:dyDescent="0.2">
      <c r="F47" s="52"/>
    </row>
  </sheetData>
  <mergeCells count="4">
    <mergeCell ref="A1:F1"/>
    <mergeCell ref="F16:G18"/>
    <mergeCell ref="D24:G26"/>
    <mergeCell ref="A41:E41"/>
  </mergeCells>
  <printOptions headings="1" gridLines="1"/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13</vt:i4>
      </vt:variant>
    </vt:vector>
  </HeadingPairs>
  <TitlesOfParts>
    <vt:vector size="20" baseType="lpstr">
      <vt:lpstr>Pages 228-232</vt:lpstr>
      <vt:lpstr>Page 233</vt:lpstr>
      <vt:lpstr>Page 235</vt:lpstr>
      <vt:lpstr>Page 236</vt:lpstr>
      <vt:lpstr>Page 237</vt:lpstr>
      <vt:lpstr>Page 241</vt:lpstr>
      <vt:lpstr>Page 241-244</vt:lpstr>
      <vt:lpstr>'Page 236'!means</vt:lpstr>
      <vt:lpstr>'Page 237'!means</vt:lpstr>
      <vt:lpstr>means</vt:lpstr>
      <vt:lpstr>'Page 237'!portfoliox</vt:lpstr>
      <vt:lpstr>portfoliox</vt:lpstr>
      <vt:lpstr>'Page 237'!portfolioy</vt:lpstr>
      <vt:lpstr>portfolioy</vt:lpstr>
      <vt:lpstr>'Page 237'!portfolioz</vt:lpstr>
      <vt:lpstr>portfolioz</vt:lpstr>
      <vt:lpstr>portx</vt:lpstr>
      <vt:lpstr>'Page 236'!varcov</vt:lpstr>
      <vt:lpstr>'Page 237'!varcov</vt:lpstr>
      <vt:lpstr>varcov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Trainer</cp:lastModifiedBy>
  <dcterms:created xsi:type="dcterms:W3CDTF">2012-07-02T11:54:08Z</dcterms:created>
  <dcterms:modified xsi:type="dcterms:W3CDTF">2022-08-31T16:17:45Z</dcterms:modified>
</cp:coreProperties>
</file>