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ve S\Desktop\WB\_Trainer\"/>
    </mc:Choice>
  </mc:AlternateContent>
  <xr:revisionPtr revIDLastSave="0" documentId="13_ncr:1_{076203D8-AE12-4D0B-A836-FF610A9B9079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pg198" sheetId="2" state="hidden" r:id="rId1"/>
    <sheet name="pg200" sheetId="3" state="hidden" r:id="rId2"/>
    <sheet name="pg202" sheetId="4" state="hidden" r:id="rId3"/>
    <sheet name="Bond" sheetId="11" r:id="rId4"/>
    <sheet name="pg203" sheetId="5" r:id="rId5"/>
    <sheet name="pg204" sheetId="6" state="hidden" r:id="rId6"/>
    <sheet name="pg207" sheetId="7" r:id="rId7"/>
    <sheet name="pg212" sheetId="8" state="hidden" r:id="rId8"/>
    <sheet name="a8.2" sheetId="10" r:id="rId9"/>
  </sheets>
  <externalReferences>
    <externalReference r:id="rId10"/>
  </externalReferences>
  <definedNames>
    <definedName name="Basis">[1]B1!$D$10</definedName>
    <definedName name="Coupon">[1]B1!$D$5</definedName>
    <definedName name="Frequency">[1]B1!$D$9</definedName>
    <definedName name="Maturity">[1]B1!$D$7</definedName>
    <definedName name="Settlement">[1]B1!$D$6</definedName>
    <definedName name="solver_adj" localSheetId="3" hidden="1">Bond!$C$8</definedName>
    <definedName name="solver_adj" localSheetId="6" hidden="1">'pg207'!$B$9:$E$9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2</definedName>
    <definedName name="solver_eng" localSheetId="3" hidden="1">1</definedName>
    <definedName name="solver_eng" localSheetId="6" hidden="1">1</definedName>
    <definedName name="solver_est" localSheetId="3" hidden="1">1</definedName>
    <definedName name="solver_est" localSheetId="6" hidden="1">1</definedName>
    <definedName name="solver_itr" localSheetId="3" hidden="1">2147483647</definedName>
    <definedName name="solver_itr" localSheetId="6" hidden="1">2147483647</definedName>
    <definedName name="solver_lhs1" localSheetId="6" hidden="1">'pg207'!$E$12</definedName>
    <definedName name="solver_lhs2" localSheetId="6" hidden="1">'pg207'!$F$9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3" hidden="1">1</definedName>
    <definedName name="solver_neg" localSheetId="6" hidden="1">1</definedName>
    <definedName name="solver_nod" localSheetId="3" hidden="1">2147483647</definedName>
    <definedName name="solver_nod" localSheetId="6" hidden="1">2147483647</definedName>
    <definedName name="solver_num" localSheetId="3" hidden="1">0</definedName>
    <definedName name="solver_num" localSheetId="6" hidden="1">2</definedName>
    <definedName name="solver_nwt" localSheetId="3" hidden="1">1</definedName>
    <definedName name="solver_nwt" localSheetId="6" hidden="1">1</definedName>
    <definedName name="solver_opt" localSheetId="3" hidden="1">Bond!$C$18</definedName>
    <definedName name="solver_opt" localSheetId="6" hidden="1">'pg207'!$E$13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2</definedName>
    <definedName name="solver_rel1" localSheetId="6" hidden="1">2</definedName>
    <definedName name="solver_rel2" localSheetId="6" hidden="1">2</definedName>
    <definedName name="solver_rhs1" localSheetId="6" hidden="1">'pg207'!$I$5</definedName>
    <definedName name="solver_rhs2" localSheetId="6" hidden="1">1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2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3" hidden="1">3</definedName>
    <definedName name="solver_typ" localSheetId="6" hidden="1">2</definedName>
    <definedName name="solver_val" localSheetId="3" hidden="1">0</definedName>
    <definedName name="solver_val" localSheetId="6" hidden="1">0</definedName>
    <definedName name="solver_ver" localSheetId="3" hidden="1">3</definedName>
    <definedName name="solver_ver" localSheetId="6" hidden="1">3</definedName>
    <definedName name="Yld">[1]B1!$D$8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" i="11" l="1"/>
  <c r="M14" i="11" s="1"/>
  <c r="K14" i="11"/>
  <c r="J14" i="11"/>
  <c r="I14" i="11"/>
  <c r="H14" i="11"/>
  <c r="G14" i="11"/>
  <c r="F14" i="11"/>
  <c r="E14" i="11"/>
  <c r="D14" i="11"/>
  <c r="C14" i="11"/>
  <c r="C12" i="11"/>
  <c r="D12" i="11" s="1"/>
  <c r="E11" i="11"/>
  <c r="F11" i="11" s="1"/>
  <c r="D11" i="11"/>
  <c r="G11" i="11" l="1"/>
  <c r="F12" i="11"/>
  <c r="E12" i="11"/>
  <c r="H11" i="11" l="1"/>
  <c r="G12" i="11"/>
  <c r="H19" i="5"/>
  <c r="H18" i="5"/>
  <c r="H16" i="5"/>
  <c r="H15" i="5"/>
  <c r="H13" i="5"/>
  <c r="H12" i="5"/>
  <c r="I16" i="5"/>
  <c r="I15" i="5"/>
  <c r="I13" i="5"/>
  <c r="I18" i="5"/>
  <c r="I12" i="5"/>
  <c r="I19" i="5"/>
  <c r="H12" i="11" l="1"/>
  <c r="I11" i="11"/>
  <c r="C69" i="10"/>
  <c r="G69" i="10"/>
  <c r="C70" i="10"/>
  <c r="G70" i="10"/>
  <c r="G71" i="10" s="1"/>
  <c r="C71" i="10"/>
  <c r="F9" i="7"/>
  <c r="F8" i="7"/>
  <c r="A4" i="4" a="1"/>
  <c r="A4" i="4" s="1"/>
  <c r="A4" i="3" a="1"/>
  <c r="A4" i="3" s="1"/>
  <c r="F10" i="2"/>
  <c r="E10" i="2"/>
  <c r="G6" i="10"/>
  <c r="H6" i="10"/>
  <c r="G7" i="10"/>
  <c r="H7" i="10"/>
  <c r="G8" i="10"/>
  <c r="H8" i="10"/>
  <c r="G9" i="10"/>
  <c r="G67" i="10" s="1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G31" i="10"/>
  <c r="H31" i="10"/>
  <c r="G32" i="10"/>
  <c r="H32" i="10"/>
  <c r="G33" i="10"/>
  <c r="H33" i="10"/>
  <c r="G34" i="10"/>
  <c r="H34" i="10"/>
  <c r="G35" i="10"/>
  <c r="H35" i="10"/>
  <c r="G36" i="10"/>
  <c r="H36" i="10"/>
  <c r="G37" i="10"/>
  <c r="H37" i="10"/>
  <c r="G38" i="10"/>
  <c r="H38" i="10"/>
  <c r="G39" i="10"/>
  <c r="H39" i="10"/>
  <c r="G40" i="10"/>
  <c r="H40" i="10"/>
  <c r="G41" i="10"/>
  <c r="H41" i="10"/>
  <c r="G42" i="10"/>
  <c r="H42" i="10"/>
  <c r="G43" i="10"/>
  <c r="H43" i="10"/>
  <c r="G44" i="10"/>
  <c r="H44" i="10"/>
  <c r="G45" i="10"/>
  <c r="H45" i="10"/>
  <c r="G46" i="10"/>
  <c r="H46" i="10"/>
  <c r="G47" i="10"/>
  <c r="H47" i="10"/>
  <c r="G48" i="10"/>
  <c r="H48" i="10"/>
  <c r="G49" i="10"/>
  <c r="H49" i="10"/>
  <c r="G50" i="10"/>
  <c r="H50" i="10"/>
  <c r="G51" i="10"/>
  <c r="H51" i="10"/>
  <c r="G52" i="10"/>
  <c r="H52" i="10"/>
  <c r="G53" i="10"/>
  <c r="H53" i="10"/>
  <c r="G54" i="10"/>
  <c r="H54" i="10"/>
  <c r="G55" i="10"/>
  <c r="H55" i="10"/>
  <c r="G56" i="10"/>
  <c r="H56" i="10"/>
  <c r="G57" i="10"/>
  <c r="H57" i="10"/>
  <c r="G58" i="10"/>
  <c r="H58" i="10"/>
  <c r="G59" i="10"/>
  <c r="H59" i="10"/>
  <c r="G60" i="10"/>
  <c r="H60" i="10"/>
  <c r="G61" i="10"/>
  <c r="H61" i="10"/>
  <c r="G62" i="10"/>
  <c r="H62" i="10"/>
  <c r="G63" i="10"/>
  <c r="H63" i="10"/>
  <c r="G64" i="10"/>
  <c r="H64" i="10"/>
  <c r="C6" i="10"/>
  <c r="C67" i="10" s="1"/>
  <c r="D6" i="10"/>
  <c r="C7" i="10"/>
  <c r="D7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9" i="10"/>
  <c r="D19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C32" i="10"/>
  <c r="D32" i="10"/>
  <c r="C33" i="10"/>
  <c r="D33" i="10"/>
  <c r="C34" i="10"/>
  <c r="D34" i="10"/>
  <c r="C35" i="10"/>
  <c r="D35" i="10"/>
  <c r="C36" i="10"/>
  <c r="D36" i="10"/>
  <c r="C37" i="10"/>
  <c r="D37" i="10"/>
  <c r="C38" i="10"/>
  <c r="D38" i="10"/>
  <c r="C39" i="10"/>
  <c r="D39" i="10"/>
  <c r="C40" i="10"/>
  <c r="D40" i="10"/>
  <c r="C41" i="10"/>
  <c r="D41" i="10"/>
  <c r="C42" i="10"/>
  <c r="D42" i="10"/>
  <c r="C43" i="10"/>
  <c r="D43" i="10"/>
  <c r="C44" i="10"/>
  <c r="D44" i="10"/>
  <c r="C45" i="10"/>
  <c r="D45" i="10"/>
  <c r="C46" i="10"/>
  <c r="D46" i="10"/>
  <c r="C47" i="10"/>
  <c r="D47" i="10"/>
  <c r="C48" i="10"/>
  <c r="D48" i="10"/>
  <c r="C49" i="10"/>
  <c r="D49" i="10"/>
  <c r="C50" i="10"/>
  <c r="D50" i="10"/>
  <c r="C51" i="10"/>
  <c r="D51" i="10"/>
  <c r="C52" i="10"/>
  <c r="D52" i="10"/>
  <c r="C53" i="10"/>
  <c r="D53" i="10"/>
  <c r="C54" i="10"/>
  <c r="D54" i="10"/>
  <c r="C55" i="10"/>
  <c r="D55" i="10"/>
  <c r="C56" i="10"/>
  <c r="D56" i="10"/>
  <c r="C57" i="10"/>
  <c r="D57" i="10"/>
  <c r="C58" i="10"/>
  <c r="D58" i="10"/>
  <c r="C59" i="10"/>
  <c r="D59" i="10"/>
  <c r="C60" i="10"/>
  <c r="D60" i="10"/>
  <c r="C61" i="10"/>
  <c r="D61" i="10"/>
  <c r="C62" i="10"/>
  <c r="D62" i="10"/>
  <c r="C63" i="10"/>
  <c r="D63" i="10"/>
  <c r="C64" i="10"/>
  <c r="D64" i="10"/>
  <c r="H5" i="10"/>
  <c r="H66" i="10" s="1"/>
  <c r="G5" i="10"/>
  <c r="G66" i="10" s="1"/>
  <c r="D5" i="10"/>
  <c r="D67" i="10" s="1"/>
  <c r="C5" i="10"/>
  <c r="C66" i="10" s="1"/>
  <c r="C12" i="6"/>
  <c r="I15" i="7"/>
  <c r="C10" i="6"/>
  <c r="I12" i="7"/>
  <c r="E4" i="6"/>
  <c r="C19" i="7"/>
  <c r="L12" i="7"/>
  <c r="E3" i="6"/>
  <c r="E5" i="6"/>
  <c r="C21" i="7"/>
  <c r="C20" i="7"/>
  <c r="L13" i="7"/>
  <c r="C11" i="6"/>
  <c r="I13" i="7"/>
  <c r="I14" i="7"/>
  <c r="I12" i="11" l="1"/>
  <c r="J11" i="11"/>
  <c r="D66" i="10"/>
  <c r="H67" i="10"/>
  <c r="D47" i="8"/>
  <c r="D48" i="8"/>
  <c r="D49" i="8"/>
  <c r="D46" i="8"/>
  <c r="B49" i="8"/>
  <c r="B48" i="8"/>
  <c r="B47" i="8"/>
  <c r="B46" i="8"/>
  <c r="B14" i="8" a="1"/>
  <c r="B14" i="8" s="1"/>
  <c r="E13" i="8" a="1"/>
  <c r="E13" i="8" s="1"/>
  <c r="B13" i="8" a="1"/>
  <c r="B13" i="8" s="1"/>
  <c r="E12" i="8" a="1"/>
  <c r="E12" i="8" s="1"/>
  <c r="B12" i="8" a="1"/>
  <c r="B12" i="8" s="1"/>
  <c r="B14" i="7" a="1"/>
  <c r="B14" i="7" s="1"/>
  <c r="E13" i="7" a="1"/>
  <c r="E13" i="7" s="1"/>
  <c r="B13" i="7" a="1"/>
  <c r="B13" i="7" s="1"/>
  <c r="E12" i="7" a="1"/>
  <c r="E12" i="7" s="1"/>
  <c r="B12" i="7" a="1"/>
  <c r="B12" i="7" s="1"/>
  <c r="B3" i="5"/>
  <c r="K11" i="11" l="1"/>
  <c r="J12" i="11"/>
  <c r="B19" i="7"/>
  <c r="C25" i="7" s="1"/>
  <c r="B20" i="7"/>
  <c r="B21" i="7" s="1"/>
  <c r="B25" i="7" s="1"/>
  <c r="B15" i="7"/>
  <c r="B20" i="8"/>
  <c r="B21" i="8" s="1"/>
  <c r="B25" i="8" s="1"/>
  <c r="B19" i="8"/>
  <c r="C25" i="8" s="1"/>
  <c r="B15" i="8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B4" i="4" s="1" a="1"/>
  <c r="B4" i="4" s="1"/>
  <c r="A6" i="5" s="1" a="1"/>
  <c r="A6" i="5" s="1"/>
  <c r="F13" i="2"/>
  <c r="E13" i="2"/>
  <c r="F12" i="2"/>
  <c r="E12" i="2"/>
  <c r="L11" i="11" l="1"/>
  <c r="K12" i="11"/>
  <c r="H6" i="5"/>
  <c r="B4" i="3" a="1"/>
  <c r="D51" i="5"/>
  <c r="D63" i="5"/>
  <c r="D47" i="5"/>
  <c r="D59" i="5"/>
  <c r="D55" i="5"/>
  <c r="D23" i="5"/>
  <c r="D8" i="5"/>
  <c r="D12" i="5"/>
  <c r="D14" i="5"/>
  <c r="D16" i="5"/>
  <c r="D18" i="5"/>
  <c r="D22" i="5"/>
  <c r="D24" i="5"/>
  <c r="D26" i="5"/>
  <c r="D28" i="5"/>
  <c r="D30" i="5"/>
  <c r="D32" i="5"/>
  <c r="D34" i="5"/>
  <c r="D36" i="5"/>
  <c r="D38" i="5"/>
  <c r="D40" i="5"/>
  <c r="D42" i="5"/>
  <c r="D44" i="5"/>
  <c r="D46" i="5"/>
  <c r="D48" i="5"/>
  <c r="D50" i="5"/>
  <c r="D52" i="5"/>
  <c r="D54" i="5"/>
  <c r="D56" i="5"/>
  <c r="D58" i="5"/>
  <c r="D60" i="5"/>
  <c r="D62" i="5"/>
  <c r="D64" i="5"/>
  <c r="F4" i="2"/>
  <c r="D10" i="5"/>
  <c r="D20" i="5"/>
  <c r="D7" i="5"/>
  <c r="D11" i="5"/>
  <c r="D15" i="5"/>
  <c r="D19" i="5"/>
  <c r="D9" i="5"/>
  <c r="D13" i="5"/>
  <c r="D17" i="5"/>
  <c r="D21" i="5"/>
  <c r="D25" i="5"/>
  <c r="D27" i="5"/>
  <c r="D29" i="5"/>
  <c r="D31" i="5"/>
  <c r="D33" i="5"/>
  <c r="D35" i="5"/>
  <c r="D37" i="5"/>
  <c r="D39" i="5"/>
  <c r="D41" i="5"/>
  <c r="D43" i="5"/>
  <c r="D45" i="5"/>
  <c r="D49" i="5"/>
  <c r="D53" i="5"/>
  <c r="D57" i="5"/>
  <c r="D61" i="5"/>
  <c r="D65" i="5"/>
  <c r="E3" i="2"/>
  <c r="E4" i="2"/>
  <c r="F3" i="2"/>
  <c r="E2" i="2"/>
  <c r="F2" i="2"/>
  <c r="L12" i="11" l="1"/>
  <c r="M11" i="11"/>
  <c r="M12" i="11" s="1"/>
  <c r="C7" i="11" s="1"/>
  <c r="D6" i="5"/>
  <c r="H7" i="5"/>
  <c r="H8" i="5"/>
  <c r="B65" i="3" a="1"/>
  <c r="F40" i="3" s="1"/>
  <c r="B4" i="3"/>
  <c r="G74" i="3" s="1"/>
  <c r="F6" i="2"/>
  <c r="C3" i="6"/>
  <c r="H9" i="5"/>
  <c r="B6" i="6" s="1"/>
  <c r="E7" i="2"/>
  <c r="B4" i="6"/>
  <c r="F8" i="2"/>
  <c r="C5" i="6"/>
  <c r="F7" i="2"/>
  <c r="C4" i="6"/>
  <c r="E6" i="2"/>
  <c r="B3" i="6"/>
  <c r="E8" i="2"/>
  <c r="B5" i="6"/>
  <c r="I8" i="5"/>
  <c r="I7" i="5"/>
  <c r="I6" i="5"/>
  <c r="G69" i="3" l="1"/>
  <c r="G75" i="3" s="1"/>
  <c r="G68" i="3"/>
  <c r="B65" i="3"/>
  <c r="E60" i="3" s="1"/>
  <c r="C68" i="3"/>
  <c r="B68" i="3"/>
  <c r="B10" i="6"/>
  <c r="C16" i="6" s="1"/>
  <c r="B11" i="6"/>
  <c r="B12" i="6" s="1"/>
  <c r="B16" i="6" s="1"/>
  <c r="F60" i="3"/>
  <c r="F16" i="3"/>
  <c r="F34" i="3"/>
  <c r="F54" i="3"/>
  <c r="F4" i="3"/>
  <c r="F28" i="3"/>
  <c r="F22" i="3"/>
  <c r="F38" i="3"/>
  <c r="F58" i="3"/>
  <c r="F10" i="3"/>
  <c r="F8" i="3"/>
  <c r="F44" i="3"/>
  <c r="F6" i="3"/>
  <c r="F26" i="3"/>
  <c r="F42" i="3"/>
  <c r="F52" i="3"/>
  <c r="F12" i="3"/>
  <c r="F30" i="3"/>
  <c r="F50" i="3"/>
  <c r="F14" i="3"/>
  <c r="F36" i="3"/>
  <c r="F46" i="3"/>
  <c r="F62" i="3"/>
  <c r="F18" i="3"/>
  <c r="F20" i="3"/>
  <c r="F5" i="3"/>
  <c r="F51" i="3"/>
  <c r="F35" i="3"/>
  <c r="F19" i="3"/>
  <c r="F49" i="3"/>
  <c r="F33" i="3"/>
  <c r="F17" i="3"/>
  <c r="F45" i="3"/>
  <c r="F13" i="3"/>
  <c r="F11" i="3"/>
  <c r="F57" i="3"/>
  <c r="F25" i="3"/>
  <c r="F39" i="3"/>
  <c r="F7" i="3"/>
  <c r="F53" i="3"/>
  <c r="F21" i="3"/>
  <c r="F63" i="3"/>
  <c r="F47" i="3"/>
  <c r="F31" i="3"/>
  <c r="F15" i="3"/>
  <c r="F61" i="3"/>
  <c r="F29" i="3"/>
  <c r="F27" i="3"/>
  <c r="F41" i="3"/>
  <c r="F9" i="3"/>
  <c r="F55" i="3"/>
  <c r="F23" i="3"/>
  <c r="F37" i="3"/>
  <c r="F24" i="3"/>
  <c r="F48" i="3"/>
  <c r="F43" i="3"/>
  <c r="F32" i="3"/>
  <c r="F56" i="3"/>
  <c r="F59" i="3"/>
  <c r="E31" i="3" l="1"/>
  <c r="G31" i="3" s="1"/>
  <c r="E9" i="3"/>
  <c r="G9" i="3" s="1"/>
  <c r="E14" i="3"/>
  <c r="G14" i="3" s="1"/>
  <c r="E48" i="3"/>
  <c r="G48" i="3" s="1"/>
  <c r="E58" i="3"/>
  <c r="G58" i="3" s="1"/>
  <c r="E55" i="3"/>
  <c r="G55" i="3" s="1"/>
  <c r="E12" i="3"/>
  <c r="G12" i="3" s="1"/>
  <c r="E19" i="3"/>
  <c r="G19" i="3" s="1"/>
  <c r="E5" i="3"/>
  <c r="G5" i="3" s="1"/>
  <c r="E20" i="3"/>
  <c r="G20" i="3" s="1"/>
  <c r="E61" i="3"/>
  <c r="G61" i="3" s="1"/>
  <c r="E49" i="3"/>
  <c r="G49" i="3" s="1"/>
  <c r="E38" i="3"/>
  <c r="G38" i="3" s="1"/>
  <c r="E47" i="3"/>
  <c r="G47" i="3" s="1"/>
  <c r="E50" i="3"/>
  <c r="G50" i="3" s="1"/>
  <c r="E26" i="3"/>
  <c r="G26" i="3" s="1"/>
  <c r="E13" i="3"/>
  <c r="G13" i="3" s="1"/>
  <c r="E35" i="3"/>
  <c r="G35" i="3" s="1"/>
  <c r="E52" i="3"/>
  <c r="G52" i="3" s="1"/>
  <c r="E18" i="3"/>
  <c r="G18" i="3" s="1"/>
  <c r="E22" i="3"/>
  <c r="G22" i="3" s="1"/>
  <c r="E15" i="3"/>
  <c r="G15" i="3" s="1"/>
  <c r="E4" i="3"/>
  <c r="G4" i="3" s="1"/>
  <c r="E54" i="3"/>
  <c r="G54" i="3" s="1"/>
  <c r="E21" i="3"/>
  <c r="G21" i="3" s="1"/>
  <c r="E25" i="3"/>
  <c r="G25" i="3" s="1"/>
  <c r="E36" i="3"/>
  <c r="G36" i="3" s="1"/>
  <c r="E40" i="3"/>
  <c r="G40" i="3" s="1"/>
  <c r="E8" i="3"/>
  <c r="G8" i="3" s="1"/>
  <c r="E23" i="3"/>
  <c r="G23" i="3" s="1"/>
  <c r="G60" i="3"/>
  <c r="E42" i="3"/>
  <c r="G42" i="3" s="1"/>
  <c r="E39" i="3"/>
  <c r="G39" i="3" s="1"/>
  <c r="E24" i="3"/>
  <c r="G24" i="3" s="1"/>
  <c r="E63" i="3"/>
  <c r="G63" i="3" s="1"/>
  <c r="E51" i="3"/>
  <c r="G51" i="3" s="1"/>
  <c r="E41" i="3"/>
  <c r="G41" i="3" s="1"/>
  <c r="E32" i="3"/>
  <c r="G32" i="3" s="1"/>
  <c r="E29" i="3"/>
  <c r="G29" i="3" s="1"/>
  <c r="E45" i="3"/>
  <c r="G45" i="3" s="1"/>
  <c r="E57" i="3"/>
  <c r="G57" i="3" s="1"/>
  <c r="E44" i="3"/>
  <c r="G44" i="3" s="1"/>
  <c r="E56" i="3"/>
  <c r="G56" i="3" s="1"/>
  <c r="E59" i="3"/>
  <c r="G59" i="3" s="1"/>
  <c r="E11" i="3"/>
  <c r="G11" i="3" s="1"/>
  <c r="E30" i="3"/>
  <c r="G30" i="3" s="1"/>
  <c r="E34" i="3"/>
  <c r="G34" i="3" s="1"/>
  <c r="E37" i="3"/>
  <c r="G37" i="3" s="1"/>
  <c r="E43" i="3"/>
  <c r="G43" i="3" s="1"/>
  <c r="E46" i="3"/>
  <c r="G46" i="3" s="1"/>
  <c r="E16" i="3"/>
  <c r="G16" i="3" s="1"/>
  <c r="E27" i="3"/>
  <c r="G27" i="3" s="1"/>
  <c r="E53" i="3"/>
  <c r="G53" i="3" s="1"/>
  <c r="E33" i="3"/>
  <c r="G33" i="3" s="1"/>
  <c r="E62" i="3"/>
  <c r="G62" i="3" s="1"/>
  <c r="E17" i="3"/>
  <c r="G17" i="3" s="1"/>
  <c r="E10" i="3"/>
  <c r="G10" i="3" s="1"/>
  <c r="E6" i="3"/>
  <c r="G6" i="3" s="1"/>
  <c r="E7" i="3"/>
  <c r="G7" i="3" s="1"/>
  <c r="E28" i="3"/>
  <c r="G28" i="3" s="1"/>
  <c r="G70" i="3" l="1"/>
  <c r="G6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<sst xmlns="http://schemas.openxmlformats.org/spreadsheetml/2006/main" count="174" uniqueCount="107">
  <si>
    <t>Monthly mean</t>
  </si>
  <si>
    <t>Monthly variance</t>
  </si>
  <si>
    <t>Monthly standard deviation</t>
  </si>
  <si>
    <t>Annual mean</t>
  </si>
  <si>
    <t>Annual variance</t>
  </si>
  <si>
    <t>Annual standard deviation</t>
  </si>
  <si>
    <t>Date</t>
  </si>
  <si>
    <t>AAPL</t>
  </si>
  <si>
    <t>Google</t>
  </si>
  <si>
    <t>Average</t>
  </si>
  <si>
    <t>Return minus average</t>
  </si>
  <si>
    <t>Product</t>
  </si>
  <si>
    <t>Variance</t>
  </si>
  <si>
    <t>Standard deviation</t>
  </si>
  <si>
    <t>USING TRENDLINE ON APPLE, GOOGLE RETURNS</t>
  </si>
  <si>
    <t>CALCULATING THE MEAN AND STANDARD DEVIATION OF A PORTFOLIO</t>
  </si>
  <si>
    <t>Proportion of AAPL</t>
  </si>
  <si>
    <t>Proportion of GOOG</t>
  </si>
  <si>
    <t>AAPL
return</t>
  </si>
  <si>
    <t>GOOG
return</t>
  </si>
  <si>
    <t>Portfolio 
return</t>
  </si>
  <si>
    <t>Asset returns</t>
  </si>
  <si>
    <t>GOOG</t>
  </si>
  <si>
    <t>Mean return</t>
  </si>
  <si>
    <t>Covariance</t>
  </si>
  <si>
    <t>Portfolio mean return</t>
  </si>
  <si>
    <t>Portfolio return variance</t>
  </si>
  <si>
    <t>Portfolio return standard deviation</t>
  </si>
  <si>
    <t>Portfolio standard deviation</t>
  </si>
  <si>
    <t>A FOUR-ASSET PORTFOLIO PROBLEM</t>
  </si>
  <si>
    <t>Variance-covariance, S</t>
  </si>
  <si>
    <t>Mean returns E(r)</t>
  </si>
  <si>
    <t>Portfolio x</t>
  </si>
  <si>
    <t>Portfolio y</t>
  </si>
  <si>
    <t>Portfolio x and y statistics:  Mean, variance, covariance, correlation</t>
  </si>
  <si>
    <t>Covariance(x,y)</t>
  </si>
  <si>
    <t>Calculating returns of combinations of Portfolio x and Portfolio y</t>
  </si>
  <si>
    <t>Proportion of x</t>
  </si>
  <si>
    <t>Table of returns (using Data Table)</t>
  </si>
  <si>
    <t>Mean</t>
  </si>
  <si>
    <t>Stock1</t>
  </si>
  <si>
    <t>Stock2</t>
  </si>
  <si>
    <t>Stock3</t>
  </si>
  <si>
    <t>Stock4</t>
  </si>
  <si>
    <t>AAPL
price</t>
  </si>
  <si>
    <t>Google
price</t>
  </si>
  <si>
    <t>Continuous return</t>
  </si>
  <si>
    <t>Discrete return</t>
  </si>
  <si>
    <t>Monthly average</t>
  </si>
  <si>
    <t>Annual average</t>
  </si>
  <si>
    <t>Data table—varying the proportion of AAPL</t>
  </si>
  <si>
    <r>
      <t>Mean, E(r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</si>
  <si>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Mean, E(r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</t>
    </r>
  </si>
  <si>
    <r>
      <t>Variance s</t>
    </r>
    <r>
      <rPr>
        <vertAlign val="subscript"/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</si>
  <si>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Variance s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</si>
  <si>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Correlation r</t>
    </r>
    <r>
      <rPr>
        <vertAlign val="subscript"/>
        <sz val="11"/>
        <color theme="1"/>
        <rFont val="Calibri"/>
        <family val="2"/>
        <scheme val="minor"/>
      </rPr>
      <t>xy</t>
    </r>
  </si>
  <si>
    <r>
      <t>Mean portfolio return, 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</si>
  <si>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Portfolio variance s</t>
    </r>
    <r>
      <rPr>
        <vertAlign val="subscript"/>
        <sz val="11"/>
        <color theme="1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</si>
  <si>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Portfolio standard deviation s</t>
    </r>
    <r>
      <rPr>
        <vertAlign val="subscript"/>
        <sz val="11"/>
        <color theme="1"/>
        <rFont val="Calibri"/>
        <family val="2"/>
        <scheme val="minor"/>
      </rPr>
      <t>p</t>
    </r>
  </si>
  <si>
    <t>pp198-199, FM4</t>
  </si>
  <si>
    <t>PRICES AND RETURNS FOR APPLE AND GOOGLE</t>
  </si>
  <si>
    <t>Notes</t>
  </si>
  <si>
    <t>Prices are not stationary, so they can't be used under the assumption of normal distribution</t>
  </si>
  <si>
    <t>First step is make the data stationary, so we calculate the returns</t>
  </si>
  <si>
    <t>Then we calc our important stats, mean, stddev, var</t>
  </si>
  <si>
    <t>Returns</t>
  </si>
  <si>
    <t>This examples applies to bonds, stocks, real estate, etc., any portfolio of assets</t>
  </si>
  <si>
    <t>This is just an example using both methods of calculating returns</t>
  </si>
  <si>
    <t>Using LN assumes that rates are continously compounded</t>
  </si>
  <si>
    <t>Note the difference in Mean for Google</t>
  </si>
  <si>
    <t>Std Dev</t>
  </si>
  <si>
    <t>Tips</t>
  </si>
  <si>
    <t>Hiding rows makes it easier, but can also using Grouping</t>
  </si>
  <si>
    <t>Use new array method to reference dates and returns from previous sheet</t>
  </si>
  <si>
    <t>Grouping rows may be preferable</t>
  </si>
  <si>
    <t>Note the Annual Std Dev formula, can also use SQRT(var)</t>
  </si>
  <si>
    <t>Optional (Continuous vs. Discrete Compounding)</t>
  </si>
  <si>
    <t>Demo use of CTRL+A inside of an array</t>
  </si>
  <si>
    <t>Use dark gray font to designate as cell link</t>
  </si>
  <si>
    <t>Correlation</t>
  </si>
  <si>
    <t>COMPUTING COVARIANCE AND CORRELATION - Without Excel Functions</t>
  </si>
  <si>
    <t>Be careful with literals in formulas!</t>
  </si>
  <si>
    <t>p200, FM4</t>
  </si>
  <si>
    <t>p202, FM4</t>
  </si>
  <si>
    <t>R-Squared is called the Coefficient of Determination</t>
  </si>
  <si>
    <t>It measures how much variation in one variable is "associated" by the other</t>
  </si>
  <si>
    <t>It is the square of the Correlation, R</t>
  </si>
  <si>
    <t>Notice that a negative Product means they moved in opposite directions</t>
  </si>
  <si>
    <t>APPLE AND GOOGLE COMPARING CONTINUOUS AND DISCRETE RETURNS</t>
  </si>
  <si>
    <t>Solver Example</t>
  </si>
  <si>
    <t>Target Return Y</t>
  </si>
  <si>
    <t>Target Return X</t>
  </si>
  <si>
    <t>explain constraints for short sales, weights, etc.</t>
  </si>
  <si>
    <t>Historical</t>
  </si>
  <si>
    <t>Analytical</t>
  </si>
  <si>
    <t>Bond Cash Flow Model</t>
  </si>
  <si>
    <t>Price</t>
  </si>
  <si>
    <t>Coupon</t>
  </si>
  <si>
    <t>Settlement</t>
  </si>
  <si>
    <t>Maturity</t>
  </si>
  <si>
    <t>Yield</t>
  </si>
  <si>
    <t>Par</t>
  </si>
  <si>
    <t>Year</t>
  </si>
  <si>
    <t>CF</t>
  </si>
  <si>
    <t>PVCF</t>
  </si>
  <si>
    <t>IRR</t>
  </si>
  <si>
    <t>XIRR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</si>
</sst>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0.0000"/>
    <numFmt numFmtId="165" formatCode="[$-409]d/mmm/yy;@"/>
    <numFmt numFmtId="166" formatCode="#,##0.0000"/>
    <numFmt numFmtId="167" formatCode="0.0"/>
    <numFmt numFmtId="168" formatCode="0.000000"/>
    <numFmt numFmtId="169" formatCode="&quot;$&quot;#,##0.00"/>
    <numFmt numFmtId="170" formatCode="0.0000000%"/>
  </numFmts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65" fontId="5" fillId="0" borderId="0" xfId="0" applyNumberFormat="1" applyFont="1" applyAlignment="1">
      <alignment horizontal="center"/>
    </xf>
    <xf numFmtId="10" fontId="5" fillId="0" borderId="0" xfId="1" applyNumberFormat="1" applyFont="1"/>
    <xf numFmtId="2" fontId="5" fillId="0" borderId="0" xfId="0" applyNumberFormat="1" applyFont="1"/>
    <xf numFmtId="9" fontId="5" fillId="0" borderId="0" xfId="0" applyNumberFormat="1" applyFont="1"/>
    <xf numFmtId="0" fontId="7" fillId="0" borderId="0" xfId="0" applyFont="1"/>
    <xf numFmtId="10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166" fontId="5" fillId="0" borderId="0" xfId="0" applyNumberFormat="1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168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Continuous" vertical="center"/>
    </xf>
    <xf numFmtId="14" fontId="10" fillId="0" borderId="0" xfId="0" applyNumberFormat="1" applyFont="1" applyAlignment="1"/>
    <xf numFmtId="4" fontId="10" fillId="0" borderId="0" xfId="0" applyNumberFormat="1" applyFont="1"/>
    <xf numFmtId="0" fontId="4" fillId="0" borderId="0" xfId="0" applyFont="1"/>
    <xf numFmtId="10" fontId="5" fillId="0" borderId="0" xfId="0" applyNumberFormat="1" applyFont="1" applyFill="1"/>
    <xf numFmtId="10" fontId="11" fillId="0" borderId="0" xfId="1" applyNumberFormat="1" applyFont="1"/>
    <xf numFmtId="14" fontId="11" fillId="0" borderId="0" xfId="0" applyNumberFormat="1" applyFont="1" applyAlignment="1"/>
    <xf numFmtId="164" fontId="11" fillId="0" borderId="0" xfId="1" applyNumberFormat="1" applyFont="1"/>
    <xf numFmtId="164" fontId="11" fillId="0" borderId="0" xfId="0" applyNumberFormat="1" applyFont="1"/>
    <xf numFmtId="168" fontId="5" fillId="0" borderId="0" xfId="0" applyNumberFormat="1" applyFont="1" applyBorder="1"/>
    <xf numFmtId="164" fontId="5" fillId="0" borderId="0" xfId="0" applyNumberFormat="1" applyFont="1" applyBorder="1"/>
    <xf numFmtId="0" fontId="5" fillId="0" borderId="0" xfId="0" applyFont="1" applyBorder="1"/>
    <xf numFmtId="0" fontId="7" fillId="0" borderId="0" xfId="0" applyFont="1" applyBorder="1"/>
    <xf numFmtId="9" fontId="10" fillId="0" borderId="0" xfId="0" applyNumberFormat="1" applyFont="1"/>
    <xf numFmtId="9" fontId="12" fillId="0" borderId="0" xfId="0" applyNumberFormat="1" applyFont="1"/>
    <xf numFmtId="10" fontId="11" fillId="0" borderId="0" xfId="1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0" fontId="3" fillId="0" borderId="0" xfId="0" applyFont="1"/>
    <xf numFmtId="2" fontId="10" fillId="0" borderId="0" xfId="0" applyNumberFormat="1" applyFont="1"/>
    <xf numFmtId="14" fontId="10" fillId="0" borderId="0" xfId="0" applyNumberFormat="1" applyFont="1" applyAlignment="1">
      <alignment horizontal="center"/>
    </xf>
    <xf numFmtId="0" fontId="5" fillId="0" borderId="0" xfId="0" applyFont="1" applyFill="1"/>
    <xf numFmtId="10" fontId="5" fillId="0" borderId="0" xfId="1" applyNumberFormat="1" applyFont="1" applyFill="1"/>
    <xf numFmtId="2" fontId="2" fillId="0" borderId="0" xfId="0" applyNumberFormat="1" applyFont="1"/>
    <xf numFmtId="2" fontId="13" fillId="0" borderId="0" xfId="0" applyNumberFormat="1" applyFont="1"/>
    <xf numFmtId="0" fontId="2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9" fontId="10" fillId="0" borderId="0" xfId="0" applyNumberFormat="1" applyFont="1" applyAlignment="1"/>
    <xf numFmtId="0" fontId="1" fillId="0" borderId="0" xfId="0" applyFont="1"/>
    <xf numFmtId="0" fontId="1" fillId="0" borderId="0" xfId="0" applyFont="1" applyAlignment="1">
      <alignment horizontal="left" indent="1"/>
    </xf>
    <xf numFmtId="10" fontId="1" fillId="0" borderId="0" xfId="0" applyNumberFormat="1" applyFont="1"/>
    <xf numFmtId="10" fontId="1" fillId="0" borderId="0" xfId="1" applyNumberFormat="1" applyFont="1"/>
    <xf numFmtId="164" fontId="1" fillId="0" borderId="0" xfId="0" applyNumberFormat="1" applyFont="1"/>
    <xf numFmtId="0" fontId="7" fillId="0" borderId="0" xfId="2" applyFont="1"/>
    <xf numFmtId="0" fontId="1" fillId="0" borderId="0" xfId="2"/>
    <xf numFmtId="8" fontId="10" fillId="0" borderId="0" xfId="2" applyNumberFormat="1" applyFont="1"/>
    <xf numFmtId="10" fontId="10" fillId="0" borderId="0" xfId="2" applyNumberFormat="1" applyFont="1"/>
    <xf numFmtId="14" fontId="10" fillId="0" borderId="0" xfId="2" applyNumberFormat="1" applyFont="1"/>
    <xf numFmtId="14" fontId="12" fillId="0" borderId="0" xfId="2" applyNumberFormat="1" applyFont="1"/>
    <xf numFmtId="10" fontId="1" fillId="0" borderId="0" xfId="2" applyNumberFormat="1"/>
    <xf numFmtId="10" fontId="10" fillId="3" borderId="0" xfId="2" applyNumberFormat="1" applyFont="1" applyFill="1"/>
    <xf numFmtId="9" fontId="1" fillId="0" borderId="0" xfId="2" applyNumberFormat="1"/>
    <xf numFmtId="14" fontId="1" fillId="0" borderId="0" xfId="2" applyNumberFormat="1"/>
    <xf numFmtId="169" fontId="1" fillId="0" borderId="0" xfId="2" applyNumberFormat="1"/>
    <xf numFmtId="169" fontId="7" fillId="0" borderId="0" xfId="2" applyNumberFormat="1" applyFont="1"/>
    <xf numFmtId="170" fontId="1" fillId="0" borderId="0" xfId="2" applyNumberFormat="1"/>
  </cellXfs>
  <cellStyles count="3">
    <cellStyle name="Normal" xfId="0" builtinId="0"/>
    <cellStyle name="Normal 2" xfId="2" xr:uid="{A44CE5A8-3FE9-4925-92C6-476D619C5061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Graphing GOOG (y-axis) against AAPL (x-axis) and using Trendline
Note that R</a:t>
            </a:r>
            <a:r>
              <a:rPr lang="en-US" sz="1200" baseline="30000"/>
              <a:t>2</a:t>
            </a:r>
            <a:r>
              <a:rPr lang="en-US" sz="1200"/>
              <a:t> = correlation</a:t>
            </a:r>
            <a:r>
              <a:rPr lang="en-US" sz="1200" baseline="30000"/>
              <a:t>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454652403380026E-2"/>
          <c:y val="0.23086388026561955"/>
          <c:w val="0.89227222756351743"/>
          <c:h val="0.720822282984861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'pg202'!$C$3</c:f>
              <c:strCache>
                <c:ptCount val="1"/>
                <c:pt idx="0">
                  <c:v>Google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49229474213714014"/>
                  <c:y val="0.3508021353727651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</c:spPr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'pg202'!$B$4:$B$63</c:f>
              <c:numCache>
                <c:formatCode>0.00%</c:formatCode>
                <c:ptCount val="60"/>
                <c:pt idx="0">
                  <c:v>7.6633226020915893E-2</c:v>
                </c:pt>
                <c:pt idx="1">
                  <c:v>4.9743824998568914E-2</c:v>
                </c:pt>
                <c:pt idx="2">
                  <c:v>0.10277919731904972</c:v>
                </c:pt>
                <c:pt idx="3">
                  <c:v>0.21325577144663097</c:v>
                </c:pt>
                <c:pt idx="4">
                  <c:v>-4.1546131347922108E-2</c:v>
                </c:pt>
                <c:pt idx="5">
                  <c:v>8.3456241210519033E-2</c:v>
                </c:pt>
                <c:pt idx="6">
                  <c:v>-0.38073309363831809</c:v>
                </c:pt>
                <c:pt idx="7">
                  <c:v>-7.9464171354247048E-2</c:v>
                </c:pt>
                <c:pt idx="8">
                  <c:v>0.13786131069600946</c:v>
                </c:pt>
                <c:pt idx="9">
                  <c:v>0.1924328663982752</c:v>
                </c:pt>
                <c:pt idx="10">
                  <c:v>8.1655486531183152E-2</c:v>
                </c:pt>
                <c:pt idx="11">
                  <c:v>-0.1197983099913898</c:v>
                </c:pt>
                <c:pt idx="12">
                  <c:v>-5.2035390780932597E-2</c:v>
                </c:pt>
                <c:pt idx="13">
                  <c:v>6.4440214953050093E-2</c:v>
                </c:pt>
                <c:pt idx="14">
                  <c:v>-0.39981836644088625</c:v>
                </c:pt>
                <c:pt idx="15">
                  <c:v>-5.4883829263157574E-2</c:v>
                </c:pt>
                <c:pt idx="16">
                  <c:v>-0.1492829110072178</c:v>
                </c:pt>
                <c:pt idx="17">
                  <c:v>-8.2284346358150504E-2</c:v>
                </c:pt>
                <c:pt idx="18">
                  <c:v>5.4492623327868875E-2</c:v>
                </c:pt>
                <c:pt idx="19">
                  <c:v>-9.1396088725236701E-3</c:v>
                </c:pt>
                <c:pt idx="20">
                  <c:v>0.16298909104050577</c:v>
                </c:pt>
                <c:pt idx="21">
                  <c:v>0.17982923486757607</c:v>
                </c:pt>
                <c:pt idx="22">
                  <c:v>7.6325060512100487E-2</c:v>
                </c:pt>
                <c:pt idx="23">
                  <c:v>4.7593800830517959E-2</c:v>
                </c:pt>
                <c:pt idx="24">
                  <c:v>0.1372893300962372</c:v>
                </c:pt>
                <c:pt idx="25">
                  <c:v>2.9073217760958888E-2</c:v>
                </c:pt>
                <c:pt idx="26">
                  <c:v>9.7032730793050262E-2</c:v>
                </c:pt>
                <c:pt idx="27">
                  <c:v>1.6852077291324211E-2</c:v>
                </c:pt>
                <c:pt idx="28">
                  <c:v>5.8769258379585923E-2</c:v>
                </c:pt>
                <c:pt idx="29">
                  <c:v>5.2710427941470024E-2</c:v>
                </c:pt>
                <c:pt idx="30">
                  <c:v>-9.276986999929468E-2</c:v>
                </c:pt>
                <c:pt idx="31">
                  <c:v>6.3346777240967267E-2</c:v>
                </c:pt>
                <c:pt idx="32">
                  <c:v>0.13843091369336494</c:v>
                </c:pt>
                <c:pt idx="33">
                  <c:v>0.10527966132537296</c:v>
                </c:pt>
                <c:pt idx="34">
                  <c:v>-1.6256125688273504E-2</c:v>
                </c:pt>
                <c:pt idx="35">
                  <c:v>-2.1046783061035752E-2</c:v>
                </c:pt>
                <c:pt idx="36">
                  <c:v>2.2486107993936241E-2</c:v>
                </c:pt>
                <c:pt idx="37">
                  <c:v>-5.6575493392081351E-2</c:v>
                </c:pt>
                <c:pt idx="38">
                  <c:v>0.15462068747353472</c:v>
                </c:pt>
                <c:pt idx="39">
                  <c:v>5.8950248562960224E-2</c:v>
                </c:pt>
                <c:pt idx="40">
                  <c:v>3.3231293656654268E-2</c:v>
                </c:pt>
                <c:pt idx="41">
                  <c:v>3.6014054427722354E-2</c:v>
                </c:pt>
                <c:pt idx="42">
                  <c:v>5.0654449496584847E-2</c:v>
                </c:pt>
                <c:pt idx="43">
                  <c:v>4.01191659602591E-2</c:v>
                </c:pt>
                <c:pt idx="44">
                  <c:v>-1.3395856706299903E-2</c:v>
                </c:pt>
                <c:pt idx="45">
                  <c:v>4.6375898988789757E-3</c:v>
                </c:pt>
                <c:pt idx="46">
                  <c:v>-6.5906594228294924E-3</c:v>
                </c:pt>
                <c:pt idx="47">
                  <c:v>-3.5585320181802882E-2</c:v>
                </c:pt>
                <c:pt idx="48">
                  <c:v>0.15124821709115263</c:v>
                </c:pt>
                <c:pt idx="49">
                  <c:v>-1.4575073248301941E-2</c:v>
                </c:pt>
                <c:pt idx="50">
                  <c:v>-9.1627607052127934E-3</c:v>
                </c:pt>
                <c:pt idx="51">
                  <c:v>5.9704792012682126E-2</c:v>
                </c:pt>
                <c:pt idx="52">
                  <c:v>-5.7399677831886937E-2</c:v>
                </c:pt>
                <c:pt idx="53">
                  <c:v>5.794303530036643E-2</c:v>
                </c:pt>
                <c:pt idx="54">
                  <c:v>0.11965782035865079</c:v>
                </c:pt>
                <c:pt idx="55">
                  <c:v>0.17253259275455476</c:v>
                </c:pt>
                <c:pt idx="56">
                  <c:v>0.1001018936056976</c:v>
                </c:pt>
                <c:pt idx="57">
                  <c:v>-2.6312638158984922E-2</c:v>
                </c:pt>
                <c:pt idx="58">
                  <c:v>-1.0760104160047555E-2</c:v>
                </c:pt>
                <c:pt idx="59">
                  <c:v>1.0794351321817304E-2</c:v>
                </c:pt>
              </c:numCache>
            </c:numRef>
          </c:xVal>
          <c:yVal>
            <c:numRef>
              <c:f>'pg202'!$C$4:$C$63</c:f>
              <c:numCache>
                <c:formatCode>0.00%</c:formatCode>
                <c:ptCount val="60"/>
                <c:pt idx="0">
                  <c:v>0.10742695230781683</c:v>
                </c:pt>
                <c:pt idx="1">
                  <c:v>-7.4732221645049529E-2</c:v>
                </c:pt>
                <c:pt idx="2">
                  <c:v>-1.1325339375617659E-2</c:v>
                </c:pt>
                <c:pt idx="3">
                  <c:v>-0.14034256446726184</c:v>
                </c:pt>
                <c:pt idx="4">
                  <c:v>4.9100771409077877E-2</c:v>
                </c:pt>
                <c:pt idx="5">
                  <c:v>0.10971548218681069</c:v>
                </c:pt>
                <c:pt idx="6">
                  <c:v>-0.17577344556712143</c:v>
                </c:pt>
                <c:pt idx="7">
                  <c:v>4.3738862747725364E-2</c:v>
                </c:pt>
                <c:pt idx="8">
                  <c:v>2.8106815164888964E-2</c:v>
                </c:pt>
                <c:pt idx="9">
                  <c:v>7.5482824127682258E-2</c:v>
                </c:pt>
                <c:pt idx="10">
                  <c:v>4.440137406058902E-2</c:v>
                </c:pt>
                <c:pt idx="11">
                  <c:v>-2.148777639203717E-2</c:v>
                </c:pt>
                <c:pt idx="12">
                  <c:v>-1.0700662251397116E-2</c:v>
                </c:pt>
                <c:pt idx="13">
                  <c:v>-6.6582237591538612E-2</c:v>
                </c:pt>
                <c:pt idx="14">
                  <c:v>9.9259633949873111E-2</c:v>
                </c:pt>
                <c:pt idx="15">
                  <c:v>-0.15460431591839269</c:v>
                </c:pt>
                <c:pt idx="16">
                  <c:v>-0.15560986725547385</c:v>
                </c:pt>
                <c:pt idx="17">
                  <c:v>7.4547538529370433E-2</c:v>
                </c:pt>
                <c:pt idx="18">
                  <c:v>-8.5877648447684057E-2</c:v>
                </c:pt>
                <c:pt idx="19">
                  <c:v>8.7485100776333188E-2</c:v>
                </c:pt>
                <c:pt idx="20">
                  <c:v>7.9283690746198177E-2</c:v>
                </c:pt>
                <c:pt idx="21">
                  <c:v>7.5840213721359739E-2</c:v>
                </c:pt>
                <c:pt idx="22">
                  <c:v>-7.3749951677636247E-2</c:v>
                </c:pt>
                <c:pt idx="23">
                  <c:v>5.9428227214138622E-3</c:v>
                </c:pt>
                <c:pt idx="24">
                  <c:v>0.15692342686377875</c:v>
                </c:pt>
                <c:pt idx="25">
                  <c:v>-6.15000331038262E-2</c:v>
                </c:pt>
                <c:pt idx="26">
                  <c:v>-8.3829169740196469E-2</c:v>
                </c:pt>
                <c:pt idx="27">
                  <c:v>-7.8084554978161788E-2</c:v>
                </c:pt>
                <c:pt idx="28">
                  <c:v>-7.1423111488264107E-2</c:v>
                </c:pt>
                <c:pt idx="29">
                  <c:v>-4.1167719650558612E-2</c:v>
                </c:pt>
                <c:pt idx="30">
                  <c:v>-4.9649352712548125E-2</c:v>
                </c:pt>
                <c:pt idx="31">
                  <c:v>-1.0395649281585149E-2</c:v>
                </c:pt>
                <c:pt idx="32">
                  <c:v>-5.2299177690205201E-2</c:v>
                </c:pt>
                <c:pt idx="33">
                  <c:v>-0.12896357210294498</c:v>
                </c:pt>
                <c:pt idx="34">
                  <c:v>-2.9358569459494093E-2</c:v>
                </c:pt>
                <c:pt idx="35">
                  <c:v>1.596405471184585E-3</c:v>
                </c:pt>
                <c:pt idx="36">
                  <c:v>-9.5649941531219279E-2</c:v>
                </c:pt>
                <c:pt idx="37">
                  <c:v>-4.8926692260298776E-2</c:v>
                </c:pt>
                <c:pt idx="38">
                  <c:v>0.20428859062387794</c:v>
                </c:pt>
                <c:pt idx="39">
                  <c:v>0.10843903128952363</c:v>
                </c:pt>
                <c:pt idx="40">
                  <c:v>0.14558950506341742</c:v>
                </c:pt>
                <c:pt idx="41">
                  <c:v>2.232654849361675E-2</c:v>
                </c:pt>
                <c:pt idx="42">
                  <c:v>0.10541961681369323</c:v>
                </c:pt>
                <c:pt idx="43">
                  <c:v>0.10687906118330369</c:v>
                </c:pt>
                <c:pt idx="44">
                  <c:v>-1.9843939177158147E-2</c:v>
                </c:pt>
                <c:pt idx="45">
                  <c:v>-0.26529215658624006</c:v>
                </c:pt>
                <c:pt idx="46">
                  <c:v>6.7397847984603548E-2</c:v>
                </c:pt>
                <c:pt idx="47">
                  <c:v>0.18034583836025603</c:v>
                </c:pt>
                <c:pt idx="48">
                  <c:v>0.20324820307949171</c:v>
                </c:pt>
                <c:pt idx="49">
                  <c:v>2.1957711353171334E-3</c:v>
                </c:pt>
                <c:pt idx="50">
                  <c:v>2.0000666706669435E-2</c:v>
                </c:pt>
                <c:pt idx="51">
                  <c:v>-0.22019528503533467</c:v>
                </c:pt>
                <c:pt idx="52">
                  <c:v>-9.6183161090669669E-2</c:v>
                </c:pt>
                <c:pt idx="53">
                  <c:v>-1.0241494052196907E-2</c:v>
                </c:pt>
                <c:pt idx="54">
                  <c:v>2.4596960000504701E-2</c:v>
                </c:pt>
                <c:pt idx="55">
                  <c:v>-4.8588347918139083E-2</c:v>
                </c:pt>
                <c:pt idx="56">
                  <c:v>-5.4754775012495489E-2</c:v>
                </c:pt>
                <c:pt idx="57">
                  <c:v>-2.8446094702639788E-2</c:v>
                </c:pt>
                <c:pt idx="58">
                  <c:v>-1.9193855066193692E-2</c:v>
                </c:pt>
                <c:pt idx="59">
                  <c:v>0.10957899438258194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47-4258-AEA4-AD4E5194E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01896"/>
        <c:axId val="317875912"/>
      </c:scatterChart>
      <c:valAx>
        <c:axId val="475601896"/>
        <c:scaling>
          <c:orientation val="minMax"/>
          <c:max val="0.25"/>
          <c:min val="-0.42000000000000004"/>
        </c:scaling>
        <c:delete val="0"/>
        <c:axPos val="b"/>
        <c:numFmt formatCode="0%" sourceLinked="0"/>
        <c:majorTickMark val="out"/>
        <c:minorTickMark val="none"/>
        <c:tickLblPos val="nextTo"/>
        <c:crossAx val="317875912"/>
        <c:crosses val="autoZero"/>
        <c:crossBetween val="midCat"/>
      </c:valAx>
      <c:valAx>
        <c:axId val="317875912"/>
        <c:scaling>
          <c:orientation val="minMax"/>
          <c:max val="0.25"/>
          <c:min val="-0.30000000000000004"/>
        </c:scaling>
        <c:delete val="0"/>
        <c:axPos val="l"/>
        <c:numFmt formatCode="0%" sourceLinked="0"/>
        <c:majorTickMark val="out"/>
        <c:minorTickMark val="none"/>
        <c:tickLblPos val="nextTo"/>
        <c:crossAx val="475601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Portfolio</a:t>
            </a:r>
            <a:r>
              <a:rPr lang="en-US" baseline="0"/>
              <a:t> E(r</a:t>
            </a:r>
            <a:r>
              <a:rPr lang="en-US" baseline="-25000"/>
              <a:t>p</a:t>
            </a:r>
            <a:r>
              <a:rPr lang="en-US" baseline="0"/>
              <a:t>) and </a:t>
            </a:r>
            <a:r>
              <a:rPr lang="en-US" baseline="0">
                <a:latin typeface="Symbol" pitchFamily="18" charset="2"/>
              </a:rPr>
              <a:t>s</a:t>
            </a:r>
            <a:r>
              <a:rPr lang="en-US" baseline="-25000"/>
              <a:t>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'pg204'!$B$17:$B$37</c:f>
              <c:numCache>
                <c:formatCode>0.00%</c:formatCode>
                <c:ptCount val="21"/>
                <c:pt idx="0">
                  <c:v>0.15175601686658938</c:v>
                </c:pt>
                <c:pt idx="1">
                  <c:v>0.14039929566985415</c:v>
                </c:pt>
                <c:pt idx="2">
                  <c:v>0.12948949054113562</c:v>
                </c:pt>
                <c:pt idx="3">
                  <c:v>0.11914942913521538</c:v>
                </c:pt>
                <c:pt idx="4">
                  <c:v>0.10954057299706679</c:v>
                </c:pt>
                <c:pt idx="5">
                  <c:v>0.10087209806699204</c:v>
                </c:pt>
                <c:pt idx="6">
                  <c:v>9.3406185935307029E-2</c:v>
                </c:pt>
                <c:pt idx="7">
                  <c:v>8.7451377005502776E-2</c:v>
                </c:pt>
                <c:pt idx="8">
                  <c:v>8.3332247515407548E-2</c:v>
                </c:pt>
                <c:pt idx="9">
                  <c:v>8.1328199158796452E-2</c:v>
                </c:pt>
                <c:pt idx="10">
                  <c:v>8.1595225641514821E-2</c:v>
                </c:pt>
                <c:pt idx="11">
                  <c:v>8.4111700037507939E-2</c:v>
                </c:pt>
                <c:pt idx="12">
                  <c:v>8.8686344414136573E-2</c:v>
                </c:pt>
                <c:pt idx="13">
                  <c:v>9.5022363970378762E-2</c:v>
                </c:pt>
                <c:pt idx="14">
                  <c:v>0.10279457179310861</c:v>
                </c:pt>
                <c:pt idx="15">
                  <c:v>0.11170358406233492</c:v>
                </c:pt>
                <c:pt idx="16">
                  <c:v>0.12149958749414269</c:v>
                </c:pt>
                <c:pt idx="17">
                  <c:v>0.13198523097966561</c:v>
                </c:pt>
                <c:pt idx="18">
                  <c:v>0.1430088983206908</c:v>
                </c:pt>
                <c:pt idx="19">
                  <c:v>0.15445543424455094</c:v>
                </c:pt>
                <c:pt idx="20">
                  <c:v>0.16623750991602673</c:v>
                </c:pt>
              </c:numCache>
            </c:numRef>
          </c:xVal>
          <c:yVal>
            <c:numRef>
              <c:f>'pg204'!$C$17:$C$37</c:f>
              <c:numCache>
                <c:formatCode>0.00%</c:formatCode>
                <c:ptCount val="21"/>
                <c:pt idx="0">
                  <c:v>-1.6686621024713497E-2</c:v>
                </c:pt>
                <c:pt idx="1">
                  <c:v>-1.3834677264199534E-2</c:v>
                </c:pt>
                <c:pt idx="2">
                  <c:v>-1.0982733503685569E-2</c:v>
                </c:pt>
                <c:pt idx="3">
                  <c:v>-8.1307897431716035E-3</c:v>
                </c:pt>
                <c:pt idx="4">
                  <c:v>-5.2788459826576383E-3</c:v>
                </c:pt>
                <c:pt idx="5">
                  <c:v>-2.4269022221436731E-3</c:v>
                </c:pt>
                <c:pt idx="6">
                  <c:v>4.2504153837029206E-4</c:v>
                </c:pt>
                <c:pt idx="7">
                  <c:v>3.2769852988842572E-3</c:v>
                </c:pt>
                <c:pt idx="8">
                  <c:v>6.1289290593982216E-3</c:v>
                </c:pt>
                <c:pt idx="9">
                  <c:v>8.9808728199121876E-3</c:v>
                </c:pt>
                <c:pt idx="10">
                  <c:v>1.1832816580426151E-2</c:v>
                </c:pt>
                <c:pt idx="11">
                  <c:v>1.4684760340940116E-2</c:v>
                </c:pt>
                <c:pt idx="12">
                  <c:v>1.7536704101454078E-2</c:v>
                </c:pt>
                <c:pt idx="13">
                  <c:v>2.0388647861968048E-2</c:v>
                </c:pt>
                <c:pt idx="14">
                  <c:v>2.3240591622482008E-2</c:v>
                </c:pt>
                <c:pt idx="15">
                  <c:v>2.6092535382995975E-2</c:v>
                </c:pt>
                <c:pt idx="16">
                  <c:v>2.8944479143509942E-2</c:v>
                </c:pt>
                <c:pt idx="17">
                  <c:v>3.1796422904023909E-2</c:v>
                </c:pt>
                <c:pt idx="18">
                  <c:v>3.4648366664537869E-2</c:v>
                </c:pt>
                <c:pt idx="19">
                  <c:v>3.7500310425051829E-2</c:v>
                </c:pt>
                <c:pt idx="20">
                  <c:v>4.0352254185565803E-2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E-4079-B410-399E0DEA5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885520"/>
        <c:axId val="476885912"/>
      </c:scatterChart>
      <c:valAx>
        <c:axId val="47688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Portfolio standard deviation </a:t>
                </a:r>
                <a:r>
                  <a:rPr lang="en-US">
                    <a:latin typeface="Symbol" pitchFamily="18" charset="2"/>
                  </a:rPr>
                  <a:t>s</a:t>
                </a:r>
                <a:r>
                  <a:rPr lang="en-US" baseline="-25000"/>
                  <a:t>p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476885912"/>
        <c:crosses val="autoZero"/>
        <c:crossBetween val="midCat"/>
        <c:majorUnit val="2.0000000000000004E-2"/>
      </c:valAx>
      <c:valAx>
        <c:axId val="476885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Portfolio mean return E(r</a:t>
                </a:r>
                <a:r>
                  <a:rPr lang="en-US" baseline="-25000"/>
                  <a:t>p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476885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Portfolio Means and Returns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'pg207'!$B$26:$B$45</c:f>
              <c:numCache>
                <c:formatCode>0.00%</c:formatCode>
                <c:ptCount val="20"/>
                <c:pt idx="0">
                  <c:v>0.47139704900793217</c:v>
                </c:pt>
                <c:pt idx="1">
                  <c:v>0.44769478824111458</c:v>
                </c:pt>
                <c:pt idx="2">
                  <c:v>0.42465198348960825</c:v>
                </c:pt>
                <c:pt idx="3">
                  <c:v>0.40238194393336385</c:v>
                </c:pt>
                <c:pt idx="4">
                  <c:v>0.38102019445701213</c:v>
                </c:pt>
                <c:pt idx="5">
                  <c:v>0.36072813367279533</c:v>
                </c:pt>
                <c:pt idx="6">
                  <c:v>0.3416963890950403</c:v>
                </c:pt>
                <c:pt idx="7">
                  <c:v>0.32414702879504004</c:v>
                </c:pt>
                <c:pt idx="8">
                  <c:v>0.30833327470652289</c:v>
                </c:pt>
                <c:pt idx="9">
                  <c:v>0.29453481689670574</c:v>
                </c:pt>
                <c:pt idx="10">
                  <c:v>0.28304654475198265</c:v>
                </c:pt>
                <c:pt idx="11">
                  <c:v>0.27415902809542586</c:v>
                </c:pt>
                <c:pt idx="12">
                  <c:v>0.26813100703751741</c:v>
                </c:pt>
                <c:pt idx="13">
                  <c:v>0.26515757436326448</c:v>
                </c:pt>
                <c:pt idx="14">
                  <c:v>0.26534143967348811</c:v>
                </c:pt>
                <c:pt idx="15">
                  <c:v>0.26867612106832423</c:v>
                </c:pt>
                <c:pt idx="16">
                  <c:v>0.27504704054974771</c:v>
                </c:pt>
                <c:pt idx="17">
                  <c:v>0.28425011707396103</c:v>
                </c:pt>
                <c:pt idx="18">
                  <c:v>0.29602131959789457</c:v>
                </c:pt>
                <c:pt idx="19">
                  <c:v>0.31006830266076751</c:v>
                </c:pt>
              </c:numCache>
            </c:numRef>
          </c:xVal>
          <c:yVal>
            <c:numRef>
              <c:f>'pg207'!$C$26:$C$45</c:f>
              <c:numCache>
                <c:formatCode>0.00%</c:formatCode>
                <c:ptCount val="20"/>
                <c:pt idx="0">
                  <c:v>0.13000000066349535</c:v>
                </c:pt>
                <c:pt idx="1">
                  <c:v>0.12600000061914868</c:v>
                </c:pt>
                <c:pt idx="2">
                  <c:v>0.12200000057480204</c:v>
                </c:pt>
                <c:pt idx="3">
                  <c:v>0.11800000053045533</c:v>
                </c:pt>
                <c:pt idx="4">
                  <c:v>0.11400000048610867</c:v>
                </c:pt>
                <c:pt idx="5">
                  <c:v>0.11000000044176199</c:v>
                </c:pt>
                <c:pt idx="6">
                  <c:v>0.10600000039741531</c:v>
                </c:pt>
                <c:pt idx="7">
                  <c:v>0.10200000035306865</c:v>
                </c:pt>
                <c:pt idx="8">
                  <c:v>9.8000000308721968E-2</c:v>
                </c:pt>
                <c:pt idx="9">
                  <c:v>9.4000000264375286E-2</c:v>
                </c:pt>
                <c:pt idx="10">
                  <c:v>9.0000000220028617E-2</c:v>
                </c:pt>
                <c:pt idx="11">
                  <c:v>8.6000000175681948E-2</c:v>
                </c:pt>
                <c:pt idx="12">
                  <c:v>8.2000000131335266E-2</c:v>
                </c:pt>
                <c:pt idx="13">
                  <c:v>7.8000000086988597E-2</c:v>
                </c:pt>
                <c:pt idx="14">
                  <c:v>7.4000000042641928E-2</c:v>
                </c:pt>
                <c:pt idx="15">
                  <c:v>6.9999999998295245E-2</c:v>
                </c:pt>
                <c:pt idx="16">
                  <c:v>6.5999999953948563E-2</c:v>
                </c:pt>
                <c:pt idx="17">
                  <c:v>6.1999999909601901E-2</c:v>
                </c:pt>
                <c:pt idx="18">
                  <c:v>5.7999999865255225E-2</c:v>
                </c:pt>
                <c:pt idx="19">
                  <c:v>5.3999999820908556E-2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2-4EE2-9912-1F6CD9255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313544"/>
        <c:axId val="318314328"/>
      </c:scatterChart>
      <c:valAx>
        <c:axId val="318313544"/>
        <c:scaling>
          <c:orientation val="minMax"/>
          <c:min val="0.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Portfolio standard deviation </a:t>
                </a:r>
                <a:r>
                  <a:rPr lang="en-US" baseline="0">
                    <a:latin typeface="Symbol" pitchFamily="18" charset="2"/>
                  </a:rPr>
                  <a:t>s</a:t>
                </a:r>
                <a:r>
                  <a:rPr lang="en-US" baseline="-25000"/>
                  <a:t>p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318314328"/>
        <c:crosses val="autoZero"/>
        <c:crossBetween val="midCat"/>
      </c:valAx>
      <c:valAx>
        <c:axId val="318314328"/>
        <c:scaling>
          <c:orientation val="minMax"/>
          <c:min val="4.0000000000000008E-2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Portfolio</a:t>
                </a:r>
                <a:r>
                  <a:rPr lang="en-US" baseline="0"/>
                  <a:t> expected return E(r</a:t>
                </a:r>
                <a:r>
                  <a:rPr lang="en-US" baseline="-25000"/>
                  <a:t>p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7777777777777776E-2"/>
              <c:y val="0.20842592592592593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crossAx val="318313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Portfolio Means and Returns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68362288047329"/>
          <c:y val="0.10614167038082503"/>
          <c:w val="0.79745603674540677"/>
          <c:h val="0.68116105278506867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'pg212'!$B$26:$B$45</c:f>
              <c:numCache>
                <c:formatCode>0.00%</c:formatCode>
                <c:ptCount val="20"/>
                <c:pt idx="0">
                  <c:v>0.80597766718439534</c:v>
                </c:pt>
                <c:pt idx="1">
                  <c:v>0.72884017452388006</c:v>
                </c:pt>
                <c:pt idx="2">
                  <c:v>0.65375224665005938</c:v>
                </c:pt>
                <c:pt idx="3">
                  <c:v>0.58150838343054012</c:v>
                </c:pt>
                <c:pt idx="4">
                  <c:v>0.51331082201722567</c:v>
                </c:pt>
                <c:pt idx="5">
                  <c:v>0.45099889135118726</c:v>
                </c:pt>
                <c:pt idx="6">
                  <c:v>0.39735123002200462</c:v>
                </c:pt>
                <c:pt idx="7">
                  <c:v>0.35630324163554844</c:v>
                </c:pt>
                <c:pt idx="8">
                  <c:v>0.33255375505322443</c:v>
                </c:pt>
                <c:pt idx="9">
                  <c:v>0.32986057660775409</c:v>
                </c:pt>
                <c:pt idx="10">
                  <c:v>0.34871191548325392</c:v>
                </c:pt>
                <c:pt idx="11">
                  <c:v>0.38596372886580937</c:v>
                </c:pt>
                <c:pt idx="12">
                  <c:v>0.43693477774148393</c:v>
                </c:pt>
                <c:pt idx="13">
                  <c:v>0.49742537128699016</c:v>
                </c:pt>
                <c:pt idx="14">
                  <c:v>0.56438284878263267</c:v>
                </c:pt>
                <c:pt idx="15">
                  <c:v>0.6357672530100934</c:v>
                </c:pt>
                <c:pt idx="16">
                  <c:v>0.7102450281416971</c:v>
                </c:pt>
                <c:pt idx="17">
                  <c:v>0.78693837115748777</c:v>
                </c:pt>
                <c:pt idx="18">
                  <c:v>0.8652583429242392</c:v>
                </c:pt>
                <c:pt idx="19">
                  <c:v>0.90489667918497751</c:v>
                </c:pt>
              </c:numCache>
            </c:numRef>
          </c:xVal>
          <c:yVal>
            <c:numRef>
              <c:f>'pg212'!$C$26:$C$45</c:f>
              <c:numCache>
                <c:formatCode>0.00%</c:formatCode>
                <c:ptCount val="20"/>
                <c:pt idx="0">
                  <c:v>0.14899999999999997</c:v>
                </c:pt>
                <c:pt idx="1">
                  <c:v>0.14319999999999999</c:v>
                </c:pt>
                <c:pt idx="2">
                  <c:v>0.13739999999999999</c:v>
                </c:pt>
                <c:pt idx="3">
                  <c:v>0.13159999999999997</c:v>
                </c:pt>
                <c:pt idx="4">
                  <c:v>0.1258</c:v>
                </c:pt>
                <c:pt idx="5">
                  <c:v>0.12</c:v>
                </c:pt>
                <c:pt idx="6">
                  <c:v>0.11420000000000001</c:v>
                </c:pt>
                <c:pt idx="7">
                  <c:v>0.1084</c:v>
                </c:pt>
                <c:pt idx="8">
                  <c:v>0.1026</c:v>
                </c:pt>
                <c:pt idx="9">
                  <c:v>9.6800000000000011E-2</c:v>
                </c:pt>
                <c:pt idx="10">
                  <c:v>9.1000000000000011E-2</c:v>
                </c:pt>
                <c:pt idx="11">
                  <c:v>8.5200000000000012E-2</c:v>
                </c:pt>
                <c:pt idx="12">
                  <c:v>7.9400000000000026E-2</c:v>
                </c:pt>
                <c:pt idx="13">
                  <c:v>7.3600000000000027E-2</c:v>
                </c:pt>
                <c:pt idx="14">
                  <c:v>6.7800000000000027E-2</c:v>
                </c:pt>
                <c:pt idx="15">
                  <c:v>6.2000000000000027E-2</c:v>
                </c:pt>
                <c:pt idx="16">
                  <c:v>5.6200000000000028E-2</c:v>
                </c:pt>
                <c:pt idx="17">
                  <c:v>5.0400000000000028E-2</c:v>
                </c:pt>
                <c:pt idx="18">
                  <c:v>4.4600000000000029E-2</c:v>
                </c:pt>
                <c:pt idx="19">
                  <c:v>4.1700000000000043E-2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B-4349-BCBC-82FBD8F5147D}"/>
            </c:ext>
          </c:extLst>
        </c:ser>
        <c:ser>
          <c:idx val="1"/>
          <c:order val="1"/>
          <c:spPr>
            <a:ln>
              <a:noFill/>
            </a:ln>
          </c:spPr>
          <c:xVal>
            <c:numRef>
              <c:f>'pg212'!$B$46:$B$49</c:f>
              <c:numCache>
                <c:formatCode>0.00%</c:formatCode>
                <c:ptCount val="4"/>
                <c:pt idx="0">
                  <c:v>0.31622776601683794</c:v>
                </c:pt>
                <c:pt idx="1">
                  <c:v>0.54772255750516607</c:v>
                </c:pt>
                <c:pt idx="2">
                  <c:v>0.63245553203367588</c:v>
                </c:pt>
                <c:pt idx="3">
                  <c:v>0.70710678118654757</c:v>
                </c:pt>
              </c:numCache>
            </c:numRef>
          </c:xVal>
          <c:yVal>
            <c:numRef>
              <c:f>'pg212'!$D$46:$D$49</c:f>
              <c:numCache>
                <c:formatCode>0.00%</c:formatCode>
                <c:ptCount val="4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CB-4349-BCBC-82FBD8F51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901256"/>
        <c:axId val="310901648"/>
      </c:scatterChart>
      <c:valAx>
        <c:axId val="310901256"/>
        <c:scaling>
          <c:orientation val="minMax"/>
          <c:max val="0.85000000000000009"/>
          <c:min val="0.3000000000000000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Portfolio standard deviation </a:t>
                </a:r>
                <a:r>
                  <a:rPr lang="en-US" baseline="0">
                    <a:latin typeface="Symbol" pitchFamily="18" charset="2"/>
                  </a:rPr>
                  <a:t>s</a:t>
                </a:r>
                <a:r>
                  <a:rPr lang="en-US" baseline="-25000"/>
                  <a:t>p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310901648"/>
        <c:crosses val="autoZero"/>
        <c:crossBetween val="midCat"/>
        <c:majorUnit val="5.000000000000001E-2"/>
      </c:valAx>
      <c:valAx>
        <c:axId val="310901648"/>
        <c:scaling>
          <c:orientation val="minMax"/>
          <c:min val="5.000000000000001E-2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Portfolio</a:t>
                </a:r>
                <a:r>
                  <a:rPr lang="en-US" baseline="0"/>
                  <a:t> expected retrun E(r</a:t>
                </a:r>
                <a:r>
                  <a:rPr lang="en-US" baseline="-25000"/>
                  <a:t>p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7777777777777776E-2"/>
              <c:y val="0.20842592592592593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crossAx val="310901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2</xdr:row>
      <xdr:rowOff>7620</xdr:rowOff>
    </xdr:from>
    <xdr:to>
      <xdr:col>11</xdr:col>
      <xdr:colOff>7620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16</xdr:row>
      <xdr:rowOff>38100</xdr:rowOff>
    </xdr:from>
    <xdr:to>
      <xdr:col>9</xdr:col>
      <xdr:colOff>640080</xdr:colOff>
      <xdr:row>31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23</xdr:row>
      <xdr:rowOff>144780</xdr:rowOff>
    </xdr:from>
    <xdr:to>
      <xdr:col>7</xdr:col>
      <xdr:colOff>0</xdr:colOff>
      <xdr:row>40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24</xdr:row>
      <xdr:rowOff>0</xdr:rowOff>
    </xdr:from>
    <xdr:to>
      <xdr:col>6</xdr:col>
      <xdr:colOff>2506980</xdr:colOff>
      <xdr:row>42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36</xdr:row>
      <xdr:rowOff>121920</xdr:rowOff>
    </xdr:from>
    <xdr:to>
      <xdr:col>4</xdr:col>
      <xdr:colOff>899160</xdr:colOff>
      <xdr:row>38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4297680" y="7917180"/>
          <a:ext cx="5943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Stock 1</a:t>
          </a:r>
        </a:p>
      </xdr:txBody>
    </xdr:sp>
    <xdr:clientData/>
  </xdr:twoCellAnchor>
  <xdr:twoCellAnchor>
    <xdr:from>
      <xdr:col>6</xdr:col>
      <xdr:colOff>228600</xdr:colOff>
      <xdr:row>34</xdr:row>
      <xdr:rowOff>106680</xdr:rowOff>
    </xdr:from>
    <xdr:to>
      <xdr:col>6</xdr:col>
      <xdr:colOff>845820</xdr:colOff>
      <xdr:row>35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5935980" y="7551420"/>
          <a:ext cx="6172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Stock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6</xdr:col>
      <xdr:colOff>800100</xdr:colOff>
      <xdr:row>32</xdr:row>
      <xdr:rowOff>53340</xdr:rowOff>
    </xdr:from>
    <xdr:to>
      <xdr:col>6</xdr:col>
      <xdr:colOff>1470660</xdr:colOff>
      <xdr:row>33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6507480" y="7147560"/>
          <a:ext cx="6705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Stock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6</xdr:col>
      <xdr:colOff>464820</xdr:colOff>
      <xdr:row>27</xdr:row>
      <xdr:rowOff>53340</xdr:rowOff>
    </xdr:from>
    <xdr:to>
      <xdr:col>6</xdr:col>
      <xdr:colOff>1104900</xdr:colOff>
      <xdr:row>28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6172200" y="6271260"/>
          <a:ext cx="64008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Stock 4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y%20Bonds%20-%20Train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1"/>
      <sheetName val="Bond CF"/>
    </sheetNames>
    <sheetDataSet>
      <sheetData sheetId="0">
        <row r="5">
          <cell r="D5">
            <v>0.08</v>
          </cell>
        </row>
        <row r="6">
          <cell r="D6">
            <v>43282</v>
          </cell>
        </row>
        <row r="7">
          <cell r="D7">
            <v>54058</v>
          </cell>
        </row>
        <row r="8">
          <cell r="D8">
            <v>0.09</v>
          </cell>
        </row>
        <row r="9">
          <cell r="D9">
            <v>3</v>
          </cell>
        </row>
        <row r="10">
          <cell r="D1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1"/>
  <sheetViews>
    <sheetView showGridLines="0" topLeftCell="A36" zoomScale="115" zoomScaleNormal="115" workbookViewId="0">
      <selection activeCell="E10" sqref="E10"/>
    </sheetView>
  </sheetViews>
  <sheetFormatPr defaultColWidth="9" defaultRowHeight="15" outlineLevelRow="1" x14ac:dyDescent="0.25"/>
  <cols>
    <col min="1" max="1" width="10" style="1" customWidth="1"/>
    <col min="2" max="3" width="9" style="1"/>
    <col min="4" max="4" width="3.625" style="1" customWidth="1"/>
    <col min="5" max="8" width="9" style="1" customWidth="1"/>
    <col min="9" max="16384" width="9" style="1"/>
  </cols>
  <sheetData>
    <row r="1" spans="1:17" x14ac:dyDescent="0.25">
      <c r="A1" s="19" t="s">
        <v>60</v>
      </c>
      <c r="B1" s="24"/>
      <c r="C1" s="24"/>
      <c r="D1" s="24"/>
      <c r="E1" s="24"/>
      <c r="F1" s="24"/>
      <c r="G1" s="24"/>
      <c r="H1" s="24"/>
      <c r="I1" s="9" t="s">
        <v>61</v>
      </c>
      <c r="J1" s="1" t="s">
        <v>59</v>
      </c>
    </row>
    <row r="2" spans="1:17" x14ac:dyDescent="0.25">
      <c r="A2" s="1" t="s">
        <v>0</v>
      </c>
      <c r="E2" s="6">
        <f>AVERAGE(E11:E71)</f>
        <v>2.6092535382995975E-2</v>
      </c>
      <c r="F2" s="6">
        <f>AVERAGE(F11:F71)</f>
        <v>-2.4269022221436731E-3</v>
      </c>
      <c r="G2" s="6"/>
      <c r="I2" s="1" t="s">
        <v>66</v>
      </c>
      <c r="Q2" s="9" t="s">
        <v>76</v>
      </c>
    </row>
    <row r="3" spans="1:17" ht="15" customHeight="1" x14ac:dyDescent="0.25">
      <c r="A3" s="1" t="s">
        <v>1</v>
      </c>
      <c r="E3" s="11">
        <f>_xlfn.VAR.S(E11:E71)</f>
        <v>1.2477690692371124E-2</v>
      </c>
      <c r="F3" s="11">
        <f>_xlfn.VAR.S(F11:F71)</f>
        <v>1.0175180168436861E-2</v>
      </c>
      <c r="G3" s="11"/>
      <c r="I3" s="1" t="s">
        <v>62</v>
      </c>
      <c r="Q3" s="1" t="s">
        <v>67</v>
      </c>
    </row>
    <row r="4" spans="1:17" ht="15" customHeight="1" x14ac:dyDescent="0.25">
      <c r="A4" s="1" t="s">
        <v>2</v>
      </c>
      <c r="E4" s="10">
        <f>_xlfn.STDEV.S(E11:E71)</f>
        <v>0.11170358406233492</v>
      </c>
      <c r="F4" s="10">
        <f>_xlfn.STDEV.S(F11:F71)</f>
        <v>0.10087209806699204</v>
      </c>
      <c r="G4" s="10"/>
      <c r="I4" s="1" t="s">
        <v>63</v>
      </c>
      <c r="Q4" s="1" t="s">
        <v>68</v>
      </c>
    </row>
    <row r="5" spans="1:17" x14ac:dyDescent="0.25">
      <c r="I5" s="1" t="s">
        <v>64</v>
      </c>
      <c r="Q5" s="1" t="s">
        <v>69</v>
      </c>
    </row>
    <row r="6" spans="1:17" x14ac:dyDescent="0.25">
      <c r="A6" s="1" t="s">
        <v>3</v>
      </c>
      <c r="E6" s="10">
        <f>12*E2</f>
        <v>0.31311042459595173</v>
      </c>
      <c r="F6" s="28">
        <f>12*F2</f>
        <v>-2.9122826665724078E-2</v>
      </c>
      <c r="G6" s="28"/>
    </row>
    <row r="7" spans="1:17" x14ac:dyDescent="0.25">
      <c r="A7" s="1" t="s">
        <v>4</v>
      </c>
      <c r="E7" s="11">
        <f>12*E3</f>
        <v>0.14973228830845348</v>
      </c>
      <c r="F7" s="11">
        <f>12*F3</f>
        <v>0.12210216202124233</v>
      </c>
      <c r="G7" s="11"/>
      <c r="I7" s="27" t="s">
        <v>75</v>
      </c>
    </row>
    <row r="8" spans="1:17" x14ac:dyDescent="0.25">
      <c r="A8" s="1" t="s">
        <v>5</v>
      </c>
      <c r="E8" s="10">
        <f>SQRT(12)*E4</f>
        <v>0.38695256596701033</v>
      </c>
      <c r="F8" s="10">
        <f>SQRT(12)*F4</f>
        <v>0.34943119783620108</v>
      </c>
      <c r="G8" s="10"/>
    </row>
    <row r="9" spans="1:17" x14ac:dyDescent="0.25">
      <c r="I9" s="9" t="s">
        <v>71</v>
      </c>
    </row>
    <row r="10" spans="1:17" x14ac:dyDescent="0.25">
      <c r="A10" s="3" t="s">
        <v>6</v>
      </c>
      <c r="B10" s="3" t="s">
        <v>7</v>
      </c>
      <c r="C10" s="3" t="s">
        <v>8</v>
      </c>
      <c r="D10" s="3"/>
      <c r="E10" s="3" t="str">
        <f>$B10</f>
        <v>AAPL</v>
      </c>
      <c r="F10" s="3" t="str">
        <f>$C10</f>
        <v>Google</v>
      </c>
      <c r="G10" s="3"/>
      <c r="I10" s="1" t="s">
        <v>72</v>
      </c>
    </row>
    <row r="11" spans="1:17" x14ac:dyDescent="0.25">
      <c r="A11" s="25">
        <v>39234</v>
      </c>
      <c r="B11" s="26">
        <v>122.04</v>
      </c>
      <c r="C11" s="26">
        <v>580.11</v>
      </c>
      <c r="I11" s="27" t="s">
        <v>74</v>
      </c>
    </row>
    <row r="12" spans="1:17" x14ac:dyDescent="0.25">
      <c r="A12" s="25">
        <v>39265</v>
      </c>
      <c r="B12" s="26">
        <v>131.76</v>
      </c>
      <c r="C12" s="26">
        <v>645.9</v>
      </c>
      <c r="E12" s="10">
        <f t="shared" ref="E12:F71" si="0">LN(B12/B11)</f>
        <v>7.6633226020915893E-2</v>
      </c>
      <c r="F12" s="10">
        <f t="shared" si="0"/>
        <v>0.10742695230781683</v>
      </c>
      <c r="G12" s="10"/>
    </row>
    <row r="13" spans="1:17" x14ac:dyDescent="0.25">
      <c r="A13" s="25">
        <v>39295</v>
      </c>
      <c r="B13" s="26">
        <v>138.47999999999999</v>
      </c>
      <c r="C13" s="26">
        <v>599.39</v>
      </c>
      <c r="E13" s="10">
        <f t="shared" si="0"/>
        <v>4.9743824998568914E-2</v>
      </c>
      <c r="F13" s="10">
        <f t="shared" si="0"/>
        <v>-7.4732221645049529E-2</v>
      </c>
      <c r="G13" s="10"/>
    </row>
    <row r="14" spans="1:17" outlineLevel="1" x14ac:dyDescent="0.25">
      <c r="A14" s="25">
        <v>39329</v>
      </c>
      <c r="B14" s="26">
        <v>153.47</v>
      </c>
      <c r="C14" s="26">
        <v>592.64</v>
      </c>
      <c r="E14" s="10">
        <f t="shared" si="0"/>
        <v>0.10277919731904972</v>
      </c>
      <c r="F14" s="10">
        <f t="shared" si="0"/>
        <v>-1.1325339375617659E-2</v>
      </c>
      <c r="G14" s="10"/>
    </row>
    <row r="15" spans="1:17" outlineLevel="1" x14ac:dyDescent="0.25">
      <c r="A15" s="25">
        <v>39356</v>
      </c>
      <c r="B15" s="26">
        <v>189.95</v>
      </c>
      <c r="C15" s="26">
        <v>515.04</v>
      </c>
      <c r="E15" s="10">
        <f t="shared" si="0"/>
        <v>0.21325577144663097</v>
      </c>
      <c r="F15" s="10">
        <f t="shared" si="0"/>
        <v>-0.14034256446726184</v>
      </c>
      <c r="G15" s="10"/>
    </row>
    <row r="16" spans="1:17" ht="15" customHeight="1" outlineLevel="1" x14ac:dyDescent="0.25">
      <c r="A16" s="25">
        <v>39387</v>
      </c>
      <c r="B16" s="26">
        <v>182.22</v>
      </c>
      <c r="C16" s="26">
        <v>540.96</v>
      </c>
      <c r="E16" s="10">
        <f t="shared" si="0"/>
        <v>-4.1546131347922108E-2</v>
      </c>
      <c r="F16" s="10">
        <f t="shared" si="0"/>
        <v>4.9100771409077877E-2</v>
      </c>
      <c r="G16" s="10"/>
    </row>
    <row r="17" spans="1:7" outlineLevel="1" x14ac:dyDescent="0.25">
      <c r="A17" s="25">
        <v>39419</v>
      </c>
      <c r="B17" s="26">
        <v>198.08</v>
      </c>
      <c r="C17" s="26">
        <v>603.69000000000005</v>
      </c>
      <c r="E17" s="10">
        <f t="shared" si="0"/>
        <v>8.3456241210519033E-2</v>
      </c>
      <c r="F17" s="10">
        <f t="shared" si="0"/>
        <v>0.10971548218681069</v>
      </c>
      <c r="G17" s="10"/>
    </row>
    <row r="18" spans="1:7" outlineLevel="1" x14ac:dyDescent="0.25">
      <c r="A18" s="25">
        <v>39449</v>
      </c>
      <c r="B18" s="26">
        <v>135.36000000000001</v>
      </c>
      <c r="C18" s="26">
        <v>506.38</v>
      </c>
      <c r="E18" s="10">
        <f t="shared" si="0"/>
        <v>-0.38073309363831809</v>
      </c>
      <c r="F18" s="10">
        <f t="shared" si="0"/>
        <v>-0.17577344556712143</v>
      </c>
      <c r="G18" s="10"/>
    </row>
    <row r="19" spans="1:7" outlineLevel="1" x14ac:dyDescent="0.25">
      <c r="A19" s="25">
        <v>39479</v>
      </c>
      <c r="B19" s="26">
        <v>125.02</v>
      </c>
      <c r="C19" s="26">
        <v>529.02</v>
      </c>
      <c r="E19" s="10">
        <f t="shared" si="0"/>
        <v>-7.9464171354247048E-2</v>
      </c>
      <c r="F19" s="10">
        <f t="shared" si="0"/>
        <v>4.3738862747725364E-2</v>
      </c>
      <c r="G19" s="10"/>
    </row>
    <row r="20" spans="1:7" outlineLevel="1" x14ac:dyDescent="0.25">
      <c r="A20" s="25">
        <v>39510</v>
      </c>
      <c r="B20" s="26">
        <v>143.5</v>
      </c>
      <c r="C20" s="26">
        <v>544.1</v>
      </c>
      <c r="E20" s="10">
        <f t="shared" si="0"/>
        <v>0.13786131069600946</v>
      </c>
      <c r="F20" s="10">
        <f t="shared" si="0"/>
        <v>2.8106815164888964E-2</v>
      </c>
      <c r="G20" s="10"/>
    </row>
    <row r="21" spans="1:7" outlineLevel="1" x14ac:dyDescent="0.25">
      <c r="A21" s="25">
        <v>39539</v>
      </c>
      <c r="B21" s="26">
        <v>173.95</v>
      </c>
      <c r="C21" s="26">
        <v>586.76</v>
      </c>
      <c r="E21" s="10">
        <f t="shared" si="0"/>
        <v>0.1924328663982752</v>
      </c>
      <c r="F21" s="10">
        <f t="shared" si="0"/>
        <v>7.5482824127682258E-2</v>
      </c>
      <c r="G21" s="10"/>
    </row>
    <row r="22" spans="1:7" outlineLevel="1" x14ac:dyDescent="0.25">
      <c r="A22" s="25">
        <v>39569</v>
      </c>
      <c r="B22" s="26">
        <v>188.75</v>
      </c>
      <c r="C22" s="26">
        <v>613.4</v>
      </c>
      <c r="E22" s="10">
        <f t="shared" si="0"/>
        <v>8.1655486531183152E-2</v>
      </c>
      <c r="F22" s="10">
        <f t="shared" si="0"/>
        <v>4.440137406058902E-2</v>
      </c>
      <c r="G22" s="10"/>
    </row>
    <row r="23" spans="1:7" outlineLevel="1" x14ac:dyDescent="0.25">
      <c r="A23" s="25">
        <v>39601</v>
      </c>
      <c r="B23" s="26">
        <v>167.44</v>
      </c>
      <c r="C23" s="26">
        <v>600.36</v>
      </c>
      <c r="E23" s="10">
        <f t="shared" si="0"/>
        <v>-0.1197983099913898</v>
      </c>
      <c r="F23" s="10">
        <f t="shared" si="0"/>
        <v>-2.148777639203717E-2</v>
      </c>
      <c r="G23" s="10"/>
    </row>
    <row r="24" spans="1:7" outlineLevel="1" x14ac:dyDescent="0.25">
      <c r="A24" s="25">
        <v>39630</v>
      </c>
      <c r="B24" s="26">
        <v>158.94999999999999</v>
      </c>
      <c r="C24" s="26">
        <v>593.97</v>
      </c>
      <c r="E24" s="10">
        <f t="shared" si="0"/>
        <v>-5.2035390780932597E-2</v>
      </c>
      <c r="F24" s="10">
        <f t="shared" si="0"/>
        <v>-1.0700662251397116E-2</v>
      </c>
      <c r="G24" s="10"/>
    </row>
    <row r="25" spans="1:7" outlineLevel="1" x14ac:dyDescent="0.25">
      <c r="A25" s="25">
        <v>39661</v>
      </c>
      <c r="B25" s="26">
        <v>169.53</v>
      </c>
      <c r="C25" s="26">
        <v>555.71</v>
      </c>
      <c r="E25" s="10">
        <f t="shared" si="0"/>
        <v>6.4440214953050093E-2</v>
      </c>
      <c r="F25" s="10">
        <f t="shared" si="0"/>
        <v>-6.6582237591538612E-2</v>
      </c>
      <c r="G25" s="10"/>
    </row>
    <row r="26" spans="1:7" outlineLevel="1" x14ac:dyDescent="0.25">
      <c r="A26" s="25">
        <v>39693</v>
      </c>
      <c r="B26" s="26">
        <v>113.66</v>
      </c>
      <c r="C26" s="26">
        <v>613.70000000000005</v>
      </c>
      <c r="E26" s="10">
        <f t="shared" si="0"/>
        <v>-0.39981836644088625</v>
      </c>
      <c r="F26" s="10">
        <f t="shared" si="0"/>
        <v>9.9259633949873111E-2</v>
      </c>
      <c r="G26" s="10"/>
    </row>
    <row r="27" spans="1:7" outlineLevel="1" x14ac:dyDescent="0.25">
      <c r="A27" s="25">
        <v>39722</v>
      </c>
      <c r="B27" s="26">
        <v>107.59</v>
      </c>
      <c r="C27" s="26">
        <v>525.79</v>
      </c>
      <c r="E27" s="10">
        <f t="shared" si="0"/>
        <v>-5.4883829263157574E-2</v>
      </c>
      <c r="F27" s="10">
        <f t="shared" si="0"/>
        <v>-0.15460431591839269</v>
      </c>
      <c r="G27" s="10"/>
    </row>
    <row r="28" spans="1:7" outlineLevel="1" x14ac:dyDescent="0.25">
      <c r="A28" s="25">
        <v>39755</v>
      </c>
      <c r="B28" s="26">
        <v>92.67</v>
      </c>
      <c r="C28" s="26">
        <v>450.02</v>
      </c>
      <c r="E28" s="10">
        <f t="shared" si="0"/>
        <v>-0.1492829110072178</v>
      </c>
      <c r="F28" s="10">
        <f t="shared" si="0"/>
        <v>-0.15560986725547385</v>
      </c>
      <c r="G28" s="10"/>
    </row>
    <row r="29" spans="1:7" outlineLevel="1" x14ac:dyDescent="0.25">
      <c r="A29" s="25">
        <v>39783</v>
      </c>
      <c r="B29" s="26">
        <v>85.35</v>
      </c>
      <c r="C29" s="26">
        <v>484.85</v>
      </c>
      <c r="E29" s="10">
        <f t="shared" si="0"/>
        <v>-8.2284346358150504E-2</v>
      </c>
      <c r="F29" s="10">
        <f t="shared" si="0"/>
        <v>7.4547538529370433E-2</v>
      </c>
      <c r="G29" s="10"/>
    </row>
    <row r="30" spans="1:7" outlineLevel="1" x14ac:dyDescent="0.25">
      <c r="A30" s="25">
        <v>39815</v>
      </c>
      <c r="B30" s="26">
        <v>90.13</v>
      </c>
      <c r="C30" s="26">
        <v>444.95</v>
      </c>
      <c r="E30" s="10">
        <f t="shared" si="0"/>
        <v>5.4492623327868875E-2</v>
      </c>
      <c r="F30" s="10">
        <f t="shared" si="0"/>
        <v>-8.5877648447684057E-2</v>
      </c>
      <c r="G30" s="10"/>
    </row>
    <row r="31" spans="1:7" outlineLevel="1" x14ac:dyDescent="0.25">
      <c r="A31" s="25">
        <v>39846</v>
      </c>
      <c r="B31" s="26">
        <v>89.31</v>
      </c>
      <c r="C31" s="26">
        <v>485.63</v>
      </c>
      <c r="E31" s="10">
        <f t="shared" si="0"/>
        <v>-9.1396088725236701E-3</v>
      </c>
      <c r="F31" s="10">
        <f t="shared" si="0"/>
        <v>8.7485100776333188E-2</v>
      </c>
      <c r="G31" s="10"/>
    </row>
    <row r="32" spans="1:7" outlineLevel="1" x14ac:dyDescent="0.25">
      <c r="A32" s="25">
        <v>39874</v>
      </c>
      <c r="B32" s="26">
        <v>105.12</v>
      </c>
      <c r="C32" s="26">
        <v>525.70000000000005</v>
      </c>
      <c r="E32" s="10">
        <f t="shared" si="0"/>
        <v>0.16298909104050577</v>
      </c>
      <c r="F32" s="10">
        <f t="shared" si="0"/>
        <v>7.9283690746198177E-2</v>
      </c>
      <c r="G32" s="10"/>
    </row>
    <row r="33" spans="1:7" outlineLevel="1" x14ac:dyDescent="0.25">
      <c r="A33" s="25">
        <v>39904</v>
      </c>
      <c r="B33" s="26">
        <v>125.83</v>
      </c>
      <c r="C33" s="26">
        <v>567.12</v>
      </c>
      <c r="E33" s="10">
        <f t="shared" si="0"/>
        <v>0.17982923486757607</v>
      </c>
      <c r="F33" s="10">
        <f t="shared" si="0"/>
        <v>7.5840213721359739E-2</v>
      </c>
      <c r="G33" s="10"/>
    </row>
    <row r="34" spans="1:7" outlineLevel="1" x14ac:dyDescent="0.25">
      <c r="A34" s="25">
        <v>39934</v>
      </c>
      <c r="B34" s="26">
        <v>135.81</v>
      </c>
      <c r="C34" s="26">
        <v>526.79999999999995</v>
      </c>
      <c r="E34" s="10">
        <f t="shared" si="0"/>
        <v>7.6325060512100487E-2</v>
      </c>
      <c r="F34" s="10">
        <f t="shared" si="0"/>
        <v>-7.3749951677636247E-2</v>
      </c>
      <c r="G34" s="10"/>
    </row>
    <row r="35" spans="1:7" outlineLevel="1" x14ac:dyDescent="0.25">
      <c r="A35" s="25">
        <v>39965</v>
      </c>
      <c r="B35" s="26">
        <v>142.43</v>
      </c>
      <c r="C35" s="26">
        <v>529.94000000000005</v>
      </c>
      <c r="E35" s="10">
        <f t="shared" si="0"/>
        <v>4.7593800830517959E-2</v>
      </c>
      <c r="F35" s="10">
        <f t="shared" si="0"/>
        <v>5.9428227214138622E-3</v>
      </c>
      <c r="G35" s="10"/>
    </row>
    <row r="36" spans="1:7" outlineLevel="1" x14ac:dyDescent="0.25">
      <c r="A36" s="25">
        <v>39995</v>
      </c>
      <c r="B36" s="26">
        <v>163.38999999999999</v>
      </c>
      <c r="C36" s="26">
        <v>619.98</v>
      </c>
      <c r="E36" s="10">
        <f t="shared" si="0"/>
        <v>0.1372893300962372</v>
      </c>
      <c r="F36" s="10">
        <f t="shared" si="0"/>
        <v>0.15692342686377875</v>
      </c>
      <c r="G36" s="10"/>
    </row>
    <row r="37" spans="1:7" outlineLevel="1" x14ac:dyDescent="0.25">
      <c r="A37" s="25">
        <v>40028</v>
      </c>
      <c r="B37" s="26">
        <v>168.21</v>
      </c>
      <c r="C37" s="26">
        <v>583</v>
      </c>
      <c r="E37" s="10">
        <f t="shared" si="0"/>
        <v>2.9073217760958888E-2</v>
      </c>
      <c r="F37" s="10">
        <f t="shared" si="0"/>
        <v>-6.15000331038262E-2</v>
      </c>
      <c r="G37" s="10"/>
    </row>
    <row r="38" spans="1:7" outlineLevel="1" x14ac:dyDescent="0.25">
      <c r="A38" s="25">
        <v>40057</v>
      </c>
      <c r="B38" s="26">
        <v>185.35</v>
      </c>
      <c r="C38" s="26">
        <v>536.12</v>
      </c>
      <c r="E38" s="10">
        <f t="shared" si="0"/>
        <v>9.7032730793050262E-2</v>
      </c>
      <c r="F38" s="10">
        <f t="shared" si="0"/>
        <v>-8.3829169740196469E-2</v>
      </c>
      <c r="G38" s="10"/>
    </row>
    <row r="39" spans="1:7" outlineLevel="1" x14ac:dyDescent="0.25">
      <c r="A39" s="25">
        <v>40087</v>
      </c>
      <c r="B39" s="26">
        <v>188.5</v>
      </c>
      <c r="C39" s="26">
        <v>495.85</v>
      </c>
      <c r="E39" s="10">
        <f t="shared" si="0"/>
        <v>1.6852077291324211E-2</v>
      </c>
      <c r="F39" s="10">
        <f t="shared" si="0"/>
        <v>-7.8084554978161788E-2</v>
      </c>
      <c r="G39" s="10"/>
    </row>
    <row r="40" spans="1:7" outlineLevel="1" x14ac:dyDescent="0.25">
      <c r="A40" s="25">
        <v>40119</v>
      </c>
      <c r="B40" s="26">
        <v>199.91</v>
      </c>
      <c r="C40" s="26">
        <v>461.67</v>
      </c>
      <c r="E40" s="10">
        <f t="shared" si="0"/>
        <v>5.8769258379585923E-2</v>
      </c>
      <c r="F40" s="10">
        <f t="shared" si="0"/>
        <v>-7.1423111488264107E-2</v>
      </c>
      <c r="G40" s="10"/>
    </row>
    <row r="41" spans="1:7" outlineLevel="1" x14ac:dyDescent="0.25">
      <c r="A41" s="25">
        <v>40148</v>
      </c>
      <c r="B41" s="26">
        <v>210.73</v>
      </c>
      <c r="C41" s="26">
        <v>443.05</v>
      </c>
      <c r="E41" s="10">
        <f t="shared" si="0"/>
        <v>5.2710427941470024E-2</v>
      </c>
      <c r="F41" s="10">
        <f t="shared" si="0"/>
        <v>-4.1167719650558612E-2</v>
      </c>
      <c r="G41" s="10"/>
    </row>
    <row r="42" spans="1:7" outlineLevel="1" x14ac:dyDescent="0.25">
      <c r="A42" s="25">
        <v>40182</v>
      </c>
      <c r="B42" s="26">
        <v>192.06</v>
      </c>
      <c r="C42" s="26">
        <v>421.59</v>
      </c>
      <c r="E42" s="10">
        <f t="shared" si="0"/>
        <v>-9.276986999929468E-2</v>
      </c>
      <c r="F42" s="10">
        <f t="shared" si="0"/>
        <v>-4.9649352712548125E-2</v>
      </c>
      <c r="G42" s="10"/>
    </row>
    <row r="43" spans="1:7" outlineLevel="1" x14ac:dyDescent="0.25">
      <c r="A43" s="25">
        <v>40210</v>
      </c>
      <c r="B43" s="26">
        <v>204.62</v>
      </c>
      <c r="C43" s="26">
        <v>417.23</v>
      </c>
      <c r="E43" s="10">
        <f t="shared" si="0"/>
        <v>6.3346777240967267E-2</v>
      </c>
      <c r="F43" s="10">
        <f t="shared" si="0"/>
        <v>-1.0395649281585149E-2</v>
      </c>
      <c r="G43" s="10"/>
    </row>
    <row r="44" spans="1:7" outlineLevel="1" x14ac:dyDescent="0.25">
      <c r="A44" s="25">
        <v>40238</v>
      </c>
      <c r="B44" s="26">
        <v>235</v>
      </c>
      <c r="C44" s="26">
        <v>395.97</v>
      </c>
      <c r="E44" s="10">
        <f t="shared" si="0"/>
        <v>0.13843091369336494</v>
      </c>
      <c r="F44" s="10">
        <f t="shared" si="0"/>
        <v>-5.2299177690205201E-2</v>
      </c>
      <c r="G44" s="10"/>
    </row>
    <row r="45" spans="1:7" outlineLevel="1" x14ac:dyDescent="0.25">
      <c r="A45" s="25">
        <v>40269</v>
      </c>
      <c r="B45" s="26">
        <v>261.08999999999997</v>
      </c>
      <c r="C45" s="26">
        <v>348.06</v>
      </c>
      <c r="E45" s="10">
        <f t="shared" si="0"/>
        <v>0.10527966132537296</v>
      </c>
      <c r="F45" s="10">
        <f t="shared" si="0"/>
        <v>-0.12896357210294498</v>
      </c>
      <c r="G45" s="10"/>
    </row>
    <row r="46" spans="1:7" outlineLevel="1" x14ac:dyDescent="0.25">
      <c r="A46" s="25">
        <v>40301</v>
      </c>
      <c r="B46" s="26">
        <v>256.88</v>
      </c>
      <c r="C46" s="26">
        <v>337.99</v>
      </c>
      <c r="E46" s="10">
        <f t="shared" si="0"/>
        <v>-1.6256125688273504E-2</v>
      </c>
      <c r="F46" s="10">
        <f t="shared" si="0"/>
        <v>-2.9358569459494093E-2</v>
      </c>
      <c r="G46" s="10"/>
    </row>
    <row r="47" spans="1:7" outlineLevel="1" x14ac:dyDescent="0.25">
      <c r="A47" s="25">
        <v>40330</v>
      </c>
      <c r="B47" s="26">
        <v>251.53</v>
      </c>
      <c r="C47" s="26">
        <v>338.53</v>
      </c>
      <c r="E47" s="10">
        <f t="shared" si="0"/>
        <v>-2.1046783061035752E-2</v>
      </c>
      <c r="F47" s="10">
        <f t="shared" si="0"/>
        <v>1.596405471184585E-3</v>
      </c>
      <c r="G47" s="10"/>
    </row>
    <row r="48" spans="1:7" outlineLevel="1" x14ac:dyDescent="0.25">
      <c r="A48" s="25">
        <v>40360</v>
      </c>
      <c r="B48" s="26">
        <v>257.25</v>
      </c>
      <c r="C48" s="26">
        <v>307.64999999999998</v>
      </c>
      <c r="E48" s="10">
        <f t="shared" si="0"/>
        <v>2.2486107993936241E-2</v>
      </c>
      <c r="F48" s="10">
        <f t="shared" si="0"/>
        <v>-9.5649941531219279E-2</v>
      </c>
      <c r="G48" s="10"/>
    </row>
    <row r="49" spans="1:7" outlineLevel="1" x14ac:dyDescent="0.25">
      <c r="A49" s="25">
        <v>40392</v>
      </c>
      <c r="B49" s="26">
        <v>243.1</v>
      </c>
      <c r="C49" s="26">
        <v>292.95999999999998</v>
      </c>
      <c r="E49" s="10">
        <f t="shared" si="0"/>
        <v>-5.6575493392081351E-2</v>
      </c>
      <c r="F49" s="10">
        <f t="shared" si="0"/>
        <v>-4.8926692260298776E-2</v>
      </c>
      <c r="G49" s="10"/>
    </row>
    <row r="50" spans="1:7" outlineLevel="1" x14ac:dyDescent="0.25">
      <c r="A50" s="25">
        <v>40422</v>
      </c>
      <c r="B50" s="26">
        <v>283.75</v>
      </c>
      <c r="C50" s="26">
        <v>359.36</v>
      </c>
      <c r="E50" s="10">
        <f t="shared" si="0"/>
        <v>0.15462068747353472</v>
      </c>
      <c r="F50" s="10">
        <f t="shared" si="0"/>
        <v>0.20428859062387794</v>
      </c>
      <c r="G50" s="10"/>
    </row>
    <row r="51" spans="1:7" outlineLevel="1" x14ac:dyDescent="0.25">
      <c r="A51" s="25">
        <v>40452</v>
      </c>
      <c r="B51" s="26">
        <v>300.98</v>
      </c>
      <c r="C51" s="26">
        <v>400.52</v>
      </c>
      <c r="E51" s="10">
        <f t="shared" si="0"/>
        <v>5.8950248562960224E-2</v>
      </c>
      <c r="F51" s="10">
        <f t="shared" si="0"/>
        <v>0.10843903128952363</v>
      </c>
      <c r="G51" s="10"/>
    </row>
    <row r="52" spans="1:7" outlineLevel="1" x14ac:dyDescent="0.25">
      <c r="A52" s="25">
        <v>40483</v>
      </c>
      <c r="B52" s="26">
        <v>311.14999999999998</v>
      </c>
      <c r="C52" s="26">
        <v>463.29</v>
      </c>
      <c r="E52" s="10">
        <f t="shared" si="0"/>
        <v>3.3231293656654268E-2</v>
      </c>
      <c r="F52" s="10">
        <f t="shared" si="0"/>
        <v>0.14558950506341742</v>
      </c>
      <c r="G52" s="10"/>
    </row>
    <row r="53" spans="1:7" outlineLevel="1" x14ac:dyDescent="0.25">
      <c r="A53" s="25">
        <v>40513</v>
      </c>
      <c r="B53" s="26">
        <v>322.56</v>
      </c>
      <c r="C53" s="26">
        <v>473.75</v>
      </c>
      <c r="E53" s="10">
        <f t="shared" si="0"/>
        <v>3.6014054427722354E-2</v>
      </c>
      <c r="F53" s="10">
        <f t="shared" si="0"/>
        <v>2.232654849361675E-2</v>
      </c>
      <c r="G53" s="10"/>
    </row>
    <row r="54" spans="1:7" outlineLevel="1" x14ac:dyDescent="0.25">
      <c r="A54" s="25">
        <v>40546</v>
      </c>
      <c r="B54" s="26">
        <v>339.32</v>
      </c>
      <c r="C54" s="26">
        <v>526.41999999999996</v>
      </c>
      <c r="E54" s="10">
        <f t="shared" si="0"/>
        <v>5.0654449496584847E-2</v>
      </c>
      <c r="F54" s="10">
        <f t="shared" si="0"/>
        <v>0.10541961681369323</v>
      </c>
      <c r="G54" s="10"/>
    </row>
    <row r="55" spans="1:7" outlineLevel="1" x14ac:dyDescent="0.25">
      <c r="A55" s="25">
        <v>40575</v>
      </c>
      <c r="B55" s="26">
        <v>353.21</v>
      </c>
      <c r="C55" s="26">
        <v>585.79999999999995</v>
      </c>
      <c r="E55" s="10">
        <f t="shared" si="0"/>
        <v>4.01191659602591E-2</v>
      </c>
      <c r="F55" s="10">
        <f t="shared" si="0"/>
        <v>0.10687906118330369</v>
      </c>
      <c r="G55" s="10"/>
    </row>
    <row r="56" spans="1:7" outlineLevel="1" x14ac:dyDescent="0.25">
      <c r="A56" s="25">
        <v>40603</v>
      </c>
      <c r="B56" s="26">
        <v>348.51</v>
      </c>
      <c r="C56" s="26">
        <v>574.29</v>
      </c>
      <c r="E56" s="10">
        <f t="shared" si="0"/>
        <v>-1.3395856706299903E-2</v>
      </c>
      <c r="F56" s="10">
        <f t="shared" si="0"/>
        <v>-1.9843939177158147E-2</v>
      </c>
      <c r="G56" s="10"/>
    </row>
    <row r="57" spans="1:7" outlineLevel="1" x14ac:dyDescent="0.25">
      <c r="A57" s="25">
        <v>40634</v>
      </c>
      <c r="B57" s="26">
        <v>350.13</v>
      </c>
      <c r="C57" s="26">
        <v>440.47</v>
      </c>
      <c r="E57" s="10">
        <f t="shared" si="0"/>
        <v>4.6375898988789757E-3</v>
      </c>
      <c r="F57" s="10">
        <f t="shared" si="0"/>
        <v>-0.26529215658624006</v>
      </c>
      <c r="G57" s="10"/>
    </row>
    <row r="58" spans="1:7" outlineLevel="1" x14ac:dyDescent="0.25">
      <c r="A58" s="25">
        <v>40665</v>
      </c>
      <c r="B58" s="26">
        <v>347.83</v>
      </c>
      <c r="C58" s="26">
        <v>471.18</v>
      </c>
      <c r="E58" s="10">
        <f t="shared" si="0"/>
        <v>-6.5906594228294924E-3</v>
      </c>
      <c r="F58" s="10">
        <f t="shared" si="0"/>
        <v>6.7397847984603548E-2</v>
      </c>
      <c r="G58" s="10"/>
    </row>
    <row r="59" spans="1:7" outlineLevel="1" x14ac:dyDescent="0.25">
      <c r="A59" s="25">
        <v>40695</v>
      </c>
      <c r="B59" s="26">
        <v>335.67</v>
      </c>
      <c r="C59" s="26">
        <v>564.29999999999995</v>
      </c>
      <c r="E59" s="10">
        <f t="shared" si="0"/>
        <v>-3.5585320181802882E-2</v>
      </c>
      <c r="F59" s="10">
        <f t="shared" si="0"/>
        <v>0.18034583836025603</v>
      </c>
      <c r="G59" s="10"/>
    </row>
    <row r="60" spans="1:7" outlineLevel="1" x14ac:dyDescent="0.25">
      <c r="A60" s="25">
        <v>40725</v>
      </c>
      <c r="B60" s="26">
        <v>390.48</v>
      </c>
      <c r="C60" s="26">
        <v>691.48</v>
      </c>
      <c r="E60" s="10">
        <f t="shared" si="0"/>
        <v>0.15124821709115263</v>
      </c>
      <c r="F60" s="10">
        <f t="shared" si="0"/>
        <v>0.20324820307949171</v>
      </c>
      <c r="G60" s="10"/>
    </row>
    <row r="61" spans="1:7" outlineLevel="1" x14ac:dyDescent="0.25">
      <c r="A61" s="25">
        <v>40756</v>
      </c>
      <c r="B61" s="26">
        <v>384.83</v>
      </c>
      <c r="C61" s="26">
        <v>693</v>
      </c>
      <c r="E61" s="10">
        <f t="shared" si="0"/>
        <v>-1.4575073248301941E-2</v>
      </c>
      <c r="F61" s="10">
        <f t="shared" si="0"/>
        <v>2.1957711353171334E-3</v>
      </c>
      <c r="G61" s="10"/>
    </row>
    <row r="62" spans="1:7" outlineLevel="1" x14ac:dyDescent="0.25">
      <c r="A62" s="25">
        <v>40787</v>
      </c>
      <c r="B62" s="26">
        <v>381.32</v>
      </c>
      <c r="C62" s="26">
        <v>707</v>
      </c>
      <c r="E62" s="10">
        <f t="shared" si="0"/>
        <v>-9.1627607052127934E-3</v>
      </c>
      <c r="F62" s="10">
        <f t="shared" si="0"/>
        <v>2.0000666706669435E-2</v>
      </c>
      <c r="G62" s="10"/>
    </row>
    <row r="63" spans="1:7" outlineLevel="1" x14ac:dyDescent="0.25">
      <c r="A63" s="25">
        <v>40819</v>
      </c>
      <c r="B63" s="26">
        <v>404.78</v>
      </c>
      <c r="C63" s="26">
        <v>567.27</v>
      </c>
      <c r="E63" s="10">
        <f t="shared" si="0"/>
        <v>5.9704792012682126E-2</v>
      </c>
      <c r="F63" s="10">
        <f t="shared" si="0"/>
        <v>-0.22019528503533467</v>
      </c>
      <c r="G63" s="10"/>
    </row>
    <row r="64" spans="1:7" outlineLevel="1" x14ac:dyDescent="0.25">
      <c r="A64" s="25">
        <v>40848</v>
      </c>
      <c r="B64" s="26">
        <v>382.2</v>
      </c>
      <c r="C64" s="26">
        <v>515.25</v>
      </c>
      <c r="E64" s="10">
        <f t="shared" si="0"/>
        <v>-5.7399677831886937E-2</v>
      </c>
      <c r="F64" s="10">
        <f t="shared" si="0"/>
        <v>-9.6183161090669669E-2</v>
      </c>
      <c r="G64" s="10"/>
    </row>
    <row r="65" spans="1:7" x14ac:dyDescent="0.25">
      <c r="A65" s="25">
        <v>40878</v>
      </c>
      <c r="B65" s="26">
        <v>405</v>
      </c>
      <c r="C65" s="26">
        <v>510</v>
      </c>
      <c r="E65" s="10">
        <f t="shared" si="0"/>
        <v>5.794303530036643E-2</v>
      </c>
      <c r="F65" s="10">
        <f t="shared" si="0"/>
        <v>-1.0241494052196907E-2</v>
      </c>
      <c r="G65" s="10"/>
    </row>
    <row r="66" spans="1:7" x14ac:dyDescent="0.25">
      <c r="A66" s="25">
        <v>40911</v>
      </c>
      <c r="B66" s="26">
        <v>456.48</v>
      </c>
      <c r="C66" s="26">
        <v>522.70000000000005</v>
      </c>
      <c r="E66" s="10">
        <f t="shared" si="0"/>
        <v>0.11965782035865079</v>
      </c>
      <c r="F66" s="10">
        <f t="shared" si="0"/>
        <v>2.4596960000504701E-2</v>
      </c>
      <c r="G66" s="10"/>
    </row>
    <row r="67" spans="1:7" x14ac:dyDescent="0.25">
      <c r="A67" s="25">
        <v>40940</v>
      </c>
      <c r="B67" s="26">
        <v>542.44000000000005</v>
      </c>
      <c r="C67" s="26">
        <v>497.91</v>
      </c>
      <c r="E67" s="10">
        <f t="shared" si="0"/>
        <v>0.17253259275455476</v>
      </c>
      <c r="F67" s="10">
        <f t="shared" si="0"/>
        <v>-4.8588347918139083E-2</v>
      </c>
      <c r="G67" s="10"/>
    </row>
    <row r="68" spans="1:7" x14ac:dyDescent="0.25">
      <c r="A68" s="25">
        <v>40969</v>
      </c>
      <c r="B68" s="26">
        <v>599.54999999999995</v>
      </c>
      <c r="C68" s="26">
        <v>471.38</v>
      </c>
      <c r="E68" s="10">
        <f t="shared" si="0"/>
        <v>0.1001018936056976</v>
      </c>
      <c r="F68" s="10">
        <f t="shared" si="0"/>
        <v>-5.4754775012495489E-2</v>
      </c>
      <c r="G68" s="10"/>
    </row>
    <row r="69" spans="1:7" x14ac:dyDescent="0.25">
      <c r="A69" s="25">
        <v>41001</v>
      </c>
      <c r="B69" s="26">
        <v>583.98</v>
      </c>
      <c r="C69" s="26">
        <v>458.16</v>
      </c>
      <c r="E69" s="10">
        <f t="shared" si="0"/>
        <v>-2.6312638158984922E-2</v>
      </c>
      <c r="F69" s="10">
        <f t="shared" si="0"/>
        <v>-2.8446094702639788E-2</v>
      </c>
      <c r="G69" s="10"/>
    </row>
    <row r="70" spans="1:7" x14ac:dyDescent="0.25">
      <c r="A70" s="25">
        <v>41030</v>
      </c>
      <c r="B70" s="26">
        <v>577.73</v>
      </c>
      <c r="C70" s="26">
        <v>449.45</v>
      </c>
      <c r="E70" s="10">
        <f t="shared" si="0"/>
        <v>-1.0760104160047555E-2</v>
      </c>
      <c r="F70" s="10">
        <f t="shared" si="0"/>
        <v>-1.9193855066193692E-2</v>
      </c>
      <c r="G70" s="10"/>
    </row>
    <row r="71" spans="1:7" x14ac:dyDescent="0.25">
      <c r="A71" s="25">
        <v>41061</v>
      </c>
      <c r="B71" s="26">
        <v>584</v>
      </c>
      <c r="C71" s="26">
        <v>501.5</v>
      </c>
      <c r="E71" s="10">
        <f t="shared" si="0"/>
        <v>1.0794351321817304E-2</v>
      </c>
      <c r="F71" s="10">
        <f t="shared" si="0"/>
        <v>0.10957899438258194</v>
      </c>
      <c r="G71" s="10"/>
    </row>
  </sheetData>
  <printOptions headings="1" gridLines="1"/>
  <pageMargins left="0.7" right="0.7" top="0.75" bottom="0.75" header="0.3" footer="0.3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77"/>
  <sheetViews>
    <sheetView showGridLines="0" zoomScale="115" zoomScaleNormal="115" workbookViewId="0">
      <selection activeCell="G62" sqref="G62"/>
    </sheetView>
  </sheetViews>
  <sheetFormatPr defaultColWidth="9" defaultRowHeight="15" outlineLevelRow="1" x14ac:dyDescent="0.25"/>
  <cols>
    <col min="1" max="16384" width="9" style="1"/>
  </cols>
  <sheetData>
    <row r="1" spans="1:11" x14ac:dyDescent="0.25">
      <c r="A1" s="2" t="s">
        <v>80</v>
      </c>
      <c r="B1" s="24"/>
      <c r="C1" s="24"/>
      <c r="D1" s="24"/>
      <c r="E1" s="24"/>
      <c r="F1" s="24"/>
      <c r="G1" s="24"/>
      <c r="H1" s="24"/>
      <c r="I1" s="24"/>
      <c r="J1" s="9" t="s">
        <v>61</v>
      </c>
      <c r="K1" s="27" t="s">
        <v>82</v>
      </c>
    </row>
    <row r="2" spans="1:11" x14ac:dyDescent="0.25">
      <c r="B2" s="49" t="s">
        <v>65</v>
      </c>
      <c r="C2" s="49"/>
      <c r="E2" s="49" t="s">
        <v>10</v>
      </c>
      <c r="F2" s="49"/>
      <c r="G2" s="49"/>
      <c r="J2" s="27" t="s">
        <v>73</v>
      </c>
    </row>
    <row r="3" spans="1:11" x14ac:dyDescent="0.25">
      <c r="A3" s="3" t="s">
        <v>6</v>
      </c>
      <c r="B3" s="3" t="s">
        <v>7</v>
      </c>
      <c r="C3" s="3" t="s">
        <v>8</v>
      </c>
      <c r="D3" s="3"/>
      <c r="E3" s="3" t="s">
        <v>7</v>
      </c>
      <c r="F3" s="3" t="s">
        <v>8</v>
      </c>
      <c r="G3" s="3" t="s">
        <v>11</v>
      </c>
      <c r="J3" s="27" t="s">
        <v>77</v>
      </c>
    </row>
    <row r="4" spans="1:11" x14ac:dyDescent="0.25">
      <c r="A4" s="30" cm="1">
        <f t="array" ref="A4:A63">'pg198'!A12:A71</f>
        <v>39265</v>
      </c>
      <c r="B4" s="31" cm="1">
        <f t="array" ref="B4:C63">'pg198'!E12:F71</f>
        <v>7.6633226020915893E-2</v>
      </c>
      <c r="C4" s="31">
        <v>0.10742695230781683</v>
      </c>
      <c r="D4" s="21"/>
      <c r="E4" s="11">
        <f>B4-$B$65</f>
        <v>5.0540690637919918E-2</v>
      </c>
      <c r="F4" s="11">
        <f>C4-$C$65</f>
        <v>0.10985385452996051</v>
      </c>
      <c r="G4" s="11">
        <f>E4*F4</f>
        <v>5.5520896771817912E-3</v>
      </c>
      <c r="J4" s="27" t="s">
        <v>78</v>
      </c>
    </row>
    <row r="5" spans="1:11" x14ac:dyDescent="0.25">
      <c r="A5" s="30">
        <v>39295</v>
      </c>
      <c r="B5" s="31">
        <v>4.9743824998568914E-2</v>
      </c>
      <c r="C5" s="31">
        <v>-7.4732221645049529E-2</v>
      </c>
      <c r="D5" s="21"/>
      <c r="E5" s="11">
        <f t="shared" ref="E5:E63" si="0">B5-$B$65</f>
        <v>2.3651289615572939E-2</v>
      </c>
      <c r="F5" s="11">
        <f t="shared" ref="F5:F63" si="1">C5-$C$65</f>
        <v>-7.2305319422905856E-2</v>
      </c>
      <c r="G5" s="11">
        <f t="shared" ref="G5:G63" si="2">E5*F5</f>
        <v>-1.7101140504176577E-3</v>
      </c>
    </row>
    <row r="6" spans="1:11" hidden="1" outlineLevel="1" x14ac:dyDescent="0.25">
      <c r="A6" s="30">
        <v>39329</v>
      </c>
      <c r="B6" s="31">
        <v>0.10277919731904972</v>
      </c>
      <c r="C6" s="31">
        <v>-1.1325339375617659E-2</v>
      </c>
      <c r="E6" s="11">
        <f t="shared" si="0"/>
        <v>7.6686661936053752E-2</v>
      </c>
      <c r="F6" s="11">
        <f t="shared" si="1"/>
        <v>-8.8984371534739856E-3</v>
      </c>
      <c r="G6" s="11">
        <f t="shared" si="2"/>
        <v>-6.8239144174767996E-4</v>
      </c>
    </row>
    <row r="7" spans="1:11" hidden="1" outlineLevel="1" x14ac:dyDescent="0.25">
      <c r="A7" s="30">
        <v>39356</v>
      </c>
      <c r="B7" s="31">
        <v>0.21325577144663097</v>
      </c>
      <c r="C7" s="31">
        <v>-0.14034256446726184</v>
      </c>
      <c r="E7" s="11">
        <f t="shared" si="0"/>
        <v>0.187163236063635</v>
      </c>
      <c r="F7" s="11">
        <f t="shared" si="1"/>
        <v>-0.13791566224511817</v>
      </c>
      <c r="G7" s="11">
        <f t="shared" si="2"/>
        <v>-2.5812741649655604E-2</v>
      </c>
    </row>
    <row r="8" spans="1:11" hidden="1" outlineLevel="1" x14ac:dyDescent="0.25">
      <c r="A8" s="30">
        <v>39387</v>
      </c>
      <c r="B8" s="31">
        <v>-4.1546131347922108E-2</v>
      </c>
      <c r="C8" s="31">
        <v>4.9100771409077877E-2</v>
      </c>
      <c r="E8" s="11">
        <f t="shared" si="0"/>
        <v>-6.763866673091809E-2</v>
      </c>
      <c r="F8" s="11">
        <f t="shared" si="1"/>
        <v>5.152767363122155E-2</v>
      </c>
      <c r="G8" s="11">
        <f t="shared" si="2"/>
        <v>-3.4852631441617105E-3</v>
      </c>
    </row>
    <row r="9" spans="1:11" hidden="1" outlineLevel="1" x14ac:dyDescent="0.25">
      <c r="A9" s="30">
        <v>39419</v>
      </c>
      <c r="B9" s="31">
        <v>8.3456241210519033E-2</v>
      </c>
      <c r="C9" s="31">
        <v>0.10971548218681069</v>
      </c>
      <c r="E9" s="11">
        <f t="shared" si="0"/>
        <v>5.7363705827523058E-2</v>
      </c>
      <c r="F9" s="11">
        <f t="shared" si="1"/>
        <v>0.11214238440895437</v>
      </c>
      <c r="G9" s="11">
        <f t="shared" si="2"/>
        <v>6.4329027500322662E-3</v>
      </c>
    </row>
    <row r="10" spans="1:11" hidden="1" outlineLevel="1" x14ac:dyDescent="0.25">
      <c r="A10" s="30">
        <v>39449</v>
      </c>
      <c r="B10" s="31">
        <v>-0.38073309363831809</v>
      </c>
      <c r="C10" s="31">
        <v>-0.17577344556712143</v>
      </c>
      <c r="E10" s="11">
        <f t="shared" si="0"/>
        <v>-0.40682562902131408</v>
      </c>
      <c r="F10" s="11">
        <f t="shared" si="1"/>
        <v>-0.17334654334497776</v>
      </c>
      <c r="G10" s="11">
        <f t="shared" si="2"/>
        <v>7.0521816534991066E-2</v>
      </c>
    </row>
    <row r="11" spans="1:11" hidden="1" outlineLevel="1" x14ac:dyDescent="0.25">
      <c r="A11" s="30">
        <v>39479</v>
      </c>
      <c r="B11" s="31">
        <v>-7.9464171354247048E-2</v>
      </c>
      <c r="C11" s="31">
        <v>4.3738862747725364E-2</v>
      </c>
      <c r="E11" s="11">
        <f t="shared" si="0"/>
        <v>-0.10555670673724302</v>
      </c>
      <c r="F11" s="11">
        <f t="shared" si="1"/>
        <v>4.6165764969869037E-2</v>
      </c>
      <c r="G11" s="11">
        <f t="shared" si="2"/>
        <v>-4.8731061142249527E-3</v>
      </c>
    </row>
    <row r="12" spans="1:11" hidden="1" outlineLevel="1" x14ac:dyDescent="0.25">
      <c r="A12" s="30">
        <v>39510</v>
      </c>
      <c r="B12" s="31">
        <v>0.13786131069600946</v>
      </c>
      <c r="C12" s="31">
        <v>2.8106815164888964E-2</v>
      </c>
      <c r="E12" s="11">
        <f t="shared" si="0"/>
        <v>0.11176877531301349</v>
      </c>
      <c r="F12" s="11">
        <f t="shared" si="1"/>
        <v>3.0533717387032637E-2</v>
      </c>
      <c r="G12" s="11">
        <f t="shared" si="2"/>
        <v>3.4127161981023042E-3</v>
      </c>
    </row>
    <row r="13" spans="1:11" hidden="1" outlineLevel="1" x14ac:dyDescent="0.25">
      <c r="A13" s="30">
        <v>39539</v>
      </c>
      <c r="B13" s="31">
        <v>0.1924328663982752</v>
      </c>
      <c r="C13" s="31">
        <v>7.5482824127682258E-2</v>
      </c>
      <c r="E13" s="11">
        <f t="shared" si="0"/>
        <v>0.16634033101527923</v>
      </c>
      <c r="F13" s="11">
        <f t="shared" si="1"/>
        <v>7.7909726349825931E-2</v>
      </c>
      <c r="G13" s="11">
        <f t="shared" si="2"/>
        <v>1.2959529670339868E-2</v>
      </c>
    </row>
    <row r="14" spans="1:11" hidden="1" outlineLevel="1" x14ac:dyDescent="0.25">
      <c r="A14" s="30">
        <v>39569</v>
      </c>
      <c r="B14" s="31">
        <v>8.1655486531183152E-2</v>
      </c>
      <c r="C14" s="31">
        <v>4.440137406058902E-2</v>
      </c>
      <c r="E14" s="11">
        <f t="shared" si="0"/>
        <v>5.5562951148187177E-2</v>
      </c>
      <c r="F14" s="11">
        <f t="shared" si="1"/>
        <v>4.6828276282732693E-2</v>
      </c>
      <c r="G14" s="11">
        <f t="shared" si="2"/>
        <v>2.6019172274512887E-3</v>
      </c>
    </row>
    <row r="15" spans="1:11" hidden="1" outlineLevel="1" x14ac:dyDescent="0.25">
      <c r="A15" s="30">
        <v>39601</v>
      </c>
      <c r="B15" s="31">
        <v>-0.1197983099913898</v>
      </c>
      <c r="C15" s="31">
        <v>-2.148777639203717E-2</v>
      </c>
      <c r="E15" s="11">
        <f t="shared" si="0"/>
        <v>-0.14589084537438576</v>
      </c>
      <c r="F15" s="11">
        <f t="shared" si="1"/>
        <v>-1.9060874169893497E-2</v>
      </c>
      <c r="G15" s="11">
        <f t="shared" si="2"/>
        <v>2.7808070462205558E-3</v>
      </c>
    </row>
    <row r="16" spans="1:11" hidden="1" outlineLevel="1" x14ac:dyDescent="0.25">
      <c r="A16" s="30">
        <v>39630</v>
      </c>
      <c r="B16" s="31">
        <v>-5.2035390780932597E-2</v>
      </c>
      <c r="C16" s="31">
        <v>-1.0700662251397116E-2</v>
      </c>
      <c r="E16" s="11">
        <f t="shared" si="0"/>
        <v>-7.8127926163928579E-2</v>
      </c>
      <c r="F16" s="11">
        <f t="shared" si="1"/>
        <v>-8.2737600292534432E-3</v>
      </c>
      <c r="G16" s="11">
        <f t="shared" si="2"/>
        <v>6.4641171266357654E-4</v>
      </c>
    </row>
    <row r="17" spans="1:7" hidden="1" outlineLevel="1" x14ac:dyDescent="0.25">
      <c r="A17" s="30">
        <v>39661</v>
      </c>
      <c r="B17" s="31">
        <v>6.4440214953050093E-2</v>
      </c>
      <c r="C17" s="31">
        <v>-6.6582237591538612E-2</v>
      </c>
      <c r="E17" s="11">
        <f t="shared" si="0"/>
        <v>3.8347679570054118E-2</v>
      </c>
      <c r="F17" s="11">
        <f t="shared" si="1"/>
        <v>-6.4155335369394939E-2</v>
      </c>
      <c r="G17" s="11">
        <f t="shared" si="2"/>
        <v>-2.4602082434549166E-3</v>
      </c>
    </row>
    <row r="18" spans="1:7" hidden="1" outlineLevel="1" x14ac:dyDescent="0.25">
      <c r="A18" s="30">
        <v>39693</v>
      </c>
      <c r="B18" s="31">
        <v>-0.39981836644088625</v>
      </c>
      <c r="C18" s="31">
        <v>9.9259633949873111E-2</v>
      </c>
      <c r="E18" s="11">
        <f t="shared" si="0"/>
        <v>-0.42591090182388225</v>
      </c>
      <c r="F18" s="11">
        <f t="shared" si="1"/>
        <v>0.10168653617201678</v>
      </c>
      <c r="G18" s="11">
        <f t="shared" si="2"/>
        <v>-4.3309404324370492E-2</v>
      </c>
    </row>
    <row r="19" spans="1:7" hidden="1" outlineLevel="1" x14ac:dyDescent="0.25">
      <c r="A19" s="30">
        <v>39722</v>
      </c>
      <c r="B19" s="31">
        <v>-5.4883829263157574E-2</v>
      </c>
      <c r="C19" s="31">
        <v>-0.15460431591839269</v>
      </c>
      <c r="E19" s="11">
        <f t="shared" si="0"/>
        <v>-8.0976364646153542E-2</v>
      </c>
      <c r="F19" s="11">
        <f t="shared" si="1"/>
        <v>-0.15217741369624901</v>
      </c>
      <c r="G19" s="11">
        <f t="shared" si="2"/>
        <v>1.232277374237602E-2</v>
      </c>
    </row>
    <row r="20" spans="1:7" hidden="1" outlineLevel="1" x14ac:dyDescent="0.25">
      <c r="A20" s="30">
        <v>39755</v>
      </c>
      <c r="B20" s="31">
        <v>-0.1492829110072178</v>
      </c>
      <c r="C20" s="31">
        <v>-0.15560986725547385</v>
      </c>
      <c r="E20" s="11">
        <f t="shared" si="0"/>
        <v>-0.17537544639021377</v>
      </c>
      <c r="F20" s="11">
        <f t="shared" si="1"/>
        <v>-0.15318296503333018</v>
      </c>
      <c r="G20" s="11">
        <f t="shared" si="2"/>
        <v>2.6864530872096788E-2</v>
      </c>
    </row>
    <row r="21" spans="1:7" hidden="1" outlineLevel="1" x14ac:dyDescent="0.25">
      <c r="A21" s="30">
        <v>39783</v>
      </c>
      <c r="B21" s="31">
        <v>-8.2284346358150504E-2</v>
      </c>
      <c r="C21" s="31">
        <v>7.4547538529370433E-2</v>
      </c>
      <c r="E21" s="11">
        <f t="shared" si="0"/>
        <v>-0.10837688174114649</v>
      </c>
      <c r="F21" s="11">
        <f t="shared" si="1"/>
        <v>7.6974440751514106E-2</v>
      </c>
      <c r="G21" s="11">
        <f t="shared" si="2"/>
        <v>-8.3422498624177305E-3</v>
      </c>
    </row>
    <row r="22" spans="1:7" hidden="1" outlineLevel="1" x14ac:dyDescent="0.25">
      <c r="A22" s="30">
        <v>39815</v>
      </c>
      <c r="B22" s="31">
        <v>5.4492623327868875E-2</v>
      </c>
      <c r="C22" s="31">
        <v>-8.5877648447684057E-2</v>
      </c>
      <c r="E22" s="11">
        <f t="shared" si="0"/>
        <v>2.84000879448729E-2</v>
      </c>
      <c r="F22" s="11">
        <f t="shared" si="1"/>
        <v>-8.3450746225540384E-2</v>
      </c>
      <c r="G22" s="11">
        <f t="shared" si="2"/>
        <v>-2.3700085318706173E-3</v>
      </c>
    </row>
    <row r="23" spans="1:7" hidden="1" outlineLevel="1" x14ac:dyDescent="0.25">
      <c r="A23" s="30">
        <v>39846</v>
      </c>
      <c r="B23" s="31">
        <v>-9.1396088725236701E-3</v>
      </c>
      <c r="C23" s="31">
        <v>8.7485100776333188E-2</v>
      </c>
      <c r="E23" s="11">
        <f t="shared" si="0"/>
        <v>-3.5232144255519647E-2</v>
      </c>
      <c r="F23" s="11">
        <f t="shared" si="1"/>
        <v>8.9912002998476862E-2</v>
      </c>
      <c r="G23" s="11">
        <f t="shared" si="2"/>
        <v>-3.1677926599450517E-3</v>
      </c>
    </row>
    <row r="24" spans="1:7" hidden="1" outlineLevel="1" x14ac:dyDescent="0.25">
      <c r="A24" s="30">
        <v>39874</v>
      </c>
      <c r="B24" s="31">
        <v>0.16298909104050577</v>
      </c>
      <c r="C24" s="31">
        <v>7.9283690746198177E-2</v>
      </c>
      <c r="E24" s="11">
        <f t="shared" si="0"/>
        <v>0.1368965556575098</v>
      </c>
      <c r="F24" s="11">
        <f t="shared" si="1"/>
        <v>8.171059296834185E-2</v>
      </c>
      <c r="G24" s="11">
        <f t="shared" si="2"/>
        <v>1.1185898738098738E-2</v>
      </c>
    </row>
    <row r="25" spans="1:7" hidden="1" outlineLevel="1" x14ac:dyDescent="0.25">
      <c r="A25" s="30">
        <v>39904</v>
      </c>
      <c r="B25" s="31">
        <v>0.17982923486757607</v>
      </c>
      <c r="C25" s="31">
        <v>7.5840213721359739E-2</v>
      </c>
      <c r="E25" s="11">
        <f t="shared" si="0"/>
        <v>0.1537366994845801</v>
      </c>
      <c r="F25" s="11">
        <f t="shared" si="1"/>
        <v>7.8267115943503413E-2</v>
      </c>
      <c r="G25" s="11">
        <f t="shared" si="2"/>
        <v>1.2032528083331172E-2</v>
      </c>
    </row>
    <row r="26" spans="1:7" hidden="1" outlineLevel="1" x14ac:dyDescent="0.25">
      <c r="A26" s="30">
        <v>39934</v>
      </c>
      <c r="B26" s="31">
        <v>7.6325060512100487E-2</v>
      </c>
      <c r="C26" s="31">
        <v>-7.3749951677636247E-2</v>
      </c>
      <c r="E26" s="11">
        <f t="shared" si="0"/>
        <v>5.0232525129104512E-2</v>
      </c>
      <c r="F26" s="11">
        <f t="shared" si="1"/>
        <v>-7.1323049455492574E-2</v>
      </c>
      <c r="G26" s="11">
        <f t="shared" si="2"/>
        <v>-3.5827368740573946E-3</v>
      </c>
    </row>
    <row r="27" spans="1:7" hidden="1" outlineLevel="1" x14ac:dyDescent="0.25">
      <c r="A27" s="30">
        <v>39965</v>
      </c>
      <c r="B27" s="31">
        <v>4.7593800830517959E-2</v>
      </c>
      <c r="C27" s="31">
        <v>5.9428227214138622E-3</v>
      </c>
      <c r="E27" s="11">
        <f t="shared" si="0"/>
        <v>2.1501265447521983E-2</v>
      </c>
      <c r="F27" s="11">
        <f t="shared" si="1"/>
        <v>8.3697249435575362E-3</v>
      </c>
      <c r="G27" s="11">
        <f t="shared" si="2"/>
        <v>1.7995967773417652E-4</v>
      </c>
    </row>
    <row r="28" spans="1:7" hidden="1" outlineLevel="1" x14ac:dyDescent="0.25">
      <c r="A28" s="30">
        <v>39995</v>
      </c>
      <c r="B28" s="31">
        <v>0.1372893300962372</v>
      </c>
      <c r="C28" s="31">
        <v>0.15692342686377875</v>
      </c>
      <c r="E28" s="11">
        <f t="shared" si="0"/>
        <v>0.11119679471324123</v>
      </c>
      <c r="F28" s="11">
        <f t="shared" si="1"/>
        <v>0.15935032908592242</v>
      </c>
      <c r="G28" s="11">
        <f t="shared" si="2"/>
        <v>1.7719245830854748E-2</v>
      </c>
    </row>
    <row r="29" spans="1:7" hidden="1" outlineLevel="1" x14ac:dyDescent="0.25">
      <c r="A29" s="30">
        <v>40028</v>
      </c>
      <c r="B29" s="31">
        <v>2.9073217760958888E-2</v>
      </c>
      <c r="C29" s="31">
        <v>-6.15000331038262E-2</v>
      </c>
      <c r="E29" s="11">
        <f t="shared" si="0"/>
        <v>2.9806823779629128E-3</v>
      </c>
      <c r="F29" s="11">
        <f t="shared" si="1"/>
        <v>-5.9073130881682527E-2</v>
      </c>
      <c r="G29" s="11">
        <f t="shared" si="2"/>
        <v>-1.7607824023012787E-4</v>
      </c>
    </row>
    <row r="30" spans="1:7" hidden="1" outlineLevel="1" x14ac:dyDescent="0.25">
      <c r="A30" s="30">
        <v>40057</v>
      </c>
      <c r="B30" s="31">
        <v>9.7032730793050262E-2</v>
      </c>
      <c r="C30" s="31">
        <v>-8.3829169740196469E-2</v>
      </c>
      <c r="E30" s="11">
        <f t="shared" si="0"/>
        <v>7.094019541005428E-2</v>
      </c>
      <c r="F30" s="11">
        <f t="shared" si="1"/>
        <v>-8.1402267518052795E-2</v>
      </c>
      <c r="G30" s="11">
        <f t="shared" si="2"/>
        <v>-5.7746927645521799E-3</v>
      </c>
    </row>
    <row r="31" spans="1:7" hidden="1" outlineLevel="1" x14ac:dyDescent="0.25">
      <c r="A31" s="30">
        <v>40087</v>
      </c>
      <c r="B31" s="31">
        <v>1.6852077291324211E-2</v>
      </c>
      <c r="C31" s="31">
        <v>-7.8084554978161788E-2</v>
      </c>
      <c r="E31" s="11">
        <f t="shared" si="0"/>
        <v>-9.2404580916717639E-3</v>
      </c>
      <c r="F31" s="11">
        <f t="shared" si="1"/>
        <v>-7.5657652756018115E-2</v>
      </c>
      <c r="G31" s="11">
        <f t="shared" si="2"/>
        <v>6.9911136960624013E-4</v>
      </c>
    </row>
    <row r="32" spans="1:7" hidden="1" outlineLevel="1" x14ac:dyDescent="0.25">
      <c r="A32" s="30">
        <v>40119</v>
      </c>
      <c r="B32" s="31">
        <v>5.8769258379585923E-2</v>
      </c>
      <c r="C32" s="31">
        <v>-7.1423111488264107E-2</v>
      </c>
      <c r="E32" s="11">
        <f t="shared" si="0"/>
        <v>3.2676722996589948E-2</v>
      </c>
      <c r="F32" s="11">
        <f t="shared" si="1"/>
        <v>-6.8996209266120434E-2</v>
      </c>
      <c r="G32" s="11">
        <f t="shared" si="2"/>
        <v>-2.2545700180037699E-3</v>
      </c>
    </row>
    <row r="33" spans="1:7" hidden="1" outlineLevel="1" x14ac:dyDescent="0.25">
      <c r="A33" s="30">
        <v>40148</v>
      </c>
      <c r="B33" s="31">
        <v>5.2710427941470024E-2</v>
      </c>
      <c r="C33" s="31">
        <v>-4.1167719650558612E-2</v>
      </c>
      <c r="E33" s="11">
        <f t="shared" si="0"/>
        <v>2.6617892558474049E-2</v>
      </c>
      <c r="F33" s="11">
        <f t="shared" si="1"/>
        <v>-3.8740817428414939E-2</v>
      </c>
      <c r="G33" s="11">
        <f t="shared" si="2"/>
        <v>-1.0311989159370078E-3</v>
      </c>
    </row>
    <row r="34" spans="1:7" hidden="1" outlineLevel="1" x14ac:dyDescent="0.25">
      <c r="A34" s="30">
        <v>40182</v>
      </c>
      <c r="B34" s="31">
        <v>-9.276986999929468E-2</v>
      </c>
      <c r="C34" s="31">
        <v>-4.9649352712548125E-2</v>
      </c>
      <c r="E34" s="11">
        <f t="shared" si="0"/>
        <v>-0.11886240538229065</v>
      </c>
      <c r="F34" s="11">
        <f t="shared" si="1"/>
        <v>-4.7222450490404452E-2</v>
      </c>
      <c r="G34" s="11">
        <f t="shared" si="2"/>
        <v>5.6129740533356039E-3</v>
      </c>
    </row>
    <row r="35" spans="1:7" hidden="1" outlineLevel="1" x14ac:dyDescent="0.25">
      <c r="A35" s="30">
        <v>40210</v>
      </c>
      <c r="B35" s="31">
        <v>6.3346777240967267E-2</v>
      </c>
      <c r="C35" s="31">
        <v>-1.0395649281585149E-2</v>
      </c>
      <c r="E35" s="11">
        <f t="shared" si="0"/>
        <v>3.7254241857971292E-2</v>
      </c>
      <c r="F35" s="11">
        <f t="shared" si="1"/>
        <v>-7.968747059441476E-3</v>
      </c>
      <c r="G35" s="11">
        <f t="shared" si="2"/>
        <v>-2.9686963025743029E-4</v>
      </c>
    </row>
    <row r="36" spans="1:7" hidden="1" outlineLevel="1" x14ac:dyDescent="0.25">
      <c r="A36" s="30">
        <v>40238</v>
      </c>
      <c r="B36" s="31">
        <v>0.13843091369336494</v>
      </c>
      <c r="C36" s="31">
        <v>-5.2299177690205201E-2</v>
      </c>
      <c r="E36" s="11">
        <f t="shared" si="0"/>
        <v>0.11233837831036897</v>
      </c>
      <c r="F36" s="11">
        <f t="shared" si="1"/>
        <v>-4.9872275468061528E-2</v>
      </c>
      <c r="G36" s="11">
        <f t="shared" si="2"/>
        <v>-5.6025705487300296E-3</v>
      </c>
    </row>
    <row r="37" spans="1:7" hidden="1" outlineLevel="1" x14ac:dyDescent="0.25">
      <c r="A37" s="30">
        <v>40269</v>
      </c>
      <c r="B37" s="31">
        <v>0.10527966132537296</v>
      </c>
      <c r="C37" s="31">
        <v>-0.12896357210294498</v>
      </c>
      <c r="E37" s="11">
        <f t="shared" si="0"/>
        <v>7.9187125942376979E-2</v>
      </c>
      <c r="F37" s="11">
        <f t="shared" si="1"/>
        <v>-0.12653666988080131</v>
      </c>
      <c r="G37" s="11">
        <f t="shared" si="2"/>
        <v>-1.0020075214179993E-2</v>
      </c>
    </row>
    <row r="38" spans="1:7" hidden="1" outlineLevel="1" x14ac:dyDescent="0.25">
      <c r="A38" s="30">
        <v>40301</v>
      </c>
      <c r="B38" s="31">
        <v>-1.6256125688273504E-2</v>
      </c>
      <c r="C38" s="31">
        <v>-2.9358569459494093E-2</v>
      </c>
      <c r="E38" s="11">
        <f t="shared" si="0"/>
        <v>-4.2348661071269479E-2</v>
      </c>
      <c r="F38" s="11">
        <f t="shared" si="1"/>
        <v>-2.693166723735042E-2</v>
      </c>
      <c r="G38" s="11">
        <f t="shared" si="2"/>
        <v>1.1405200479187654E-3</v>
      </c>
    </row>
    <row r="39" spans="1:7" hidden="1" outlineLevel="1" x14ac:dyDescent="0.25">
      <c r="A39" s="30">
        <v>40330</v>
      </c>
      <c r="B39" s="31">
        <v>-2.1046783061035752E-2</v>
      </c>
      <c r="C39" s="31">
        <v>1.596405471184585E-3</v>
      </c>
      <c r="E39" s="11">
        <f t="shared" si="0"/>
        <v>-4.7139318444031728E-2</v>
      </c>
      <c r="F39" s="11">
        <f t="shared" si="1"/>
        <v>4.0233076933282579E-3</v>
      </c>
      <c r="G39" s="11">
        <f t="shared" si="2"/>
        <v>-1.8965598255412348E-4</v>
      </c>
    </row>
    <row r="40" spans="1:7" hidden="1" outlineLevel="1" x14ac:dyDescent="0.25">
      <c r="A40" s="30">
        <v>40360</v>
      </c>
      <c r="B40" s="31">
        <v>2.2486107993936241E-2</v>
      </c>
      <c r="C40" s="31">
        <v>-9.5649941531219279E-2</v>
      </c>
      <c r="E40" s="11">
        <f t="shared" si="0"/>
        <v>-3.6064273890597347E-3</v>
      </c>
      <c r="F40" s="11">
        <f t="shared" si="1"/>
        <v>-9.3223039309075606E-2</v>
      </c>
      <c r="G40" s="11">
        <f t="shared" si="2"/>
        <v>3.3620212225564253E-4</v>
      </c>
    </row>
    <row r="41" spans="1:7" hidden="1" outlineLevel="1" x14ac:dyDescent="0.25">
      <c r="A41" s="30">
        <v>40392</v>
      </c>
      <c r="B41" s="31">
        <v>-5.6575493392081351E-2</v>
      </c>
      <c r="C41" s="31">
        <v>-4.8926692260298776E-2</v>
      </c>
      <c r="E41" s="11">
        <f t="shared" si="0"/>
        <v>-8.2668028775077326E-2</v>
      </c>
      <c r="F41" s="11">
        <f t="shared" si="1"/>
        <v>-4.6499790038155103E-2</v>
      </c>
      <c r="G41" s="11">
        <f t="shared" si="2"/>
        <v>3.84404598090926E-3</v>
      </c>
    </row>
    <row r="42" spans="1:7" hidden="1" outlineLevel="1" x14ac:dyDescent="0.25">
      <c r="A42" s="30">
        <v>40422</v>
      </c>
      <c r="B42" s="31">
        <v>0.15462068747353472</v>
      </c>
      <c r="C42" s="31">
        <v>0.20428859062387794</v>
      </c>
      <c r="E42" s="11">
        <f t="shared" si="0"/>
        <v>0.12852815209053875</v>
      </c>
      <c r="F42" s="11">
        <f t="shared" si="1"/>
        <v>0.20671549284602161</v>
      </c>
      <c r="G42" s="11">
        <f t="shared" si="2"/>
        <v>2.656876030398414E-2</v>
      </c>
    </row>
    <row r="43" spans="1:7" hidden="1" outlineLevel="1" x14ac:dyDescent="0.25">
      <c r="A43" s="30">
        <v>40452</v>
      </c>
      <c r="B43" s="31">
        <v>5.8950248562960224E-2</v>
      </c>
      <c r="C43" s="31">
        <v>0.10843903128952363</v>
      </c>
      <c r="E43" s="11">
        <f t="shared" si="0"/>
        <v>3.2857713179964249E-2</v>
      </c>
      <c r="F43" s="11">
        <f t="shared" si="1"/>
        <v>0.11086593351166731</v>
      </c>
      <c r="G43" s="11">
        <f t="shared" si="2"/>
        <v>3.6428010447553511E-3</v>
      </c>
    </row>
    <row r="44" spans="1:7" hidden="1" outlineLevel="1" x14ac:dyDescent="0.25">
      <c r="A44" s="30">
        <v>40483</v>
      </c>
      <c r="B44" s="31">
        <v>3.3231293656654268E-2</v>
      </c>
      <c r="C44" s="31">
        <v>0.14558950506341742</v>
      </c>
      <c r="E44" s="11">
        <f t="shared" si="0"/>
        <v>7.1387582736582925E-3</v>
      </c>
      <c r="F44" s="11">
        <f t="shared" si="1"/>
        <v>0.14801640728556109</v>
      </c>
      <c r="G44" s="11">
        <f t="shared" si="2"/>
        <v>1.0566533521469748E-3</v>
      </c>
    </row>
    <row r="45" spans="1:7" hidden="1" outlineLevel="1" x14ac:dyDescent="0.25">
      <c r="A45" s="30">
        <v>40513</v>
      </c>
      <c r="B45" s="31">
        <v>3.6014054427722354E-2</v>
      </c>
      <c r="C45" s="31">
        <v>2.232654849361675E-2</v>
      </c>
      <c r="E45" s="11">
        <f t="shared" si="0"/>
        <v>9.921519044726379E-3</v>
      </c>
      <c r="F45" s="11">
        <f t="shared" si="1"/>
        <v>2.4753450715760423E-2</v>
      </c>
      <c r="G45" s="11">
        <f t="shared" si="2"/>
        <v>2.4559183269911287E-4</v>
      </c>
    </row>
    <row r="46" spans="1:7" hidden="1" outlineLevel="1" x14ac:dyDescent="0.25">
      <c r="A46" s="30">
        <v>40546</v>
      </c>
      <c r="B46" s="31">
        <v>5.0654449496584847E-2</v>
      </c>
      <c r="C46" s="31">
        <v>0.10541961681369323</v>
      </c>
      <c r="E46" s="11">
        <f t="shared" si="0"/>
        <v>2.4561914113588872E-2</v>
      </c>
      <c r="F46" s="11">
        <f t="shared" si="1"/>
        <v>0.1078465190358369</v>
      </c>
      <c r="G46" s="11">
        <f t="shared" si="2"/>
        <v>2.6489169380077534E-3</v>
      </c>
    </row>
    <row r="47" spans="1:7" hidden="1" outlineLevel="1" x14ac:dyDescent="0.25">
      <c r="A47" s="30">
        <v>40575</v>
      </c>
      <c r="B47" s="31">
        <v>4.01191659602591E-2</v>
      </c>
      <c r="C47" s="31">
        <v>0.10687906118330369</v>
      </c>
      <c r="E47" s="11">
        <f t="shared" si="0"/>
        <v>1.4026630577263124E-2</v>
      </c>
      <c r="F47" s="11">
        <f t="shared" si="1"/>
        <v>0.10930596340544736</v>
      </c>
      <c r="G47" s="11">
        <f t="shared" si="2"/>
        <v>1.533194368580052E-3</v>
      </c>
    </row>
    <row r="48" spans="1:7" hidden="1" outlineLevel="1" x14ac:dyDescent="0.25">
      <c r="A48" s="30">
        <v>40603</v>
      </c>
      <c r="B48" s="31">
        <v>-1.3395856706299903E-2</v>
      </c>
      <c r="C48" s="31">
        <v>-1.9843939177158147E-2</v>
      </c>
      <c r="E48" s="11">
        <f t="shared" si="0"/>
        <v>-3.948839208929588E-2</v>
      </c>
      <c r="F48" s="11">
        <f t="shared" si="1"/>
        <v>-1.7417036955014474E-2</v>
      </c>
      <c r="G48" s="11">
        <f t="shared" si="2"/>
        <v>6.877707843133676E-4</v>
      </c>
    </row>
    <row r="49" spans="1:10" hidden="1" outlineLevel="1" x14ac:dyDescent="0.25">
      <c r="A49" s="30">
        <v>40634</v>
      </c>
      <c r="B49" s="31">
        <v>4.6375898988789757E-3</v>
      </c>
      <c r="C49" s="31">
        <v>-0.26529215658624006</v>
      </c>
      <c r="E49" s="11">
        <f t="shared" si="0"/>
        <v>-2.1454945484117E-2</v>
      </c>
      <c r="F49" s="11">
        <f t="shared" si="1"/>
        <v>-0.26286525436409636</v>
      </c>
      <c r="G49" s="11">
        <f t="shared" si="2"/>
        <v>5.6397597020502359E-3</v>
      </c>
    </row>
    <row r="50" spans="1:10" hidden="1" outlineLevel="1" x14ac:dyDescent="0.25">
      <c r="A50" s="30">
        <v>40665</v>
      </c>
      <c r="B50" s="31">
        <v>-6.5906594228294924E-3</v>
      </c>
      <c r="C50" s="31">
        <v>6.7397847984603548E-2</v>
      </c>
      <c r="E50" s="11">
        <f t="shared" si="0"/>
        <v>-3.2683194805825468E-2</v>
      </c>
      <c r="F50" s="11">
        <f t="shared" si="1"/>
        <v>6.9824750206747221E-2</v>
      </c>
      <c r="G50" s="11">
        <f t="shared" si="2"/>
        <v>-2.2820959132752216E-3</v>
      </c>
    </row>
    <row r="51" spans="1:10" hidden="1" outlineLevel="1" x14ac:dyDescent="0.25">
      <c r="A51" s="30">
        <v>40695</v>
      </c>
      <c r="B51" s="31">
        <v>-3.5585320181802882E-2</v>
      </c>
      <c r="C51" s="31">
        <v>0.18034583836025603</v>
      </c>
      <c r="E51" s="11">
        <f t="shared" si="0"/>
        <v>-6.1677855564798857E-2</v>
      </c>
      <c r="F51" s="11">
        <f t="shared" si="1"/>
        <v>0.1827727405823997</v>
      </c>
      <c r="G51" s="11">
        <f t="shared" si="2"/>
        <v>-1.12730306948237E-2</v>
      </c>
    </row>
    <row r="52" spans="1:10" hidden="1" outlineLevel="1" x14ac:dyDescent="0.25">
      <c r="A52" s="30">
        <v>40725</v>
      </c>
      <c r="B52" s="31">
        <v>0.15124821709115263</v>
      </c>
      <c r="C52" s="31">
        <v>0.20324820307949171</v>
      </c>
      <c r="E52" s="11">
        <f t="shared" si="0"/>
        <v>0.12515568170815666</v>
      </c>
      <c r="F52" s="11">
        <f t="shared" si="1"/>
        <v>0.20567510530163538</v>
      </c>
      <c r="G52" s="11">
        <f t="shared" si="2"/>
        <v>2.5741408014423081E-2</v>
      </c>
    </row>
    <row r="53" spans="1:10" hidden="1" outlineLevel="1" x14ac:dyDescent="0.25">
      <c r="A53" s="30">
        <v>40756</v>
      </c>
      <c r="B53" s="31">
        <v>-1.4575073248301941E-2</v>
      </c>
      <c r="C53" s="31">
        <v>2.1957711353171334E-3</v>
      </c>
      <c r="E53" s="11">
        <f t="shared" si="0"/>
        <v>-4.0667608631297918E-2</v>
      </c>
      <c r="F53" s="11">
        <f t="shared" si="1"/>
        <v>4.6226733574608065E-3</v>
      </c>
      <c r="G53" s="11">
        <f t="shared" si="2"/>
        <v>-1.8799307093154402E-4</v>
      </c>
    </row>
    <row r="54" spans="1:10" hidden="1" outlineLevel="1" x14ac:dyDescent="0.25">
      <c r="A54" s="30">
        <v>40787</v>
      </c>
      <c r="B54" s="31">
        <v>-9.1627607052127934E-3</v>
      </c>
      <c r="C54" s="31">
        <v>2.0000666706669435E-2</v>
      </c>
      <c r="E54" s="11">
        <f t="shared" si="0"/>
        <v>-3.5255296088208765E-2</v>
      </c>
      <c r="F54" s="11">
        <f t="shared" si="1"/>
        <v>2.2427568928813108E-2</v>
      </c>
      <c r="G54" s="11">
        <f t="shared" si="2"/>
        <v>-7.9069058312401721E-4</v>
      </c>
    </row>
    <row r="55" spans="1:10" hidden="1" outlineLevel="1" x14ac:dyDescent="0.25">
      <c r="A55" s="30">
        <v>40819</v>
      </c>
      <c r="B55" s="31">
        <v>5.9704792012682126E-2</v>
      </c>
      <c r="C55" s="31">
        <v>-0.22019528503533467</v>
      </c>
      <c r="E55" s="11">
        <f t="shared" si="0"/>
        <v>3.3612256629686151E-2</v>
      </c>
      <c r="F55" s="11">
        <f t="shared" si="1"/>
        <v>-0.217768382813191</v>
      </c>
      <c r="G55" s="11">
        <f t="shared" si="2"/>
        <v>-7.3196867689487109E-3</v>
      </c>
    </row>
    <row r="56" spans="1:10" hidden="1" outlineLevel="1" x14ac:dyDescent="0.25">
      <c r="A56" s="30">
        <v>40848</v>
      </c>
      <c r="B56" s="31">
        <v>-5.7399677831886937E-2</v>
      </c>
      <c r="C56" s="31">
        <v>-9.6183161090669669E-2</v>
      </c>
      <c r="E56" s="11">
        <f t="shared" si="0"/>
        <v>-8.3492213214882913E-2</v>
      </c>
      <c r="F56" s="11">
        <f t="shared" si="1"/>
        <v>-9.3756258868525996E-2</v>
      </c>
      <c r="G56" s="11">
        <f t="shared" si="2"/>
        <v>7.8279175556807291E-3</v>
      </c>
    </row>
    <row r="57" spans="1:10" hidden="1" outlineLevel="1" x14ac:dyDescent="0.25">
      <c r="A57" s="30">
        <v>40878</v>
      </c>
      <c r="B57" s="31">
        <v>5.794303530036643E-2</v>
      </c>
      <c r="C57" s="31">
        <v>-1.0241494052196907E-2</v>
      </c>
      <c r="E57" s="11">
        <f t="shared" si="0"/>
        <v>3.1850499917370455E-2</v>
      </c>
      <c r="F57" s="11">
        <f t="shared" si="1"/>
        <v>-7.8145918300532337E-3</v>
      </c>
      <c r="G57" s="11">
        <f t="shared" si="2"/>
        <v>-2.4889865643739435E-4</v>
      </c>
    </row>
    <row r="58" spans="1:10" hidden="1" outlineLevel="1" x14ac:dyDescent="0.25">
      <c r="A58" s="30">
        <v>40911</v>
      </c>
      <c r="B58" s="31">
        <v>0.11965782035865079</v>
      </c>
      <c r="C58" s="31">
        <v>2.4596960000504701E-2</v>
      </c>
      <c r="E58" s="11">
        <f t="shared" si="0"/>
        <v>9.3565284975654806E-2</v>
      </c>
      <c r="F58" s="11">
        <f t="shared" si="1"/>
        <v>2.7023862222648375E-2</v>
      </c>
      <c r="G58" s="11">
        <f t="shared" si="2"/>
        <v>2.5284953700049273E-3</v>
      </c>
    </row>
    <row r="59" spans="1:10" collapsed="1" x14ac:dyDescent="0.25">
      <c r="A59" s="30">
        <v>40940</v>
      </c>
      <c r="B59" s="31">
        <v>0.17253259275455476</v>
      </c>
      <c r="C59" s="31">
        <v>-4.8588347918139083E-2</v>
      </c>
      <c r="E59" s="11">
        <f t="shared" si="0"/>
        <v>0.1464400573715588</v>
      </c>
      <c r="F59" s="11">
        <f t="shared" si="1"/>
        <v>-4.6161445695995409E-2</v>
      </c>
      <c r="G59" s="11">
        <f t="shared" si="2"/>
        <v>-6.7598847560756637E-3</v>
      </c>
      <c r="J59" s="27" t="s">
        <v>81</v>
      </c>
    </row>
    <row r="60" spans="1:10" x14ac:dyDescent="0.25">
      <c r="A60" s="30">
        <v>40969</v>
      </c>
      <c r="B60" s="31">
        <v>0.1001018936056976</v>
      </c>
      <c r="C60" s="31">
        <v>-5.4754775012495489E-2</v>
      </c>
      <c r="E60" s="11">
        <f t="shared" si="0"/>
        <v>7.4009358222701632E-2</v>
      </c>
      <c r="F60" s="11">
        <f t="shared" si="1"/>
        <v>-5.2327872790351816E-2</v>
      </c>
      <c r="G60" s="11">
        <f t="shared" si="2"/>
        <v>-3.8727522823731094E-3</v>
      </c>
    </row>
    <row r="61" spans="1:10" x14ac:dyDescent="0.25">
      <c r="A61" s="30">
        <v>41001</v>
      </c>
      <c r="B61" s="31">
        <v>-2.6312638158984922E-2</v>
      </c>
      <c r="C61" s="31">
        <v>-2.8446094702639788E-2</v>
      </c>
      <c r="E61" s="11">
        <f t="shared" si="0"/>
        <v>-5.2405173541980897E-2</v>
      </c>
      <c r="F61" s="11">
        <f t="shared" si="1"/>
        <v>-2.6019192480496115E-2</v>
      </c>
      <c r="G61" s="11">
        <f t="shared" si="2"/>
        <v>1.3635402973626034E-3</v>
      </c>
      <c r="J61" s="41" t="s">
        <v>87</v>
      </c>
    </row>
    <row r="62" spans="1:10" x14ac:dyDescent="0.25">
      <c r="A62" s="30">
        <v>41030</v>
      </c>
      <c r="B62" s="31">
        <v>-1.0760104160047555E-2</v>
      </c>
      <c r="C62" s="31">
        <v>-1.9193855066193692E-2</v>
      </c>
      <c r="E62" s="11">
        <f t="shared" si="0"/>
        <v>-3.6852639543043533E-2</v>
      </c>
      <c r="F62" s="11">
        <f t="shared" si="1"/>
        <v>-1.6766952844050019E-2</v>
      </c>
      <c r="G62" s="11">
        <f t="shared" si="2"/>
        <v>6.1790646939698394E-4</v>
      </c>
    </row>
    <row r="63" spans="1:10" x14ac:dyDescent="0.25">
      <c r="A63" s="30">
        <v>41061</v>
      </c>
      <c r="B63" s="31">
        <v>1.0794351321817304E-2</v>
      </c>
      <c r="C63" s="31">
        <v>0.10957899438258194</v>
      </c>
      <c r="E63" s="11">
        <f t="shared" si="0"/>
        <v>-1.5298184061178671E-2</v>
      </c>
      <c r="F63" s="11">
        <f t="shared" si="1"/>
        <v>0.11200589660472561</v>
      </c>
      <c r="G63" s="11">
        <f t="shared" si="2"/>
        <v>-1.7134868221964396E-3</v>
      </c>
    </row>
    <row r="65" spans="1:7" x14ac:dyDescent="0.25">
      <c r="A65" s="1" t="s">
        <v>9</v>
      </c>
      <c r="B65" s="32" cm="1">
        <f t="array" ref="B65:C67">'pg198'!E2:F4</f>
        <v>2.6092535382995975E-2</v>
      </c>
      <c r="C65" s="32">
        <v>-2.4269022221436731E-3</v>
      </c>
    </row>
    <row r="66" spans="1:7" x14ac:dyDescent="0.25">
      <c r="A66" s="1" t="s">
        <v>12</v>
      </c>
      <c r="B66" s="32">
        <v>1.2477690692371124E-2</v>
      </c>
      <c r="C66" s="32">
        <v>1.0175180168436861E-2</v>
      </c>
      <c r="G66" s="9" t="s">
        <v>24</v>
      </c>
    </row>
    <row r="67" spans="1:7" x14ac:dyDescent="0.25">
      <c r="A67" s="1" t="s">
        <v>70</v>
      </c>
      <c r="B67" s="32">
        <v>0.11170358406233492</v>
      </c>
      <c r="C67" s="32">
        <v>0.10087209806699204</v>
      </c>
      <c r="G67" s="22">
        <f>AVERAGE(G4:G63)</f>
        <v>1.9559741601658494E-3</v>
      </c>
    </row>
    <row r="68" spans="1:7" x14ac:dyDescent="0.25">
      <c r="B68" s="11">
        <f>SQRT(B66)</f>
        <v>0.11170358406233492</v>
      </c>
      <c r="C68" s="11">
        <f>SQRT(C66)</f>
        <v>0.10087209806699204</v>
      </c>
      <c r="G68" s="22">
        <f>_xlfn.COVARIANCE.P(B4:B63,C4:C63)</f>
        <v>1.9559741601658494E-3</v>
      </c>
    </row>
    <row r="69" spans="1:7" x14ac:dyDescent="0.25">
      <c r="G69" s="33">
        <f>_xlfn.COVARIANCE.S(B4:B63,C4:C63)</f>
        <v>1.98912626457544E-3</v>
      </c>
    </row>
    <row r="70" spans="1:7" x14ac:dyDescent="0.25">
      <c r="B70" s="11"/>
      <c r="C70" s="11"/>
      <c r="G70" s="33">
        <f>AVERAGE(G4:G63)*60/59</f>
        <v>1.98912626457544E-3</v>
      </c>
    </row>
    <row r="71" spans="1:7" x14ac:dyDescent="0.25">
      <c r="B71" s="11"/>
      <c r="C71" s="11"/>
      <c r="G71" s="34"/>
    </row>
    <row r="72" spans="1:7" x14ac:dyDescent="0.25">
      <c r="B72" s="11"/>
      <c r="C72" s="11"/>
      <c r="G72" s="35"/>
    </row>
    <row r="73" spans="1:7" x14ac:dyDescent="0.25">
      <c r="G73" s="36" t="s">
        <v>79</v>
      </c>
    </row>
    <row r="74" spans="1:7" x14ac:dyDescent="0.25">
      <c r="G74" s="34">
        <f>CORREL(B4:B63,C4:C63)</f>
        <v>0.17653230426640212</v>
      </c>
    </row>
    <row r="75" spans="1:7" x14ac:dyDescent="0.25">
      <c r="G75" s="34">
        <f>G69/(B67*C67)</f>
        <v>0.1765323042664021</v>
      </c>
    </row>
    <row r="77" spans="1:7" x14ac:dyDescent="0.25">
      <c r="G77" s="34"/>
    </row>
  </sheetData>
  <mergeCells count="2">
    <mergeCell ref="B2:C2"/>
    <mergeCell ref="E2:G2"/>
  </mergeCells>
  <printOptions headings="1" gridLines="1"/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63"/>
  <sheetViews>
    <sheetView showGridLines="0" zoomScale="115" zoomScaleNormal="115" workbookViewId="0">
      <selection activeCell="F21" sqref="F21"/>
    </sheetView>
  </sheetViews>
  <sheetFormatPr defaultColWidth="9" defaultRowHeight="15" x14ac:dyDescent="0.25"/>
  <cols>
    <col min="1" max="1" width="22.75" style="1" bestFit="1" customWidth="1"/>
    <col min="2" max="16384" width="9" style="1"/>
  </cols>
  <sheetData>
    <row r="1" spans="1:14" x14ac:dyDescent="0.25">
      <c r="A1" s="19" t="s">
        <v>14</v>
      </c>
      <c r="B1" s="24"/>
      <c r="C1" s="24"/>
      <c r="D1" s="24"/>
      <c r="E1" s="24"/>
      <c r="F1" s="24"/>
      <c r="M1" s="9" t="s">
        <v>61</v>
      </c>
      <c r="N1" s="27" t="s">
        <v>83</v>
      </c>
    </row>
    <row r="2" spans="1:14" x14ac:dyDescent="0.25">
      <c r="M2" s="27" t="s">
        <v>84</v>
      </c>
    </row>
    <row r="3" spans="1:14" x14ac:dyDescent="0.25">
      <c r="A3" s="3" t="s">
        <v>6</v>
      </c>
      <c r="B3" s="3" t="s">
        <v>7</v>
      </c>
      <c r="C3" s="3" t="s">
        <v>8</v>
      </c>
      <c r="D3" s="3"/>
      <c r="E3" s="3"/>
      <c r="F3" s="3"/>
      <c r="M3" s="41" t="s">
        <v>85</v>
      </c>
    </row>
    <row r="4" spans="1:14" x14ac:dyDescent="0.25">
      <c r="A4" s="30" cm="1">
        <f t="array" ref="A4:A63">'pg198'!A12:A71</f>
        <v>39265</v>
      </c>
      <c r="B4" s="29" cm="1">
        <f t="array" ref="B4:C63">'pg198'!E12:F71</f>
        <v>7.6633226020915893E-2</v>
      </c>
      <c r="C4" s="29">
        <v>0.10742695230781683</v>
      </c>
      <c r="E4" s="11"/>
      <c r="F4" s="11"/>
      <c r="M4" s="41" t="s">
        <v>86</v>
      </c>
    </row>
    <row r="5" spans="1:14" x14ac:dyDescent="0.25">
      <c r="A5" s="30">
        <v>39295</v>
      </c>
      <c r="B5" s="29">
        <v>4.9743824998568914E-2</v>
      </c>
      <c r="C5" s="29">
        <v>-7.4732221645049529E-2</v>
      </c>
      <c r="E5" s="11"/>
      <c r="F5" s="11"/>
    </row>
    <row r="6" spans="1:14" x14ac:dyDescent="0.25">
      <c r="A6" s="30">
        <v>39329</v>
      </c>
      <c r="B6" s="29">
        <v>0.10277919731904972</v>
      </c>
      <c r="C6" s="29">
        <v>-1.1325339375617659E-2</v>
      </c>
      <c r="E6" s="11"/>
      <c r="F6" s="11"/>
      <c r="M6" s="27"/>
    </row>
    <row r="7" spans="1:14" x14ac:dyDescent="0.25">
      <c r="A7" s="30">
        <v>39356</v>
      </c>
      <c r="B7" s="29">
        <v>0.21325577144663097</v>
      </c>
      <c r="C7" s="29">
        <v>-0.14034256446726184</v>
      </c>
      <c r="E7" s="11"/>
      <c r="F7" s="11"/>
      <c r="M7" s="27"/>
    </row>
    <row r="8" spans="1:14" x14ac:dyDescent="0.25">
      <c r="A8" s="30">
        <v>39387</v>
      </c>
      <c r="B8" s="29">
        <v>-4.1546131347922108E-2</v>
      </c>
      <c r="C8" s="29">
        <v>4.9100771409077877E-2</v>
      </c>
      <c r="E8" s="11"/>
      <c r="F8" s="11"/>
    </row>
    <row r="9" spans="1:14" x14ac:dyDescent="0.25">
      <c r="A9" s="30">
        <v>39419</v>
      </c>
      <c r="B9" s="29">
        <v>8.3456241210519033E-2</v>
      </c>
      <c r="C9" s="29">
        <v>0.10971548218681069</v>
      </c>
      <c r="E9" s="11"/>
      <c r="F9" s="11"/>
    </row>
    <row r="10" spans="1:14" x14ac:dyDescent="0.25">
      <c r="A10" s="30">
        <v>39449</v>
      </c>
      <c r="B10" s="29">
        <v>-0.38073309363831809</v>
      </c>
      <c r="C10" s="29">
        <v>-0.17577344556712143</v>
      </c>
      <c r="E10" s="11"/>
      <c r="F10" s="11"/>
    </row>
    <row r="11" spans="1:14" x14ac:dyDescent="0.25">
      <c r="A11" s="30">
        <v>39479</v>
      </c>
      <c r="B11" s="29">
        <v>-7.9464171354247048E-2</v>
      </c>
      <c r="C11" s="29">
        <v>4.3738862747725364E-2</v>
      </c>
      <c r="E11" s="11"/>
      <c r="F11" s="11"/>
    </row>
    <row r="12" spans="1:14" x14ac:dyDescent="0.25">
      <c r="A12" s="30">
        <v>39510</v>
      </c>
      <c r="B12" s="29">
        <v>0.13786131069600946</v>
      </c>
      <c r="C12" s="29">
        <v>2.8106815164888964E-2</v>
      </c>
      <c r="E12" s="11"/>
      <c r="F12" s="11"/>
    </row>
    <row r="13" spans="1:14" x14ac:dyDescent="0.25">
      <c r="A13" s="30">
        <v>39539</v>
      </c>
      <c r="B13" s="29">
        <v>0.1924328663982752</v>
      </c>
      <c r="C13" s="29">
        <v>7.5482824127682258E-2</v>
      </c>
      <c r="E13" s="11"/>
      <c r="F13" s="11"/>
    </row>
    <row r="14" spans="1:14" x14ac:dyDescent="0.25">
      <c r="A14" s="30">
        <v>39569</v>
      </c>
      <c r="B14" s="29">
        <v>8.1655486531183152E-2</v>
      </c>
      <c r="C14" s="29">
        <v>4.440137406058902E-2</v>
      </c>
      <c r="E14" s="11"/>
      <c r="F14" s="11"/>
    </row>
    <row r="15" spans="1:14" x14ac:dyDescent="0.25">
      <c r="A15" s="30">
        <v>39601</v>
      </c>
      <c r="B15" s="29">
        <v>-0.1197983099913898</v>
      </c>
      <c r="C15" s="29">
        <v>-2.148777639203717E-2</v>
      </c>
      <c r="E15" s="11"/>
      <c r="F15" s="11"/>
    </row>
    <row r="16" spans="1:14" x14ac:dyDescent="0.25">
      <c r="A16" s="30">
        <v>39630</v>
      </c>
      <c r="B16" s="29">
        <v>-5.2035390780932597E-2</v>
      </c>
      <c r="C16" s="29">
        <v>-1.0700662251397116E-2</v>
      </c>
      <c r="E16" s="11"/>
      <c r="F16" s="11"/>
    </row>
    <row r="17" spans="1:6" x14ac:dyDescent="0.25">
      <c r="A17" s="30">
        <v>39661</v>
      </c>
      <c r="B17" s="29">
        <v>6.4440214953050093E-2</v>
      </c>
      <c r="C17" s="29">
        <v>-6.6582237591538612E-2</v>
      </c>
      <c r="E17" s="11"/>
      <c r="F17" s="11"/>
    </row>
    <row r="18" spans="1:6" x14ac:dyDescent="0.25">
      <c r="A18" s="30">
        <v>39693</v>
      </c>
      <c r="B18" s="29">
        <v>-0.39981836644088625</v>
      </c>
      <c r="C18" s="29">
        <v>9.9259633949873111E-2</v>
      </c>
      <c r="E18" s="11"/>
      <c r="F18" s="11"/>
    </row>
    <row r="19" spans="1:6" x14ac:dyDescent="0.25">
      <c r="A19" s="30">
        <v>39722</v>
      </c>
      <c r="B19" s="29">
        <v>-5.4883829263157574E-2</v>
      </c>
      <c r="C19" s="29">
        <v>-0.15460431591839269</v>
      </c>
      <c r="E19" s="11"/>
      <c r="F19" s="11"/>
    </row>
    <row r="20" spans="1:6" x14ac:dyDescent="0.25">
      <c r="A20" s="30">
        <v>39755</v>
      </c>
      <c r="B20" s="29">
        <v>-0.1492829110072178</v>
      </c>
      <c r="C20" s="29">
        <v>-0.15560986725547385</v>
      </c>
      <c r="E20" s="11"/>
      <c r="F20" s="11"/>
    </row>
    <row r="21" spans="1:6" x14ac:dyDescent="0.25">
      <c r="A21" s="30">
        <v>39783</v>
      </c>
      <c r="B21" s="29">
        <v>-8.2284346358150504E-2</v>
      </c>
      <c r="C21" s="29">
        <v>7.4547538529370433E-2</v>
      </c>
      <c r="E21" s="11"/>
      <c r="F21" s="11"/>
    </row>
    <row r="22" spans="1:6" x14ac:dyDescent="0.25">
      <c r="A22" s="30">
        <v>39815</v>
      </c>
      <c r="B22" s="29">
        <v>5.4492623327868875E-2</v>
      </c>
      <c r="C22" s="29">
        <v>-8.5877648447684057E-2</v>
      </c>
      <c r="E22" s="11"/>
      <c r="F22" s="11"/>
    </row>
    <row r="23" spans="1:6" x14ac:dyDescent="0.25">
      <c r="A23" s="30">
        <v>39846</v>
      </c>
      <c r="B23" s="29">
        <v>-9.1396088725236701E-3</v>
      </c>
      <c r="C23" s="29">
        <v>8.7485100776333188E-2</v>
      </c>
      <c r="E23" s="11"/>
      <c r="F23" s="11"/>
    </row>
    <row r="24" spans="1:6" x14ac:dyDescent="0.25">
      <c r="A24" s="30">
        <v>39874</v>
      </c>
      <c r="B24" s="29">
        <v>0.16298909104050577</v>
      </c>
      <c r="C24" s="29">
        <v>7.9283690746198177E-2</v>
      </c>
      <c r="E24" s="11"/>
      <c r="F24" s="11"/>
    </row>
    <row r="25" spans="1:6" x14ac:dyDescent="0.25">
      <c r="A25" s="30">
        <v>39904</v>
      </c>
      <c r="B25" s="29">
        <v>0.17982923486757607</v>
      </c>
      <c r="C25" s="29">
        <v>7.5840213721359739E-2</v>
      </c>
      <c r="E25" s="11"/>
      <c r="F25" s="11"/>
    </row>
    <row r="26" spans="1:6" x14ac:dyDescent="0.25">
      <c r="A26" s="30">
        <v>39934</v>
      </c>
      <c r="B26" s="29">
        <v>7.6325060512100487E-2</v>
      </c>
      <c r="C26" s="29">
        <v>-7.3749951677636247E-2</v>
      </c>
      <c r="E26" s="11"/>
      <c r="F26" s="11"/>
    </row>
    <row r="27" spans="1:6" x14ac:dyDescent="0.25">
      <c r="A27" s="30">
        <v>39965</v>
      </c>
      <c r="B27" s="29">
        <v>4.7593800830517959E-2</v>
      </c>
      <c r="C27" s="29">
        <v>5.9428227214138622E-3</v>
      </c>
      <c r="E27" s="11"/>
      <c r="F27" s="11"/>
    </row>
    <row r="28" spans="1:6" x14ac:dyDescent="0.25">
      <c r="A28" s="30">
        <v>39995</v>
      </c>
      <c r="B28" s="29">
        <v>0.1372893300962372</v>
      </c>
      <c r="C28" s="29">
        <v>0.15692342686377875</v>
      </c>
      <c r="E28" s="11"/>
      <c r="F28" s="11"/>
    </row>
    <row r="29" spans="1:6" x14ac:dyDescent="0.25">
      <c r="A29" s="30">
        <v>40028</v>
      </c>
      <c r="B29" s="29">
        <v>2.9073217760958888E-2</v>
      </c>
      <c r="C29" s="29">
        <v>-6.15000331038262E-2</v>
      </c>
      <c r="E29" s="11"/>
      <c r="F29" s="11"/>
    </row>
    <row r="30" spans="1:6" x14ac:dyDescent="0.25">
      <c r="A30" s="30">
        <v>40057</v>
      </c>
      <c r="B30" s="29">
        <v>9.7032730793050262E-2</v>
      </c>
      <c r="C30" s="29">
        <v>-8.3829169740196469E-2</v>
      </c>
      <c r="E30" s="11"/>
      <c r="F30" s="11"/>
    </row>
    <row r="31" spans="1:6" x14ac:dyDescent="0.25">
      <c r="A31" s="30">
        <v>40087</v>
      </c>
      <c r="B31" s="29">
        <v>1.6852077291324211E-2</v>
      </c>
      <c r="C31" s="29">
        <v>-7.8084554978161788E-2</v>
      </c>
      <c r="E31" s="11"/>
      <c r="F31" s="11"/>
    </row>
    <row r="32" spans="1:6" x14ac:dyDescent="0.25">
      <c r="A32" s="30">
        <v>40119</v>
      </c>
      <c r="B32" s="29">
        <v>5.8769258379585923E-2</v>
      </c>
      <c r="C32" s="29">
        <v>-7.1423111488264107E-2</v>
      </c>
      <c r="E32" s="11"/>
      <c r="F32" s="11"/>
    </row>
    <row r="33" spans="1:6" x14ac:dyDescent="0.25">
      <c r="A33" s="30">
        <v>40148</v>
      </c>
      <c r="B33" s="29">
        <v>5.2710427941470024E-2</v>
      </c>
      <c r="C33" s="29">
        <v>-4.1167719650558612E-2</v>
      </c>
      <c r="E33" s="11"/>
      <c r="F33" s="11"/>
    </row>
    <row r="34" spans="1:6" x14ac:dyDescent="0.25">
      <c r="A34" s="30">
        <v>40182</v>
      </c>
      <c r="B34" s="29">
        <v>-9.276986999929468E-2</v>
      </c>
      <c r="C34" s="29">
        <v>-4.9649352712548125E-2</v>
      </c>
      <c r="E34" s="11"/>
      <c r="F34" s="11"/>
    </row>
    <row r="35" spans="1:6" x14ac:dyDescent="0.25">
      <c r="A35" s="30">
        <v>40210</v>
      </c>
      <c r="B35" s="29">
        <v>6.3346777240967267E-2</v>
      </c>
      <c r="C35" s="29">
        <v>-1.0395649281585149E-2</v>
      </c>
      <c r="E35" s="11"/>
      <c r="F35" s="11"/>
    </row>
    <row r="36" spans="1:6" x14ac:dyDescent="0.25">
      <c r="A36" s="30">
        <v>40238</v>
      </c>
      <c r="B36" s="29">
        <v>0.13843091369336494</v>
      </c>
      <c r="C36" s="29">
        <v>-5.2299177690205201E-2</v>
      </c>
      <c r="E36" s="11"/>
      <c r="F36" s="11"/>
    </row>
    <row r="37" spans="1:6" x14ac:dyDescent="0.25">
      <c r="A37" s="30">
        <v>40269</v>
      </c>
      <c r="B37" s="29">
        <v>0.10527966132537296</v>
      </c>
      <c r="C37" s="29">
        <v>-0.12896357210294498</v>
      </c>
      <c r="E37" s="11"/>
      <c r="F37" s="11"/>
    </row>
    <row r="38" spans="1:6" x14ac:dyDescent="0.25">
      <c r="A38" s="30">
        <v>40301</v>
      </c>
      <c r="B38" s="29">
        <v>-1.6256125688273504E-2</v>
      </c>
      <c r="C38" s="29">
        <v>-2.9358569459494093E-2</v>
      </c>
      <c r="E38" s="11"/>
      <c r="F38" s="11"/>
    </row>
    <row r="39" spans="1:6" x14ac:dyDescent="0.25">
      <c r="A39" s="30">
        <v>40330</v>
      </c>
      <c r="B39" s="29">
        <v>-2.1046783061035752E-2</v>
      </c>
      <c r="C39" s="29">
        <v>1.596405471184585E-3</v>
      </c>
      <c r="E39" s="11"/>
      <c r="F39" s="11"/>
    </row>
    <row r="40" spans="1:6" x14ac:dyDescent="0.25">
      <c r="A40" s="30">
        <v>40360</v>
      </c>
      <c r="B40" s="29">
        <v>2.2486107993936241E-2</v>
      </c>
      <c r="C40" s="29">
        <v>-9.5649941531219279E-2</v>
      </c>
      <c r="E40" s="11"/>
      <c r="F40" s="11"/>
    </row>
    <row r="41" spans="1:6" x14ac:dyDescent="0.25">
      <c r="A41" s="30">
        <v>40392</v>
      </c>
      <c r="B41" s="29">
        <v>-5.6575493392081351E-2</v>
      </c>
      <c r="C41" s="29">
        <v>-4.8926692260298776E-2</v>
      </c>
      <c r="E41" s="11"/>
      <c r="F41" s="11"/>
    </row>
    <row r="42" spans="1:6" x14ac:dyDescent="0.25">
      <c r="A42" s="30">
        <v>40422</v>
      </c>
      <c r="B42" s="29">
        <v>0.15462068747353472</v>
      </c>
      <c r="C42" s="29">
        <v>0.20428859062387794</v>
      </c>
      <c r="E42" s="11"/>
      <c r="F42" s="11"/>
    </row>
    <row r="43" spans="1:6" x14ac:dyDescent="0.25">
      <c r="A43" s="30">
        <v>40452</v>
      </c>
      <c r="B43" s="29">
        <v>5.8950248562960224E-2</v>
      </c>
      <c r="C43" s="29">
        <v>0.10843903128952363</v>
      </c>
      <c r="E43" s="11"/>
      <c r="F43" s="11"/>
    </row>
    <row r="44" spans="1:6" x14ac:dyDescent="0.25">
      <c r="A44" s="30">
        <v>40483</v>
      </c>
      <c r="B44" s="29">
        <v>3.3231293656654268E-2</v>
      </c>
      <c r="C44" s="29">
        <v>0.14558950506341742</v>
      </c>
      <c r="E44" s="11"/>
      <c r="F44" s="11"/>
    </row>
    <row r="45" spans="1:6" x14ac:dyDescent="0.25">
      <c r="A45" s="30">
        <v>40513</v>
      </c>
      <c r="B45" s="29">
        <v>3.6014054427722354E-2</v>
      </c>
      <c r="C45" s="29">
        <v>2.232654849361675E-2</v>
      </c>
      <c r="E45" s="11"/>
      <c r="F45" s="11"/>
    </row>
    <row r="46" spans="1:6" x14ac:dyDescent="0.25">
      <c r="A46" s="30">
        <v>40546</v>
      </c>
      <c r="B46" s="29">
        <v>5.0654449496584847E-2</v>
      </c>
      <c r="C46" s="29">
        <v>0.10541961681369323</v>
      </c>
      <c r="E46" s="11"/>
      <c r="F46" s="11"/>
    </row>
    <row r="47" spans="1:6" x14ac:dyDescent="0.25">
      <c r="A47" s="30">
        <v>40575</v>
      </c>
      <c r="B47" s="29">
        <v>4.01191659602591E-2</v>
      </c>
      <c r="C47" s="29">
        <v>0.10687906118330369</v>
      </c>
      <c r="E47" s="11"/>
      <c r="F47" s="11"/>
    </row>
    <row r="48" spans="1:6" x14ac:dyDescent="0.25">
      <c r="A48" s="30">
        <v>40603</v>
      </c>
      <c r="B48" s="29">
        <v>-1.3395856706299903E-2</v>
      </c>
      <c r="C48" s="29">
        <v>-1.9843939177158147E-2</v>
      </c>
      <c r="E48" s="11"/>
      <c r="F48" s="11"/>
    </row>
    <row r="49" spans="1:6" x14ac:dyDescent="0.25">
      <c r="A49" s="30">
        <v>40634</v>
      </c>
      <c r="B49" s="29">
        <v>4.6375898988789757E-3</v>
      </c>
      <c r="C49" s="29">
        <v>-0.26529215658624006</v>
      </c>
      <c r="E49" s="11"/>
      <c r="F49" s="11"/>
    </row>
    <row r="50" spans="1:6" x14ac:dyDescent="0.25">
      <c r="A50" s="30">
        <v>40665</v>
      </c>
      <c r="B50" s="29">
        <v>-6.5906594228294924E-3</v>
      </c>
      <c r="C50" s="29">
        <v>6.7397847984603548E-2</v>
      </c>
      <c r="E50" s="11"/>
      <c r="F50" s="11"/>
    </row>
    <row r="51" spans="1:6" x14ac:dyDescent="0.25">
      <c r="A51" s="30">
        <v>40695</v>
      </c>
      <c r="B51" s="29">
        <v>-3.5585320181802882E-2</v>
      </c>
      <c r="C51" s="29">
        <v>0.18034583836025603</v>
      </c>
      <c r="E51" s="11"/>
      <c r="F51" s="11"/>
    </row>
    <row r="52" spans="1:6" x14ac:dyDescent="0.25">
      <c r="A52" s="30">
        <v>40725</v>
      </c>
      <c r="B52" s="29">
        <v>0.15124821709115263</v>
      </c>
      <c r="C52" s="29">
        <v>0.20324820307949171</v>
      </c>
      <c r="E52" s="11"/>
      <c r="F52" s="11"/>
    </row>
    <row r="53" spans="1:6" x14ac:dyDescent="0.25">
      <c r="A53" s="30">
        <v>40756</v>
      </c>
      <c r="B53" s="29">
        <v>-1.4575073248301941E-2</v>
      </c>
      <c r="C53" s="29">
        <v>2.1957711353171334E-3</v>
      </c>
      <c r="E53" s="11"/>
      <c r="F53" s="11"/>
    </row>
    <row r="54" spans="1:6" x14ac:dyDescent="0.25">
      <c r="A54" s="30">
        <v>40787</v>
      </c>
      <c r="B54" s="29">
        <v>-9.1627607052127934E-3</v>
      </c>
      <c r="C54" s="29">
        <v>2.0000666706669435E-2</v>
      </c>
      <c r="E54" s="11"/>
      <c r="F54" s="11"/>
    </row>
    <row r="55" spans="1:6" x14ac:dyDescent="0.25">
      <c r="A55" s="30">
        <v>40819</v>
      </c>
      <c r="B55" s="29">
        <v>5.9704792012682126E-2</v>
      </c>
      <c r="C55" s="29">
        <v>-0.22019528503533467</v>
      </c>
      <c r="E55" s="11"/>
      <c r="F55" s="11"/>
    </row>
    <row r="56" spans="1:6" x14ac:dyDescent="0.25">
      <c r="A56" s="30">
        <v>40848</v>
      </c>
      <c r="B56" s="29">
        <v>-5.7399677831886937E-2</v>
      </c>
      <c r="C56" s="29">
        <v>-9.6183161090669669E-2</v>
      </c>
      <c r="E56" s="11"/>
      <c r="F56" s="11"/>
    </row>
    <row r="57" spans="1:6" x14ac:dyDescent="0.25">
      <c r="A57" s="30">
        <v>40878</v>
      </c>
      <c r="B57" s="29">
        <v>5.794303530036643E-2</v>
      </c>
      <c r="C57" s="29">
        <v>-1.0241494052196907E-2</v>
      </c>
      <c r="E57" s="11"/>
      <c r="F57" s="11"/>
    </row>
    <row r="58" spans="1:6" x14ac:dyDescent="0.25">
      <c r="A58" s="30">
        <v>40911</v>
      </c>
      <c r="B58" s="29">
        <v>0.11965782035865079</v>
      </c>
      <c r="C58" s="29">
        <v>2.4596960000504701E-2</v>
      </c>
      <c r="E58" s="11"/>
      <c r="F58" s="11"/>
    </row>
    <row r="59" spans="1:6" x14ac:dyDescent="0.25">
      <c r="A59" s="30">
        <v>40940</v>
      </c>
      <c r="B59" s="29">
        <v>0.17253259275455476</v>
      </c>
      <c r="C59" s="29">
        <v>-4.8588347918139083E-2</v>
      </c>
      <c r="E59" s="11"/>
      <c r="F59" s="11"/>
    </row>
    <row r="60" spans="1:6" x14ac:dyDescent="0.25">
      <c r="A60" s="30">
        <v>40969</v>
      </c>
      <c r="B60" s="29">
        <v>0.1001018936056976</v>
      </c>
      <c r="C60" s="29">
        <v>-5.4754775012495489E-2</v>
      </c>
      <c r="E60" s="11"/>
      <c r="F60" s="11"/>
    </row>
    <row r="61" spans="1:6" x14ac:dyDescent="0.25">
      <c r="A61" s="30">
        <v>41001</v>
      </c>
      <c r="B61" s="29">
        <v>-2.6312638158984922E-2</v>
      </c>
      <c r="C61" s="29">
        <v>-2.8446094702639788E-2</v>
      </c>
      <c r="E61" s="11"/>
      <c r="F61" s="11"/>
    </row>
    <row r="62" spans="1:6" x14ac:dyDescent="0.25">
      <c r="A62" s="30">
        <v>41030</v>
      </c>
      <c r="B62" s="29">
        <v>-1.0760104160047555E-2</v>
      </c>
      <c r="C62" s="29">
        <v>-1.9193855066193692E-2</v>
      </c>
      <c r="E62" s="11"/>
      <c r="F62" s="11"/>
    </row>
    <row r="63" spans="1:6" x14ac:dyDescent="0.25">
      <c r="A63" s="30">
        <v>41061</v>
      </c>
      <c r="B63" s="29">
        <v>1.0794351321817304E-2</v>
      </c>
      <c r="C63" s="29">
        <v>0.10957899438258194</v>
      </c>
      <c r="E63" s="11"/>
      <c r="F63" s="11"/>
    </row>
  </sheetData>
  <printOptions headings="1" gridLines="1"/>
  <pageMargins left="0.7" right="0.7" top="0.75" bottom="0.75" header="0.3" footer="0.3"/>
  <pageSetup paperSize="9" orientation="portrait" verticalDpi="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7304-6B1A-450B-958B-66D36EC7CEEE}">
  <sheetPr codeName="Sheet9"/>
  <dimension ref="B2:M19"/>
  <sheetViews>
    <sheetView showGridLines="0" tabSelected="1" zoomScale="130" zoomScaleNormal="130" workbookViewId="0">
      <selection activeCell="E26" sqref="E26"/>
    </sheetView>
  </sheetViews>
  <sheetFormatPr defaultRowHeight="15" x14ac:dyDescent="0.25"/>
  <cols>
    <col min="1" max="1" width="1.5" style="59" customWidth="1"/>
    <col min="2" max="2" width="11.125" style="59" customWidth="1"/>
    <col min="3" max="13" width="9.375" style="59" customWidth="1"/>
    <col min="14" max="16384" width="9" style="59"/>
  </cols>
  <sheetData>
    <row r="2" spans="2:13" x14ac:dyDescent="0.25">
      <c r="B2" s="58" t="s">
        <v>95</v>
      </c>
    </row>
    <row r="3" spans="2:13" x14ac:dyDescent="0.25">
      <c r="B3" s="58"/>
    </row>
    <row r="4" spans="2:13" x14ac:dyDescent="0.25">
      <c r="B4" s="59" t="s">
        <v>96</v>
      </c>
      <c r="C4" s="60">
        <v>102</v>
      </c>
    </row>
    <row r="5" spans="2:13" x14ac:dyDescent="0.25">
      <c r="B5" s="59" t="s">
        <v>97</v>
      </c>
      <c r="C5" s="61">
        <v>0.08</v>
      </c>
    </row>
    <row r="6" spans="2:13" x14ac:dyDescent="0.25">
      <c r="B6" s="59" t="s">
        <v>98</v>
      </c>
      <c r="C6" s="62">
        <v>43282</v>
      </c>
    </row>
    <row r="7" spans="2:13" x14ac:dyDescent="0.25">
      <c r="B7" s="59" t="s">
        <v>99</v>
      </c>
      <c r="C7" s="63">
        <f>M12</f>
        <v>46935</v>
      </c>
      <c r="F7" s="64"/>
    </row>
    <row r="8" spans="2:13" x14ac:dyDescent="0.25">
      <c r="B8" s="59" t="s">
        <v>100</v>
      </c>
      <c r="C8" s="65">
        <v>0.1</v>
      </c>
      <c r="F8" s="66"/>
    </row>
    <row r="9" spans="2:13" x14ac:dyDescent="0.25">
      <c r="B9" s="59" t="s">
        <v>101</v>
      </c>
      <c r="C9" s="60">
        <v>100</v>
      </c>
      <c r="F9" s="64"/>
    </row>
    <row r="10" spans="2:13" x14ac:dyDescent="0.25">
      <c r="C10" s="67"/>
    </row>
    <row r="11" spans="2:13" x14ac:dyDescent="0.25">
      <c r="B11" s="59" t="s">
        <v>102</v>
      </c>
      <c r="C11" s="59">
        <v>0</v>
      </c>
      <c r="D11" s="59">
        <f>C11+1</f>
        <v>1</v>
      </c>
      <c r="E11" s="59">
        <f t="shared" ref="E11:M11" si="0">D11+1</f>
        <v>2</v>
      </c>
      <c r="F11" s="59">
        <f t="shared" si="0"/>
        <v>3</v>
      </c>
      <c r="G11" s="59">
        <f t="shared" si="0"/>
        <v>4</v>
      </c>
      <c r="H11" s="59">
        <f t="shared" si="0"/>
        <v>5</v>
      </c>
      <c r="I11" s="59">
        <f t="shared" si="0"/>
        <v>6</v>
      </c>
      <c r="J11" s="59">
        <f t="shared" si="0"/>
        <v>7</v>
      </c>
      <c r="K11" s="59">
        <f t="shared" si="0"/>
        <v>8</v>
      </c>
      <c r="L11" s="59">
        <f t="shared" si="0"/>
        <v>9</v>
      </c>
      <c r="M11" s="59">
        <f t="shared" si="0"/>
        <v>10</v>
      </c>
    </row>
    <row r="12" spans="2:13" x14ac:dyDescent="0.25">
      <c r="B12" s="59" t="s">
        <v>6</v>
      </c>
      <c r="C12" s="67">
        <f>EDATE(C6,0)</f>
        <v>43282</v>
      </c>
      <c r="D12" s="67">
        <f>EDATE($C$12,12*D11)</f>
        <v>43647</v>
      </c>
      <c r="E12" s="67">
        <f t="shared" ref="E12:M12" si="1">EDATE($C$12,12*E11)</f>
        <v>44013</v>
      </c>
      <c r="F12" s="67">
        <f t="shared" si="1"/>
        <v>44378</v>
      </c>
      <c r="G12" s="67">
        <f t="shared" si="1"/>
        <v>44743</v>
      </c>
      <c r="H12" s="67">
        <f t="shared" si="1"/>
        <v>45108</v>
      </c>
      <c r="I12" s="67">
        <f t="shared" si="1"/>
        <v>45474</v>
      </c>
      <c r="J12" s="67">
        <f t="shared" si="1"/>
        <v>45839</v>
      </c>
      <c r="K12" s="67">
        <f t="shared" si="1"/>
        <v>46204</v>
      </c>
      <c r="L12" s="67">
        <f t="shared" si="1"/>
        <v>46569</v>
      </c>
      <c r="M12" s="67">
        <f t="shared" si="1"/>
        <v>46935</v>
      </c>
    </row>
    <row r="14" spans="2:13" x14ac:dyDescent="0.25">
      <c r="B14" s="59" t="s">
        <v>103</v>
      </c>
      <c r="C14" s="68">
        <f>-C4</f>
        <v>-102</v>
      </c>
      <c r="D14" s="68">
        <f>$C$5*$C$9</f>
        <v>8</v>
      </c>
      <c r="E14" s="68">
        <f t="shared" ref="E14:L14" si="2">$C$5*$C$9</f>
        <v>8</v>
      </c>
      <c r="F14" s="68">
        <f t="shared" si="2"/>
        <v>8</v>
      </c>
      <c r="G14" s="68">
        <f t="shared" si="2"/>
        <v>8</v>
      </c>
      <c r="H14" s="68">
        <f t="shared" si="2"/>
        <v>8</v>
      </c>
      <c r="I14" s="68">
        <f t="shared" si="2"/>
        <v>8</v>
      </c>
      <c r="J14" s="68">
        <f t="shared" si="2"/>
        <v>8</v>
      </c>
      <c r="K14" s="68">
        <f t="shared" si="2"/>
        <v>8</v>
      </c>
      <c r="L14" s="68">
        <f t="shared" si="2"/>
        <v>8</v>
      </c>
      <c r="M14" s="68">
        <f>$C$9+L14</f>
        <v>108</v>
      </c>
    </row>
    <row r="16" spans="2:13" x14ac:dyDescent="0.25">
      <c r="B16" s="59" t="s">
        <v>104</v>
      </c>
      <c r="C16" s="69"/>
      <c r="D16" s="68"/>
      <c r="E16" s="68"/>
      <c r="F16" s="68"/>
      <c r="G16" s="68"/>
      <c r="H16" s="68"/>
      <c r="I16" s="68"/>
      <c r="J16" s="68"/>
      <c r="K16" s="68"/>
      <c r="L16" s="68"/>
      <c r="M16" s="68"/>
    </row>
    <row r="17" spans="2:3" x14ac:dyDescent="0.25">
      <c r="C17" s="70"/>
    </row>
    <row r="18" spans="2:3" x14ac:dyDescent="0.25">
      <c r="B18" s="59" t="s">
        <v>105</v>
      </c>
      <c r="C18" s="64"/>
    </row>
    <row r="19" spans="2:3" x14ac:dyDescent="0.25">
      <c r="B19" s="59" t="s">
        <v>106</v>
      </c>
      <c r="C19" s="6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73"/>
  <sheetViews>
    <sheetView showGridLines="0" zoomScale="115" zoomScaleNormal="115" workbookViewId="0">
      <selection activeCell="K16" sqref="K16"/>
    </sheetView>
  </sheetViews>
  <sheetFormatPr defaultColWidth="9" defaultRowHeight="15" outlineLevelRow="1" x14ac:dyDescent="0.25"/>
  <cols>
    <col min="1" max="1" width="17.75" style="1" customWidth="1"/>
    <col min="2" max="4" width="9" style="1"/>
    <col min="5" max="5" width="20.875" style="1" bestFit="1" customWidth="1"/>
    <col min="6" max="6" width="2.75" style="1" customWidth="1"/>
    <col min="7" max="7" width="28.25" style="1" bestFit="1" customWidth="1"/>
    <col min="8" max="9" width="9" style="1"/>
    <col min="10" max="10" width="25.25" style="1" customWidth="1"/>
    <col min="11" max="16384" width="9" style="1"/>
  </cols>
  <sheetData>
    <row r="1" spans="1:10" x14ac:dyDescent="0.25">
      <c r="A1" s="19" t="s">
        <v>15</v>
      </c>
      <c r="B1" s="24"/>
      <c r="C1" s="24"/>
      <c r="D1" s="24"/>
      <c r="E1" s="24"/>
      <c r="F1" s="2"/>
      <c r="G1" s="2"/>
      <c r="H1" s="2"/>
      <c r="I1" s="2"/>
      <c r="J1" s="2"/>
    </row>
    <row r="2" spans="1:10" x14ac:dyDescent="0.25">
      <c r="A2" s="1" t="s">
        <v>16</v>
      </c>
      <c r="B2" s="37">
        <v>0.4</v>
      </c>
    </row>
    <row r="3" spans="1:10" x14ac:dyDescent="0.25">
      <c r="A3" s="1" t="s">
        <v>17</v>
      </c>
      <c r="B3" s="38">
        <f>1-B2</f>
        <v>0.6</v>
      </c>
    </row>
    <row r="5" spans="1:10" ht="30" x14ac:dyDescent="0.25">
      <c r="B5" s="4" t="s">
        <v>18</v>
      </c>
      <c r="C5" s="4" t="s">
        <v>19</v>
      </c>
      <c r="D5" s="4" t="s">
        <v>20</v>
      </c>
      <c r="G5" s="19" t="s">
        <v>21</v>
      </c>
      <c r="H5" s="20" t="s">
        <v>7</v>
      </c>
      <c r="I5" s="20" t="s">
        <v>22</v>
      </c>
    </row>
    <row r="6" spans="1:10" x14ac:dyDescent="0.25">
      <c r="A6" s="30" cm="1">
        <f t="array" ref="A6:C65">'pg202'!A4:C63</f>
        <v>39265</v>
      </c>
      <c r="B6" s="39">
        <v>7.6633226020915893E-2</v>
      </c>
      <c r="C6" s="39">
        <v>0.10742695230781683</v>
      </c>
      <c r="D6" s="6">
        <f>$B$2*B6+$B$3*C6</f>
        <v>9.5109461793056446E-2</v>
      </c>
      <c r="G6" s="1" t="s">
        <v>23</v>
      </c>
      <c r="H6" s="10">
        <f>AVERAGE(B6:B65)</f>
        <v>2.6092535382995975E-2</v>
      </c>
      <c r="I6" s="10">
        <f>AVERAGE(C6:C65)</f>
        <v>-2.4269022221436731E-3</v>
      </c>
    </row>
    <row r="7" spans="1:10" x14ac:dyDescent="0.25">
      <c r="A7" s="30">
        <v>39295</v>
      </c>
      <c r="B7" s="39">
        <v>4.9743824998568914E-2</v>
      </c>
      <c r="C7" s="39">
        <v>-7.4732221645049529E-2</v>
      </c>
      <c r="D7" s="6">
        <f t="shared" ref="D7:D65" si="0">$B$2*B7+$B$3*C7</f>
        <v>-2.4941802987602152E-2</v>
      </c>
      <c r="G7" s="1" t="s">
        <v>12</v>
      </c>
      <c r="H7" s="11">
        <f>_xlfn.VAR.S(B6:B65)</f>
        <v>1.2477690692371124E-2</v>
      </c>
      <c r="I7" s="11">
        <f>_xlfn.VAR.S(C6:C65)</f>
        <v>1.0175180168436861E-2</v>
      </c>
    </row>
    <row r="8" spans="1:10" x14ac:dyDescent="0.25">
      <c r="A8" s="30">
        <v>39329</v>
      </c>
      <c r="B8" s="39">
        <v>0.10277919731904972</v>
      </c>
      <c r="C8" s="39">
        <v>-1.1325339375617659E-2</v>
      </c>
      <c r="D8" s="6">
        <f t="shared" si="0"/>
        <v>3.4316475302249294E-2</v>
      </c>
      <c r="G8" s="1" t="s">
        <v>13</v>
      </c>
      <c r="H8" s="6">
        <f>_xlfn.STDEV.S(B6:B65)</f>
        <v>0.11170358406233492</v>
      </c>
      <c r="I8" s="6">
        <f>_xlfn.STDEV.S(C6:C65)</f>
        <v>0.10087209806699204</v>
      </c>
    </row>
    <row r="9" spans="1:10" x14ac:dyDescent="0.25">
      <c r="A9" s="30">
        <v>39356</v>
      </c>
      <c r="B9" s="39">
        <v>0.21325577144663097</v>
      </c>
      <c r="C9" s="39">
        <v>-0.14034256446726184</v>
      </c>
      <c r="D9" s="6">
        <f t="shared" si="0"/>
        <v>1.0967698982952967E-3</v>
      </c>
      <c r="G9" s="1" t="s">
        <v>24</v>
      </c>
      <c r="H9" s="11">
        <f>_xlfn.COVARIANCE.S(B6:B65,C6:C65)</f>
        <v>1.98912626457544E-3</v>
      </c>
    </row>
    <row r="10" spans="1:10" x14ac:dyDescent="0.25">
      <c r="A10" s="30">
        <v>39387</v>
      </c>
      <c r="B10" s="39">
        <v>-4.1546131347922108E-2</v>
      </c>
      <c r="C10" s="39">
        <v>4.9100771409077877E-2</v>
      </c>
      <c r="D10" s="6">
        <f t="shared" si="0"/>
        <v>1.2842010306277882E-2</v>
      </c>
    </row>
    <row r="11" spans="1:10" x14ac:dyDescent="0.25">
      <c r="A11" s="30">
        <v>39419</v>
      </c>
      <c r="B11" s="39">
        <v>8.3456241210519033E-2</v>
      </c>
      <c r="C11" s="39">
        <v>0.10971548218681069</v>
      </c>
      <c r="D11" s="6">
        <f t="shared" si="0"/>
        <v>9.9211785796294027E-2</v>
      </c>
      <c r="G11" s="53" t="s">
        <v>25</v>
      </c>
      <c r="H11" s="53"/>
      <c r="I11" s="53"/>
      <c r="J11" s="53"/>
    </row>
    <row r="12" spans="1:10" x14ac:dyDescent="0.25">
      <c r="A12" s="30">
        <v>39449</v>
      </c>
      <c r="B12" s="39">
        <v>-0.38073309363831809</v>
      </c>
      <c r="C12" s="39">
        <v>-0.17577344556712143</v>
      </c>
      <c r="D12" s="6">
        <f t="shared" si="0"/>
        <v>-0.25775730479560011</v>
      </c>
      <c r="G12" s="54" t="s">
        <v>93</v>
      </c>
      <c r="H12" s="55">
        <f>AVERAGE(D6:D65)</f>
        <v>8.9808728199121859E-3</v>
      </c>
      <c r="I12" s="53" t="str">
        <f ca="1">_xlfn.FORMULATEXT(H12)</f>
        <v>=AVERAGE(D6:D65)</v>
      </c>
      <c r="J12" s="53"/>
    </row>
    <row r="13" spans="1:10" x14ac:dyDescent="0.25">
      <c r="A13" s="30">
        <v>39479</v>
      </c>
      <c r="B13" s="39">
        <v>-7.9464171354247048E-2</v>
      </c>
      <c r="C13" s="39">
        <v>4.3738862747725364E-2</v>
      </c>
      <c r="D13" s="6">
        <f t="shared" si="0"/>
        <v>-5.5423508930636037E-3</v>
      </c>
      <c r="G13" s="54" t="s">
        <v>94</v>
      </c>
      <c r="H13" s="56">
        <f>B2*H6+B3*I6</f>
        <v>8.9808728199121876E-3</v>
      </c>
      <c r="I13" s="53" t="str">
        <f t="shared" ref="I13:I19" ca="1" si="1">_xlfn.FORMULATEXT(H13)</f>
        <v>=B2*H6+B3*I6</v>
      </c>
      <c r="J13" s="53"/>
    </row>
    <row r="14" spans="1:10" x14ac:dyDescent="0.25">
      <c r="A14" s="30">
        <v>39510</v>
      </c>
      <c r="B14" s="39">
        <v>0.13786131069600946</v>
      </c>
      <c r="C14" s="39">
        <v>2.8106815164888964E-2</v>
      </c>
      <c r="D14" s="6">
        <f t="shared" si="0"/>
        <v>7.2008613377337161E-2</v>
      </c>
      <c r="G14" s="53" t="s">
        <v>26</v>
      </c>
      <c r="H14" s="53"/>
      <c r="I14" s="53"/>
      <c r="J14" s="53"/>
    </row>
    <row r="15" spans="1:10" x14ac:dyDescent="0.25">
      <c r="A15" s="30">
        <v>39539</v>
      </c>
      <c r="B15" s="39">
        <v>0.1924328663982752</v>
      </c>
      <c r="C15" s="39">
        <v>7.5482824127682258E-2</v>
      </c>
      <c r="D15" s="6">
        <f t="shared" si="0"/>
        <v>0.12226284103591945</v>
      </c>
      <c r="G15" s="54" t="s">
        <v>93</v>
      </c>
      <c r="H15" s="57">
        <f>_xlfn.VAR.S(D6:D65)</f>
        <v>6.6142759784128596E-3</v>
      </c>
      <c r="I15" s="53" t="str">
        <f t="shared" ca="1" si="1"/>
        <v>=VAR.S(D6:D65)</v>
      </c>
      <c r="J15" s="53"/>
    </row>
    <row r="16" spans="1:10" x14ac:dyDescent="0.25">
      <c r="A16" s="30">
        <v>39569</v>
      </c>
      <c r="B16" s="39">
        <v>8.1655486531183152E-2</v>
      </c>
      <c r="C16" s="39">
        <v>4.440137406058902E-2</v>
      </c>
      <c r="D16" s="6">
        <f t="shared" si="0"/>
        <v>5.9303019048826677E-2</v>
      </c>
      <c r="G16" s="54" t="s">
        <v>94</v>
      </c>
      <c r="H16" s="57">
        <f>B2^2*H7+B3^2*I7+2*B2*B3*H9</f>
        <v>6.6142759784128605E-3</v>
      </c>
      <c r="I16" s="53" t="str">
        <f t="shared" ca="1" si="1"/>
        <v>=B2^2*H7+B3^2*I7+2*B2*B3*H9</v>
      </c>
      <c r="J16" s="53"/>
    </row>
    <row r="17" spans="1:10" x14ac:dyDescent="0.25">
      <c r="A17" s="30">
        <v>39601</v>
      </c>
      <c r="B17" s="39">
        <v>-0.1197983099913898</v>
      </c>
      <c r="C17" s="39">
        <v>-2.148777639203717E-2</v>
      </c>
      <c r="D17" s="6">
        <f t="shared" si="0"/>
        <v>-6.0811989831778226E-2</v>
      </c>
      <c r="G17" s="53" t="s">
        <v>27</v>
      </c>
      <c r="H17" s="57"/>
      <c r="I17" s="53"/>
      <c r="J17" s="53"/>
    </row>
    <row r="18" spans="1:10" x14ac:dyDescent="0.25">
      <c r="A18" s="30">
        <v>39630</v>
      </c>
      <c r="B18" s="39">
        <v>-5.2035390780932597E-2</v>
      </c>
      <c r="C18" s="39">
        <v>-1.0700662251397116E-2</v>
      </c>
      <c r="D18" s="6">
        <f t="shared" si="0"/>
        <v>-2.723455366321131E-2</v>
      </c>
      <c r="G18" s="54" t="s">
        <v>93</v>
      </c>
      <c r="H18" s="57">
        <f>_xlfn.STDEV.S(D6:D65)</f>
        <v>8.1328199158796452E-2</v>
      </c>
      <c r="I18" s="53" t="str">
        <f ca="1">_xlfn.FORMULATEXT(H18)</f>
        <v>=STDEV.S(D6:D65)</v>
      </c>
      <c r="J18" s="53"/>
    </row>
    <row r="19" spans="1:10" x14ac:dyDescent="0.25">
      <c r="A19" s="30">
        <v>39661</v>
      </c>
      <c r="B19" s="39">
        <v>6.4440214953050093E-2</v>
      </c>
      <c r="C19" s="39">
        <v>-6.6582237591538612E-2</v>
      </c>
      <c r="D19" s="6">
        <f t="shared" si="0"/>
        <v>-1.4173256573703129E-2</v>
      </c>
      <c r="G19" s="54" t="s">
        <v>94</v>
      </c>
      <c r="H19" s="57">
        <f>SQRT(H16)</f>
        <v>8.1328199158796452E-2</v>
      </c>
      <c r="I19" s="53" t="str">
        <f t="shared" ca="1" si="1"/>
        <v>=SQRT(H16)</v>
      </c>
      <c r="J19" s="53"/>
    </row>
    <row r="20" spans="1:10" x14ac:dyDescent="0.25">
      <c r="A20" s="30">
        <v>39693</v>
      </c>
      <c r="B20" s="39">
        <v>-0.39981836644088625</v>
      </c>
      <c r="C20" s="39">
        <v>9.9259633949873111E-2</v>
      </c>
      <c r="D20" s="6">
        <f t="shared" si="0"/>
        <v>-0.10037156620643065</v>
      </c>
      <c r="G20" s="53"/>
      <c r="H20" s="53"/>
      <c r="I20" s="53"/>
      <c r="J20" s="53"/>
    </row>
    <row r="21" spans="1:10" hidden="1" outlineLevel="1" x14ac:dyDescent="0.25">
      <c r="A21" s="30">
        <v>39722</v>
      </c>
      <c r="B21" s="39">
        <v>-5.4883829263157574E-2</v>
      </c>
      <c r="C21" s="39">
        <v>-0.15460431591839269</v>
      </c>
      <c r="D21" s="6">
        <f t="shared" si="0"/>
        <v>-0.11471612125629864</v>
      </c>
    </row>
    <row r="22" spans="1:10" hidden="1" outlineLevel="1" x14ac:dyDescent="0.25">
      <c r="A22" s="30">
        <v>39755</v>
      </c>
      <c r="B22" s="39">
        <v>-0.1492829110072178</v>
      </c>
      <c r="C22" s="39">
        <v>-0.15560986725547385</v>
      </c>
      <c r="D22" s="6">
        <f t="shared" si="0"/>
        <v>-0.15307908475617144</v>
      </c>
    </row>
    <row r="23" spans="1:10" hidden="1" outlineLevel="1" x14ac:dyDescent="0.25">
      <c r="A23" s="30">
        <v>39783</v>
      </c>
      <c r="B23" s="39">
        <v>-8.2284346358150504E-2</v>
      </c>
      <c r="C23" s="39">
        <v>7.4547538529370433E-2</v>
      </c>
      <c r="D23" s="6">
        <f t="shared" si="0"/>
        <v>1.1814784574362053E-2</v>
      </c>
    </row>
    <row r="24" spans="1:10" hidden="1" outlineLevel="1" x14ac:dyDescent="0.25">
      <c r="A24" s="30">
        <v>39815</v>
      </c>
      <c r="B24" s="39">
        <v>5.4492623327868875E-2</v>
      </c>
      <c r="C24" s="39">
        <v>-8.5877648447684057E-2</v>
      </c>
      <c r="D24" s="6">
        <f t="shared" si="0"/>
        <v>-2.9729539737462882E-2</v>
      </c>
    </row>
    <row r="25" spans="1:10" hidden="1" outlineLevel="1" x14ac:dyDescent="0.25">
      <c r="A25" s="30">
        <v>39846</v>
      </c>
      <c r="B25" s="39">
        <v>-9.1396088725236701E-3</v>
      </c>
      <c r="C25" s="39">
        <v>8.7485100776333188E-2</v>
      </c>
      <c r="D25" s="6">
        <f t="shared" si="0"/>
        <v>4.8835216916790443E-2</v>
      </c>
    </row>
    <row r="26" spans="1:10" hidden="1" outlineLevel="1" x14ac:dyDescent="0.25">
      <c r="A26" s="30">
        <v>39874</v>
      </c>
      <c r="B26" s="39">
        <v>0.16298909104050577</v>
      </c>
      <c r="C26" s="39">
        <v>7.9283690746198177E-2</v>
      </c>
      <c r="D26" s="6">
        <f t="shared" si="0"/>
        <v>0.11276585086392121</v>
      </c>
    </row>
    <row r="27" spans="1:10" hidden="1" outlineLevel="1" x14ac:dyDescent="0.25">
      <c r="A27" s="30">
        <v>39904</v>
      </c>
      <c r="B27" s="39">
        <v>0.17982923486757607</v>
      </c>
      <c r="C27" s="39">
        <v>7.5840213721359739E-2</v>
      </c>
      <c r="D27" s="6">
        <f t="shared" si="0"/>
        <v>0.11743582217984627</v>
      </c>
    </row>
    <row r="28" spans="1:10" hidden="1" outlineLevel="1" x14ac:dyDescent="0.25">
      <c r="A28" s="30">
        <v>39934</v>
      </c>
      <c r="B28" s="39">
        <v>7.6325060512100487E-2</v>
      </c>
      <c r="C28" s="39">
        <v>-7.3749951677636247E-2</v>
      </c>
      <c r="D28" s="6">
        <f t="shared" si="0"/>
        <v>-1.3719946801741552E-2</v>
      </c>
    </row>
    <row r="29" spans="1:10" hidden="1" outlineLevel="1" x14ac:dyDescent="0.25">
      <c r="A29" s="30">
        <v>39965</v>
      </c>
      <c r="B29" s="39">
        <v>4.7593800830517959E-2</v>
      </c>
      <c r="C29" s="39">
        <v>5.9428227214138622E-3</v>
      </c>
      <c r="D29" s="6">
        <f t="shared" si="0"/>
        <v>2.2603213965055501E-2</v>
      </c>
    </row>
    <row r="30" spans="1:10" hidden="1" outlineLevel="1" x14ac:dyDescent="0.25">
      <c r="A30" s="30">
        <v>39995</v>
      </c>
      <c r="B30" s="39">
        <v>0.1372893300962372</v>
      </c>
      <c r="C30" s="39">
        <v>0.15692342686377875</v>
      </c>
      <c r="D30" s="6">
        <f t="shared" si="0"/>
        <v>0.14906978815676214</v>
      </c>
    </row>
    <row r="31" spans="1:10" hidden="1" outlineLevel="1" x14ac:dyDescent="0.25">
      <c r="A31" s="30">
        <v>40028</v>
      </c>
      <c r="B31" s="39">
        <v>2.9073217760958888E-2</v>
      </c>
      <c r="C31" s="39">
        <v>-6.15000331038262E-2</v>
      </c>
      <c r="D31" s="6">
        <f t="shared" si="0"/>
        <v>-2.5270732757912164E-2</v>
      </c>
    </row>
    <row r="32" spans="1:10" hidden="1" outlineLevel="1" x14ac:dyDescent="0.25">
      <c r="A32" s="30">
        <v>40057</v>
      </c>
      <c r="B32" s="39">
        <v>9.7032730793050262E-2</v>
      </c>
      <c r="C32" s="39">
        <v>-8.3829169740196469E-2</v>
      </c>
      <c r="D32" s="6">
        <f t="shared" si="0"/>
        <v>-1.1484409526897776E-2</v>
      </c>
    </row>
    <row r="33" spans="1:4" hidden="1" outlineLevel="1" x14ac:dyDescent="0.25">
      <c r="A33" s="30">
        <v>40087</v>
      </c>
      <c r="B33" s="39">
        <v>1.6852077291324211E-2</v>
      </c>
      <c r="C33" s="39">
        <v>-7.8084554978161788E-2</v>
      </c>
      <c r="D33" s="6">
        <f t="shared" si="0"/>
        <v>-4.0109902070367381E-2</v>
      </c>
    </row>
    <row r="34" spans="1:4" hidden="1" outlineLevel="1" x14ac:dyDescent="0.25">
      <c r="A34" s="30">
        <v>40119</v>
      </c>
      <c r="B34" s="39">
        <v>5.8769258379585923E-2</v>
      </c>
      <c r="C34" s="39">
        <v>-7.1423111488264107E-2</v>
      </c>
      <c r="D34" s="6">
        <f t="shared" si="0"/>
        <v>-1.934616354112409E-2</v>
      </c>
    </row>
    <row r="35" spans="1:4" hidden="1" outlineLevel="1" x14ac:dyDescent="0.25">
      <c r="A35" s="30">
        <v>40148</v>
      </c>
      <c r="B35" s="39">
        <v>5.2710427941470024E-2</v>
      </c>
      <c r="C35" s="39">
        <v>-4.1167719650558612E-2</v>
      </c>
      <c r="D35" s="6">
        <f t="shared" si="0"/>
        <v>-3.6164606137471557E-3</v>
      </c>
    </row>
    <row r="36" spans="1:4" hidden="1" outlineLevel="1" x14ac:dyDescent="0.25">
      <c r="A36" s="30">
        <v>40182</v>
      </c>
      <c r="B36" s="39">
        <v>-9.276986999929468E-2</v>
      </c>
      <c r="C36" s="39">
        <v>-4.9649352712548125E-2</v>
      </c>
      <c r="D36" s="6">
        <f t="shared" si="0"/>
        <v>-6.689755962724675E-2</v>
      </c>
    </row>
    <row r="37" spans="1:4" hidden="1" outlineLevel="1" x14ac:dyDescent="0.25">
      <c r="A37" s="30">
        <v>40210</v>
      </c>
      <c r="B37" s="39">
        <v>6.3346777240967267E-2</v>
      </c>
      <c r="C37" s="39">
        <v>-1.0395649281585149E-2</v>
      </c>
      <c r="D37" s="6">
        <f t="shared" si="0"/>
        <v>1.9101321327435819E-2</v>
      </c>
    </row>
    <row r="38" spans="1:4" hidden="1" outlineLevel="1" x14ac:dyDescent="0.25">
      <c r="A38" s="30">
        <v>40238</v>
      </c>
      <c r="B38" s="39">
        <v>0.13843091369336494</v>
      </c>
      <c r="C38" s="39">
        <v>-5.2299177690205201E-2</v>
      </c>
      <c r="D38" s="6">
        <f t="shared" si="0"/>
        <v>2.3992858863222853E-2</v>
      </c>
    </row>
    <row r="39" spans="1:4" hidden="1" outlineLevel="1" x14ac:dyDescent="0.25">
      <c r="A39" s="30">
        <v>40269</v>
      </c>
      <c r="B39" s="39">
        <v>0.10527966132537296</v>
      </c>
      <c r="C39" s="39">
        <v>-0.12896357210294498</v>
      </c>
      <c r="D39" s="6">
        <f t="shared" si="0"/>
        <v>-3.5266278731617806E-2</v>
      </c>
    </row>
    <row r="40" spans="1:4" hidden="1" outlineLevel="1" x14ac:dyDescent="0.25">
      <c r="A40" s="30">
        <v>40301</v>
      </c>
      <c r="B40" s="39">
        <v>-1.6256125688273504E-2</v>
      </c>
      <c r="C40" s="39">
        <v>-2.9358569459494093E-2</v>
      </c>
      <c r="D40" s="6">
        <f t="shared" si="0"/>
        <v>-2.4117591951005858E-2</v>
      </c>
    </row>
    <row r="41" spans="1:4" hidden="1" outlineLevel="1" x14ac:dyDescent="0.25">
      <c r="A41" s="30">
        <v>40330</v>
      </c>
      <c r="B41" s="39">
        <v>-2.1046783061035752E-2</v>
      </c>
      <c r="C41" s="39">
        <v>1.596405471184585E-3</v>
      </c>
      <c r="D41" s="6">
        <f t="shared" si="0"/>
        <v>-7.4608699417035504E-3</v>
      </c>
    </row>
    <row r="42" spans="1:4" hidden="1" outlineLevel="1" x14ac:dyDescent="0.25">
      <c r="A42" s="30">
        <v>40360</v>
      </c>
      <c r="B42" s="39">
        <v>2.2486107993936241E-2</v>
      </c>
      <c r="C42" s="39">
        <v>-9.5649941531219279E-2</v>
      </c>
      <c r="D42" s="6">
        <f t="shared" si="0"/>
        <v>-4.8395521721157068E-2</v>
      </c>
    </row>
    <row r="43" spans="1:4" hidden="1" outlineLevel="1" x14ac:dyDescent="0.25">
      <c r="A43" s="30">
        <v>40392</v>
      </c>
      <c r="B43" s="39">
        <v>-5.6575493392081351E-2</v>
      </c>
      <c r="C43" s="39">
        <v>-4.8926692260298776E-2</v>
      </c>
      <c r="D43" s="6">
        <f t="shared" si="0"/>
        <v>-5.1986212713011806E-2</v>
      </c>
    </row>
    <row r="44" spans="1:4" hidden="1" outlineLevel="1" x14ac:dyDescent="0.25">
      <c r="A44" s="30">
        <v>40422</v>
      </c>
      <c r="B44" s="39">
        <v>0.15462068747353472</v>
      </c>
      <c r="C44" s="39">
        <v>0.20428859062387794</v>
      </c>
      <c r="D44" s="6">
        <f t="shared" si="0"/>
        <v>0.18442142936374065</v>
      </c>
    </row>
    <row r="45" spans="1:4" hidden="1" outlineLevel="1" x14ac:dyDescent="0.25">
      <c r="A45" s="30">
        <v>40452</v>
      </c>
      <c r="B45" s="39">
        <v>5.8950248562960224E-2</v>
      </c>
      <c r="C45" s="39">
        <v>0.10843903128952363</v>
      </c>
      <c r="D45" s="6">
        <f t="shared" si="0"/>
        <v>8.8643518198898263E-2</v>
      </c>
    </row>
    <row r="46" spans="1:4" hidden="1" outlineLevel="1" x14ac:dyDescent="0.25">
      <c r="A46" s="30">
        <v>40483</v>
      </c>
      <c r="B46" s="39">
        <v>3.3231293656654268E-2</v>
      </c>
      <c r="C46" s="39">
        <v>0.14558950506341742</v>
      </c>
      <c r="D46" s="6">
        <f t="shared" si="0"/>
        <v>0.10064622050071215</v>
      </c>
    </row>
    <row r="47" spans="1:4" hidden="1" outlineLevel="1" x14ac:dyDescent="0.25">
      <c r="A47" s="30">
        <v>40513</v>
      </c>
      <c r="B47" s="39">
        <v>3.6014054427722354E-2</v>
      </c>
      <c r="C47" s="39">
        <v>2.232654849361675E-2</v>
      </c>
      <c r="D47" s="6">
        <f t="shared" si="0"/>
        <v>2.7801550867258995E-2</v>
      </c>
    </row>
    <row r="48" spans="1:4" hidden="1" outlineLevel="1" x14ac:dyDescent="0.25">
      <c r="A48" s="30">
        <v>40546</v>
      </c>
      <c r="B48" s="39">
        <v>5.0654449496584847E-2</v>
      </c>
      <c r="C48" s="39">
        <v>0.10541961681369323</v>
      </c>
      <c r="D48" s="6">
        <f t="shared" si="0"/>
        <v>8.3513549886849878E-2</v>
      </c>
    </row>
    <row r="49" spans="1:4" hidden="1" outlineLevel="1" x14ac:dyDescent="0.25">
      <c r="A49" s="30">
        <v>40575</v>
      </c>
      <c r="B49" s="39">
        <v>4.01191659602591E-2</v>
      </c>
      <c r="C49" s="39">
        <v>0.10687906118330369</v>
      </c>
      <c r="D49" s="6">
        <f t="shared" si="0"/>
        <v>8.0175103094085848E-2</v>
      </c>
    </row>
    <row r="50" spans="1:4" hidden="1" outlineLevel="1" x14ac:dyDescent="0.25">
      <c r="A50" s="30">
        <v>40603</v>
      </c>
      <c r="B50" s="39">
        <v>-1.3395856706299903E-2</v>
      </c>
      <c r="C50" s="39">
        <v>-1.9843939177158147E-2</v>
      </c>
      <c r="D50" s="6">
        <f t="shared" si="0"/>
        <v>-1.726470618881485E-2</v>
      </c>
    </row>
    <row r="51" spans="1:4" hidden="1" outlineLevel="1" x14ac:dyDescent="0.25">
      <c r="A51" s="30">
        <v>40634</v>
      </c>
      <c r="B51" s="39">
        <v>4.6375898988789757E-3</v>
      </c>
      <c r="C51" s="39">
        <v>-0.26529215658624006</v>
      </c>
      <c r="D51" s="6">
        <f t="shared" si="0"/>
        <v>-0.15732025799219246</v>
      </c>
    </row>
    <row r="52" spans="1:4" hidden="1" outlineLevel="1" x14ac:dyDescent="0.25">
      <c r="A52" s="30">
        <v>40665</v>
      </c>
      <c r="B52" s="39">
        <v>-6.5906594228294924E-3</v>
      </c>
      <c r="C52" s="39">
        <v>6.7397847984603548E-2</v>
      </c>
      <c r="D52" s="6">
        <f t="shared" si="0"/>
        <v>3.7802445021630326E-2</v>
      </c>
    </row>
    <row r="53" spans="1:4" hidden="1" outlineLevel="1" x14ac:dyDescent="0.25">
      <c r="A53" s="30">
        <v>40695</v>
      </c>
      <c r="B53" s="39">
        <v>-3.5585320181802882E-2</v>
      </c>
      <c r="C53" s="39">
        <v>0.18034583836025603</v>
      </c>
      <c r="D53" s="6">
        <f t="shared" si="0"/>
        <v>9.3973374943432469E-2</v>
      </c>
    </row>
    <row r="54" spans="1:4" hidden="1" outlineLevel="1" x14ac:dyDescent="0.25">
      <c r="A54" s="30">
        <v>40725</v>
      </c>
      <c r="B54" s="39">
        <v>0.15124821709115263</v>
      </c>
      <c r="C54" s="39">
        <v>0.20324820307949171</v>
      </c>
      <c r="D54" s="6">
        <f t="shared" si="0"/>
        <v>0.18244820868415607</v>
      </c>
    </row>
    <row r="55" spans="1:4" hidden="1" outlineLevel="1" x14ac:dyDescent="0.25">
      <c r="A55" s="30">
        <v>40756</v>
      </c>
      <c r="B55" s="39">
        <v>-1.4575073248301941E-2</v>
      </c>
      <c r="C55" s="39">
        <v>2.1957711353171334E-3</v>
      </c>
      <c r="D55" s="6">
        <f t="shared" si="0"/>
        <v>-4.5125666181304973E-3</v>
      </c>
    </row>
    <row r="56" spans="1:4" hidden="1" outlineLevel="1" x14ac:dyDescent="0.25">
      <c r="A56" s="30">
        <v>40787</v>
      </c>
      <c r="B56" s="39">
        <v>-9.1627607052127934E-3</v>
      </c>
      <c r="C56" s="39">
        <v>2.0000666706669435E-2</v>
      </c>
      <c r="D56" s="6">
        <f t="shared" si="0"/>
        <v>8.3352957419165433E-3</v>
      </c>
    </row>
    <row r="57" spans="1:4" hidden="1" outlineLevel="1" x14ac:dyDescent="0.25">
      <c r="A57" s="30">
        <v>40819</v>
      </c>
      <c r="B57" s="39">
        <v>5.9704792012682126E-2</v>
      </c>
      <c r="C57" s="39">
        <v>-0.22019528503533467</v>
      </c>
      <c r="D57" s="6">
        <f t="shared" si="0"/>
        <v>-0.10823525421612795</v>
      </c>
    </row>
    <row r="58" spans="1:4" hidden="1" outlineLevel="1" x14ac:dyDescent="0.25">
      <c r="A58" s="30">
        <v>40848</v>
      </c>
      <c r="B58" s="39">
        <v>-5.7399677831886937E-2</v>
      </c>
      <c r="C58" s="39">
        <v>-9.6183161090669669E-2</v>
      </c>
      <c r="D58" s="6">
        <f t="shared" si="0"/>
        <v>-8.0669767787156579E-2</v>
      </c>
    </row>
    <row r="59" spans="1:4" hidden="1" outlineLevel="1" x14ac:dyDescent="0.25">
      <c r="A59" s="30">
        <v>40878</v>
      </c>
      <c r="B59" s="39">
        <v>5.794303530036643E-2</v>
      </c>
      <c r="C59" s="39">
        <v>-1.0241494052196907E-2</v>
      </c>
      <c r="D59" s="6">
        <f t="shared" si="0"/>
        <v>1.703231768882843E-2</v>
      </c>
    </row>
    <row r="60" spans="1:4" hidden="1" outlineLevel="1" x14ac:dyDescent="0.25">
      <c r="A60" s="30">
        <v>40911</v>
      </c>
      <c r="B60" s="39">
        <v>0.11965782035865079</v>
      </c>
      <c r="C60" s="39">
        <v>2.4596960000504701E-2</v>
      </c>
      <c r="D60" s="6">
        <f t="shared" si="0"/>
        <v>6.2621304143763143E-2</v>
      </c>
    </row>
    <row r="61" spans="1:4" hidden="1" outlineLevel="1" x14ac:dyDescent="0.25">
      <c r="A61" s="30">
        <v>40940</v>
      </c>
      <c r="B61" s="39">
        <v>0.17253259275455476</v>
      </c>
      <c r="C61" s="39">
        <v>-4.8588347918139083E-2</v>
      </c>
      <c r="D61" s="6">
        <f t="shared" si="0"/>
        <v>3.9860028350938465E-2</v>
      </c>
    </row>
    <row r="62" spans="1:4" hidden="1" outlineLevel="1" x14ac:dyDescent="0.25">
      <c r="A62" s="30">
        <v>40969</v>
      </c>
      <c r="B62" s="39">
        <v>0.1001018936056976</v>
      </c>
      <c r="C62" s="39">
        <v>-5.4754775012495489E-2</v>
      </c>
      <c r="D62" s="6">
        <f t="shared" si="0"/>
        <v>7.1878924347817535E-3</v>
      </c>
    </row>
    <row r="63" spans="1:4" collapsed="1" x14ac:dyDescent="0.25">
      <c r="A63" s="30">
        <v>41001</v>
      </c>
      <c r="B63" s="39">
        <v>-2.6312638158984922E-2</v>
      </c>
      <c r="C63" s="39">
        <v>-2.8446094702639788E-2</v>
      </c>
      <c r="D63" s="6">
        <f t="shared" si="0"/>
        <v>-2.7592712085177842E-2</v>
      </c>
    </row>
    <row r="64" spans="1:4" x14ac:dyDescent="0.25">
      <c r="A64" s="30">
        <v>41030</v>
      </c>
      <c r="B64" s="39">
        <v>-1.0760104160047555E-2</v>
      </c>
      <c r="C64" s="39">
        <v>-1.9193855066193692E-2</v>
      </c>
      <c r="D64" s="6">
        <f t="shared" si="0"/>
        <v>-1.5820354703735238E-2</v>
      </c>
    </row>
    <row r="65" spans="1:4" x14ac:dyDescent="0.25">
      <c r="A65" s="30">
        <v>41061</v>
      </c>
      <c r="B65" s="39">
        <v>1.0794351321817304E-2</v>
      </c>
      <c r="C65" s="39">
        <v>0.10957899438258194</v>
      </c>
      <c r="D65" s="6">
        <f t="shared" si="0"/>
        <v>7.0065137158276086E-2</v>
      </c>
    </row>
    <row r="66" spans="1:4" x14ac:dyDescent="0.25">
      <c r="A66" s="5"/>
    </row>
    <row r="67" spans="1:4" x14ac:dyDescent="0.25">
      <c r="A67" s="5"/>
    </row>
    <row r="68" spans="1:4" x14ac:dyDescent="0.25">
      <c r="A68" s="5"/>
    </row>
    <row r="69" spans="1:4" x14ac:dyDescent="0.25">
      <c r="A69" s="5"/>
    </row>
    <row r="70" spans="1:4" x14ac:dyDescent="0.25">
      <c r="A70" s="5"/>
    </row>
    <row r="71" spans="1:4" x14ac:dyDescent="0.25">
      <c r="A71" s="5"/>
    </row>
    <row r="72" spans="1:4" x14ac:dyDescent="0.25">
      <c r="A72" s="5"/>
    </row>
    <row r="73" spans="1:4" x14ac:dyDescent="0.25">
      <c r="A73" s="5"/>
    </row>
  </sheetData>
  <printOptions headings="1" gridLines="1"/>
  <pageMargins left="0.7" right="0.7" top="0.75" bottom="0.75" header="0.3" footer="0.3"/>
  <pageSetup paperSize="9" orientation="portrait" verticalDpi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37"/>
  <sheetViews>
    <sheetView showGridLines="0" zoomScale="145" zoomScaleNormal="145" workbookViewId="0">
      <selection activeCell="B12" sqref="B12"/>
    </sheetView>
  </sheetViews>
  <sheetFormatPr defaultColWidth="9" defaultRowHeight="15" x14ac:dyDescent="0.25"/>
  <cols>
    <col min="1" max="1" width="28.25" style="1" bestFit="1" customWidth="1"/>
    <col min="2" max="16384" width="9" style="1"/>
  </cols>
  <sheetData>
    <row r="1" spans="1:10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1" t="s">
        <v>21</v>
      </c>
      <c r="B2" s="3" t="s">
        <v>7</v>
      </c>
      <c r="C2" s="3" t="s">
        <v>22</v>
      </c>
    </row>
    <row r="3" spans="1:10" x14ac:dyDescent="0.25">
      <c r="A3" s="16" t="s">
        <v>23</v>
      </c>
      <c r="B3" s="10">
        <f>'pg198'!E2</f>
        <v>2.6092535382995975E-2</v>
      </c>
      <c r="C3" s="10">
        <f>'pg198'!F2</f>
        <v>-2.4269022221436731E-3</v>
      </c>
      <c r="E3" s="1" t="str">
        <f ca="1">_xlfn.FORMULATEXT(C3)</f>
        <v>='pg198'!F2</v>
      </c>
    </row>
    <row r="4" spans="1:10" x14ac:dyDescent="0.25">
      <c r="A4" s="16" t="s">
        <v>12</v>
      </c>
      <c r="B4" s="17">
        <f>'pg198'!E3</f>
        <v>1.2477690692371124E-2</v>
      </c>
      <c r="C4" s="17">
        <f>'pg198'!F3</f>
        <v>1.0175180168436861E-2</v>
      </c>
      <c r="E4" s="1" t="str">
        <f t="shared" ref="E4:E5" ca="1" si="0">_xlfn.FORMULATEXT(C4)</f>
        <v>='pg198'!F3</v>
      </c>
    </row>
    <row r="5" spans="1:10" x14ac:dyDescent="0.25">
      <c r="A5" s="16" t="s">
        <v>13</v>
      </c>
      <c r="B5" s="10">
        <f>'pg198'!E4</f>
        <v>0.11170358406233492</v>
      </c>
      <c r="C5" s="10">
        <f>'pg198'!F4</f>
        <v>0.10087209806699204</v>
      </c>
      <c r="E5" s="1" t="str">
        <f t="shared" ca="1" si="0"/>
        <v>='pg198'!F4</v>
      </c>
    </row>
    <row r="6" spans="1:10" x14ac:dyDescent="0.25">
      <c r="A6" s="16" t="s">
        <v>24</v>
      </c>
      <c r="B6" s="17">
        <f>'pg203'!H9</f>
        <v>1.98912626457544E-3</v>
      </c>
      <c r="C6" s="10"/>
    </row>
    <row r="8" spans="1:10" x14ac:dyDescent="0.25">
      <c r="A8" s="18" t="s">
        <v>16</v>
      </c>
      <c r="B8" s="37">
        <v>0.5</v>
      </c>
    </row>
    <row r="10" spans="1:10" x14ac:dyDescent="0.25">
      <c r="A10" s="18" t="s">
        <v>25</v>
      </c>
      <c r="B10" s="10">
        <f>B8*B3+(1-B8)*C3</f>
        <v>1.1832816580426151E-2</v>
      </c>
      <c r="C10" s="1" t="str">
        <f ca="1">_xlfn.FORMULATEXT(B10)</f>
        <v>=B8*B3+(1-B8)*C3</v>
      </c>
    </row>
    <row r="11" spans="1:10" x14ac:dyDescent="0.25">
      <c r="A11" s="1" t="s">
        <v>26</v>
      </c>
      <c r="B11" s="11">
        <f>B8^2*B4+(1-B8)^2*C4+2*B8*(1-B8)*B6</f>
        <v>6.6577808474897167E-3</v>
      </c>
      <c r="C11" s="1" t="str">
        <f t="shared" ref="C11:C12" ca="1" si="1">_xlfn.FORMULATEXT(B11)</f>
        <v>=B8^2*B4+(1-B8)^2*C4+2*B8*(1-B8)*B6</v>
      </c>
    </row>
    <row r="12" spans="1:10" x14ac:dyDescent="0.25">
      <c r="A12" s="18" t="s">
        <v>27</v>
      </c>
      <c r="B12" s="6">
        <f>SQRT(B11)</f>
        <v>8.1595225641514821E-2</v>
      </c>
      <c r="C12" s="1" t="str">
        <f t="shared" ca="1" si="1"/>
        <v>=SQRT(B11)</v>
      </c>
    </row>
    <row r="14" spans="1:10" x14ac:dyDescent="0.25">
      <c r="A14" s="9" t="s">
        <v>50</v>
      </c>
    </row>
    <row r="15" spans="1:10" ht="45" x14ac:dyDescent="0.25">
      <c r="B15" s="13" t="s">
        <v>28</v>
      </c>
      <c r="C15" s="13" t="s">
        <v>25</v>
      </c>
    </row>
    <row r="16" spans="1:10" x14ac:dyDescent="0.25">
      <c r="A16" s="1" t="s">
        <v>16</v>
      </c>
      <c r="B16" s="10">
        <f>B12</f>
        <v>8.1595225641514821E-2</v>
      </c>
      <c r="C16" s="10">
        <f>B10</f>
        <v>1.1832816580426151E-2</v>
      </c>
    </row>
    <row r="17" spans="1:3" x14ac:dyDescent="0.25">
      <c r="A17" s="14">
        <v>-0.5</v>
      </c>
      <c r="B17" s="6">
        <f t="dataTable" ref="B17:C37" dt2D="0" dtr="0" r1="B8"/>
        <v>0.15175601686658938</v>
      </c>
      <c r="C17" s="6">
        <v>-1.6686621024713497E-2</v>
      </c>
    </row>
    <row r="18" spans="1:3" x14ac:dyDescent="0.25">
      <c r="A18" s="14">
        <v>-0.4</v>
      </c>
      <c r="B18" s="6">
        <v>0.14039929566985415</v>
      </c>
      <c r="C18" s="6">
        <v>-1.3834677264199534E-2</v>
      </c>
    </row>
    <row r="19" spans="1:3" x14ac:dyDescent="0.25">
      <c r="A19" s="14">
        <v>-0.3</v>
      </c>
      <c r="B19" s="6">
        <v>0.12948949054113562</v>
      </c>
      <c r="C19" s="6">
        <v>-1.0982733503685569E-2</v>
      </c>
    </row>
    <row r="20" spans="1:3" x14ac:dyDescent="0.25">
      <c r="A20" s="14">
        <v>-0.2</v>
      </c>
      <c r="B20" s="6">
        <v>0.11914942913521538</v>
      </c>
      <c r="C20" s="6">
        <v>-8.1307897431716035E-3</v>
      </c>
    </row>
    <row r="21" spans="1:3" x14ac:dyDescent="0.25">
      <c r="A21" s="14">
        <v>-0.1</v>
      </c>
      <c r="B21" s="6">
        <v>0.10954057299706679</v>
      </c>
      <c r="C21" s="6">
        <v>-5.2788459826576383E-3</v>
      </c>
    </row>
    <row r="22" spans="1:3" x14ac:dyDescent="0.25">
      <c r="A22" s="14">
        <v>0</v>
      </c>
      <c r="B22" s="6">
        <v>0.10087209806699204</v>
      </c>
      <c r="C22" s="6">
        <v>-2.4269022221436731E-3</v>
      </c>
    </row>
    <row r="23" spans="1:3" x14ac:dyDescent="0.25">
      <c r="A23" s="14">
        <v>0.1</v>
      </c>
      <c r="B23" s="6">
        <v>9.3406185935307029E-2</v>
      </c>
      <c r="C23" s="6">
        <v>4.2504153837029206E-4</v>
      </c>
    </row>
    <row r="24" spans="1:3" x14ac:dyDescent="0.25">
      <c r="A24" s="14">
        <v>0.2</v>
      </c>
      <c r="B24" s="6">
        <v>8.7451377005502776E-2</v>
      </c>
      <c r="C24" s="6">
        <v>3.2769852988842572E-3</v>
      </c>
    </row>
    <row r="25" spans="1:3" x14ac:dyDescent="0.25">
      <c r="A25" s="14">
        <v>0.3</v>
      </c>
      <c r="B25" s="6">
        <v>8.3332247515407548E-2</v>
      </c>
      <c r="C25" s="6">
        <v>6.1289290593982216E-3</v>
      </c>
    </row>
    <row r="26" spans="1:3" x14ac:dyDescent="0.25">
      <c r="A26" s="14">
        <v>0.4</v>
      </c>
      <c r="B26" s="6">
        <v>8.1328199158796452E-2</v>
      </c>
      <c r="C26" s="6">
        <v>8.9808728199121876E-3</v>
      </c>
    </row>
    <row r="27" spans="1:3" x14ac:dyDescent="0.25">
      <c r="A27" s="14">
        <v>0.5</v>
      </c>
      <c r="B27" s="6">
        <v>8.1595225641514821E-2</v>
      </c>
      <c r="C27" s="6">
        <v>1.1832816580426151E-2</v>
      </c>
    </row>
    <row r="28" spans="1:3" x14ac:dyDescent="0.25">
      <c r="A28" s="14">
        <v>0.6</v>
      </c>
      <c r="B28" s="6">
        <v>8.4111700037507939E-2</v>
      </c>
      <c r="C28" s="6">
        <v>1.4684760340940116E-2</v>
      </c>
    </row>
    <row r="29" spans="1:3" x14ac:dyDescent="0.25">
      <c r="A29" s="14">
        <v>0.7</v>
      </c>
      <c r="B29" s="6">
        <v>8.8686344414136573E-2</v>
      </c>
      <c r="C29" s="6">
        <v>1.7536704101454078E-2</v>
      </c>
    </row>
    <row r="30" spans="1:3" x14ac:dyDescent="0.25">
      <c r="A30" s="14">
        <v>0.8</v>
      </c>
      <c r="B30" s="6">
        <v>9.5022363970378762E-2</v>
      </c>
      <c r="C30" s="6">
        <v>2.0388647861968048E-2</v>
      </c>
    </row>
    <row r="31" spans="1:3" x14ac:dyDescent="0.25">
      <c r="A31" s="14">
        <v>0.9</v>
      </c>
      <c r="B31" s="6">
        <v>0.10279457179310861</v>
      </c>
      <c r="C31" s="6">
        <v>2.3240591622482008E-2</v>
      </c>
    </row>
    <row r="32" spans="1:3" x14ac:dyDescent="0.25">
      <c r="A32" s="14">
        <v>1</v>
      </c>
      <c r="B32" s="6">
        <v>0.11170358406233492</v>
      </c>
      <c r="C32" s="6">
        <v>2.6092535382995975E-2</v>
      </c>
    </row>
    <row r="33" spans="1:3" x14ac:dyDescent="0.25">
      <c r="A33" s="14">
        <v>1.1000000000000001</v>
      </c>
      <c r="B33" s="6">
        <v>0.12149958749414269</v>
      </c>
      <c r="C33" s="6">
        <v>2.8944479143509942E-2</v>
      </c>
    </row>
    <row r="34" spans="1:3" x14ac:dyDescent="0.25">
      <c r="A34" s="14">
        <v>1.2</v>
      </c>
      <c r="B34" s="6">
        <v>0.13198523097966561</v>
      </c>
      <c r="C34" s="6">
        <v>3.1796422904023909E-2</v>
      </c>
    </row>
    <row r="35" spans="1:3" x14ac:dyDescent="0.25">
      <c r="A35" s="14">
        <v>1.3</v>
      </c>
      <c r="B35" s="6">
        <v>0.1430088983206908</v>
      </c>
      <c r="C35" s="6">
        <v>3.4648366664537869E-2</v>
      </c>
    </row>
    <row r="36" spans="1:3" x14ac:dyDescent="0.25">
      <c r="A36" s="14">
        <v>1.4</v>
      </c>
      <c r="B36" s="6">
        <v>0.15445543424455094</v>
      </c>
      <c r="C36" s="6">
        <v>3.7500310425051829E-2</v>
      </c>
    </row>
    <row r="37" spans="1:3" x14ac:dyDescent="0.25">
      <c r="A37" s="14">
        <v>1.5</v>
      </c>
      <c r="B37" s="6">
        <v>0.16623750991602673</v>
      </c>
      <c r="C37" s="6">
        <v>4.0352254185565803E-2</v>
      </c>
    </row>
  </sheetData>
  <printOptions headings="1" gridLines="1"/>
  <pageMargins left="0.7" right="0.7" top="0.75" bottom="0.75" header="0.3" footer="0.3"/>
  <pageSetup paperSize="9" orientation="portrait" verticalDpi="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45"/>
  <sheetViews>
    <sheetView showGridLines="0" zoomScaleNormal="100" workbookViewId="0">
      <selection activeCell="A26" sqref="A26:A45"/>
    </sheetView>
  </sheetViews>
  <sheetFormatPr defaultColWidth="9" defaultRowHeight="15" outlineLevelRow="1" x14ac:dyDescent="0.25"/>
  <cols>
    <col min="1" max="3" width="13.75" style="1" customWidth="1"/>
    <col min="4" max="4" width="11.25" style="1" customWidth="1"/>
    <col min="5" max="5" width="13.75" style="1" customWidth="1"/>
    <col min="6" max="6" width="9" style="1"/>
    <col min="7" max="7" width="16.25" style="1" customWidth="1"/>
    <col min="8" max="8" width="13.75" style="1" customWidth="1"/>
    <col min="9" max="9" width="12.75" style="1" customWidth="1"/>
    <col min="10" max="10" width="9" style="1"/>
    <col min="11" max="11" width="9.5" style="1" bestFit="1" customWidth="1"/>
    <col min="12" max="12" width="19.375" style="1" bestFit="1" customWidth="1"/>
    <col min="13" max="16384" width="9" style="1"/>
  </cols>
  <sheetData>
    <row r="1" spans="1:13" x14ac:dyDescent="0.25">
      <c r="A1" s="24" t="s">
        <v>29</v>
      </c>
      <c r="B1" s="24"/>
      <c r="C1" s="24"/>
      <c r="D1" s="24"/>
      <c r="E1" s="24"/>
      <c r="F1" s="24"/>
      <c r="G1" s="24"/>
    </row>
    <row r="2" spans="1:13" ht="45" x14ac:dyDescent="0.25">
      <c r="A2" s="19" t="s">
        <v>30</v>
      </c>
      <c r="B2" s="20"/>
      <c r="C2" s="20"/>
      <c r="D2" s="20"/>
      <c r="F2" s="4" t="s">
        <v>31</v>
      </c>
      <c r="H2" s="7"/>
      <c r="I2" s="7"/>
      <c r="J2" s="7"/>
      <c r="K2" s="7"/>
      <c r="M2" s="8"/>
    </row>
    <row r="3" spans="1:13" x14ac:dyDescent="0.25">
      <c r="A3" s="42">
        <v>0.1</v>
      </c>
      <c r="B3" s="42">
        <v>0.01</v>
      </c>
      <c r="C3" s="42">
        <v>0.03</v>
      </c>
      <c r="D3" s="42">
        <v>0.05</v>
      </c>
      <c r="F3" s="37">
        <v>0.06</v>
      </c>
      <c r="H3" s="47" t="s">
        <v>89</v>
      </c>
      <c r="I3" s="7"/>
      <c r="J3" s="7"/>
      <c r="K3" s="7"/>
      <c r="M3" s="8"/>
    </row>
    <row r="4" spans="1:13" x14ac:dyDescent="0.25">
      <c r="A4" s="42">
        <v>0.01</v>
      </c>
      <c r="B4" s="42">
        <v>0.3</v>
      </c>
      <c r="C4" s="42">
        <v>0.06</v>
      </c>
      <c r="D4" s="42">
        <v>-0.04</v>
      </c>
      <c r="F4" s="37">
        <v>0.08</v>
      </c>
      <c r="H4" s="46" t="s">
        <v>91</v>
      </c>
      <c r="I4" s="37">
        <v>7.0000000000000007E-2</v>
      </c>
      <c r="J4" s="7"/>
      <c r="K4" s="7"/>
      <c r="M4" s="8"/>
    </row>
    <row r="5" spans="1:13" x14ac:dyDescent="0.25">
      <c r="A5" s="42">
        <v>0.03</v>
      </c>
      <c r="B5" s="42">
        <v>0.06</v>
      </c>
      <c r="C5" s="42">
        <v>0.4</v>
      </c>
      <c r="D5" s="42">
        <v>0.02</v>
      </c>
      <c r="F5" s="37">
        <v>0.1</v>
      </c>
      <c r="H5" s="46" t="s">
        <v>90</v>
      </c>
      <c r="I5" s="37">
        <v>0.11</v>
      </c>
      <c r="J5" s="7"/>
      <c r="K5" s="7"/>
      <c r="M5" s="8"/>
    </row>
    <row r="6" spans="1:13" x14ac:dyDescent="0.25">
      <c r="A6" s="42">
        <v>0.05</v>
      </c>
      <c r="B6" s="42">
        <v>-0.04</v>
      </c>
      <c r="C6" s="42">
        <v>0.02</v>
      </c>
      <c r="D6" s="42">
        <v>0.5</v>
      </c>
      <c r="F6" s="37">
        <v>0.15</v>
      </c>
      <c r="H6" s="7"/>
      <c r="I6" s="7"/>
      <c r="J6" s="7"/>
      <c r="K6" s="7"/>
    </row>
    <row r="7" spans="1:13" x14ac:dyDescent="0.25">
      <c r="H7" s="48" t="s">
        <v>92</v>
      </c>
    </row>
    <row r="8" spans="1:13" x14ac:dyDescent="0.25">
      <c r="A8" s="1" t="s">
        <v>32</v>
      </c>
      <c r="B8" s="37">
        <v>0.69564432756896755</v>
      </c>
      <c r="C8" s="37">
        <v>0.19671312039425304</v>
      </c>
      <c r="D8" s="37">
        <v>7.2441841857999623E-2</v>
      </c>
      <c r="E8" s="37">
        <v>3.5200710178779862E-2</v>
      </c>
      <c r="F8" s="7">
        <f>SUM(B8:E8)</f>
        <v>1</v>
      </c>
      <c r="H8" s="7"/>
      <c r="I8" s="7"/>
      <c r="J8" s="7"/>
      <c r="K8" s="7"/>
    </row>
    <row r="9" spans="1:13" x14ac:dyDescent="0.25">
      <c r="A9" s="1" t="s">
        <v>33</v>
      </c>
      <c r="B9" s="37">
        <v>0.12177280288257185</v>
      </c>
      <c r="C9" s="37">
        <v>0.26333906371163723</v>
      </c>
      <c r="D9" s="37">
        <v>0.2121342567798388</v>
      </c>
      <c r="E9" s="37">
        <v>0.40275387662595213</v>
      </c>
      <c r="F9" s="7">
        <f>SUM(B9:E9)</f>
        <v>1</v>
      </c>
      <c r="H9" s="7"/>
      <c r="I9" s="7"/>
      <c r="J9" s="7"/>
      <c r="K9" s="7"/>
    </row>
    <row r="10" spans="1:13" x14ac:dyDescent="0.25">
      <c r="H10" s="7"/>
      <c r="I10" s="7"/>
      <c r="J10" s="7"/>
      <c r="K10" s="7"/>
    </row>
    <row r="11" spans="1:13" x14ac:dyDescent="0.25">
      <c r="A11" s="9" t="s">
        <v>34</v>
      </c>
      <c r="H11" s="7"/>
      <c r="I11" s="7"/>
      <c r="J11" s="7"/>
      <c r="K11" s="7"/>
    </row>
    <row r="12" spans="1:13" ht="18" x14ac:dyDescent="0.35">
      <c r="A12" s="1" t="s">
        <v>51</v>
      </c>
      <c r="B12" s="6">
        <f t="array" ref="B12">MMULT(B8:E8,F3:F6)</f>
        <v>6.9999999998295245E-2</v>
      </c>
      <c r="D12" s="1" t="s">
        <v>52</v>
      </c>
      <c r="E12" s="10">
        <f t="array" ref="E12">MMULT(B9:E9,F3:F6)</f>
        <v>0.11000000044176199</v>
      </c>
      <c r="H12" s="1" t="s">
        <v>51</v>
      </c>
      <c r="I12" s="6" t="str">
        <f ca="1">_xlfn.FORMULATEXT(B12)</f>
        <v>{=MMULT(B8:E8,F3:F6)}</v>
      </c>
      <c r="K12" s="1" t="s">
        <v>52</v>
      </c>
      <c r="L12" s="6" t="str">
        <f t="shared" ref="L12:L13" ca="1" si="0">_xlfn.FORMULATEXT(E12)</f>
        <v>{=MMULT(B9:E9,F3:F6)}</v>
      </c>
    </row>
    <row r="13" spans="1:13" ht="18.75" x14ac:dyDescent="0.35">
      <c r="A13" s="1" t="s">
        <v>53</v>
      </c>
      <c r="B13" s="1">
        <f t="array" ref="B13">MMULT(MMULT(B8:E8,A3:D6),TRANSPOSE(B8:E8))</f>
        <v>7.2186858032320805E-2</v>
      </c>
      <c r="D13" s="1" t="s">
        <v>54</v>
      </c>
      <c r="E13" s="1">
        <f t="array" ref="E13">MMULT(MMULT(B9:E9,A3:D6),TRANSPOSE(B9:E9))</f>
        <v>0.13012478642305811</v>
      </c>
      <c r="F13" s="40"/>
      <c r="G13" s="40"/>
      <c r="H13" s="1" t="s">
        <v>53</v>
      </c>
      <c r="I13" s="6" t="str">
        <f t="shared" ref="I13:I15" ca="1" si="1">_xlfn.FORMULATEXT(B13)</f>
        <v>{=MMULT(MMULT(B8:E8,A3:D6),TRANSPOSE(B8:E8))}</v>
      </c>
      <c r="K13" s="1" t="s">
        <v>54</v>
      </c>
      <c r="L13" s="6" t="str">
        <f t="shared" ca="1" si="0"/>
        <v>{=MMULT(MMULT(B9:E9,A3:D6),TRANSPOSE(B9:E9))}</v>
      </c>
    </row>
    <row r="14" spans="1:13" x14ac:dyDescent="0.25">
      <c r="A14" s="1" t="s">
        <v>35</v>
      </c>
      <c r="B14" s="1">
        <f t="array" ref="B14">MMULT(MMULT(B8:E8,A3:D6),TRANSPOSE(B9:E9))</f>
        <v>5.9074870764382788E-2</v>
      </c>
      <c r="F14" s="40"/>
      <c r="G14" s="40"/>
      <c r="H14" s="1" t="s">
        <v>35</v>
      </c>
      <c r="I14" s="6" t="str">
        <f t="shared" ca="1" si="1"/>
        <v>{=MMULT(MMULT(B8:E8,A3:D6),TRANSPOSE(B9:E9))}</v>
      </c>
    </row>
    <row r="15" spans="1:13" ht="18" x14ac:dyDescent="0.35">
      <c r="A15" s="1" t="s">
        <v>55</v>
      </c>
      <c r="B15" s="11">
        <f>B14/SQRT(B13*E13)</f>
        <v>0.60952804914238623</v>
      </c>
      <c r="F15" s="40"/>
      <c r="G15" s="40"/>
      <c r="H15" s="1" t="s">
        <v>55</v>
      </c>
      <c r="I15" s="6" t="str">
        <f t="shared" ca="1" si="1"/>
        <v>=B14/SQRT(B13*E13)</v>
      </c>
    </row>
    <row r="17" spans="1:3" outlineLevel="1" x14ac:dyDescent="0.25">
      <c r="A17" s="9" t="s">
        <v>36</v>
      </c>
    </row>
    <row r="18" spans="1:3" outlineLevel="1" x14ac:dyDescent="0.25">
      <c r="A18" s="1" t="s">
        <v>37</v>
      </c>
      <c r="B18" s="37">
        <v>0.3</v>
      </c>
    </row>
    <row r="19" spans="1:3" ht="33" outlineLevel="1" x14ac:dyDescent="0.35">
      <c r="A19" s="12" t="s">
        <v>56</v>
      </c>
      <c r="B19" s="6">
        <f>B18*B12+(1-B18)*E12</f>
        <v>9.8000000308721968E-2</v>
      </c>
      <c r="C19" s="1" t="str">
        <f ca="1">_xlfn.FORMULATEXT(B19)</f>
        <v>=B18*B12+(1-B18)*E12</v>
      </c>
    </row>
    <row r="20" spans="1:3" ht="33.75" outlineLevel="1" x14ac:dyDescent="0.35">
      <c r="A20" s="12" t="s">
        <v>57</v>
      </c>
      <c r="B20" s="11">
        <f>B18^2*B13+(1-B18)^2*E13+2*B18*(1-B18)*B14</f>
        <v>9.5069408291248103E-2</v>
      </c>
      <c r="C20" s="1" t="str">
        <f ca="1">_xlfn.FORMULATEXT(B20)</f>
        <v>=B18^2*B13+(1-B18)^2*E13+2*B18*(1-B18)*B14</v>
      </c>
    </row>
    <row r="21" spans="1:3" ht="48" outlineLevel="1" x14ac:dyDescent="0.35">
      <c r="A21" s="12" t="s">
        <v>58</v>
      </c>
      <c r="B21" s="6">
        <f>SQRT(B20)</f>
        <v>0.30833327470652289</v>
      </c>
      <c r="C21" s="1" t="str">
        <f ca="1">_xlfn.FORMULATEXT(B21)</f>
        <v>=SQRT(B20)</v>
      </c>
    </row>
    <row r="23" spans="1:3" x14ac:dyDescent="0.25">
      <c r="A23" s="9" t="s">
        <v>38</v>
      </c>
    </row>
    <row r="24" spans="1:3" ht="30" x14ac:dyDescent="0.25">
      <c r="A24" s="4" t="s">
        <v>37</v>
      </c>
      <c r="B24" s="4" t="s">
        <v>13</v>
      </c>
      <c r="C24" s="4" t="s">
        <v>39</v>
      </c>
    </row>
    <row r="25" spans="1:3" x14ac:dyDescent="0.25">
      <c r="B25" s="10">
        <f>B21</f>
        <v>0.30833327470652289</v>
      </c>
      <c r="C25" s="10">
        <f>B19</f>
        <v>9.8000000308721968E-2</v>
      </c>
    </row>
    <row r="26" spans="1:3" x14ac:dyDescent="0.25">
      <c r="A26" s="52">
        <v>-0.5</v>
      </c>
      <c r="B26" s="6">
        <f t="dataTable" ref="B26:C45" dt2D="0" dtr="0" r1="B18"/>
        <v>0.47139704900793217</v>
      </c>
      <c r="C26" s="6">
        <v>0.13000000066349535</v>
      </c>
    </row>
    <row r="27" spans="1:3" x14ac:dyDescent="0.25">
      <c r="A27" s="52">
        <v>-0.4</v>
      </c>
      <c r="B27" s="6">
        <v>0.44769478824111458</v>
      </c>
      <c r="C27" s="6">
        <v>0.12600000061914868</v>
      </c>
    </row>
    <row r="28" spans="1:3" x14ac:dyDescent="0.25">
      <c r="A28" s="52">
        <v>-0.3</v>
      </c>
      <c r="B28" s="6">
        <v>0.42465198348960825</v>
      </c>
      <c r="C28" s="6">
        <v>0.12200000057480204</v>
      </c>
    </row>
    <row r="29" spans="1:3" x14ac:dyDescent="0.25">
      <c r="A29" s="52">
        <v>-0.2</v>
      </c>
      <c r="B29" s="6">
        <v>0.40238194393336385</v>
      </c>
      <c r="C29" s="6">
        <v>0.11800000053045533</v>
      </c>
    </row>
    <row r="30" spans="1:3" x14ac:dyDescent="0.25">
      <c r="A30" s="52">
        <v>-0.1</v>
      </c>
      <c r="B30" s="6">
        <v>0.38102019445701213</v>
      </c>
      <c r="C30" s="6">
        <v>0.11400000048610867</v>
      </c>
    </row>
    <row r="31" spans="1:3" x14ac:dyDescent="0.25">
      <c r="A31" s="52">
        <v>0</v>
      </c>
      <c r="B31" s="6">
        <v>0.36072813367279533</v>
      </c>
      <c r="C31" s="6">
        <v>0.11000000044176199</v>
      </c>
    </row>
    <row r="32" spans="1:3" x14ac:dyDescent="0.25">
      <c r="A32" s="52">
        <v>0.1</v>
      </c>
      <c r="B32" s="6">
        <v>0.3416963890950403</v>
      </c>
      <c r="C32" s="6">
        <v>0.10600000039741531</v>
      </c>
    </row>
    <row r="33" spans="1:3" x14ac:dyDescent="0.25">
      <c r="A33" s="52">
        <v>0.2</v>
      </c>
      <c r="B33" s="6">
        <v>0.32414702879504004</v>
      </c>
      <c r="C33" s="6">
        <v>0.10200000035306865</v>
      </c>
    </row>
    <row r="34" spans="1:3" x14ac:dyDescent="0.25">
      <c r="A34" s="52">
        <v>0.3</v>
      </c>
      <c r="B34" s="6">
        <v>0.30833327470652289</v>
      </c>
      <c r="C34" s="6">
        <v>9.8000000308721968E-2</v>
      </c>
    </row>
    <row r="35" spans="1:3" x14ac:dyDescent="0.25">
      <c r="A35" s="52">
        <v>0.4</v>
      </c>
      <c r="B35" s="6">
        <v>0.29453481689670574</v>
      </c>
      <c r="C35" s="6">
        <v>9.4000000264375286E-2</v>
      </c>
    </row>
    <row r="36" spans="1:3" x14ac:dyDescent="0.25">
      <c r="A36" s="52">
        <v>0.5</v>
      </c>
      <c r="B36" s="6">
        <v>0.28304654475198265</v>
      </c>
      <c r="C36" s="6">
        <v>9.0000000220028617E-2</v>
      </c>
    </row>
    <row r="37" spans="1:3" x14ac:dyDescent="0.25">
      <c r="A37" s="52">
        <v>0.6</v>
      </c>
      <c r="B37" s="6">
        <v>0.27415902809542586</v>
      </c>
      <c r="C37" s="6">
        <v>8.6000000175681948E-2</v>
      </c>
    </row>
    <row r="38" spans="1:3" x14ac:dyDescent="0.25">
      <c r="A38" s="52">
        <v>0.7</v>
      </c>
      <c r="B38" s="6">
        <v>0.26813100703751741</v>
      </c>
      <c r="C38" s="6">
        <v>8.2000000131335266E-2</v>
      </c>
    </row>
    <row r="39" spans="1:3" x14ac:dyDescent="0.25">
      <c r="A39" s="52">
        <v>0.8</v>
      </c>
      <c r="B39" s="6">
        <v>0.26515757436326448</v>
      </c>
      <c r="C39" s="6">
        <v>7.8000000086988597E-2</v>
      </c>
    </row>
    <row r="40" spans="1:3" x14ac:dyDescent="0.25">
      <c r="A40" s="52">
        <v>0.9</v>
      </c>
      <c r="B40" s="6">
        <v>0.26534143967348811</v>
      </c>
      <c r="C40" s="6">
        <v>7.4000000042641928E-2</v>
      </c>
    </row>
    <row r="41" spans="1:3" x14ac:dyDescent="0.25">
      <c r="A41" s="52">
        <v>1</v>
      </c>
      <c r="B41" s="6">
        <v>0.26867612106832423</v>
      </c>
      <c r="C41" s="6">
        <v>6.9999999998295245E-2</v>
      </c>
    </row>
    <row r="42" spans="1:3" x14ac:dyDescent="0.25">
      <c r="A42" s="52">
        <v>1.1000000000000001</v>
      </c>
      <c r="B42" s="6">
        <v>0.27504704054974771</v>
      </c>
      <c r="C42" s="6">
        <v>6.5999999953948563E-2</v>
      </c>
    </row>
    <row r="43" spans="1:3" x14ac:dyDescent="0.25">
      <c r="A43" s="52">
        <v>1.2</v>
      </c>
      <c r="B43" s="6">
        <v>0.28425011707396103</v>
      </c>
      <c r="C43" s="6">
        <v>6.1999999909601901E-2</v>
      </c>
    </row>
    <row r="44" spans="1:3" x14ac:dyDescent="0.25">
      <c r="A44" s="52">
        <v>1.3</v>
      </c>
      <c r="B44" s="6">
        <v>0.29602131959789457</v>
      </c>
      <c r="C44" s="6">
        <v>5.7999999865255225E-2</v>
      </c>
    </row>
    <row r="45" spans="1:3" x14ac:dyDescent="0.25">
      <c r="A45" s="52">
        <v>1.4</v>
      </c>
      <c r="B45" s="6">
        <v>0.31006830266076751</v>
      </c>
      <c r="C45" s="6">
        <v>5.3999999820908556E-2</v>
      </c>
    </row>
  </sheetData>
  <printOptions headings="1" gridLines="1"/>
  <pageMargins left="0.7" right="0.7" top="0.75" bottom="0.75" header="0.3" footer="0.3"/>
  <pageSetup paperSize="9" orientation="portrait" verticalDpi="4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9"/>
  <sheetViews>
    <sheetView showGridLines="0" zoomScale="115" zoomScaleNormal="115" workbookViewId="0"/>
  </sheetViews>
  <sheetFormatPr defaultColWidth="9" defaultRowHeight="15" x14ac:dyDescent="0.25"/>
  <cols>
    <col min="1" max="3" width="13.75" style="1" customWidth="1"/>
    <col min="4" max="4" width="11.25" style="1" customWidth="1"/>
    <col min="5" max="5" width="13.75" style="1" customWidth="1"/>
    <col min="6" max="6" width="9" style="1"/>
    <col min="7" max="7" width="34.625" style="1" customWidth="1"/>
    <col min="8" max="16384" width="9" style="1"/>
  </cols>
  <sheetData>
    <row r="1" spans="1:13" x14ac:dyDescent="0.25">
      <c r="A1" s="24" t="s">
        <v>29</v>
      </c>
      <c r="B1" s="24"/>
      <c r="C1" s="24"/>
      <c r="D1" s="24"/>
      <c r="E1" s="24"/>
      <c r="F1" s="24"/>
      <c r="G1" s="24"/>
    </row>
    <row r="2" spans="1:13" ht="45" x14ac:dyDescent="0.25">
      <c r="A2" s="19" t="s">
        <v>30</v>
      </c>
      <c r="B2" s="20"/>
      <c r="C2" s="20"/>
      <c r="D2" s="20"/>
      <c r="F2" s="4" t="s">
        <v>31</v>
      </c>
      <c r="H2" s="7"/>
      <c r="I2" s="7"/>
      <c r="J2" s="7"/>
      <c r="K2" s="7"/>
      <c r="M2" s="8"/>
    </row>
    <row r="3" spans="1:13" x14ac:dyDescent="0.25">
      <c r="A3" s="7">
        <v>0.1</v>
      </c>
      <c r="B3" s="7">
        <v>0.01</v>
      </c>
      <c r="C3" s="7">
        <v>0.03</v>
      </c>
      <c r="D3" s="7">
        <v>0.05</v>
      </c>
      <c r="F3" s="8">
        <v>0.06</v>
      </c>
      <c r="H3" s="7"/>
      <c r="I3" s="7"/>
      <c r="J3" s="7"/>
      <c r="K3" s="7"/>
      <c r="M3" s="8"/>
    </row>
    <row r="4" spans="1:13" x14ac:dyDescent="0.25">
      <c r="A4" s="7">
        <v>0.01</v>
      </c>
      <c r="B4" s="7">
        <v>0.3</v>
      </c>
      <c r="C4" s="7">
        <v>0.06</v>
      </c>
      <c r="D4" s="7">
        <v>-0.04</v>
      </c>
      <c r="F4" s="8">
        <v>0.08</v>
      </c>
      <c r="H4" s="7"/>
      <c r="I4" s="7"/>
      <c r="J4" s="7"/>
      <c r="K4" s="7"/>
      <c r="M4" s="8"/>
    </row>
    <row r="5" spans="1:13" x14ac:dyDescent="0.25">
      <c r="A5" s="7">
        <v>0.03</v>
      </c>
      <c r="B5" s="7">
        <v>0.06</v>
      </c>
      <c r="C5" s="7">
        <v>0.4</v>
      </c>
      <c r="D5" s="7">
        <v>0.02</v>
      </c>
      <c r="F5" s="8">
        <v>0.1</v>
      </c>
      <c r="H5" s="7"/>
      <c r="I5" s="7"/>
      <c r="J5" s="7"/>
      <c r="K5" s="7"/>
      <c r="M5" s="8"/>
    </row>
    <row r="6" spans="1:13" x14ac:dyDescent="0.25">
      <c r="A6" s="7">
        <v>0.05</v>
      </c>
      <c r="B6" s="7">
        <v>-0.04</v>
      </c>
      <c r="C6" s="7">
        <v>0.02</v>
      </c>
      <c r="D6" s="7">
        <v>0.5</v>
      </c>
      <c r="F6" s="8">
        <v>0.15</v>
      </c>
      <c r="H6" s="7"/>
      <c r="I6" s="7"/>
      <c r="J6" s="7"/>
      <c r="K6" s="7"/>
    </row>
    <row r="8" spans="1:13" x14ac:dyDescent="0.25">
      <c r="A8" s="1" t="s">
        <v>32</v>
      </c>
      <c r="B8" s="7">
        <v>0.2</v>
      </c>
      <c r="C8" s="7">
        <v>0.3</v>
      </c>
      <c r="D8" s="7">
        <v>0.4</v>
      </c>
      <c r="E8" s="7">
        <v>0.1</v>
      </c>
      <c r="H8" s="7"/>
      <c r="I8" s="7"/>
      <c r="J8" s="7"/>
      <c r="K8" s="7"/>
    </row>
    <row r="9" spans="1:13" x14ac:dyDescent="0.25">
      <c r="A9" s="1" t="s">
        <v>33</v>
      </c>
      <c r="B9" s="7">
        <v>0.2</v>
      </c>
      <c r="C9" s="7">
        <v>0.1</v>
      </c>
      <c r="D9" s="7">
        <v>0.1</v>
      </c>
      <c r="E9" s="7">
        <v>0.6</v>
      </c>
      <c r="H9" s="7"/>
      <c r="I9" s="7"/>
      <c r="J9" s="7"/>
      <c r="K9" s="7"/>
    </row>
    <row r="10" spans="1:13" x14ac:dyDescent="0.25">
      <c r="H10" s="7"/>
      <c r="I10" s="7"/>
      <c r="J10" s="7"/>
      <c r="K10" s="7"/>
    </row>
    <row r="11" spans="1:13" x14ac:dyDescent="0.25">
      <c r="A11" s="9" t="s">
        <v>34</v>
      </c>
      <c r="H11" s="7"/>
      <c r="I11" s="7"/>
      <c r="J11" s="7"/>
      <c r="K11" s="7"/>
    </row>
    <row r="12" spans="1:13" ht="18" x14ac:dyDescent="0.35">
      <c r="A12" s="1" t="s">
        <v>51</v>
      </c>
      <c r="B12" s="6">
        <f t="array" ref="B12">MMULT(B8:E8,F3:F6)</f>
        <v>9.1000000000000011E-2</v>
      </c>
      <c r="D12" s="1" t="s">
        <v>52</v>
      </c>
      <c r="E12" s="10">
        <f t="array" ref="E12">MMULT(B9:E9,F3:F6)</f>
        <v>0.12</v>
      </c>
    </row>
    <row r="13" spans="1:13" ht="17.45" customHeight="1" x14ac:dyDescent="0.35">
      <c r="A13" s="1" t="s">
        <v>53</v>
      </c>
      <c r="B13" s="1">
        <f t="array" ref="B13">MMULT(MMULT(B8:E8,A3:D6),TRANSPOSE(B8:E8))</f>
        <v>0.12160000000000001</v>
      </c>
      <c r="D13" s="1" t="s">
        <v>54</v>
      </c>
      <c r="E13" s="1">
        <f t="array" ref="E13">MMULT(MMULT(B9:E9,A3:D6),TRANSPOSE(B9:E9))</f>
        <v>0.2034</v>
      </c>
      <c r="F13" s="23"/>
      <c r="G13" s="23"/>
    </row>
    <row r="14" spans="1:13" x14ac:dyDescent="0.25">
      <c r="A14" s="1" t="s">
        <v>35</v>
      </c>
      <c r="B14" s="1">
        <f t="array" ref="B14">MMULT(MMULT(B8:E8,A3:D6),TRANSPOSE(B9:E9))</f>
        <v>7.1400000000000005E-2</v>
      </c>
      <c r="F14" s="23"/>
      <c r="G14" s="23"/>
    </row>
    <row r="15" spans="1:13" ht="18" x14ac:dyDescent="0.35">
      <c r="A15" s="1" t="s">
        <v>55</v>
      </c>
      <c r="B15" s="11">
        <f>B14/SQRT(B13*E13)</f>
        <v>0.45400010156574272</v>
      </c>
      <c r="F15" s="23"/>
      <c r="G15" s="23"/>
    </row>
    <row r="17" spans="1:3" x14ac:dyDescent="0.25">
      <c r="A17" s="9" t="s">
        <v>36</v>
      </c>
    </row>
    <row r="18" spans="1:3" x14ac:dyDescent="0.25">
      <c r="A18" s="1" t="s">
        <v>37</v>
      </c>
      <c r="B18" s="1">
        <v>0.3</v>
      </c>
    </row>
    <row r="19" spans="1:3" ht="33" x14ac:dyDescent="0.35">
      <c r="A19" s="12" t="s">
        <v>56</v>
      </c>
      <c r="B19" s="6">
        <f>B18*B12+(1-B18)*E12</f>
        <v>0.1113</v>
      </c>
    </row>
    <row r="20" spans="1:3" ht="33.75" x14ac:dyDescent="0.35">
      <c r="A20" s="12" t="s">
        <v>57</v>
      </c>
      <c r="B20" s="11">
        <f>B18^2*B13+(1-B18)^2*E13+2*B18*(1-B18)*B14</f>
        <v>0.140598</v>
      </c>
    </row>
    <row r="21" spans="1:3" ht="48" x14ac:dyDescent="0.35">
      <c r="A21" s="12" t="s">
        <v>58</v>
      </c>
      <c r="B21" s="6">
        <f>SQRT(B20)</f>
        <v>0.37496399827183408</v>
      </c>
    </row>
    <row r="23" spans="1:3" x14ac:dyDescent="0.25">
      <c r="A23" s="9" t="s">
        <v>38</v>
      </c>
    </row>
    <row r="24" spans="1:3" ht="30" x14ac:dyDescent="0.25">
      <c r="A24" s="13" t="s">
        <v>37</v>
      </c>
      <c r="B24" s="13" t="s">
        <v>13</v>
      </c>
      <c r="C24" s="14" t="s">
        <v>39</v>
      </c>
    </row>
    <row r="25" spans="1:3" x14ac:dyDescent="0.25">
      <c r="B25" s="10">
        <f>B21</f>
        <v>0.37496399827183408</v>
      </c>
      <c r="C25" s="10">
        <f>B19</f>
        <v>0.1113</v>
      </c>
    </row>
    <row r="26" spans="1:3" x14ac:dyDescent="0.25">
      <c r="A26" s="15">
        <v>-1</v>
      </c>
      <c r="B26" s="6">
        <f t="dataTable" ref="B26:C45" dt2D="0" dtr="0" r1="B18"/>
        <v>0.80597766718439534</v>
      </c>
      <c r="C26" s="6">
        <v>0.14899999999999997</v>
      </c>
    </row>
    <row r="27" spans="1:3" x14ac:dyDescent="0.25">
      <c r="A27" s="15">
        <v>-0.8</v>
      </c>
      <c r="B27" s="6">
        <v>0.72884017452388006</v>
      </c>
      <c r="C27" s="6">
        <v>0.14319999999999999</v>
      </c>
    </row>
    <row r="28" spans="1:3" x14ac:dyDescent="0.25">
      <c r="A28" s="15">
        <v>-0.6</v>
      </c>
      <c r="B28" s="6">
        <v>0.65375224665005938</v>
      </c>
      <c r="C28" s="6">
        <v>0.13739999999999999</v>
      </c>
    </row>
    <row r="29" spans="1:3" x14ac:dyDescent="0.25">
      <c r="A29" s="15">
        <v>-0.4</v>
      </c>
      <c r="B29" s="6">
        <v>0.58150838343054012</v>
      </c>
      <c r="C29" s="6">
        <v>0.13159999999999997</v>
      </c>
    </row>
    <row r="30" spans="1:3" x14ac:dyDescent="0.25">
      <c r="A30" s="15">
        <v>-0.2</v>
      </c>
      <c r="B30" s="6">
        <v>0.51331082201722567</v>
      </c>
      <c r="C30" s="6">
        <v>0.1258</v>
      </c>
    </row>
    <row r="31" spans="1:3" x14ac:dyDescent="0.25">
      <c r="A31" s="15">
        <v>0</v>
      </c>
      <c r="B31" s="6">
        <v>0.45099889135118726</v>
      </c>
      <c r="C31" s="6">
        <v>0.12</v>
      </c>
    </row>
    <row r="32" spans="1:3" x14ac:dyDescent="0.25">
      <c r="A32" s="15">
        <v>0.2</v>
      </c>
      <c r="B32" s="6">
        <v>0.39735123002200462</v>
      </c>
      <c r="C32" s="6">
        <v>0.11420000000000001</v>
      </c>
    </row>
    <row r="33" spans="1:4" x14ac:dyDescent="0.25">
      <c r="A33" s="15">
        <v>0.4</v>
      </c>
      <c r="B33" s="6">
        <v>0.35630324163554844</v>
      </c>
      <c r="C33" s="6">
        <v>0.1084</v>
      </c>
    </row>
    <row r="34" spans="1:4" x14ac:dyDescent="0.25">
      <c r="A34" s="15">
        <v>0.6</v>
      </c>
      <c r="B34" s="6">
        <v>0.33255375505322443</v>
      </c>
      <c r="C34" s="6">
        <v>0.1026</v>
      </c>
    </row>
    <row r="35" spans="1:4" x14ac:dyDescent="0.25">
      <c r="A35" s="15">
        <v>0.8</v>
      </c>
      <c r="B35" s="6">
        <v>0.32986057660775409</v>
      </c>
      <c r="C35" s="6">
        <v>9.6800000000000011E-2</v>
      </c>
    </row>
    <row r="36" spans="1:4" x14ac:dyDescent="0.25">
      <c r="A36" s="15">
        <v>1</v>
      </c>
      <c r="B36" s="6">
        <v>0.34871191548325392</v>
      </c>
      <c r="C36" s="6">
        <v>9.1000000000000011E-2</v>
      </c>
    </row>
    <row r="37" spans="1:4" x14ac:dyDescent="0.25">
      <c r="A37" s="15">
        <v>1.2</v>
      </c>
      <c r="B37" s="6">
        <v>0.38596372886580937</v>
      </c>
      <c r="C37" s="6">
        <v>8.5200000000000012E-2</v>
      </c>
    </row>
    <row r="38" spans="1:4" x14ac:dyDescent="0.25">
      <c r="A38" s="15">
        <v>1.4</v>
      </c>
      <c r="B38" s="6">
        <v>0.43693477774148393</v>
      </c>
      <c r="C38" s="6">
        <v>7.9400000000000026E-2</v>
      </c>
    </row>
    <row r="39" spans="1:4" x14ac:dyDescent="0.25">
      <c r="A39" s="15">
        <v>1.6</v>
      </c>
      <c r="B39" s="6">
        <v>0.49742537128699016</v>
      </c>
      <c r="C39" s="6">
        <v>7.3600000000000027E-2</v>
      </c>
    </row>
    <row r="40" spans="1:4" x14ac:dyDescent="0.25">
      <c r="A40" s="15">
        <v>1.8</v>
      </c>
      <c r="B40" s="6">
        <v>0.56438284878263267</v>
      </c>
      <c r="C40" s="6">
        <v>6.7800000000000027E-2</v>
      </c>
    </row>
    <row r="41" spans="1:4" x14ac:dyDescent="0.25">
      <c r="A41" s="15">
        <v>2</v>
      </c>
      <c r="B41" s="6">
        <v>0.6357672530100934</v>
      </c>
      <c r="C41" s="6">
        <v>6.2000000000000027E-2</v>
      </c>
    </row>
    <row r="42" spans="1:4" x14ac:dyDescent="0.25">
      <c r="A42" s="15">
        <v>2.2000000000000002</v>
      </c>
      <c r="B42" s="6">
        <v>0.7102450281416971</v>
      </c>
      <c r="C42" s="6">
        <v>5.6200000000000028E-2</v>
      </c>
    </row>
    <row r="43" spans="1:4" x14ac:dyDescent="0.25">
      <c r="A43" s="15">
        <v>2.4</v>
      </c>
      <c r="B43" s="6">
        <v>0.78693837115748777</v>
      </c>
      <c r="C43" s="6">
        <v>5.0400000000000028E-2</v>
      </c>
    </row>
    <row r="44" spans="1:4" x14ac:dyDescent="0.25">
      <c r="A44" s="15">
        <v>2.6</v>
      </c>
      <c r="B44" s="6">
        <v>0.8652583429242392</v>
      </c>
      <c r="C44" s="6">
        <v>4.4600000000000029E-2</v>
      </c>
    </row>
    <row r="45" spans="1:4" x14ac:dyDescent="0.25">
      <c r="A45" s="15">
        <v>2.7</v>
      </c>
      <c r="B45" s="6">
        <v>0.90489667918497751</v>
      </c>
      <c r="C45" s="6">
        <v>4.1700000000000043E-2</v>
      </c>
    </row>
    <row r="46" spans="1:4" x14ac:dyDescent="0.25">
      <c r="A46" s="1" t="s">
        <v>40</v>
      </c>
      <c r="B46" s="6">
        <f>SQRT(A3)</f>
        <v>0.31622776601683794</v>
      </c>
      <c r="D46" s="10">
        <f>F3</f>
        <v>0.06</v>
      </c>
    </row>
    <row r="47" spans="1:4" x14ac:dyDescent="0.25">
      <c r="A47" s="1" t="s">
        <v>41</v>
      </c>
      <c r="B47" s="6">
        <f>SQRT(B4)</f>
        <v>0.54772255750516607</v>
      </c>
      <c r="D47" s="10">
        <f t="shared" ref="D47:D49" si="0">F4</f>
        <v>0.08</v>
      </c>
    </row>
    <row r="48" spans="1:4" x14ac:dyDescent="0.25">
      <c r="A48" s="1" t="s">
        <v>42</v>
      </c>
      <c r="B48" s="6">
        <f>SQRT(C5)</f>
        <v>0.63245553203367588</v>
      </c>
      <c r="D48" s="10">
        <f t="shared" si="0"/>
        <v>0.1</v>
      </c>
    </row>
    <row r="49" spans="1:4" x14ac:dyDescent="0.25">
      <c r="A49" s="1" t="s">
        <v>43</v>
      </c>
      <c r="B49" s="6">
        <f>SQRT(D6)</f>
        <v>0.70710678118654757</v>
      </c>
      <c r="D49" s="10">
        <f t="shared" si="0"/>
        <v>0.15</v>
      </c>
    </row>
  </sheetData>
  <printOptions headings="1" gridLines="1"/>
  <pageMargins left="0.7" right="0.7" top="0.75" bottom="0.75" header="0.3" footer="0.3"/>
  <pageSetup paperSize="9" orientation="portrait" verticalDpi="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72"/>
  <sheetViews>
    <sheetView showGridLines="0" zoomScale="115" zoomScaleNormal="115" workbookViewId="0">
      <selection activeCell="H59" sqref="H59"/>
    </sheetView>
  </sheetViews>
  <sheetFormatPr defaultColWidth="9" defaultRowHeight="15" x14ac:dyDescent="0.25"/>
  <cols>
    <col min="1" max="1" width="22.75" style="1" bestFit="1" customWidth="1"/>
    <col min="2" max="2" width="9" style="1"/>
    <col min="3" max="3" width="10.75" style="1" customWidth="1"/>
    <col min="4" max="4" width="9" style="1"/>
    <col min="5" max="5" width="12.25" style="1" customWidth="1"/>
    <col min="6" max="6" width="9" style="1"/>
    <col min="7" max="7" width="11.125" style="1" customWidth="1"/>
    <col min="8" max="16384" width="9" style="1"/>
  </cols>
  <sheetData>
    <row r="1" spans="1:8" x14ac:dyDescent="0.25">
      <c r="A1" s="24" t="s">
        <v>88</v>
      </c>
      <c r="B1" s="24"/>
      <c r="C1" s="24"/>
      <c r="D1" s="24"/>
      <c r="E1" s="24"/>
      <c r="F1" s="24"/>
      <c r="G1" s="24"/>
      <c r="H1" s="24"/>
    </row>
    <row r="3" spans="1:8" s="3" customFormat="1" ht="30" x14ac:dyDescent="0.25">
      <c r="A3" s="3" t="s">
        <v>6</v>
      </c>
      <c r="B3" s="4" t="s">
        <v>44</v>
      </c>
      <c r="C3" s="4" t="s">
        <v>46</v>
      </c>
      <c r="D3" s="4" t="s">
        <v>47</v>
      </c>
      <c r="F3" s="4" t="s">
        <v>45</v>
      </c>
      <c r="G3" s="4" t="s">
        <v>46</v>
      </c>
      <c r="H3" s="4" t="s">
        <v>47</v>
      </c>
    </row>
    <row r="4" spans="1:8" x14ac:dyDescent="0.25">
      <c r="A4" s="43">
        <v>39234</v>
      </c>
      <c r="B4" s="26">
        <v>122.04</v>
      </c>
      <c r="F4" s="26">
        <v>580.11</v>
      </c>
    </row>
    <row r="5" spans="1:8" x14ac:dyDescent="0.25">
      <c r="A5" s="43">
        <v>39265</v>
      </c>
      <c r="B5" s="26">
        <v>131.76</v>
      </c>
      <c r="C5" s="6">
        <f>LN(B5/B4)</f>
        <v>7.6633226020915893E-2</v>
      </c>
      <c r="D5" s="6">
        <f>B5/B4-1</f>
        <v>7.9646017699114946E-2</v>
      </c>
      <c r="F5" s="26">
        <v>645.9</v>
      </c>
      <c r="G5" s="6">
        <f>LN(F5/F4)</f>
        <v>0.10742695230781683</v>
      </c>
      <c r="H5" s="6">
        <f>F5/F4-1</f>
        <v>0.11340952577959351</v>
      </c>
    </row>
    <row r="6" spans="1:8" x14ac:dyDescent="0.25">
      <c r="A6" s="43">
        <v>39295</v>
      </c>
      <c r="B6" s="26">
        <v>138.47999999999999</v>
      </c>
      <c r="C6" s="6">
        <f t="shared" ref="C6:C64" si="0">LN(B6/B5)</f>
        <v>4.9743824998568914E-2</v>
      </c>
      <c r="D6" s="6">
        <f t="shared" ref="D6:D64" si="1">B6/B5-1</f>
        <v>5.1001821493624755E-2</v>
      </c>
      <c r="F6" s="26">
        <v>599.39</v>
      </c>
      <c r="G6" s="6">
        <f t="shared" ref="G6:G64" si="2">LN(F6/F5)</f>
        <v>-7.4732221645049529E-2</v>
      </c>
      <c r="H6" s="6">
        <f t="shared" ref="H6:H64" si="3">F6/F5-1</f>
        <v>-7.2008050781854793E-2</v>
      </c>
    </row>
    <row r="7" spans="1:8" hidden="1" x14ac:dyDescent="0.25">
      <c r="A7" s="43">
        <v>39329</v>
      </c>
      <c r="B7" s="26">
        <v>153.47</v>
      </c>
      <c r="C7" s="6">
        <f t="shared" si="0"/>
        <v>0.10277919731904972</v>
      </c>
      <c r="D7" s="6">
        <f t="shared" si="1"/>
        <v>0.10824667822068168</v>
      </c>
      <c r="F7" s="26">
        <v>592.64</v>
      </c>
      <c r="G7" s="6">
        <f t="shared" si="2"/>
        <v>-1.1325339375617659E-2</v>
      </c>
      <c r="H7" s="6">
        <f t="shared" si="3"/>
        <v>-1.1261449139958968E-2</v>
      </c>
    </row>
    <row r="8" spans="1:8" hidden="1" x14ac:dyDescent="0.25">
      <c r="A8" s="43">
        <v>39356</v>
      </c>
      <c r="B8" s="26">
        <v>189.95</v>
      </c>
      <c r="C8" s="6">
        <f t="shared" si="0"/>
        <v>0.21325577144663097</v>
      </c>
      <c r="D8" s="6">
        <f t="shared" si="1"/>
        <v>0.23770117938359281</v>
      </c>
      <c r="F8" s="26">
        <v>515.04</v>
      </c>
      <c r="G8" s="6">
        <f t="shared" si="2"/>
        <v>-0.14034256446726184</v>
      </c>
      <c r="H8" s="6">
        <f t="shared" si="3"/>
        <v>-0.13093952483801297</v>
      </c>
    </row>
    <row r="9" spans="1:8" hidden="1" x14ac:dyDescent="0.25">
      <c r="A9" s="43">
        <v>39387</v>
      </c>
      <c r="B9" s="26">
        <v>182.22</v>
      </c>
      <c r="C9" s="6">
        <f t="shared" si="0"/>
        <v>-4.1546131347922108E-2</v>
      </c>
      <c r="D9" s="6">
        <f t="shared" si="1"/>
        <v>-4.0694919715714595E-2</v>
      </c>
      <c r="F9" s="26">
        <v>540.96</v>
      </c>
      <c r="G9" s="6">
        <f t="shared" si="2"/>
        <v>4.9100771409077877E-2</v>
      </c>
      <c r="H9" s="6">
        <f t="shared" si="3"/>
        <v>5.0326188257222793E-2</v>
      </c>
    </row>
    <row r="10" spans="1:8" hidden="1" x14ac:dyDescent="0.25">
      <c r="A10" s="43">
        <v>39419</v>
      </c>
      <c r="B10" s="26">
        <v>198.08</v>
      </c>
      <c r="C10" s="6">
        <f t="shared" si="0"/>
        <v>8.3456241210519033E-2</v>
      </c>
      <c r="D10" s="6">
        <f t="shared" si="1"/>
        <v>8.7037646800570911E-2</v>
      </c>
      <c r="F10" s="26">
        <v>603.69000000000005</v>
      </c>
      <c r="G10" s="6">
        <f t="shared" si="2"/>
        <v>0.10971548218681069</v>
      </c>
      <c r="H10" s="6">
        <f t="shared" si="3"/>
        <v>0.11596051464063883</v>
      </c>
    </row>
    <row r="11" spans="1:8" hidden="1" x14ac:dyDescent="0.25">
      <c r="A11" s="43">
        <v>39449</v>
      </c>
      <c r="B11" s="26">
        <v>135.36000000000001</v>
      </c>
      <c r="C11" s="6">
        <f t="shared" si="0"/>
        <v>-0.38073309363831809</v>
      </c>
      <c r="D11" s="6">
        <f t="shared" si="1"/>
        <v>-0.31663974151857832</v>
      </c>
      <c r="F11" s="26">
        <v>506.38</v>
      </c>
      <c r="G11" s="6">
        <f t="shared" si="2"/>
        <v>-0.17577344556712143</v>
      </c>
      <c r="H11" s="6">
        <f t="shared" si="3"/>
        <v>-0.1611920025178486</v>
      </c>
    </row>
    <row r="12" spans="1:8" hidden="1" x14ac:dyDescent="0.25">
      <c r="A12" s="43">
        <v>39479</v>
      </c>
      <c r="B12" s="26">
        <v>125.02</v>
      </c>
      <c r="C12" s="6">
        <f t="shared" si="0"/>
        <v>-7.9464171354247048E-2</v>
      </c>
      <c r="D12" s="6">
        <f t="shared" si="1"/>
        <v>-7.6388888888889062E-2</v>
      </c>
      <c r="F12" s="26">
        <v>529.02</v>
      </c>
      <c r="G12" s="6">
        <f t="shared" si="2"/>
        <v>4.3738862747725364E-2</v>
      </c>
      <c r="H12" s="6">
        <f t="shared" si="3"/>
        <v>4.4709506694577072E-2</v>
      </c>
    </row>
    <row r="13" spans="1:8" hidden="1" x14ac:dyDescent="0.25">
      <c r="A13" s="43">
        <v>39510</v>
      </c>
      <c r="B13" s="26">
        <v>143.5</v>
      </c>
      <c r="C13" s="6">
        <f t="shared" si="0"/>
        <v>0.13786131069600946</v>
      </c>
      <c r="D13" s="6">
        <f t="shared" si="1"/>
        <v>0.14781634938409849</v>
      </c>
      <c r="F13" s="26">
        <v>544.1</v>
      </c>
      <c r="G13" s="6">
        <f t="shared" si="2"/>
        <v>2.8106815164888964E-2</v>
      </c>
      <c r="H13" s="6">
        <f t="shared" si="3"/>
        <v>2.8505538542966224E-2</v>
      </c>
    </row>
    <row r="14" spans="1:8" hidden="1" x14ac:dyDescent="0.25">
      <c r="A14" s="43">
        <v>39539</v>
      </c>
      <c r="B14" s="26">
        <v>173.95</v>
      </c>
      <c r="C14" s="6">
        <f t="shared" si="0"/>
        <v>0.1924328663982752</v>
      </c>
      <c r="D14" s="6">
        <f t="shared" si="1"/>
        <v>0.21219512195121948</v>
      </c>
      <c r="F14" s="26">
        <v>586.76</v>
      </c>
      <c r="G14" s="6">
        <f t="shared" si="2"/>
        <v>7.5482824127682258E-2</v>
      </c>
      <c r="H14" s="6">
        <f t="shared" si="3"/>
        <v>7.8404705017459886E-2</v>
      </c>
    </row>
    <row r="15" spans="1:8" hidden="1" x14ac:dyDescent="0.25">
      <c r="A15" s="43">
        <v>39569</v>
      </c>
      <c r="B15" s="26">
        <v>188.75</v>
      </c>
      <c r="C15" s="6">
        <f t="shared" si="0"/>
        <v>8.1655486531183152E-2</v>
      </c>
      <c r="D15" s="6">
        <f t="shared" si="1"/>
        <v>8.5081920091980567E-2</v>
      </c>
      <c r="F15" s="26">
        <v>613.4</v>
      </c>
      <c r="G15" s="6">
        <f t="shared" si="2"/>
        <v>4.440137406058902E-2</v>
      </c>
      <c r="H15" s="6">
        <f t="shared" si="3"/>
        <v>4.5401867884654612E-2</v>
      </c>
    </row>
    <row r="16" spans="1:8" hidden="1" x14ac:dyDescent="0.25">
      <c r="A16" s="43">
        <v>39601</v>
      </c>
      <c r="B16" s="26">
        <v>167.44</v>
      </c>
      <c r="C16" s="6">
        <f t="shared" si="0"/>
        <v>-0.1197983099913898</v>
      </c>
      <c r="D16" s="6">
        <f t="shared" si="1"/>
        <v>-0.11290066225165563</v>
      </c>
      <c r="F16" s="26">
        <v>600.36</v>
      </c>
      <c r="G16" s="6">
        <f t="shared" si="2"/>
        <v>-2.148777639203717E-2</v>
      </c>
      <c r="H16" s="6">
        <f t="shared" si="3"/>
        <v>-2.1258558852298659E-2</v>
      </c>
    </row>
    <row r="17" spans="1:8" hidden="1" x14ac:dyDescent="0.25">
      <c r="A17" s="43">
        <v>39630</v>
      </c>
      <c r="B17" s="26">
        <v>158.94999999999999</v>
      </c>
      <c r="C17" s="6">
        <f t="shared" si="0"/>
        <v>-5.2035390780932597E-2</v>
      </c>
      <c r="D17" s="6">
        <f t="shared" si="1"/>
        <v>-5.0704730052556157E-2</v>
      </c>
      <c r="F17" s="26">
        <v>593.97</v>
      </c>
      <c r="G17" s="6">
        <f t="shared" si="2"/>
        <v>-1.0700662251397116E-2</v>
      </c>
      <c r="H17" s="6">
        <f t="shared" si="3"/>
        <v>-1.0643613831700982E-2</v>
      </c>
    </row>
    <row r="18" spans="1:8" hidden="1" x14ac:dyDescent="0.25">
      <c r="A18" s="43">
        <v>39661</v>
      </c>
      <c r="B18" s="26">
        <v>169.53</v>
      </c>
      <c r="C18" s="6">
        <f t="shared" si="0"/>
        <v>6.4440214953050093E-2</v>
      </c>
      <c r="D18" s="6">
        <f t="shared" si="1"/>
        <v>6.6561811890531786E-2</v>
      </c>
      <c r="F18" s="26">
        <v>555.71</v>
      </c>
      <c r="G18" s="6">
        <f t="shared" si="2"/>
        <v>-6.6582237591538612E-2</v>
      </c>
      <c r="H18" s="6">
        <f t="shared" si="3"/>
        <v>-6.4414027644493776E-2</v>
      </c>
    </row>
    <row r="19" spans="1:8" hidden="1" x14ac:dyDescent="0.25">
      <c r="A19" s="43">
        <v>39693</v>
      </c>
      <c r="B19" s="26">
        <v>113.66</v>
      </c>
      <c r="C19" s="6">
        <f t="shared" si="0"/>
        <v>-0.39981836644088625</v>
      </c>
      <c r="D19" s="6">
        <f t="shared" si="1"/>
        <v>-0.32955819029080402</v>
      </c>
      <c r="F19" s="26">
        <v>613.70000000000005</v>
      </c>
      <c r="G19" s="6">
        <f t="shared" si="2"/>
        <v>9.9259633949873111E-2</v>
      </c>
      <c r="H19" s="6">
        <f t="shared" si="3"/>
        <v>0.10435298986881647</v>
      </c>
    </row>
    <row r="20" spans="1:8" hidden="1" x14ac:dyDescent="0.25">
      <c r="A20" s="43">
        <v>39722</v>
      </c>
      <c r="B20" s="26">
        <v>107.59</v>
      </c>
      <c r="C20" s="6">
        <f t="shared" si="0"/>
        <v>-5.4883829263157574E-2</v>
      </c>
      <c r="D20" s="6">
        <f t="shared" si="1"/>
        <v>-5.3404891782509178E-2</v>
      </c>
      <c r="F20" s="26">
        <v>525.79</v>
      </c>
      <c r="G20" s="6">
        <f t="shared" si="2"/>
        <v>-0.15460431591839269</v>
      </c>
      <c r="H20" s="6">
        <f t="shared" si="3"/>
        <v>-0.14324588561186258</v>
      </c>
    </row>
    <row r="21" spans="1:8" hidden="1" x14ac:dyDescent="0.25">
      <c r="A21" s="43">
        <v>39755</v>
      </c>
      <c r="B21" s="26">
        <v>92.67</v>
      </c>
      <c r="C21" s="6">
        <f t="shared" si="0"/>
        <v>-0.1492829110072178</v>
      </c>
      <c r="D21" s="6">
        <f t="shared" si="1"/>
        <v>-0.1386745980109676</v>
      </c>
      <c r="F21" s="26">
        <v>450.02</v>
      </c>
      <c r="G21" s="6">
        <f t="shared" si="2"/>
        <v>-0.15560986725547385</v>
      </c>
      <c r="H21" s="6">
        <f t="shared" si="3"/>
        <v>-0.14410696285589297</v>
      </c>
    </row>
    <row r="22" spans="1:8" hidden="1" x14ac:dyDescent="0.25">
      <c r="A22" s="43">
        <v>39783</v>
      </c>
      <c r="B22" s="26">
        <v>85.35</v>
      </c>
      <c r="C22" s="6">
        <f t="shared" si="0"/>
        <v>-8.2284346358150504E-2</v>
      </c>
      <c r="D22" s="6">
        <f t="shared" si="1"/>
        <v>-7.898996438977024E-2</v>
      </c>
      <c r="F22" s="26">
        <v>484.85</v>
      </c>
      <c r="G22" s="6">
        <f t="shared" si="2"/>
        <v>7.4547538529370433E-2</v>
      </c>
      <c r="H22" s="6">
        <f t="shared" si="3"/>
        <v>7.7396560152882099E-2</v>
      </c>
    </row>
    <row r="23" spans="1:8" hidden="1" x14ac:dyDescent="0.25">
      <c r="A23" s="43">
        <v>39815</v>
      </c>
      <c r="B23" s="26">
        <v>90.13</v>
      </c>
      <c r="C23" s="6">
        <f t="shared" si="0"/>
        <v>5.4492623327868875E-2</v>
      </c>
      <c r="D23" s="6">
        <f t="shared" si="1"/>
        <v>5.600468658465152E-2</v>
      </c>
      <c r="F23" s="26">
        <v>444.95</v>
      </c>
      <c r="G23" s="6">
        <f t="shared" si="2"/>
        <v>-8.5877648447684057E-2</v>
      </c>
      <c r="H23" s="6">
        <f t="shared" si="3"/>
        <v>-8.2293492832834936E-2</v>
      </c>
    </row>
    <row r="24" spans="1:8" hidden="1" x14ac:dyDescent="0.25">
      <c r="A24" s="43">
        <v>39846</v>
      </c>
      <c r="B24" s="26">
        <v>89.31</v>
      </c>
      <c r="C24" s="6">
        <f t="shared" si="0"/>
        <v>-9.1396088725236701E-3</v>
      </c>
      <c r="D24" s="6">
        <f t="shared" si="1"/>
        <v>-9.0979695994674037E-3</v>
      </c>
      <c r="F24" s="26">
        <v>485.63</v>
      </c>
      <c r="G24" s="6">
        <f t="shared" si="2"/>
        <v>8.7485100776333188E-2</v>
      </c>
      <c r="H24" s="6">
        <f t="shared" si="3"/>
        <v>9.1426002921676686E-2</v>
      </c>
    </row>
    <row r="25" spans="1:8" hidden="1" x14ac:dyDescent="0.25">
      <c r="A25" s="43">
        <v>39874</v>
      </c>
      <c r="B25" s="26">
        <v>105.12</v>
      </c>
      <c r="C25" s="6">
        <f t="shared" si="0"/>
        <v>0.16298909104050577</v>
      </c>
      <c r="D25" s="6">
        <f t="shared" si="1"/>
        <v>0.1770238495129326</v>
      </c>
      <c r="F25" s="26">
        <v>525.70000000000005</v>
      </c>
      <c r="G25" s="6">
        <f t="shared" si="2"/>
        <v>7.9283690746198177E-2</v>
      </c>
      <c r="H25" s="6">
        <f t="shared" si="3"/>
        <v>8.2511376974239825E-2</v>
      </c>
    </row>
    <row r="26" spans="1:8" hidden="1" x14ac:dyDescent="0.25">
      <c r="A26" s="43">
        <v>39904</v>
      </c>
      <c r="B26" s="26">
        <v>125.83</v>
      </c>
      <c r="C26" s="6">
        <f t="shared" si="0"/>
        <v>0.17982923486757607</v>
      </c>
      <c r="D26" s="6">
        <f t="shared" si="1"/>
        <v>0.19701293759512928</v>
      </c>
      <c r="F26" s="26">
        <v>567.12</v>
      </c>
      <c r="G26" s="6">
        <f t="shared" si="2"/>
        <v>7.5840213721359739E-2</v>
      </c>
      <c r="H26" s="6">
        <f t="shared" si="3"/>
        <v>7.8790184515883599E-2</v>
      </c>
    </row>
    <row r="27" spans="1:8" hidden="1" x14ac:dyDescent="0.25">
      <c r="A27" s="43">
        <v>39934</v>
      </c>
      <c r="B27" s="26">
        <v>135.81</v>
      </c>
      <c r="C27" s="6">
        <f t="shared" si="0"/>
        <v>7.6325060512100487E-2</v>
      </c>
      <c r="D27" s="6">
        <f t="shared" si="1"/>
        <v>7.9313359294286068E-2</v>
      </c>
      <c r="F27" s="26">
        <v>526.79999999999995</v>
      </c>
      <c r="G27" s="6">
        <f t="shared" si="2"/>
        <v>-7.3749951677636247E-2</v>
      </c>
      <c r="H27" s="6">
        <f t="shared" si="3"/>
        <v>-7.1096064325010699E-2</v>
      </c>
    </row>
    <row r="28" spans="1:8" hidden="1" x14ac:dyDescent="0.25">
      <c r="A28" s="43">
        <v>39965</v>
      </c>
      <c r="B28" s="26">
        <v>142.43</v>
      </c>
      <c r="C28" s="6">
        <f t="shared" si="0"/>
        <v>4.7593800830517959E-2</v>
      </c>
      <c r="D28" s="6">
        <f t="shared" si="1"/>
        <v>4.8744569619321165E-2</v>
      </c>
      <c r="F28" s="26">
        <v>529.94000000000005</v>
      </c>
      <c r="G28" s="6">
        <f t="shared" si="2"/>
        <v>5.9428227214138622E-3</v>
      </c>
      <c r="H28" s="6">
        <f t="shared" si="3"/>
        <v>5.9605163249811799E-3</v>
      </c>
    </row>
    <row r="29" spans="1:8" hidden="1" x14ac:dyDescent="0.25">
      <c r="A29" s="43">
        <v>39995</v>
      </c>
      <c r="B29" s="26">
        <v>163.38999999999999</v>
      </c>
      <c r="C29" s="6">
        <f t="shared" si="0"/>
        <v>0.1372893300962372</v>
      </c>
      <c r="D29" s="6">
        <f t="shared" si="1"/>
        <v>0.14716000842519117</v>
      </c>
      <c r="F29" s="26">
        <v>619.98</v>
      </c>
      <c r="G29" s="6">
        <f t="shared" si="2"/>
        <v>0.15692342686377875</v>
      </c>
      <c r="H29" s="6">
        <f t="shared" si="3"/>
        <v>0.1699060270974071</v>
      </c>
    </row>
    <row r="30" spans="1:8" hidden="1" x14ac:dyDescent="0.25">
      <c r="A30" s="43">
        <v>40028</v>
      </c>
      <c r="B30" s="26">
        <v>168.21</v>
      </c>
      <c r="C30" s="6">
        <f t="shared" si="0"/>
        <v>2.9073217760958888E-2</v>
      </c>
      <c r="D30" s="6">
        <f t="shared" si="1"/>
        <v>2.9499969398372183E-2</v>
      </c>
      <c r="F30" s="26">
        <v>583</v>
      </c>
      <c r="G30" s="6">
        <f t="shared" si="2"/>
        <v>-6.15000331038262E-2</v>
      </c>
      <c r="H30" s="6">
        <f t="shared" si="3"/>
        <v>-5.9647085389851306E-2</v>
      </c>
    </row>
    <row r="31" spans="1:8" hidden="1" x14ac:dyDescent="0.25">
      <c r="A31" s="43">
        <v>40057</v>
      </c>
      <c r="B31" s="26">
        <v>185.35</v>
      </c>
      <c r="C31" s="6">
        <f t="shared" si="0"/>
        <v>9.7032730793050262E-2</v>
      </c>
      <c r="D31" s="6">
        <f t="shared" si="1"/>
        <v>0.10189643897509049</v>
      </c>
      <c r="F31" s="26">
        <v>536.12</v>
      </c>
      <c r="G31" s="6">
        <f t="shared" si="2"/>
        <v>-8.3829169740196469E-2</v>
      </c>
      <c r="H31" s="6">
        <f t="shared" si="3"/>
        <v>-8.0411663807890221E-2</v>
      </c>
    </row>
    <row r="32" spans="1:8" hidden="1" x14ac:dyDescent="0.25">
      <c r="A32" s="43">
        <v>40087</v>
      </c>
      <c r="B32" s="26">
        <v>188.5</v>
      </c>
      <c r="C32" s="6">
        <f t="shared" si="0"/>
        <v>1.6852077291324211E-2</v>
      </c>
      <c r="D32" s="6">
        <f t="shared" si="1"/>
        <v>1.6994874561640172E-2</v>
      </c>
      <c r="F32" s="26">
        <v>495.85</v>
      </c>
      <c r="G32" s="6">
        <f t="shared" si="2"/>
        <v>-7.8084554978161788E-2</v>
      </c>
      <c r="H32" s="6">
        <f t="shared" si="3"/>
        <v>-7.5113780496903648E-2</v>
      </c>
    </row>
    <row r="33" spans="1:8" hidden="1" x14ac:dyDescent="0.25">
      <c r="A33" s="43">
        <v>40119</v>
      </c>
      <c r="B33" s="26">
        <v>199.91</v>
      </c>
      <c r="C33" s="6">
        <f t="shared" si="0"/>
        <v>5.8769258379585923E-2</v>
      </c>
      <c r="D33" s="6">
        <f t="shared" si="1"/>
        <v>6.0530503978779793E-2</v>
      </c>
      <c r="F33" s="26">
        <v>461.67</v>
      </c>
      <c r="G33" s="6">
        <f t="shared" si="2"/>
        <v>-7.1423111488264107E-2</v>
      </c>
      <c r="H33" s="6">
        <f t="shared" si="3"/>
        <v>-6.8932136734899729E-2</v>
      </c>
    </row>
    <row r="34" spans="1:8" hidden="1" x14ac:dyDescent="0.25">
      <c r="A34" s="43">
        <v>40148</v>
      </c>
      <c r="B34" s="26">
        <v>210.73</v>
      </c>
      <c r="C34" s="6">
        <f t="shared" si="0"/>
        <v>5.2710427941470024E-2</v>
      </c>
      <c r="D34" s="6">
        <f t="shared" si="1"/>
        <v>5.4124355960182058E-2</v>
      </c>
      <c r="F34" s="26">
        <v>443.05</v>
      </c>
      <c r="G34" s="6">
        <f t="shared" si="2"/>
        <v>-4.1167719650558612E-2</v>
      </c>
      <c r="H34" s="6">
        <f t="shared" si="3"/>
        <v>-4.033183875928692E-2</v>
      </c>
    </row>
    <row r="35" spans="1:8" hidden="1" x14ac:dyDescent="0.25">
      <c r="A35" s="43">
        <v>40182</v>
      </c>
      <c r="B35" s="26">
        <v>192.06</v>
      </c>
      <c r="C35" s="6">
        <f t="shared" si="0"/>
        <v>-9.276986999929468E-2</v>
      </c>
      <c r="D35" s="6">
        <f t="shared" si="1"/>
        <v>-8.8596782612822E-2</v>
      </c>
      <c r="F35" s="26">
        <v>421.59</v>
      </c>
      <c r="G35" s="6">
        <f t="shared" si="2"/>
        <v>-4.9649352712548125E-2</v>
      </c>
      <c r="H35" s="6">
        <f t="shared" si="3"/>
        <v>-4.8436970996501572E-2</v>
      </c>
    </row>
    <row r="36" spans="1:8" hidden="1" x14ac:dyDescent="0.25">
      <c r="A36" s="43">
        <v>40210</v>
      </c>
      <c r="B36" s="26">
        <v>204.62</v>
      </c>
      <c r="C36" s="6">
        <f t="shared" si="0"/>
        <v>6.3346777240967267E-2</v>
      </c>
      <c r="D36" s="6">
        <f t="shared" si="1"/>
        <v>6.5396230344684003E-2</v>
      </c>
      <c r="F36" s="26">
        <v>417.23</v>
      </c>
      <c r="G36" s="6">
        <f t="shared" si="2"/>
        <v>-1.0395649281585149E-2</v>
      </c>
      <c r="H36" s="6">
        <f t="shared" si="3"/>
        <v>-1.0341801276121276E-2</v>
      </c>
    </row>
    <row r="37" spans="1:8" hidden="1" x14ac:dyDescent="0.25">
      <c r="A37" s="43">
        <v>40238</v>
      </c>
      <c r="B37" s="26">
        <v>235</v>
      </c>
      <c r="C37" s="6">
        <f t="shared" si="0"/>
        <v>0.13843091369336494</v>
      </c>
      <c r="D37" s="6">
        <f t="shared" si="1"/>
        <v>0.14847033525559561</v>
      </c>
      <c r="F37" s="26">
        <v>395.97</v>
      </c>
      <c r="G37" s="6">
        <f t="shared" si="2"/>
        <v>-5.2299177690205201E-2</v>
      </c>
      <c r="H37" s="6">
        <f t="shared" si="3"/>
        <v>-5.095510869304698E-2</v>
      </c>
    </row>
    <row r="38" spans="1:8" hidden="1" x14ac:dyDescent="0.25">
      <c r="A38" s="43">
        <v>40269</v>
      </c>
      <c r="B38" s="26">
        <v>261.08999999999997</v>
      </c>
      <c r="C38" s="6">
        <f t="shared" si="0"/>
        <v>0.10527966132537296</v>
      </c>
      <c r="D38" s="6">
        <f t="shared" si="1"/>
        <v>0.11102127659574457</v>
      </c>
      <c r="F38" s="26">
        <v>348.06</v>
      </c>
      <c r="G38" s="6">
        <f t="shared" si="2"/>
        <v>-0.12896357210294498</v>
      </c>
      <c r="H38" s="6">
        <f t="shared" si="3"/>
        <v>-0.12099401469808324</v>
      </c>
    </row>
    <row r="39" spans="1:8" hidden="1" x14ac:dyDescent="0.25">
      <c r="A39" s="43">
        <v>40301</v>
      </c>
      <c r="B39" s="26">
        <v>256.88</v>
      </c>
      <c r="C39" s="6">
        <f t="shared" si="0"/>
        <v>-1.6256125688273504E-2</v>
      </c>
      <c r="D39" s="6">
        <f t="shared" si="1"/>
        <v>-1.6124707955111228E-2</v>
      </c>
      <c r="F39" s="26">
        <v>337.99</v>
      </c>
      <c r="G39" s="6">
        <f t="shared" si="2"/>
        <v>-2.9358569459494093E-2</v>
      </c>
      <c r="H39" s="6">
        <f t="shared" si="3"/>
        <v>-2.8931793368959347E-2</v>
      </c>
    </row>
    <row r="40" spans="1:8" hidden="1" x14ac:dyDescent="0.25">
      <c r="A40" s="43">
        <v>40330</v>
      </c>
      <c r="B40" s="26">
        <v>251.53</v>
      </c>
      <c r="C40" s="6">
        <f t="shared" si="0"/>
        <v>-2.1046783061035752E-2</v>
      </c>
      <c r="D40" s="6">
        <f t="shared" si="1"/>
        <v>-2.0826845219557799E-2</v>
      </c>
      <c r="F40" s="26">
        <v>338.53</v>
      </c>
      <c r="G40" s="6">
        <f t="shared" si="2"/>
        <v>1.596405471184585E-3</v>
      </c>
      <c r="H40" s="6">
        <f t="shared" si="3"/>
        <v>1.5976804047455051E-3</v>
      </c>
    </row>
    <row r="41" spans="1:8" hidden="1" x14ac:dyDescent="0.25">
      <c r="A41" s="43">
        <v>40360</v>
      </c>
      <c r="B41" s="26">
        <v>257.25</v>
      </c>
      <c r="C41" s="6">
        <f t="shared" si="0"/>
        <v>2.2486107993936241E-2</v>
      </c>
      <c r="D41" s="6">
        <f t="shared" si="1"/>
        <v>2.2740826143998749E-2</v>
      </c>
      <c r="F41" s="26">
        <v>307.64999999999998</v>
      </c>
      <c r="G41" s="6">
        <f t="shared" si="2"/>
        <v>-9.5649941531219279E-2</v>
      </c>
      <c r="H41" s="6">
        <f t="shared" si="3"/>
        <v>-9.1217912740377494E-2</v>
      </c>
    </row>
    <row r="42" spans="1:8" hidden="1" x14ac:dyDescent="0.25">
      <c r="A42" s="43">
        <v>40392</v>
      </c>
      <c r="B42" s="26">
        <v>243.1</v>
      </c>
      <c r="C42" s="6">
        <f t="shared" si="0"/>
        <v>-5.6575493392081351E-2</v>
      </c>
      <c r="D42" s="6">
        <f t="shared" si="1"/>
        <v>-5.5004859086491775E-2</v>
      </c>
      <c r="F42" s="26">
        <v>292.95999999999998</v>
      </c>
      <c r="G42" s="6">
        <f t="shared" si="2"/>
        <v>-4.8926692260298776E-2</v>
      </c>
      <c r="H42" s="6">
        <f t="shared" si="3"/>
        <v>-4.7749065496505816E-2</v>
      </c>
    </row>
    <row r="43" spans="1:8" hidden="1" x14ac:dyDescent="0.25">
      <c r="A43" s="43">
        <v>40422</v>
      </c>
      <c r="B43" s="26">
        <v>283.75</v>
      </c>
      <c r="C43" s="6">
        <f t="shared" si="0"/>
        <v>0.15462068747353472</v>
      </c>
      <c r="D43" s="6">
        <f t="shared" si="1"/>
        <v>0.16721513780337305</v>
      </c>
      <c r="F43" s="26">
        <v>359.36</v>
      </c>
      <c r="G43" s="6">
        <f t="shared" si="2"/>
        <v>0.20428859062387794</v>
      </c>
      <c r="H43" s="6">
        <f t="shared" si="3"/>
        <v>0.22665210267613345</v>
      </c>
    </row>
    <row r="44" spans="1:8" hidden="1" x14ac:dyDescent="0.25">
      <c r="A44" s="43">
        <v>40452</v>
      </c>
      <c r="B44" s="26">
        <v>300.98</v>
      </c>
      <c r="C44" s="6">
        <f t="shared" si="0"/>
        <v>5.8950248562960224E-2</v>
      </c>
      <c r="D44" s="6">
        <f t="shared" si="1"/>
        <v>6.072246696035255E-2</v>
      </c>
      <c r="F44" s="26">
        <v>400.52</v>
      </c>
      <c r="G44" s="6">
        <f t="shared" si="2"/>
        <v>0.10843903128952363</v>
      </c>
      <c r="H44" s="6">
        <f t="shared" si="3"/>
        <v>0.11453695458593049</v>
      </c>
    </row>
    <row r="45" spans="1:8" hidden="1" x14ac:dyDescent="0.25">
      <c r="A45" s="43">
        <v>40483</v>
      </c>
      <c r="B45" s="26">
        <v>311.14999999999998</v>
      </c>
      <c r="C45" s="6">
        <f t="shared" si="0"/>
        <v>3.3231293656654268E-2</v>
      </c>
      <c r="D45" s="6">
        <f t="shared" si="1"/>
        <v>3.3789620572795442E-2</v>
      </c>
      <c r="F45" s="26">
        <v>463.29</v>
      </c>
      <c r="G45" s="6">
        <f t="shared" si="2"/>
        <v>0.14558950506341742</v>
      </c>
      <c r="H45" s="6">
        <f t="shared" si="3"/>
        <v>0.15672126235893358</v>
      </c>
    </row>
    <row r="46" spans="1:8" hidden="1" x14ac:dyDescent="0.25">
      <c r="A46" s="43">
        <v>40513</v>
      </c>
      <c r="B46" s="26">
        <v>322.56</v>
      </c>
      <c r="C46" s="6">
        <f t="shared" si="0"/>
        <v>3.6014054427722354E-2</v>
      </c>
      <c r="D46" s="6">
        <f t="shared" si="1"/>
        <v>3.6670416197975397E-2</v>
      </c>
      <c r="F46" s="26">
        <v>473.75</v>
      </c>
      <c r="G46" s="6">
        <f t="shared" si="2"/>
        <v>2.232654849361675E-2</v>
      </c>
      <c r="H46" s="6">
        <f t="shared" si="3"/>
        <v>2.2577651147229538E-2</v>
      </c>
    </row>
    <row r="47" spans="1:8" hidden="1" x14ac:dyDescent="0.25">
      <c r="A47" s="43">
        <v>40546</v>
      </c>
      <c r="B47" s="26">
        <v>339.32</v>
      </c>
      <c r="C47" s="6">
        <f t="shared" si="0"/>
        <v>5.0654449496584847E-2</v>
      </c>
      <c r="D47" s="6">
        <f t="shared" si="1"/>
        <v>5.1959325396825351E-2</v>
      </c>
      <c r="F47" s="26">
        <v>526.41999999999996</v>
      </c>
      <c r="G47" s="6">
        <f t="shared" si="2"/>
        <v>0.10541961681369323</v>
      </c>
      <c r="H47" s="6">
        <f t="shared" si="3"/>
        <v>0.1111767810026385</v>
      </c>
    </row>
    <row r="48" spans="1:8" hidden="1" x14ac:dyDescent="0.25">
      <c r="A48" s="43">
        <v>40575</v>
      </c>
      <c r="B48" s="26">
        <v>353.21</v>
      </c>
      <c r="C48" s="6">
        <f t="shared" si="0"/>
        <v>4.01191659602591E-2</v>
      </c>
      <c r="D48" s="6">
        <f t="shared" si="1"/>
        <v>4.0934810798066712E-2</v>
      </c>
      <c r="F48" s="26">
        <v>585.79999999999995</v>
      </c>
      <c r="G48" s="6">
        <f t="shared" si="2"/>
        <v>0.10687906118330369</v>
      </c>
      <c r="H48" s="6">
        <f t="shared" si="3"/>
        <v>0.11279966566619803</v>
      </c>
    </row>
    <row r="49" spans="1:8" hidden="1" x14ac:dyDescent="0.25">
      <c r="A49" s="43">
        <v>40603</v>
      </c>
      <c r="B49" s="26">
        <v>348.51</v>
      </c>
      <c r="C49" s="6">
        <f t="shared" si="0"/>
        <v>-1.3395856706299903E-2</v>
      </c>
      <c r="D49" s="6">
        <f t="shared" si="1"/>
        <v>-1.330653152515493E-2</v>
      </c>
      <c r="F49" s="26">
        <v>574.29</v>
      </c>
      <c r="G49" s="6">
        <f t="shared" si="2"/>
        <v>-1.9843939177158147E-2</v>
      </c>
      <c r="H49" s="6">
        <f t="shared" si="3"/>
        <v>-1.9648344144759244E-2</v>
      </c>
    </row>
    <row r="50" spans="1:8" hidden="1" x14ac:dyDescent="0.25">
      <c r="A50" s="43">
        <v>40634</v>
      </c>
      <c r="B50" s="26">
        <v>350.13</v>
      </c>
      <c r="C50" s="6">
        <f t="shared" si="0"/>
        <v>4.6375898988789757E-3</v>
      </c>
      <c r="D50" s="6">
        <f t="shared" si="1"/>
        <v>4.6483601618318993E-3</v>
      </c>
      <c r="F50" s="26">
        <v>440.47</v>
      </c>
      <c r="G50" s="6">
        <f t="shared" si="2"/>
        <v>-0.26529215658624006</v>
      </c>
      <c r="H50" s="6">
        <f t="shared" si="3"/>
        <v>-0.23301816155600819</v>
      </c>
    </row>
    <row r="51" spans="1:8" hidden="1" x14ac:dyDescent="0.25">
      <c r="A51" s="43">
        <v>40665</v>
      </c>
      <c r="B51" s="26">
        <v>347.83</v>
      </c>
      <c r="C51" s="6">
        <f t="shared" si="0"/>
        <v>-6.5906594228294924E-3</v>
      </c>
      <c r="D51" s="6">
        <f t="shared" si="1"/>
        <v>-6.568988661354358E-3</v>
      </c>
      <c r="F51" s="26">
        <v>471.18</v>
      </c>
      <c r="G51" s="6">
        <f t="shared" si="2"/>
        <v>6.7397847984603548E-2</v>
      </c>
      <c r="H51" s="6">
        <f t="shared" si="3"/>
        <v>6.9720979862419652E-2</v>
      </c>
    </row>
    <row r="52" spans="1:8" hidden="1" x14ac:dyDescent="0.25">
      <c r="A52" s="43">
        <v>40695</v>
      </c>
      <c r="B52" s="26">
        <v>335.67</v>
      </c>
      <c r="C52" s="6">
        <f t="shared" si="0"/>
        <v>-3.5585320181802882E-2</v>
      </c>
      <c r="D52" s="6">
        <f t="shared" si="1"/>
        <v>-3.495960670442444E-2</v>
      </c>
      <c r="F52" s="26">
        <v>564.29999999999995</v>
      </c>
      <c r="G52" s="6">
        <f t="shared" si="2"/>
        <v>0.18034583836025603</v>
      </c>
      <c r="H52" s="6">
        <f t="shared" si="3"/>
        <v>0.1976314784158919</v>
      </c>
    </row>
    <row r="53" spans="1:8" hidden="1" x14ac:dyDescent="0.25">
      <c r="A53" s="43">
        <v>40725</v>
      </c>
      <c r="B53" s="26">
        <v>390.48</v>
      </c>
      <c r="C53" s="6">
        <f t="shared" si="0"/>
        <v>0.15124821709115263</v>
      </c>
      <c r="D53" s="6">
        <f t="shared" si="1"/>
        <v>0.16328536955938877</v>
      </c>
      <c r="F53" s="26">
        <v>691.48</v>
      </c>
      <c r="G53" s="6">
        <f t="shared" si="2"/>
        <v>0.20324820307949171</v>
      </c>
      <c r="H53" s="6">
        <f t="shared" si="3"/>
        <v>0.2253765727449939</v>
      </c>
    </row>
    <row r="54" spans="1:8" hidden="1" x14ac:dyDescent="0.25">
      <c r="A54" s="43">
        <v>40756</v>
      </c>
      <c r="B54" s="26">
        <v>384.83</v>
      </c>
      <c r="C54" s="6">
        <f t="shared" si="0"/>
        <v>-1.4575073248301941E-2</v>
      </c>
      <c r="D54" s="6">
        <f t="shared" si="1"/>
        <v>-1.446937103052659E-2</v>
      </c>
      <c r="F54" s="26">
        <v>693</v>
      </c>
      <c r="G54" s="6">
        <f t="shared" si="2"/>
        <v>2.1957711353171334E-3</v>
      </c>
      <c r="H54" s="6">
        <f t="shared" si="3"/>
        <v>2.1981836061779614E-3</v>
      </c>
    </row>
    <row r="55" spans="1:8" hidden="1" x14ac:dyDescent="0.25">
      <c r="A55" s="43">
        <v>40787</v>
      </c>
      <c r="B55" s="26">
        <v>381.32</v>
      </c>
      <c r="C55" s="6">
        <f t="shared" si="0"/>
        <v>-9.1627607052127934E-3</v>
      </c>
      <c r="D55" s="6">
        <f t="shared" si="1"/>
        <v>-9.1209105319232098E-3</v>
      </c>
      <c r="F55" s="26">
        <v>707</v>
      </c>
      <c r="G55" s="6">
        <f t="shared" si="2"/>
        <v>2.0000666706669435E-2</v>
      </c>
      <c r="H55" s="6">
        <f t="shared" si="3"/>
        <v>2.020202020202011E-2</v>
      </c>
    </row>
    <row r="56" spans="1:8" hidden="1" x14ac:dyDescent="0.25">
      <c r="A56" s="43">
        <v>40819</v>
      </c>
      <c r="B56" s="26">
        <v>404.78</v>
      </c>
      <c r="C56" s="6">
        <f t="shared" si="0"/>
        <v>5.9704792012682126E-2</v>
      </c>
      <c r="D56" s="6">
        <f t="shared" si="1"/>
        <v>6.1523130179376828E-2</v>
      </c>
      <c r="F56" s="26">
        <v>567.27</v>
      </c>
      <c r="G56" s="6">
        <f t="shared" si="2"/>
        <v>-0.22019528503533467</v>
      </c>
      <c r="H56" s="6">
        <f t="shared" si="3"/>
        <v>-0.19763790664780767</v>
      </c>
    </row>
    <row r="57" spans="1:8" hidden="1" x14ac:dyDescent="0.25">
      <c r="A57" s="43">
        <v>40848</v>
      </c>
      <c r="B57" s="26">
        <v>382.2</v>
      </c>
      <c r="C57" s="6">
        <f t="shared" si="0"/>
        <v>-5.7399677831886937E-2</v>
      </c>
      <c r="D57" s="6">
        <f t="shared" si="1"/>
        <v>-5.5783388507337328E-2</v>
      </c>
      <c r="F57" s="26">
        <v>515.25</v>
      </c>
      <c r="G57" s="6">
        <f t="shared" si="2"/>
        <v>-9.6183161090669669E-2</v>
      </c>
      <c r="H57" s="6">
        <f t="shared" si="3"/>
        <v>-9.1702363953672816E-2</v>
      </c>
    </row>
    <row r="58" spans="1:8" hidden="1" x14ac:dyDescent="0.25">
      <c r="A58" s="43">
        <v>40878</v>
      </c>
      <c r="B58" s="26">
        <v>405</v>
      </c>
      <c r="C58" s="6">
        <f t="shared" si="0"/>
        <v>5.794303530036643E-2</v>
      </c>
      <c r="D58" s="6">
        <f t="shared" si="1"/>
        <v>5.9654631083202458E-2</v>
      </c>
      <c r="F58" s="26">
        <v>510</v>
      </c>
      <c r="G58" s="6">
        <f t="shared" si="2"/>
        <v>-1.0241494052196907E-2</v>
      </c>
      <c r="H58" s="6">
        <f t="shared" si="3"/>
        <v>-1.0189228529839833E-2</v>
      </c>
    </row>
    <row r="59" spans="1:8" x14ac:dyDescent="0.25">
      <c r="A59" s="43">
        <v>40911</v>
      </c>
      <c r="B59" s="26">
        <v>456.48</v>
      </c>
      <c r="C59" s="6">
        <f t="shared" si="0"/>
        <v>0.11965782035865079</v>
      </c>
      <c r="D59" s="6">
        <f t="shared" si="1"/>
        <v>0.12711111111111117</v>
      </c>
      <c r="F59" s="26">
        <v>522.70000000000005</v>
      </c>
      <c r="G59" s="6">
        <f t="shared" si="2"/>
        <v>2.4596960000504701E-2</v>
      </c>
      <c r="H59" s="6">
        <f t="shared" si="3"/>
        <v>2.4901960784313726E-2</v>
      </c>
    </row>
    <row r="60" spans="1:8" x14ac:dyDescent="0.25">
      <c r="A60" s="43">
        <v>40940</v>
      </c>
      <c r="B60" s="26">
        <v>542.44000000000005</v>
      </c>
      <c r="C60" s="6">
        <f t="shared" si="0"/>
        <v>0.17253259275455476</v>
      </c>
      <c r="D60" s="6">
        <f t="shared" si="1"/>
        <v>0.18831055029793209</v>
      </c>
      <c r="F60" s="26">
        <v>497.91</v>
      </c>
      <c r="G60" s="6">
        <f t="shared" si="2"/>
        <v>-4.8588347918139083E-2</v>
      </c>
      <c r="H60" s="6">
        <f t="shared" si="3"/>
        <v>-4.7426822268987978E-2</v>
      </c>
    </row>
    <row r="61" spans="1:8" x14ac:dyDescent="0.25">
      <c r="A61" s="43">
        <v>40969</v>
      </c>
      <c r="B61" s="26">
        <v>599.54999999999995</v>
      </c>
      <c r="C61" s="6">
        <f t="shared" si="0"/>
        <v>0.1001018936056976</v>
      </c>
      <c r="D61" s="6">
        <f t="shared" si="1"/>
        <v>0.10528353366270915</v>
      </c>
      <c r="F61" s="26">
        <v>471.38</v>
      </c>
      <c r="G61" s="6">
        <f t="shared" si="2"/>
        <v>-5.4754775012495489E-2</v>
      </c>
      <c r="H61" s="6">
        <f t="shared" si="3"/>
        <v>-5.3282721777028086E-2</v>
      </c>
    </row>
    <row r="62" spans="1:8" x14ac:dyDescent="0.25">
      <c r="A62" s="43">
        <v>41001</v>
      </c>
      <c r="B62" s="26">
        <v>583.98</v>
      </c>
      <c r="C62" s="6">
        <f t="shared" si="0"/>
        <v>-2.6312638158984922E-2</v>
      </c>
      <c r="D62" s="6">
        <f t="shared" si="1"/>
        <v>-2.5969477107830818E-2</v>
      </c>
      <c r="F62" s="26">
        <v>458.16</v>
      </c>
      <c r="G62" s="6">
        <f t="shared" si="2"/>
        <v>-2.8446094702639788E-2</v>
      </c>
      <c r="H62" s="6">
        <f t="shared" si="3"/>
        <v>-2.80453137595994E-2</v>
      </c>
    </row>
    <row r="63" spans="1:8" x14ac:dyDescent="0.25">
      <c r="A63" s="43">
        <v>41030</v>
      </c>
      <c r="B63" s="26">
        <v>577.73</v>
      </c>
      <c r="C63" s="6">
        <f t="shared" si="0"/>
        <v>-1.0760104160047555E-2</v>
      </c>
      <c r="D63" s="6">
        <f t="shared" si="1"/>
        <v>-1.070242131579846E-2</v>
      </c>
      <c r="F63" s="26">
        <v>449.45</v>
      </c>
      <c r="G63" s="6">
        <f t="shared" si="2"/>
        <v>-1.9193855066193692E-2</v>
      </c>
      <c r="H63" s="6">
        <f t="shared" si="3"/>
        <v>-1.9010825912345153E-2</v>
      </c>
    </row>
    <row r="64" spans="1:8" x14ac:dyDescent="0.25">
      <c r="A64" s="43">
        <v>41061</v>
      </c>
      <c r="B64" s="26">
        <v>584</v>
      </c>
      <c r="C64" s="6">
        <f t="shared" si="0"/>
        <v>1.0794351321817304E-2</v>
      </c>
      <c r="D64" s="6">
        <f t="shared" si="1"/>
        <v>1.0852820521696893E-2</v>
      </c>
      <c r="F64" s="26">
        <v>501.5</v>
      </c>
      <c r="G64" s="6">
        <f t="shared" si="2"/>
        <v>0.10957899438258194</v>
      </c>
      <c r="H64" s="6">
        <f t="shared" si="3"/>
        <v>0.1158082100344866</v>
      </c>
    </row>
    <row r="66" spans="1:8" x14ac:dyDescent="0.25">
      <c r="A66" s="1" t="s">
        <v>48</v>
      </c>
      <c r="B66" s="44"/>
      <c r="C66" s="28">
        <f>AVERAGE(C5:C64)</f>
        <v>2.6092535382995975E-2</v>
      </c>
      <c r="D66" s="28">
        <f>AVERAGE(D5:D64)</f>
        <v>3.2411593445140129E-2</v>
      </c>
      <c r="E66" s="51"/>
      <c r="F66" s="51"/>
      <c r="G66" s="28">
        <f>AVERAGE(G5:G64)</f>
        <v>-2.4269022221436731E-3</v>
      </c>
      <c r="H66" s="28">
        <f>AVERAGE(H5:H64)</f>
        <v>2.5579752320811166E-3</v>
      </c>
    </row>
    <row r="67" spans="1:8" x14ac:dyDescent="0.25">
      <c r="A67" s="1" t="s">
        <v>2</v>
      </c>
      <c r="B67" s="44"/>
      <c r="C67" s="28">
        <f>_xlfn.STDEV.S(C5:C64)</f>
        <v>0.11170358406233492</v>
      </c>
      <c r="D67" s="28">
        <f>_xlfn.STDEV.S(D5:D64)</f>
        <v>0.10686671328971845</v>
      </c>
      <c r="E67" s="51"/>
      <c r="F67" s="51"/>
      <c r="G67" s="28">
        <f>_xlfn.STDEV.S(G5:G64)</f>
        <v>0.10087209806699204</v>
      </c>
      <c r="H67" s="28">
        <f>_xlfn.STDEV.S(H5:H64)</f>
        <v>0.10070642608124224</v>
      </c>
    </row>
    <row r="68" spans="1:8" x14ac:dyDescent="0.25">
      <c r="B68" s="44"/>
      <c r="C68" s="44"/>
      <c r="D68" s="44"/>
      <c r="E68" s="44"/>
      <c r="F68" s="44"/>
      <c r="G68" s="44"/>
      <c r="H68" s="44"/>
    </row>
    <row r="69" spans="1:8" x14ac:dyDescent="0.25">
      <c r="A69" s="1" t="s">
        <v>49</v>
      </c>
      <c r="B69" s="44"/>
      <c r="C69" s="45">
        <f>12*C66</f>
        <v>0.31311042459595173</v>
      </c>
      <c r="D69" s="45"/>
      <c r="E69" s="50"/>
      <c r="F69" s="50"/>
      <c r="G69" s="45">
        <f>12*G66</f>
        <v>-2.9122826665724078E-2</v>
      </c>
      <c r="H69" s="45"/>
    </row>
    <row r="70" spans="1:8" x14ac:dyDescent="0.25">
      <c r="A70" s="1" t="s">
        <v>4</v>
      </c>
      <c r="B70" s="44"/>
      <c r="C70" s="45">
        <f>12*C67</f>
        <v>1.340443008748019</v>
      </c>
      <c r="D70" s="45"/>
      <c r="E70" s="50"/>
      <c r="F70" s="50"/>
      <c r="G70" s="45">
        <f>12*G67</f>
        <v>1.2104651768039045</v>
      </c>
      <c r="H70" s="45"/>
    </row>
    <row r="71" spans="1:8" x14ac:dyDescent="0.25">
      <c r="A71" s="1" t="s">
        <v>5</v>
      </c>
      <c r="B71" s="44"/>
      <c r="C71" s="45">
        <f>SQRT(C70)</f>
        <v>1.1577750251011718</v>
      </c>
      <c r="D71" s="45"/>
      <c r="E71" s="50"/>
      <c r="F71" s="50"/>
      <c r="G71" s="45">
        <f>SQRT(G70)</f>
        <v>1.1002114236836047</v>
      </c>
      <c r="H71" s="45"/>
    </row>
    <row r="72" spans="1:8" x14ac:dyDescent="0.25">
      <c r="B72" s="44"/>
      <c r="C72" s="44"/>
      <c r="D72" s="44"/>
      <c r="E72" s="44"/>
      <c r="F72" s="44"/>
      <c r="G72" s="44"/>
      <c r="H72" s="44"/>
    </row>
  </sheetData>
  <mergeCells count="5">
    <mergeCell ref="E71:F71"/>
    <mergeCell ref="E66:F66"/>
    <mergeCell ref="E67:F67"/>
    <mergeCell ref="E69:F69"/>
    <mergeCell ref="E70:F70"/>
  </mergeCells>
  <printOptions headings="1" gridLines="1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pg198</vt:lpstr>
      <vt:lpstr>pg200</vt:lpstr>
      <vt:lpstr>pg202</vt:lpstr>
      <vt:lpstr>Bond</vt:lpstr>
      <vt:lpstr>pg203</vt:lpstr>
      <vt:lpstr>pg204</vt:lpstr>
      <vt:lpstr>pg207</vt:lpstr>
      <vt:lpstr>pg212</vt:lpstr>
      <vt:lpstr>a8.2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Trainer</cp:lastModifiedBy>
  <dcterms:created xsi:type="dcterms:W3CDTF">2012-07-01T15:48:19Z</dcterms:created>
  <dcterms:modified xsi:type="dcterms:W3CDTF">2022-08-31T19:37:38Z</dcterms:modified>
</cp:coreProperties>
</file>