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drawings/drawing2.xml" ContentType="application/vnd.openxmlformats-officedocument.drawing+xml"/>
  <Override PartName="/xl/activeX/activeX3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hD in UB_New\Thesis\1st draft\Calculations\"/>
    </mc:Choice>
  </mc:AlternateContent>
  <bookViews>
    <workbookView xWindow="0" yWindow="0" windowWidth="14610" windowHeight="14610" tabRatio="577" activeTab="1"/>
  </bookViews>
  <sheets>
    <sheet name="User_Input" sheetId="12" r:id="rId1"/>
    <sheet name=" Result" sheetId="16" r:id="rId2"/>
    <sheet name="Compilation_Equal" sheetId="15" r:id="rId3"/>
    <sheet name="Compilation_Expert" sheetId="17" r:id="rId4"/>
    <sheet name="Compilation_Hybird" sheetId="21" r:id="rId5"/>
    <sheet name="Performance_weight" sheetId="20" r:id="rId6"/>
    <sheet name="List box" sheetId="23" r:id="rId7"/>
  </sheets>
  <externalReferences>
    <externalReference r:id="rId8"/>
  </externalReferences>
  <definedNames>
    <definedName name="_xlnm._FilterDatabase" localSheetId="2" hidden="1">Compilation_Equal!$A$9:$A$56</definedName>
    <definedName name="_xlnm._FilterDatabase" localSheetId="3" hidden="1">Compilation_Expert!$A$9:$A$56</definedName>
    <definedName name="_xlnm._FilterDatabase" localSheetId="4" hidden="1">Compilation_Hybird!$A$9:$A$56</definedName>
    <definedName name="Adjustment_Factor">'List box'!$B$3:$B$13</definedName>
    <definedName name="_xlnm.Print_Area" localSheetId="2">Compilation_Equal!$J$10:$Q$41</definedName>
    <definedName name="_xlnm.Print_Area" localSheetId="3">Compilation_Expert!$J$10:$Q$41</definedName>
    <definedName name="_xlnm.Print_Area" localSheetId="4">Compilation_Hybird!$J$10:$Q$41</definedName>
    <definedName name="Value">[1]CATEGORY!$C$14:$C$30</definedName>
  </definedNames>
  <calcPr calcId="152511"/>
</workbook>
</file>

<file path=xl/calcChain.xml><?xml version="1.0" encoding="utf-8"?>
<calcChain xmlns="http://schemas.openxmlformats.org/spreadsheetml/2006/main">
  <c r="D40" i="20" l="1"/>
  <c r="D39" i="20"/>
  <c r="D38" i="20"/>
  <c r="D36" i="20"/>
  <c r="D37" i="20"/>
  <c r="D31" i="20"/>
  <c r="D32" i="20"/>
  <c r="D33" i="20"/>
  <c r="D34" i="20"/>
  <c r="D35" i="20"/>
  <c r="D30" i="20"/>
  <c r="D28" i="20"/>
  <c r="D29" i="20"/>
  <c r="D26" i="20"/>
  <c r="D27" i="20"/>
  <c r="D24" i="20"/>
  <c r="D25" i="20"/>
  <c r="D23" i="20"/>
  <c r="D19" i="20"/>
  <c r="D20" i="20"/>
  <c r="D21" i="20"/>
  <c r="D22" i="20"/>
  <c r="D18" i="20"/>
  <c r="D108" i="17"/>
  <c r="D110" i="17"/>
  <c r="D111" i="17"/>
  <c r="D112" i="17"/>
  <c r="D113" i="17"/>
  <c r="D115" i="17"/>
  <c r="D116" i="17"/>
  <c r="D117" i="17"/>
  <c r="D118" i="17"/>
  <c r="D119" i="17"/>
  <c r="D120" i="17"/>
  <c r="D121" i="17"/>
  <c r="D122" i="17"/>
  <c r="D123" i="17"/>
  <c r="D124" i="17"/>
  <c r="D128" i="17"/>
  <c r="D129" i="17"/>
  <c r="D101" i="17"/>
  <c r="D102" i="17"/>
  <c r="D103" i="17"/>
  <c r="D104" i="17"/>
  <c r="D106" i="17"/>
  <c r="D107" i="17"/>
  <c r="D100" i="17"/>
  <c r="D43" i="17"/>
  <c r="E14" i="16"/>
  <c r="E15" i="16"/>
  <c r="E13" i="16"/>
  <c r="B4" i="23"/>
  <c r="B5" i="23"/>
  <c r="B6" i="23"/>
  <c r="B7" i="23"/>
  <c r="B8" i="23"/>
  <c r="B9" i="23"/>
  <c r="B10" i="23"/>
  <c r="B11" i="23"/>
  <c r="B12" i="23"/>
  <c r="B13" i="23"/>
  <c r="B3" i="23"/>
  <c r="I52" i="12"/>
  <c r="H44" i="12"/>
  <c r="I165" i="15" s="1"/>
  <c r="H45" i="12"/>
  <c r="I78" i="21" s="1"/>
  <c r="H46" i="12"/>
  <c r="I79" i="21" s="1"/>
  <c r="H47" i="12"/>
  <c r="F45" i="16" s="1"/>
  <c r="H48" i="12"/>
  <c r="F46" i="16" s="1"/>
  <c r="H49" i="12"/>
  <c r="F47" i="16" s="1"/>
  <c r="H50" i="12"/>
  <c r="F48" i="16" s="1"/>
  <c r="H43" i="12"/>
  <c r="F41" i="16" s="1"/>
  <c r="H39" i="12"/>
  <c r="I160" i="21" s="1"/>
  <c r="H34" i="12"/>
  <c r="F32" i="16" s="1"/>
  <c r="H33" i="12"/>
  <c r="I66" i="21" s="1"/>
  <c r="H26" i="12"/>
  <c r="F24" i="16" s="1"/>
  <c r="H25" i="12"/>
  <c r="F23" i="16" s="1"/>
  <c r="H23" i="12"/>
  <c r="F21" i="16" s="1"/>
  <c r="I147" i="17" l="1"/>
  <c r="I117" i="21"/>
  <c r="I122" i="15"/>
  <c r="I29" i="15"/>
  <c r="I34" i="15"/>
  <c r="I122" i="17"/>
  <c r="I123" i="17"/>
  <c r="I34" i="21"/>
  <c r="I155" i="17"/>
  <c r="I117" i="15"/>
  <c r="I29" i="17"/>
  <c r="I72" i="21"/>
  <c r="I122" i="21"/>
  <c r="I67" i="17"/>
  <c r="I67" i="21"/>
  <c r="F43" i="16"/>
  <c r="I35" i="17"/>
  <c r="I29" i="21"/>
  <c r="F44" i="16"/>
  <c r="I147" i="21"/>
  <c r="I35" i="15"/>
  <c r="I123" i="15"/>
  <c r="I34" i="17"/>
  <c r="I117" i="17"/>
  <c r="I80" i="21"/>
  <c r="I155" i="21"/>
  <c r="I124" i="15"/>
  <c r="I59" i="15"/>
  <c r="I37" i="17"/>
  <c r="I124" i="17"/>
  <c r="I35" i="21"/>
  <c r="I123" i="21"/>
  <c r="I37" i="15"/>
  <c r="I36" i="17"/>
  <c r="I67" i="15"/>
  <c r="I147" i="15"/>
  <c r="I125" i="17"/>
  <c r="I36" i="21"/>
  <c r="I124" i="21"/>
  <c r="I36" i="15"/>
  <c r="I125" i="15"/>
  <c r="I24" i="15"/>
  <c r="I155" i="15"/>
  <c r="I59" i="17"/>
  <c r="I37" i="21"/>
  <c r="I125" i="21"/>
  <c r="I169" i="15"/>
  <c r="I169" i="17"/>
  <c r="I146" i="15"/>
  <c r="I170" i="15"/>
  <c r="I82" i="17"/>
  <c r="I56" i="17"/>
  <c r="I144" i="17"/>
  <c r="I81" i="21"/>
  <c r="I144" i="21"/>
  <c r="I83" i="17"/>
  <c r="I171" i="17"/>
  <c r="I164" i="17"/>
  <c r="I164" i="21"/>
  <c r="I77" i="15"/>
  <c r="I38" i="17"/>
  <c r="I77" i="17"/>
  <c r="I126" i="17"/>
  <c r="I165" i="17"/>
  <c r="I38" i="21"/>
  <c r="I76" i="21"/>
  <c r="I59" i="21"/>
  <c r="I126" i="21"/>
  <c r="I165" i="21"/>
  <c r="F42" i="16"/>
  <c r="I39" i="15"/>
  <c r="I13" i="15"/>
  <c r="I78" i="15"/>
  <c r="I127" i="15"/>
  <c r="I101" i="15"/>
  <c r="I166" i="15"/>
  <c r="I39" i="17"/>
  <c r="I13" i="17"/>
  <c r="I78" i="17"/>
  <c r="I127" i="17"/>
  <c r="I101" i="17"/>
  <c r="I166" i="17"/>
  <c r="I39" i="21"/>
  <c r="I13" i="21"/>
  <c r="I77" i="21"/>
  <c r="I127" i="21"/>
  <c r="I101" i="21"/>
  <c r="I166" i="21"/>
  <c r="I56" i="15"/>
  <c r="I144" i="15"/>
  <c r="I170" i="21"/>
  <c r="I58" i="15"/>
  <c r="I171" i="15"/>
  <c r="I146" i="17"/>
  <c r="I56" i="21"/>
  <c r="I171" i="21"/>
  <c r="I146" i="21"/>
  <c r="I164" i="15"/>
  <c r="I76" i="17"/>
  <c r="I83" i="21"/>
  <c r="I58" i="21"/>
  <c r="I38" i="15"/>
  <c r="I126" i="15"/>
  <c r="I40" i="15"/>
  <c r="I15" i="15"/>
  <c r="I79" i="15"/>
  <c r="I128" i="15"/>
  <c r="I112" i="15"/>
  <c r="I103" i="15"/>
  <c r="I167" i="15"/>
  <c r="I40" i="17"/>
  <c r="I24" i="17"/>
  <c r="I15" i="17"/>
  <c r="I79" i="17"/>
  <c r="I128" i="17"/>
  <c r="I112" i="17"/>
  <c r="I103" i="17"/>
  <c r="I167" i="17"/>
  <c r="I40" i="21"/>
  <c r="I24" i="21"/>
  <c r="I15" i="21"/>
  <c r="I128" i="21"/>
  <c r="I112" i="21"/>
  <c r="I103" i="21"/>
  <c r="I167" i="21"/>
  <c r="I81" i="15"/>
  <c r="I81" i="17"/>
  <c r="I169" i="21"/>
  <c r="I82" i="15"/>
  <c r="I170" i="17"/>
  <c r="I83" i="15"/>
  <c r="I58" i="17"/>
  <c r="I82" i="21"/>
  <c r="I76" i="15"/>
  <c r="F37" i="16"/>
  <c r="I33" i="15"/>
  <c r="I16" i="15"/>
  <c r="I80" i="15"/>
  <c r="I72" i="15"/>
  <c r="I121" i="15"/>
  <c r="I104" i="15"/>
  <c r="I168" i="15"/>
  <c r="I160" i="15"/>
  <c r="I33" i="17"/>
  <c r="I16" i="17"/>
  <c r="I80" i="17"/>
  <c r="I72" i="17"/>
  <c r="I121" i="17"/>
  <c r="I104" i="17"/>
  <c r="I168" i="17"/>
  <c r="I160" i="17"/>
  <c r="I33" i="21"/>
  <c r="I16" i="21"/>
  <c r="I121" i="21"/>
  <c r="I104" i="21"/>
  <c r="I168" i="21"/>
  <c r="I23" i="21"/>
  <c r="I154" i="21"/>
  <c r="I23" i="17"/>
  <c r="I154" i="17"/>
  <c r="F31" i="16"/>
  <c r="I23" i="15"/>
  <c r="I154" i="15"/>
  <c r="I111" i="15"/>
  <c r="I111" i="17"/>
  <c r="I111" i="21"/>
  <c r="I66" i="15"/>
  <c r="I66" i="17"/>
  <c r="H24" i="12"/>
  <c r="H27" i="12"/>
  <c r="H41" i="12"/>
  <c r="H42" i="12"/>
  <c r="H51" i="12"/>
  <c r="H31" i="12"/>
  <c r="H32" i="12"/>
  <c r="H35" i="12"/>
  <c r="H40" i="12"/>
  <c r="H22" i="12"/>
  <c r="H28" i="12"/>
  <c r="H29" i="12"/>
  <c r="H30" i="12"/>
  <c r="H36" i="12"/>
  <c r="H37" i="12"/>
  <c r="H38" i="12"/>
  <c r="H13" i="21"/>
  <c r="H14" i="21"/>
  <c r="H15" i="21"/>
  <c r="H16" i="21"/>
  <c r="H17" i="21"/>
  <c r="H18" i="21"/>
  <c r="H19" i="21"/>
  <c r="H20" i="21"/>
  <c r="H21" i="21"/>
  <c r="H22" i="21"/>
  <c r="H23" i="21"/>
  <c r="H24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12" i="21"/>
  <c r="H13" i="17"/>
  <c r="H14" i="17"/>
  <c r="H15" i="17"/>
  <c r="H16" i="17"/>
  <c r="H17" i="17"/>
  <c r="H18" i="17"/>
  <c r="H19" i="17"/>
  <c r="H20" i="17"/>
  <c r="H21" i="17"/>
  <c r="H22" i="17"/>
  <c r="H23" i="17"/>
  <c r="H24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12" i="17"/>
  <c r="H13" i="15"/>
  <c r="H14" i="15"/>
  <c r="H15" i="15"/>
  <c r="H16" i="15"/>
  <c r="H17" i="15"/>
  <c r="H18" i="15"/>
  <c r="H19" i="15"/>
  <c r="H20" i="15"/>
  <c r="H21" i="15"/>
  <c r="H22" i="15"/>
  <c r="H23" i="15"/>
  <c r="H24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12" i="15"/>
  <c r="E7" i="16"/>
  <c r="E8" i="16"/>
  <c r="E9" i="16"/>
  <c r="E10" i="16"/>
  <c r="E11" i="16"/>
  <c r="I71" i="21" l="1"/>
  <c r="I116" i="15"/>
  <c r="I159" i="21"/>
  <c r="I159" i="17"/>
  <c r="I71" i="17"/>
  <c r="I159" i="15"/>
  <c r="I71" i="15"/>
  <c r="I116" i="21"/>
  <c r="I28" i="21"/>
  <c r="I116" i="17"/>
  <c r="I28" i="17"/>
  <c r="I28" i="15"/>
  <c r="I118" i="15"/>
  <c r="I73" i="21"/>
  <c r="I161" i="17"/>
  <c r="I30" i="17"/>
  <c r="I73" i="17"/>
  <c r="I161" i="15"/>
  <c r="I73" i="15"/>
  <c r="I118" i="21"/>
  <c r="I30" i="21"/>
  <c r="I118" i="17"/>
  <c r="I30" i="15"/>
  <c r="I161" i="21"/>
  <c r="I27" i="21"/>
  <c r="I27" i="17"/>
  <c r="I70" i="21"/>
  <c r="I115" i="21"/>
  <c r="I158" i="21"/>
  <c r="I158" i="17"/>
  <c r="I70" i="17"/>
  <c r="I158" i="15"/>
  <c r="I70" i="15"/>
  <c r="I115" i="17"/>
  <c r="I115" i="15"/>
  <c r="I27" i="15"/>
  <c r="I153" i="15"/>
  <c r="I65" i="21"/>
  <c r="I153" i="21"/>
  <c r="I65" i="17"/>
  <c r="I110" i="21"/>
  <c r="I22" i="21"/>
  <c r="I110" i="17"/>
  <c r="I22" i="17"/>
  <c r="I110" i="15"/>
  <c r="I22" i="15"/>
  <c r="I65" i="15"/>
  <c r="I153" i="17"/>
  <c r="I55" i="17"/>
  <c r="I100" i="21"/>
  <c r="I12" i="21"/>
  <c r="I100" i="17"/>
  <c r="I100" i="15"/>
  <c r="I12" i="15"/>
  <c r="I143" i="15"/>
  <c r="I55" i="15"/>
  <c r="I143" i="21"/>
  <c r="I55" i="21"/>
  <c r="I143" i="17"/>
  <c r="I12" i="17"/>
  <c r="I162" i="21"/>
  <c r="I74" i="17"/>
  <c r="I162" i="17"/>
  <c r="I119" i="21"/>
  <c r="I31" i="21"/>
  <c r="I119" i="17"/>
  <c r="I31" i="17"/>
  <c r="I119" i="15"/>
  <c r="I31" i="15"/>
  <c r="I74" i="21"/>
  <c r="I162" i="15"/>
  <c r="I74" i="15"/>
  <c r="I62" i="21"/>
  <c r="I150" i="21"/>
  <c r="I150" i="17"/>
  <c r="I62" i="17"/>
  <c r="I150" i="15"/>
  <c r="I62" i="15"/>
  <c r="I107" i="21"/>
  <c r="I19" i="21"/>
  <c r="I107" i="17"/>
  <c r="I19" i="17"/>
  <c r="I107" i="15"/>
  <c r="I19" i="15"/>
  <c r="I120" i="21"/>
  <c r="I32" i="21"/>
  <c r="I120" i="17"/>
  <c r="I32" i="17"/>
  <c r="I120" i="15"/>
  <c r="I32" i="15"/>
  <c r="I163" i="21"/>
  <c r="I163" i="17"/>
  <c r="I75" i="17"/>
  <c r="I75" i="21"/>
  <c r="I163" i="15"/>
  <c r="I75" i="15"/>
  <c r="I151" i="21"/>
  <c r="I151" i="17"/>
  <c r="I63" i="17"/>
  <c r="I151" i="15"/>
  <c r="I63" i="15"/>
  <c r="I20" i="21"/>
  <c r="I63" i="21"/>
  <c r="I108" i="21"/>
  <c r="I20" i="15"/>
  <c r="I108" i="17"/>
  <c r="I108" i="15"/>
  <c r="I20" i="17"/>
  <c r="I129" i="21"/>
  <c r="I41" i="21"/>
  <c r="I129" i="17"/>
  <c r="I41" i="17"/>
  <c r="I129" i="15"/>
  <c r="I41" i="15"/>
  <c r="I172" i="17"/>
  <c r="I84" i="17"/>
  <c r="I172" i="15"/>
  <c r="I172" i="21"/>
  <c r="I84" i="15"/>
  <c r="I84" i="21"/>
  <c r="I113" i="21"/>
  <c r="I25" i="21"/>
  <c r="I113" i="17"/>
  <c r="I25" i="17"/>
  <c r="I113" i="15"/>
  <c r="I25" i="15"/>
  <c r="I68" i="17"/>
  <c r="I156" i="21"/>
  <c r="I156" i="17"/>
  <c r="I68" i="15"/>
  <c r="I68" i="21"/>
  <c r="I156" i="15"/>
  <c r="I105" i="21"/>
  <c r="I17" i="21"/>
  <c r="I105" i="15"/>
  <c r="I17" i="15"/>
  <c r="I148" i="15"/>
  <c r="I105" i="17"/>
  <c r="I60" i="21"/>
  <c r="I148" i="21"/>
  <c r="I148" i="17"/>
  <c r="I60" i="17"/>
  <c r="I60" i="15"/>
  <c r="I17" i="17"/>
  <c r="I61" i="21"/>
  <c r="I18" i="21"/>
  <c r="I18" i="17"/>
  <c r="I106" i="15"/>
  <c r="I18" i="15"/>
  <c r="I149" i="21"/>
  <c r="I149" i="17"/>
  <c r="I61" i="17"/>
  <c r="I149" i="15"/>
  <c r="I61" i="15"/>
  <c r="I106" i="21"/>
  <c r="I106" i="17"/>
  <c r="I69" i="15"/>
  <c r="I114" i="17"/>
  <c r="I26" i="17"/>
  <c r="I157" i="17"/>
  <c r="I69" i="17"/>
  <c r="I114" i="21"/>
  <c r="I114" i="15"/>
  <c r="I69" i="21"/>
  <c r="I157" i="21"/>
  <c r="I157" i="15"/>
  <c r="I26" i="21"/>
  <c r="I26" i="15"/>
  <c r="I21" i="15"/>
  <c r="I152" i="21"/>
  <c r="I152" i="15"/>
  <c r="I64" i="21"/>
  <c r="I109" i="21"/>
  <c r="I21" i="21"/>
  <c r="I109" i="17"/>
  <c r="I21" i="17"/>
  <c r="I109" i="15"/>
  <c r="I152" i="17"/>
  <c r="I64" i="17"/>
  <c r="I64" i="15"/>
  <c r="I57" i="17"/>
  <c r="I14" i="17"/>
  <c r="I57" i="15"/>
  <c r="I102" i="21"/>
  <c r="I102" i="15"/>
  <c r="I145" i="21"/>
  <c r="I145" i="17"/>
  <c r="I102" i="17"/>
  <c r="I145" i="15"/>
  <c r="I14" i="21"/>
  <c r="I14" i="15"/>
  <c r="I57" i="21"/>
  <c r="F38" i="16"/>
  <c r="F36" i="16"/>
  <c r="F29" i="16"/>
  <c r="F39" i="16"/>
  <c r="F49" i="16"/>
  <c r="F26" i="16"/>
  <c r="F30" i="16"/>
  <c r="F40" i="16"/>
  <c r="F22" i="16"/>
  <c r="F35" i="16"/>
  <c r="F20" i="16"/>
  <c r="H26" i="17"/>
  <c r="F34" i="16"/>
  <c r="F27" i="16"/>
  <c r="F25" i="16"/>
  <c r="H25" i="17"/>
  <c r="F33" i="16"/>
  <c r="F28" i="16"/>
  <c r="H25" i="15"/>
  <c r="H26" i="15"/>
  <c r="H26" i="21"/>
  <c r="H69" i="21" s="1"/>
  <c r="H25" i="21"/>
  <c r="H68" i="21" s="1"/>
  <c r="AR25" i="15"/>
  <c r="AR24" i="15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D47" i="20" l="1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46" i="20"/>
  <c r="D9" i="20"/>
  <c r="D8" i="20"/>
  <c r="D7" i="20"/>
  <c r="D6" i="20"/>
  <c r="D5" i="20"/>
  <c r="D4" i="20"/>
  <c r="D123" i="21"/>
  <c r="F144" i="17"/>
  <c r="D144" i="17" s="1"/>
  <c r="F145" i="17"/>
  <c r="D145" i="17" s="1"/>
  <c r="F146" i="17"/>
  <c r="F147" i="17"/>
  <c r="F148" i="17"/>
  <c r="F149" i="17"/>
  <c r="D149" i="17" s="1"/>
  <c r="F150" i="17"/>
  <c r="D150" i="17" s="1"/>
  <c r="F151" i="17"/>
  <c r="D151" i="17" s="1"/>
  <c r="F152" i="17"/>
  <c r="F153" i="17"/>
  <c r="F154" i="17"/>
  <c r="D154" i="17" s="1"/>
  <c r="F155" i="17"/>
  <c r="D155" i="17" s="1"/>
  <c r="F156" i="17"/>
  <c r="F157" i="17"/>
  <c r="F158" i="17"/>
  <c r="D158" i="17" s="1"/>
  <c r="F159" i="17"/>
  <c r="D159" i="17" s="1"/>
  <c r="F160" i="17"/>
  <c r="D160" i="17" s="1"/>
  <c r="F161" i="17"/>
  <c r="D161" i="17" s="1"/>
  <c r="F162" i="17"/>
  <c r="D162" i="17" s="1"/>
  <c r="F163" i="17"/>
  <c r="F164" i="17"/>
  <c r="D164" i="17" s="1"/>
  <c r="F165" i="17"/>
  <c r="F166" i="17"/>
  <c r="F167" i="17"/>
  <c r="F168" i="17"/>
  <c r="F169" i="17"/>
  <c r="F170" i="17"/>
  <c r="F171" i="17"/>
  <c r="D171" i="17" s="1"/>
  <c r="F172" i="17"/>
  <c r="D172" i="17" s="1"/>
  <c r="B172" i="17" s="1"/>
  <c r="F143" i="17"/>
  <c r="D143" i="17" s="1"/>
  <c r="B106" i="17"/>
  <c r="F107" i="17"/>
  <c r="F108" i="17"/>
  <c r="F112" i="17"/>
  <c r="F114" i="17"/>
  <c r="F115" i="17"/>
  <c r="F116" i="17"/>
  <c r="F117" i="17"/>
  <c r="F121" i="17"/>
  <c r="F123" i="17"/>
  <c r="B124" i="17"/>
  <c r="B129" i="17"/>
  <c r="F101" i="17"/>
  <c r="F102" i="17"/>
  <c r="F103" i="17"/>
  <c r="F105" i="17"/>
  <c r="F100" i="17"/>
  <c r="H172" i="21"/>
  <c r="L172" i="21" s="1"/>
  <c r="F172" i="21"/>
  <c r="D172" i="21" s="1"/>
  <c r="B172" i="21" s="1"/>
  <c r="H171" i="21"/>
  <c r="M171" i="21" s="1"/>
  <c r="F171" i="21"/>
  <c r="D171" i="21" s="1"/>
  <c r="H170" i="21"/>
  <c r="L170" i="21" s="1"/>
  <c r="F170" i="21"/>
  <c r="H169" i="21"/>
  <c r="L169" i="21" s="1"/>
  <c r="F169" i="21"/>
  <c r="H168" i="21"/>
  <c r="L168" i="21" s="1"/>
  <c r="F168" i="21"/>
  <c r="H167" i="21"/>
  <c r="L167" i="21" s="1"/>
  <c r="F167" i="21"/>
  <c r="H166" i="21"/>
  <c r="M166" i="21" s="1"/>
  <c r="F166" i="21"/>
  <c r="H165" i="21"/>
  <c r="M165" i="21" s="1"/>
  <c r="F165" i="21"/>
  <c r="D165" i="21"/>
  <c r="H164" i="21"/>
  <c r="L164" i="21" s="1"/>
  <c r="F164" i="21"/>
  <c r="D164" i="21" s="1"/>
  <c r="H163" i="21"/>
  <c r="K163" i="21" s="1"/>
  <c r="F163" i="21"/>
  <c r="D163" i="21" s="1"/>
  <c r="H162" i="21"/>
  <c r="L162" i="21" s="1"/>
  <c r="F162" i="21"/>
  <c r="D162" i="21" s="1"/>
  <c r="H161" i="21"/>
  <c r="L161" i="21" s="1"/>
  <c r="F161" i="21"/>
  <c r="D161" i="21"/>
  <c r="H160" i="21"/>
  <c r="M160" i="21" s="1"/>
  <c r="F160" i="21"/>
  <c r="D160" i="21" s="1"/>
  <c r="H159" i="21"/>
  <c r="K159" i="21" s="1"/>
  <c r="F159" i="21"/>
  <c r="D159" i="21" s="1"/>
  <c r="H158" i="21"/>
  <c r="L158" i="21" s="1"/>
  <c r="F158" i="21"/>
  <c r="D158" i="21" s="1"/>
  <c r="F157" i="21"/>
  <c r="F156" i="21"/>
  <c r="D156" i="21" s="1"/>
  <c r="H155" i="21"/>
  <c r="L155" i="21" s="1"/>
  <c r="F155" i="21"/>
  <c r="D155" i="21" s="1"/>
  <c r="H154" i="21"/>
  <c r="M154" i="21" s="1"/>
  <c r="F154" i="21"/>
  <c r="D154" i="21" s="1"/>
  <c r="H153" i="21"/>
  <c r="L153" i="21" s="1"/>
  <c r="F153" i="21"/>
  <c r="D153" i="21"/>
  <c r="H152" i="21"/>
  <c r="K152" i="21" s="1"/>
  <c r="F152" i="21"/>
  <c r="H151" i="21"/>
  <c r="K151" i="21" s="1"/>
  <c r="F151" i="21"/>
  <c r="D151" i="21" s="1"/>
  <c r="H150" i="21"/>
  <c r="L150" i="21" s="1"/>
  <c r="F150" i="21"/>
  <c r="D150" i="21" s="1"/>
  <c r="H149" i="21"/>
  <c r="M149" i="21" s="1"/>
  <c r="F149" i="21"/>
  <c r="D149" i="21" s="1"/>
  <c r="H148" i="21"/>
  <c r="K148" i="21" s="1"/>
  <c r="F148" i="21"/>
  <c r="H147" i="21"/>
  <c r="L147" i="21" s="1"/>
  <c r="F147" i="21"/>
  <c r="D147" i="21" s="1"/>
  <c r="H146" i="21"/>
  <c r="L146" i="21" s="1"/>
  <c r="F146" i="21"/>
  <c r="D146" i="21" s="1"/>
  <c r="H145" i="21"/>
  <c r="L145" i="21" s="1"/>
  <c r="F145" i="21"/>
  <c r="D145" i="21"/>
  <c r="H144" i="21"/>
  <c r="L144" i="21" s="1"/>
  <c r="F144" i="21"/>
  <c r="D144" i="21" s="1"/>
  <c r="H143" i="21"/>
  <c r="K143" i="21" s="1"/>
  <c r="F143" i="21"/>
  <c r="D143" i="21" s="1"/>
  <c r="B143" i="21" s="1"/>
  <c r="H129" i="21"/>
  <c r="L129" i="21" s="1"/>
  <c r="H128" i="21"/>
  <c r="M128" i="21" s="1"/>
  <c r="H127" i="21"/>
  <c r="L127" i="21" s="1"/>
  <c r="H126" i="21"/>
  <c r="L126" i="21" s="1"/>
  <c r="H125" i="21"/>
  <c r="L125" i="21" s="1"/>
  <c r="H124" i="21"/>
  <c r="L124" i="21" s="1"/>
  <c r="H123" i="21"/>
  <c r="M123" i="21" s="1"/>
  <c r="H122" i="21"/>
  <c r="M122" i="21" s="1"/>
  <c r="H121" i="21"/>
  <c r="L121" i="21" s="1"/>
  <c r="H120" i="21"/>
  <c r="K120" i="21" s="1"/>
  <c r="H119" i="21"/>
  <c r="L119" i="21" s="1"/>
  <c r="H118" i="21"/>
  <c r="L118" i="21" s="1"/>
  <c r="H117" i="21"/>
  <c r="L117" i="21" s="1"/>
  <c r="H116" i="21"/>
  <c r="K116" i="21" s="1"/>
  <c r="H115" i="21"/>
  <c r="L115" i="21" s="1"/>
  <c r="H112" i="21"/>
  <c r="L112" i="21" s="1"/>
  <c r="H111" i="21"/>
  <c r="M111" i="21" s="1"/>
  <c r="H110" i="21"/>
  <c r="L110" i="21" s="1"/>
  <c r="H109" i="21"/>
  <c r="K109" i="21" s="1"/>
  <c r="H108" i="21"/>
  <c r="K108" i="21" s="1"/>
  <c r="H107" i="21"/>
  <c r="L107" i="21" s="1"/>
  <c r="H106" i="21"/>
  <c r="L106" i="21" s="1"/>
  <c r="H105" i="21"/>
  <c r="K105" i="21" s="1"/>
  <c r="H104" i="21"/>
  <c r="L104" i="21" s="1"/>
  <c r="H103" i="21"/>
  <c r="L103" i="21" s="1"/>
  <c r="H102" i="21"/>
  <c r="L102" i="21" s="1"/>
  <c r="H101" i="21"/>
  <c r="M101" i="21" s="1"/>
  <c r="H100" i="21"/>
  <c r="K100" i="21" s="1"/>
  <c r="L84" i="21"/>
  <c r="L83" i="21"/>
  <c r="M83" i="21"/>
  <c r="L82" i="21"/>
  <c r="M82" i="21"/>
  <c r="M81" i="21"/>
  <c r="M80" i="21"/>
  <c r="L80" i="21"/>
  <c r="M79" i="21"/>
  <c r="L79" i="21"/>
  <c r="M78" i="21"/>
  <c r="M77" i="21"/>
  <c r="L77" i="21"/>
  <c r="M76" i="21"/>
  <c r="L76" i="21"/>
  <c r="L75" i="21"/>
  <c r="K75" i="21"/>
  <c r="L74" i="21"/>
  <c r="K74" i="21"/>
  <c r="L73" i="21"/>
  <c r="K73" i="21"/>
  <c r="M72" i="21"/>
  <c r="L72" i="21"/>
  <c r="L71" i="21"/>
  <c r="K71" i="21"/>
  <c r="L70" i="21"/>
  <c r="M67" i="21"/>
  <c r="M66" i="21"/>
  <c r="K65" i="21"/>
  <c r="L65" i="21"/>
  <c r="L64" i="21"/>
  <c r="K64" i="21"/>
  <c r="K63" i="21"/>
  <c r="L63" i="21"/>
  <c r="K62" i="21"/>
  <c r="L62" i="21"/>
  <c r="M61" i="21"/>
  <c r="L61" i="21"/>
  <c r="K60" i="21"/>
  <c r="M59" i="21"/>
  <c r="L59" i="21"/>
  <c r="L58" i="21"/>
  <c r="K58" i="21"/>
  <c r="L57" i="21"/>
  <c r="K57" i="21"/>
  <c r="M56" i="21"/>
  <c r="L56" i="21"/>
  <c r="K55" i="21"/>
  <c r="L41" i="21"/>
  <c r="K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L34" i="21"/>
  <c r="M33" i="21"/>
  <c r="L33" i="21"/>
  <c r="L32" i="21"/>
  <c r="K32" i="21"/>
  <c r="L31" i="21"/>
  <c r="K31" i="21"/>
  <c r="L30" i="21"/>
  <c r="K30" i="21"/>
  <c r="M29" i="21"/>
  <c r="L29" i="21"/>
  <c r="L28" i="21"/>
  <c r="K28" i="21"/>
  <c r="L27" i="21"/>
  <c r="K27" i="21"/>
  <c r="K26" i="21"/>
  <c r="H157" i="21"/>
  <c r="H156" i="21"/>
  <c r="M24" i="21"/>
  <c r="L24" i="21"/>
  <c r="M23" i="21"/>
  <c r="L23" i="21"/>
  <c r="L22" i="21"/>
  <c r="K22" i="21"/>
  <c r="L21" i="21"/>
  <c r="K21" i="21"/>
  <c r="L20" i="21"/>
  <c r="K20" i="21"/>
  <c r="L19" i="21"/>
  <c r="K19" i="21"/>
  <c r="M18" i="21"/>
  <c r="L18" i="21"/>
  <c r="L17" i="21"/>
  <c r="K17" i="21"/>
  <c r="M16" i="21"/>
  <c r="L16" i="21"/>
  <c r="L15" i="21"/>
  <c r="K15" i="21"/>
  <c r="L14" i="21"/>
  <c r="K14" i="21"/>
  <c r="M13" i="21"/>
  <c r="L13" i="21"/>
  <c r="L12" i="21"/>
  <c r="K12" i="21"/>
  <c r="H172" i="17"/>
  <c r="L172" i="17" s="1"/>
  <c r="H171" i="17"/>
  <c r="M171" i="17" s="1"/>
  <c r="H170" i="17"/>
  <c r="L170" i="17" s="1"/>
  <c r="H169" i="17"/>
  <c r="L169" i="17" s="1"/>
  <c r="H168" i="17"/>
  <c r="L168" i="17" s="1"/>
  <c r="H167" i="17"/>
  <c r="M167" i="17" s="1"/>
  <c r="H166" i="17"/>
  <c r="M166" i="17" s="1"/>
  <c r="H165" i="17"/>
  <c r="L165" i="17" s="1"/>
  <c r="H164" i="17"/>
  <c r="L164" i="17" s="1"/>
  <c r="H163" i="17"/>
  <c r="K163" i="17" s="1"/>
  <c r="D163" i="17"/>
  <c r="H162" i="17"/>
  <c r="L162" i="17" s="1"/>
  <c r="H161" i="17"/>
  <c r="K161" i="17" s="1"/>
  <c r="H160" i="17"/>
  <c r="M160" i="17" s="1"/>
  <c r="H159" i="17"/>
  <c r="K159" i="17" s="1"/>
  <c r="H158" i="17"/>
  <c r="L158" i="17" s="1"/>
  <c r="H155" i="17"/>
  <c r="L155" i="17" s="1"/>
  <c r="H154" i="17"/>
  <c r="M154" i="17" s="1"/>
  <c r="H153" i="17"/>
  <c r="K153" i="17" s="1"/>
  <c r="D153" i="17"/>
  <c r="H152" i="17"/>
  <c r="K152" i="17" s="1"/>
  <c r="H151" i="17"/>
  <c r="L151" i="17" s="1"/>
  <c r="H150" i="17"/>
  <c r="K150" i="17" s="1"/>
  <c r="H149" i="17"/>
  <c r="M149" i="17" s="1"/>
  <c r="H148" i="17"/>
  <c r="K148" i="17" s="1"/>
  <c r="H147" i="17"/>
  <c r="L147" i="17" s="1"/>
  <c r="H146" i="17"/>
  <c r="L146" i="17" s="1"/>
  <c r="D146" i="17"/>
  <c r="H145" i="17"/>
  <c r="K145" i="17" s="1"/>
  <c r="H144" i="17"/>
  <c r="M144" i="17" s="1"/>
  <c r="H129" i="17"/>
  <c r="L129" i="17" s="1"/>
  <c r="F129" i="17"/>
  <c r="H128" i="17"/>
  <c r="M128" i="17" s="1"/>
  <c r="F128" i="17"/>
  <c r="H127" i="17"/>
  <c r="L127" i="17" s="1"/>
  <c r="H126" i="17"/>
  <c r="L126" i="17" s="1"/>
  <c r="H125" i="17"/>
  <c r="M125" i="17" s="1"/>
  <c r="H124" i="17"/>
  <c r="L124" i="17" s="1"/>
  <c r="H123" i="17"/>
  <c r="M123" i="17" s="1"/>
  <c r="H122" i="17"/>
  <c r="L122" i="17" s="1"/>
  <c r="H121" i="17"/>
  <c r="L121" i="17" s="1"/>
  <c r="H120" i="17"/>
  <c r="K120" i="17" s="1"/>
  <c r="F120" i="17"/>
  <c r="H119" i="17"/>
  <c r="L119" i="17" s="1"/>
  <c r="F119" i="17"/>
  <c r="H118" i="17"/>
  <c r="K118" i="17" s="1"/>
  <c r="F118" i="17"/>
  <c r="H117" i="17"/>
  <c r="M117" i="17" s="1"/>
  <c r="H116" i="17"/>
  <c r="K116" i="17" s="1"/>
  <c r="H115" i="17"/>
  <c r="K115" i="17" s="1"/>
  <c r="H112" i="17"/>
  <c r="L112" i="17" s="1"/>
  <c r="H111" i="17"/>
  <c r="M111" i="17" s="1"/>
  <c r="F111" i="17"/>
  <c r="H110" i="17"/>
  <c r="K110" i="17" s="1"/>
  <c r="F110" i="17"/>
  <c r="H109" i="17"/>
  <c r="L109" i="17" s="1"/>
  <c r="F109" i="17"/>
  <c r="H108" i="17"/>
  <c r="K108" i="17" s="1"/>
  <c r="H107" i="17"/>
  <c r="L107" i="17" s="1"/>
  <c r="H106" i="17"/>
  <c r="M106" i="17" s="1"/>
  <c r="H105" i="17"/>
  <c r="K105" i="17" s="1"/>
  <c r="H104" i="17"/>
  <c r="L104" i="17" s="1"/>
  <c r="H103" i="17"/>
  <c r="L103" i="17" s="1"/>
  <c r="H102" i="17"/>
  <c r="K102" i="17" s="1"/>
  <c r="H101" i="17"/>
  <c r="M101" i="17" s="1"/>
  <c r="H84" i="17"/>
  <c r="L84" i="17" s="1"/>
  <c r="B84" i="17"/>
  <c r="D84" i="17" s="1"/>
  <c r="F84" i="17" s="1"/>
  <c r="H83" i="17"/>
  <c r="L83" i="17" s="1"/>
  <c r="D83" i="17"/>
  <c r="F83" i="17" s="1"/>
  <c r="H82" i="17"/>
  <c r="L82" i="17" s="1"/>
  <c r="H81" i="17"/>
  <c r="M81" i="17" s="1"/>
  <c r="H80" i="17"/>
  <c r="L80" i="17" s="1"/>
  <c r="H79" i="17"/>
  <c r="L79" i="17" s="1"/>
  <c r="D79" i="17"/>
  <c r="B79" i="17"/>
  <c r="H78" i="17"/>
  <c r="M78" i="17" s="1"/>
  <c r="H77" i="17"/>
  <c r="L77" i="17" s="1"/>
  <c r="D77" i="17"/>
  <c r="F82" i="17" s="1"/>
  <c r="H76" i="17"/>
  <c r="L76" i="17" s="1"/>
  <c r="D76" i="17"/>
  <c r="F76" i="17" s="1"/>
  <c r="H75" i="17"/>
  <c r="K75" i="17" s="1"/>
  <c r="D75" i="17"/>
  <c r="F75" i="17" s="1"/>
  <c r="H74" i="17"/>
  <c r="K74" i="17" s="1"/>
  <c r="D74" i="17"/>
  <c r="F74" i="17" s="1"/>
  <c r="H73" i="17"/>
  <c r="K73" i="17" s="1"/>
  <c r="D73" i="17"/>
  <c r="F73" i="17" s="1"/>
  <c r="H72" i="17"/>
  <c r="L72" i="17" s="1"/>
  <c r="D72" i="17"/>
  <c r="F72" i="17" s="1"/>
  <c r="H71" i="17"/>
  <c r="K71" i="17" s="1"/>
  <c r="D71" i="17"/>
  <c r="F71" i="17" s="1"/>
  <c r="H70" i="17"/>
  <c r="L70" i="17" s="1"/>
  <c r="D70" i="17"/>
  <c r="F70" i="17" s="1"/>
  <c r="B70" i="17"/>
  <c r="H69" i="17"/>
  <c r="K69" i="17" s="1"/>
  <c r="H67" i="17"/>
  <c r="M67" i="17" s="1"/>
  <c r="H66" i="17"/>
  <c r="M66" i="17" s="1"/>
  <c r="H65" i="17"/>
  <c r="K65" i="17" s="1"/>
  <c r="H64" i="17"/>
  <c r="L64" i="17" s="1"/>
  <c r="H63" i="17"/>
  <c r="K63" i="17" s="1"/>
  <c r="H62" i="17"/>
  <c r="K62" i="17" s="1"/>
  <c r="H61" i="17"/>
  <c r="M61" i="17" s="1"/>
  <c r="H60" i="17"/>
  <c r="K60" i="17" s="1"/>
  <c r="H59" i="17"/>
  <c r="M59" i="17" s="1"/>
  <c r="H58" i="17"/>
  <c r="L58" i="17" s="1"/>
  <c r="H57" i="17"/>
  <c r="L57" i="17" s="1"/>
  <c r="H56" i="17"/>
  <c r="M56" i="17" s="1"/>
  <c r="L41" i="17"/>
  <c r="K41" i="17"/>
  <c r="M40" i="17"/>
  <c r="L40" i="17"/>
  <c r="M39" i="17"/>
  <c r="L39" i="17"/>
  <c r="M38" i="17"/>
  <c r="L38" i="17"/>
  <c r="M37" i="17"/>
  <c r="L37" i="17"/>
  <c r="M36" i="17"/>
  <c r="L36" i="17"/>
  <c r="M35" i="17"/>
  <c r="L35" i="17"/>
  <c r="M34" i="17"/>
  <c r="L34" i="17"/>
  <c r="M33" i="17"/>
  <c r="L33" i="17"/>
  <c r="L32" i="17"/>
  <c r="K32" i="17"/>
  <c r="L31" i="17"/>
  <c r="K31" i="17"/>
  <c r="L30" i="17"/>
  <c r="K30" i="17"/>
  <c r="M29" i="17"/>
  <c r="L29" i="17"/>
  <c r="L28" i="17"/>
  <c r="K28" i="17"/>
  <c r="L27" i="17"/>
  <c r="K27" i="17"/>
  <c r="L26" i="17"/>
  <c r="K26" i="17"/>
  <c r="H157" i="17"/>
  <c r="K25" i="17"/>
  <c r="H156" i="17"/>
  <c r="M24" i="17"/>
  <c r="L24" i="17"/>
  <c r="M23" i="17"/>
  <c r="L23" i="17"/>
  <c r="L22" i="17"/>
  <c r="K22" i="17"/>
  <c r="B65" i="17"/>
  <c r="L21" i="17"/>
  <c r="K21" i="17"/>
  <c r="L20" i="17"/>
  <c r="K20" i="17"/>
  <c r="L19" i="17"/>
  <c r="K19" i="17"/>
  <c r="M18" i="17"/>
  <c r="L18" i="17"/>
  <c r="D61" i="17"/>
  <c r="F61" i="17" s="1"/>
  <c r="L17" i="17"/>
  <c r="K17" i="17"/>
  <c r="M16" i="17"/>
  <c r="L16" i="17"/>
  <c r="L15" i="17"/>
  <c r="K15" i="17"/>
  <c r="L14" i="17"/>
  <c r="K14" i="17"/>
  <c r="M13" i="17"/>
  <c r="L13" i="17"/>
  <c r="B55" i="17"/>
  <c r="H113" i="15"/>
  <c r="H69" i="15"/>
  <c r="H167" i="15"/>
  <c r="H168" i="15"/>
  <c r="H169" i="15"/>
  <c r="H170" i="15"/>
  <c r="H171" i="15"/>
  <c r="H172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8" i="15"/>
  <c r="H159" i="15"/>
  <c r="H160" i="15"/>
  <c r="H161" i="15"/>
  <c r="H162" i="15"/>
  <c r="H163" i="15"/>
  <c r="H164" i="15"/>
  <c r="H165" i="15"/>
  <c r="H166" i="15"/>
  <c r="H143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00" i="15"/>
  <c r="H82" i="15"/>
  <c r="H83" i="15"/>
  <c r="H84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55" i="15"/>
  <c r="B149" i="21" l="1"/>
  <c r="D165" i="17"/>
  <c r="D156" i="17"/>
  <c r="B153" i="17" s="1"/>
  <c r="D167" i="21"/>
  <c r="B167" i="21" s="1"/>
  <c r="B115" i="17"/>
  <c r="D130" i="17"/>
  <c r="D147" i="17"/>
  <c r="B143" i="17" s="1"/>
  <c r="B149" i="17"/>
  <c r="D167" i="17"/>
  <c r="B167" i="17" s="1"/>
  <c r="K158" i="21"/>
  <c r="N158" i="21" s="1"/>
  <c r="O158" i="21" s="1"/>
  <c r="AK27" i="21" s="1"/>
  <c r="M106" i="21"/>
  <c r="N106" i="21" s="1"/>
  <c r="L149" i="21"/>
  <c r="N149" i="21" s="1"/>
  <c r="O149" i="21" s="1"/>
  <c r="AK18" i="21" s="1"/>
  <c r="L160" i="21"/>
  <c r="N160" i="21" s="1"/>
  <c r="O160" i="21" s="1"/>
  <c r="AK29" i="21" s="1"/>
  <c r="N17" i="21"/>
  <c r="AH17" i="21" s="1"/>
  <c r="N83" i="21"/>
  <c r="L128" i="21"/>
  <c r="N128" i="21" s="1"/>
  <c r="L165" i="21"/>
  <c r="N165" i="21" s="1"/>
  <c r="O165" i="21" s="1"/>
  <c r="AK34" i="21" s="1"/>
  <c r="N41" i="21"/>
  <c r="AH41" i="21" s="1"/>
  <c r="K118" i="21"/>
  <c r="N118" i="21" s="1"/>
  <c r="L166" i="21"/>
  <c r="N166" i="21" s="1"/>
  <c r="O166" i="21" s="1"/>
  <c r="AK35" i="21" s="1"/>
  <c r="L101" i="17"/>
  <c r="N101" i="17" s="1"/>
  <c r="O101" i="17" s="1"/>
  <c r="AJ13" i="17" s="1"/>
  <c r="L152" i="17"/>
  <c r="N152" i="17" s="1"/>
  <c r="O152" i="17" s="1"/>
  <c r="AK21" i="17" s="1"/>
  <c r="K158" i="17"/>
  <c r="N158" i="17" s="1"/>
  <c r="O158" i="17" s="1"/>
  <c r="AK27" i="17" s="1"/>
  <c r="L125" i="17"/>
  <c r="N125" i="17" s="1"/>
  <c r="L166" i="17"/>
  <c r="N166" i="17" s="1"/>
  <c r="O166" i="17" s="1"/>
  <c r="AK35" i="17" s="1"/>
  <c r="N19" i="21"/>
  <c r="AH19" i="21" s="1"/>
  <c r="N36" i="21"/>
  <c r="AH36" i="21" s="1"/>
  <c r="K150" i="21"/>
  <c r="N150" i="21" s="1"/>
  <c r="O150" i="21" s="1"/>
  <c r="AK19" i="21" s="1"/>
  <c r="K153" i="21"/>
  <c r="N153" i="21" s="1"/>
  <c r="O153" i="21" s="1"/>
  <c r="AK22" i="21" s="1"/>
  <c r="L123" i="21"/>
  <c r="N123" i="21" s="1"/>
  <c r="K145" i="21"/>
  <c r="N145" i="21" s="1"/>
  <c r="O145" i="21" s="1"/>
  <c r="AK14" i="21" s="1"/>
  <c r="M164" i="21"/>
  <c r="N164" i="21" s="1"/>
  <c r="O164" i="21" s="1"/>
  <c r="AK33" i="21" s="1"/>
  <c r="N13" i="21"/>
  <c r="AH13" i="21" s="1"/>
  <c r="N38" i="21"/>
  <c r="AH38" i="21" s="1"/>
  <c r="L101" i="21"/>
  <c r="N101" i="21" s="1"/>
  <c r="L122" i="21"/>
  <c r="N122" i="21" s="1"/>
  <c r="N33" i="21"/>
  <c r="AH33" i="21" s="1"/>
  <c r="N23" i="21"/>
  <c r="M112" i="21"/>
  <c r="N112" i="21" s="1"/>
  <c r="L120" i="21"/>
  <c r="N120" i="21" s="1"/>
  <c r="L171" i="21"/>
  <c r="N171" i="21" s="1"/>
  <c r="O171" i="21" s="1"/>
  <c r="AK40" i="21" s="1"/>
  <c r="N16" i="21"/>
  <c r="AH16" i="21" s="1"/>
  <c r="N15" i="21"/>
  <c r="AH15" i="21" s="1"/>
  <c r="N24" i="21"/>
  <c r="AH24" i="21" s="1"/>
  <c r="N14" i="21"/>
  <c r="AH14" i="21" s="1"/>
  <c r="N22" i="21"/>
  <c r="AH22" i="21" s="1"/>
  <c r="N14" i="17"/>
  <c r="O14" i="17" s="1"/>
  <c r="N24" i="17"/>
  <c r="AH24" i="17" s="1"/>
  <c r="N32" i="17"/>
  <c r="AH32" i="17" s="1"/>
  <c r="L106" i="17"/>
  <c r="N106" i="17" s="1"/>
  <c r="M126" i="17"/>
  <c r="N126" i="17" s="1"/>
  <c r="M164" i="17"/>
  <c r="N164" i="17" s="1"/>
  <c r="O164" i="17" s="1"/>
  <c r="AK33" i="17" s="1"/>
  <c r="N34" i="17"/>
  <c r="O34" i="17" s="1"/>
  <c r="L167" i="17"/>
  <c r="N167" i="17" s="1"/>
  <c r="O167" i="17" s="1"/>
  <c r="AK36" i="17" s="1"/>
  <c r="N28" i="17"/>
  <c r="O28" i="17" s="1"/>
  <c r="K58" i="17"/>
  <c r="N58" i="17" s="1"/>
  <c r="K64" i="17"/>
  <c r="N64" i="17" s="1"/>
  <c r="L123" i="17"/>
  <c r="N123" i="17" s="1"/>
  <c r="O123" i="17" s="1"/>
  <c r="AJ35" i="17" s="1"/>
  <c r="L160" i="17"/>
  <c r="N160" i="17" s="1"/>
  <c r="O160" i="17" s="1"/>
  <c r="AK29" i="17" s="1"/>
  <c r="L105" i="21"/>
  <c r="N105" i="21" s="1"/>
  <c r="L148" i="21"/>
  <c r="N148" i="21" s="1"/>
  <c r="O148" i="21" s="1"/>
  <c r="AK17" i="21" s="1"/>
  <c r="M144" i="21"/>
  <c r="N144" i="21" s="1"/>
  <c r="O144" i="21" s="1"/>
  <c r="AK13" i="21" s="1"/>
  <c r="N31" i="21"/>
  <c r="AH31" i="21" s="1"/>
  <c r="K102" i="21"/>
  <c r="N102" i="21" s="1"/>
  <c r="K107" i="21"/>
  <c r="N107" i="21" s="1"/>
  <c r="N29" i="21"/>
  <c r="AH29" i="21" s="1"/>
  <c r="N21" i="21"/>
  <c r="AH21" i="21" s="1"/>
  <c r="N27" i="21"/>
  <c r="AH27" i="21" s="1"/>
  <c r="N40" i="21"/>
  <c r="M104" i="21"/>
  <c r="N104" i="21" s="1"/>
  <c r="K115" i="21"/>
  <c r="N115" i="21" s="1"/>
  <c r="L163" i="21"/>
  <c r="N163" i="21" s="1"/>
  <c r="O163" i="21" s="1"/>
  <c r="AK32" i="21" s="1"/>
  <c r="N18" i="21"/>
  <c r="AH18" i="21" s="1"/>
  <c r="N20" i="21"/>
  <c r="AH20" i="21" s="1"/>
  <c r="N37" i="21"/>
  <c r="AH37" i="21" s="1"/>
  <c r="N39" i="21"/>
  <c r="AH39" i="21" s="1"/>
  <c r="N58" i="21"/>
  <c r="N82" i="21"/>
  <c r="M117" i="21"/>
  <c r="N117" i="21" s="1"/>
  <c r="M121" i="21"/>
  <c r="N121" i="21" s="1"/>
  <c r="N35" i="21"/>
  <c r="N79" i="21"/>
  <c r="N12" i="21"/>
  <c r="N28" i="21"/>
  <c r="AH28" i="21" s="1"/>
  <c r="N30" i="21"/>
  <c r="N32" i="21"/>
  <c r="AH32" i="21" s="1"/>
  <c r="N34" i="21"/>
  <c r="N65" i="21"/>
  <c r="K110" i="21"/>
  <c r="N110" i="21" s="1"/>
  <c r="M147" i="21"/>
  <c r="N147" i="21" s="1"/>
  <c r="O147" i="21" s="1"/>
  <c r="AK16" i="21" s="1"/>
  <c r="M155" i="21"/>
  <c r="N155" i="21" s="1"/>
  <c r="O155" i="21" s="1"/>
  <c r="AK24" i="21" s="1"/>
  <c r="K161" i="21"/>
  <c r="N161" i="21" s="1"/>
  <c r="O161" i="21" s="1"/>
  <c r="AK30" i="21" s="1"/>
  <c r="N16" i="17"/>
  <c r="AH16" i="17" s="1"/>
  <c r="N39" i="17"/>
  <c r="AH39" i="17" s="1"/>
  <c r="L59" i="17"/>
  <c r="N59" i="17" s="1"/>
  <c r="L144" i="17"/>
  <c r="N144" i="17" s="1"/>
  <c r="O144" i="17" s="1"/>
  <c r="AK13" i="17" s="1"/>
  <c r="L149" i="17"/>
  <c r="N149" i="17" s="1"/>
  <c r="O149" i="17" s="1"/>
  <c r="AK18" i="17" s="1"/>
  <c r="K151" i="17"/>
  <c r="N151" i="17" s="1"/>
  <c r="O151" i="17" s="1"/>
  <c r="AK20" i="17" s="1"/>
  <c r="N30" i="17"/>
  <c r="AH30" i="17" s="1"/>
  <c r="N20" i="17"/>
  <c r="AH20" i="17" s="1"/>
  <c r="N17" i="17"/>
  <c r="AH17" i="17" s="1"/>
  <c r="N40" i="17"/>
  <c r="O40" i="17" s="1"/>
  <c r="L115" i="17"/>
  <c r="N115" i="17" s="1"/>
  <c r="O115" i="17" s="1"/>
  <c r="AJ27" i="17" s="1"/>
  <c r="L150" i="17"/>
  <c r="N150" i="17" s="1"/>
  <c r="O150" i="17" s="1"/>
  <c r="AK19" i="17" s="1"/>
  <c r="N38" i="17"/>
  <c r="AH38" i="17" s="1"/>
  <c r="L61" i="17"/>
  <c r="N61" i="17" s="1"/>
  <c r="O61" i="17" s="1"/>
  <c r="AI18" i="17" s="1"/>
  <c r="L116" i="17"/>
  <c r="N116" i="17" s="1"/>
  <c r="O116" i="17" s="1"/>
  <c r="AJ28" i="17" s="1"/>
  <c r="M127" i="17"/>
  <c r="N127" i="17" s="1"/>
  <c r="K107" i="17"/>
  <c r="N107" i="17" s="1"/>
  <c r="O107" i="17" s="1"/>
  <c r="AJ19" i="17" s="1"/>
  <c r="L171" i="17"/>
  <c r="N171" i="17" s="1"/>
  <c r="O171" i="17" s="1"/>
  <c r="AK40" i="17" s="1"/>
  <c r="N21" i="17"/>
  <c r="AH21" i="17" s="1"/>
  <c r="N26" i="17"/>
  <c r="O26" i="17" s="1"/>
  <c r="N36" i="17"/>
  <c r="AH36" i="17" s="1"/>
  <c r="N41" i="17"/>
  <c r="O41" i="17" s="1"/>
  <c r="N23" i="17"/>
  <c r="O23" i="17" s="1"/>
  <c r="K109" i="17"/>
  <c r="N109" i="17" s="1"/>
  <c r="O109" i="17" s="1"/>
  <c r="AJ21" i="17" s="1"/>
  <c r="L117" i="17"/>
  <c r="N117" i="17" s="1"/>
  <c r="O117" i="17" s="1"/>
  <c r="AJ29" i="17" s="1"/>
  <c r="M121" i="17"/>
  <c r="N121" i="17" s="1"/>
  <c r="O121" i="17" s="1"/>
  <c r="AJ33" i="17" s="1"/>
  <c r="M168" i="17"/>
  <c r="N168" i="17" s="1"/>
  <c r="O168" i="17" s="1"/>
  <c r="AK37" i="17" s="1"/>
  <c r="K57" i="17"/>
  <c r="N57" i="17" s="1"/>
  <c r="N63" i="21"/>
  <c r="N77" i="21"/>
  <c r="N57" i="21"/>
  <c r="N61" i="21"/>
  <c r="N72" i="21"/>
  <c r="N71" i="21"/>
  <c r="N75" i="21"/>
  <c r="N76" i="21"/>
  <c r="N56" i="21"/>
  <c r="N80" i="21"/>
  <c r="N59" i="21"/>
  <c r="N73" i="21"/>
  <c r="N64" i="21"/>
  <c r="N74" i="21"/>
  <c r="N13" i="17"/>
  <c r="O13" i="17" s="1"/>
  <c r="N15" i="17"/>
  <c r="O15" i="17" s="1"/>
  <c r="M165" i="17"/>
  <c r="N165" i="17" s="1"/>
  <c r="O165" i="17" s="1"/>
  <c r="AK34" i="17" s="1"/>
  <c r="M169" i="17"/>
  <c r="N169" i="17" s="1"/>
  <c r="O169" i="17" s="1"/>
  <c r="AK38" i="17" s="1"/>
  <c r="N19" i="17"/>
  <c r="O19" i="17" s="1"/>
  <c r="L128" i="17"/>
  <c r="N128" i="17" s="1"/>
  <c r="O128" i="17" s="1"/>
  <c r="AJ40" i="17" s="1"/>
  <c r="N18" i="17"/>
  <c r="O18" i="17" s="1"/>
  <c r="N31" i="17"/>
  <c r="AH31" i="17" s="1"/>
  <c r="N22" i="17"/>
  <c r="O22" i="17" s="1"/>
  <c r="N33" i="17"/>
  <c r="AH33" i="17" s="1"/>
  <c r="N35" i="17"/>
  <c r="AH35" i="17" s="1"/>
  <c r="L60" i="17"/>
  <c r="N60" i="17" s="1"/>
  <c r="L108" i="17"/>
  <c r="N108" i="17" s="1"/>
  <c r="O108" i="17" s="1"/>
  <c r="AJ20" i="17" s="1"/>
  <c r="M122" i="17"/>
  <c r="N122" i="17" s="1"/>
  <c r="M124" i="17"/>
  <c r="N124" i="17" s="1"/>
  <c r="L159" i="17"/>
  <c r="N159" i="17" s="1"/>
  <c r="O159" i="17" s="1"/>
  <c r="AK28" i="17" s="1"/>
  <c r="M170" i="17"/>
  <c r="N170" i="17" s="1"/>
  <c r="O170" i="17" s="1"/>
  <c r="AK39" i="17" s="1"/>
  <c r="N27" i="17"/>
  <c r="O27" i="17" s="1"/>
  <c r="N29" i="17"/>
  <c r="O29" i="17" s="1"/>
  <c r="N37" i="17"/>
  <c r="AH37" i="17" s="1"/>
  <c r="L56" i="17"/>
  <c r="N56" i="17" s="1"/>
  <c r="F43" i="17"/>
  <c r="F125" i="17"/>
  <c r="F127" i="17"/>
  <c r="B110" i="17"/>
  <c r="F124" i="17"/>
  <c r="F126" i="17"/>
  <c r="F106" i="17"/>
  <c r="B100" i="17"/>
  <c r="B153" i="21"/>
  <c r="K157" i="21"/>
  <c r="L157" i="21"/>
  <c r="N62" i="21"/>
  <c r="B158" i="21"/>
  <c r="K156" i="21"/>
  <c r="L156" i="21"/>
  <c r="K25" i="21"/>
  <c r="L66" i="21"/>
  <c r="N66" i="21" s="1"/>
  <c r="L67" i="21"/>
  <c r="N67" i="21" s="1"/>
  <c r="K70" i="21"/>
  <c r="N70" i="21" s="1"/>
  <c r="L78" i="21"/>
  <c r="N78" i="21" s="1"/>
  <c r="L81" i="21"/>
  <c r="N81" i="21" s="1"/>
  <c r="K84" i="21"/>
  <c r="N84" i="21" s="1"/>
  <c r="K103" i="21"/>
  <c r="N103" i="21" s="1"/>
  <c r="L111" i="21"/>
  <c r="N111" i="21" s="1"/>
  <c r="K119" i="21"/>
  <c r="N119" i="21" s="1"/>
  <c r="K129" i="21"/>
  <c r="N129" i="21" s="1"/>
  <c r="K146" i="21"/>
  <c r="N146" i="21" s="1"/>
  <c r="O146" i="21" s="1"/>
  <c r="AK15" i="21" s="1"/>
  <c r="L154" i="21"/>
  <c r="N154" i="21" s="1"/>
  <c r="O154" i="21" s="1"/>
  <c r="AK23" i="21" s="1"/>
  <c r="K162" i="21"/>
  <c r="N162" i="21" s="1"/>
  <c r="O162" i="21" s="1"/>
  <c r="AK31" i="21" s="1"/>
  <c r="K172" i="21"/>
  <c r="N172" i="21" s="1"/>
  <c r="O172" i="21" s="1"/>
  <c r="AK41" i="21" s="1"/>
  <c r="L55" i="21"/>
  <c r="N55" i="21" s="1"/>
  <c r="L60" i="21"/>
  <c r="N60" i="21" s="1"/>
  <c r="L100" i="21"/>
  <c r="N100" i="21" s="1"/>
  <c r="L108" i="21"/>
  <c r="N108" i="21" s="1"/>
  <c r="L109" i="21"/>
  <c r="N109" i="21" s="1"/>
  <c r="L116" i="21"/>
  <c r="N116" i="21" s="1"/>
  <c r="M124" i="21"/>
  <c r="N124" i="21" s="1"/>
  <c r="M125" i="21"/>
  <c r="N125" i="21" s="1"/>
  <c r="M126" i="21"/>
  <c r="N126" i="21" s="1"/>
  <c r="M127" i="21"/>
  <c r="N127" i="21" s="1"/>
  <c r="L143" i="21"/>
  <c r="N143" i="21" s="1"/>
  <c r="O143" i="21" s="1"/>
  <c r="L151" i="21"/>
  <c r="N151" i="21" s="1"/>
  <c r="O151" i="21" s="1"/>
  <c r="AK20" i="21" s="1"/>
  <c r="L152" i="21"/>
  <c r="N152" i="21" s="1"/>
  <c r="O152" i="21" s="1"/>
  <c r="AK21" i="21" s="1"/>
  <c r="L159" i="21"/>
  <c r="N159" i="21" s="1"/>
  <c r="O159" i="21" s="1"/>
  <c r="AK28" i="21" s="1"/>
  <c r="M167" i="21"/>
  <c r="N167" i="21" s="1"/>
  <c r="O167" i="21" s="1"/>
  <c r="AK36" i="21" s="1"/>
  <c r="M168" i="21"/>
  <c r="N168" i="21" s="1"/>
  <c r="O168" i="21" s="1"/>
  <c r="AK37" i="21" s="1"/>
  <c r="M169" i="21"/>
  <c r="N169" i="21" s="1"/>
  <c r="O169" i="21" s="1"/>
  <c r="AK38" i="21" s="1"/>
  <c r="M170" i="21"/>
  <c r="N170" i="21" s="1"/>
  <c r="O170" i="21" s="1"/>
  <c r="AK39" i="21" s="1"/>
  <c r="L26" i="21"/>
  <c r="N26" i="21" s="1"/>
  <c r="L25" i="21"/>
  <c r="H113" i="21"/>
  <c r="H114" i="21"/>
  <c r="B158" i="17"/>
  <c r="L157" i="17"/>
  <c r="K157" i="17"/>
  <c r="K156" i="17"/>
  <c r="L156" i="17"/>
  <c r="D67" i="17"/>
  <c r="F67" i="17" s="1"/>
  <c r="D58" i="17"/>
  <c r="F58" i="17" s="1"/>
  <c r="B43" i="17"/>
  <c r="L62" i="17"/>
  <c r="N62" i="17" s="1"/>
  <c r="L63" i="17"/>
  <c r="N63" i="17" s="1"/>
  <c r="L65" i="17"/>
  <c r="N65" i="17" s="1"/>
  <c r="L66" i="17"/>
  <c r="N66" i="17" s="1"/>
  <c r="L67" i="17"/>
  <c r="N67" i="17" s="1"/>
  <c r="L69" i="17"/>
  <c r="N69" i="17" s="1"/>
  <c r="K70" i="17"/>
  <c r="N70" i="17" s="1"/>
  <c r="O70" i="17" s="1"/>
  <c r="AI27" i="17" s="1"/>
  <c r="L78" i="17"/>
  <c r="N78" i="17" s="1"/>
  <c r="L81" i="17"/>
  <c r="N81" i="17" s="1"/>
  <c r="M82" i="17"/>
  <c r="N82" i="17" s="1"/>
  <c r="O82" i="17" s="1"/>
  <c r="AI39" i="17" s="1"/>
  <c r="M83" i="17"/>
  <c r="N83" i="17" s="1"/>
  <c r="O83" i="17" s="1"/>
  <c r="AI40" i="17" s="1"/>
  <c r="K84" i="17"/>
  <c r="N84" i="17" s="1"/>
  <c r="O84" i="17" s="1"/>
  <c r="AI41" i="17" s="1"/>
  <c r="L102" i="17"/>
  <c r="N102" i="17" s="1"/>
  <c r="O102" i="17" s="1"/>
  <c r="K103" i="17"/>
  <c r="N103" i="17" s="1"/>
  <c r="O103" i="17" s="1"/>
  <c r="AJ15" i="17" s="1"/>
  <c r="L110" i="17"/>
  <c r="N110" i="17" s="1"/>
  <c r="O110" i="17" s="1"/>
  <c r="AJ22" i="17" s="1"/>
  <c r="L111" i="17"/>
  <c r="N111" i="17" s="1"/>
  <c r="O111" i="17" s="1"/>
  <c r="AJ23" i="17" s="1"/>
  <c r="F113" i="17"/>
  <c r="L118" i="17"/>
  <c r="N118" i="17" s="1"/>
  <c r="O118" i="17" s="1"/>
  <c r="AJ30" i="17" s="1"/>
  <c r="K119" i="17"/>
  <c r="N119" i="17" s="1"/>
  <c r="O119" i="17" s="1"/>
  <c r="AJ31" i="17" s="1"/>
  <c r="K129" i="17"/>
  <c r="N129" i="17" s="1"/>
  <c r="O129" i="17" s="1"/>
  <c r="AJ41" i="17" s="1"/>
  <c r="L145" i="17"/>
  <c r="N145" i="17" s="1"/>
  <c r="O145" i="17" s="1"/>
  <c r="K146" i="17"/>
  <c r="N146" i="17" s="1"/>
  <c r="O146" i="17" s="1"/>
  <c r="AK15" i="17" s="1"/>
  <c r="L153" i="17"/>
  <c r="N153" i="17" s="1"/>
  <c r="O153" i="17" s="1"/>
  <c r="AK22" i="17" s="1"/>
  <c r="L154" i="17"/>
  <c r="N154" i="17" s="1"/>
  <c r="O154" i="17" s="1"/>
  <c r="AK23" i="17" s="1"/>
  <c r="L161" i="17"/>
  <c r="N161" i="17" s="1"/>
  <c r="O161" i="17" s="1"/>
  <c r="AK30" i="17" s="1"/>
  <c r="K162" i="17"/>
  <c r="N162" i="17" s="1"/>
  <c r="O162" i="17" s="1"/>
  <c r="AK31" i="17" s="1"/>
  <c r="K172" i="17"/>
  <c r="N172" i="17" s="1"/>
  <c r="O172" i="17" s="1"/>
  <c r="AK41" i="17" s="1"/>
  <c r="F81" i="17"/>
  <c r="D68" i="17"/>
  <c r="D65" i="17"/>
  <c r="F65" i="17" s="1"/>
  <c r="D56" i="17"/>
  <c r="F56" i="17" s="1"/>
  <c r="L25" i="17"/>
  <c r="N25" i="17" s="1"/>
  <c r="H68" i="17"/>
  <c r="F77" i="17"/>
  <c r="F79" i="17"/>
  <c r="F80" i="17"/>
  <c r="F104" i="17"/>
  <c r="D66" i="17"/>
  <c r="F66" i="17" s="1"/>
  <c r="D62" i="17"/>
  <c r="F62" i="17" s="1"/>
  <c r="D59" i="17"/>
  <c r="D55" i="17"/>
  <c r="F55" i="17" s="1"/>
  <c r="B61" i="17"/>
  <c r="L71" i="17"/>
  <c r="N71" i="17" s="1"/>
  <c r="O71" i="17" s="1"/>
  <c r="AI28" i="17" s="1"/>
  <c r="M72" i="17"/>
  <c r="N72" i="17" s="1"/>
  <c r="O72" i="17" s="1"/>
  <c r="AI29" i="17" s="1"/>
  <c r="L73" i="17"/>
  <c r="N73" i="17" s="1"/>
  <c r="O73" i="17" s="1"/>
  <c r="AI30" i="17" s="1"/>
  <c r="L74" i="17"/>
  <c r="N74" i="17" s="1"/>
  <c r="O74" i="17" s="1"/>
  <c r="AI31" i="17" s="1"/>
  <c r="L75" i="17"/>
  <c r="N75" i="17" s="1"/>
  <c r="O75" i="17" s="1"/>
  <c r="AI32" i="17" s="1"/>
  <c r="M76" i="17"/>
  <c r="N76" i="17" s="1"/>
  <c r="O76" i="17" s="1"/>
  <c r="AI33" i="17" s="1"/>
  <c r="M77" i="17"/>
  <c r="N77" i="17" s="1"/>
  <c r="M79" i="17"/>
  <c r="N79" i="17" s="1"/>
  <c r="M80" i="17"/>
  <c r="N80" i="17" s="1"/>
  <c r="M104" i="17"/>
  <c r="N104" i="17" s="1"/>
  <c r="L105" i="17"/>
  <c r="N105" i="17" s="1"/>
  <c r="O105" i="17" s="1"/>
  <c r="AJ17" i="17" s="1"/>
  <c r="M112" i="17"/>
  <c r="N112" i="17" s="1"/>
  <c r="O112" i="17" s="1"/>
  <c r="AJ24" i="17" s="1"/>
  <c r="L120" i="17"/>
  <c r="N120" i="17" s="1"/>
  <c r="O120" i="17" s="1"/>
  <c r="AJ32" i="17" s="1"/>
  <c r="M147" i="17"/>
  <c r="N147" i="17" s="1"/>
  <c r="O147" i="17" s="1"/>
  <c r="AK16" i="17" s="1"/>
  <c r="L148" i="17"/>
  <c r="N148" i="17" s="1"/>
  <c r="O148" i="17" s="1"/>
  <c r="AK17" i="17" s="1"/>
  <c r="M155" i="17"/>
  <c r="N155" i="17" s="1"/>
  <c r="O155" i="17" s="1"/>
  <c r="AK24" i="17" s="1"/>
  <c r="L163" i="17"/>
  <c r="N163" i="17" s="1"/>
  <c r="O163" i="17" s="1"/>
  <c r="AK32" i="17" s="1"/>
  <c r="F78" i="17"/>
  <c r="D63" i="17"/>
  <c r="D57" i="17"/>
  <c r="F57" i="17" s="1"/>
  <c r="H113" i="17"/>
  <c r="H114" i="17"/>
  <c r="F122" i="17"/>
  <c r="H156" i="15"/>
  <c r="H68" i="15"/>
  <c r="H114" i="15"/>
  <c r="H157" i="15"/>
  <c r="D173" i="17" l="1"/>
  <c r="O77" i="17"/>
  <c r="AI34" i="17" s="1"/>
  <c r="O79" i="17"/>
  <c r="AI36" i="17" s="1"/>
  <c r="O80" i="17"/>
  <c r="AI37" i="17" s="1"/>
  <c r="O65" i="17"/>
  <c r="AI22" i="17" s="1"/>
  <c r="O126" i="17"/>
  <c r="AJ38" i="17" s="1"/>
  <c r="AH35" i="21"/>
  <c r="O24" i="17"/>
  <c r="N157" i="21"/>
  <c r="O157" i="21" s="1"/>
  <c r="AK26" i="21" s="1"/>
  <c r="AH40" i="21"/>
  <c r="O30" i="17"/>
  <c r="O35" i="17"/>
  <c r="AH34" i="17"/>
  <c r="AH23" i="21"/>
  <c r="O38" i="17"/>
  <c r="AH18" i="17"/>
  <c r="O32" i="17"/>
  <c r="AH34" i="21"/>
  <c r="AH14" i="17"/>
  <c r="O33" i="17"/>
  <c r="O106" i="17"/>
  <c r="AJ18" i="17" s="1"/>
  <c r="AH28" i="17"/>
  <c r="AH29" i="17"/>
  <c r="O37" i="17"/>
  <c r="O58" i="17"/>
  <c r="AI15" i="17" s="1"/>
  <c r="AH40" i="17"/>
  <c r="AH23" i="17"/>
  <c r="O39" i="17"/>
  <c r="AH22" i="17"/>
  <c r="AH30" i="21"/>
  <c r="AH12" i="21"/>
  <c r="N156" i="21"/>
  <c r="O156" i="21" s="1"/>
  <c r="AK25" i="21" s="1"/>
  <c r="AH15" i="17"/>
  <c r="O16" i="17"/>
  <c r="O17" i="17"/>
  <c r="O36" i="17"/>
  <c r="O20" i="17"/>
  <c r="O56" i="17"/>
  <c r="AI13" i="17" s="1"/>
  <c r="AH19" i="17"/>
  <c r="O21" i="17"/>
  <c r="AH26" i="17"/>
  <c r="AH41" i="17"/>
  <c r="O57" i="17"/>
  <c r="AI14" i="17" s="1"/>
  <c r="AH27" i="17"/>
  <c r="O127" i="17"/>
  <c r="AJ39" i="17" s="1"/>
  <c r="O122" i="17"/>
  <c r="AJ34" i="17" s="1"/>
  <c r="O31" i="17"/>
  <c r="O124" i="17"/>
  <c r="AJ36" i="17" s="1"/>
  <c r="N156" i="17"/>
  <c r="O156" i="17" s="1"/>
  <c r="AK25" i="17" s="1"/>
  <c r="O125" i="17"/>
  <c r="AJ37" i="17" s="1"/>
  <c r="AH13" i="17"/>
  <c r="O81" i="17"/>
  <c r="AI38" i="17" s="1"/>
  <c r="AK42" i="17"/>
  <c r="O104" i="17"/>
  <c r="AJ16" i="17" s="1"/>
  <c r="AK42" i="21"/>
  <c r="AH26" i="21"/>
  <c r="L113" i="21"/>
  <c r="K113" i="21"/>
  <c r="L68" i="21"/>
  <c r="K68" i="21"/>
  <c r="K69" i="21"/>
  <c r="L69" i="21"/>
  <c r="K114" i="21"/>
  <c r="L114" i="21"/>
  <c r="AK12" i="21"/>
  <c r="N25" i="21"/>
  <c r="O62" i="17"/>
  <c r="AI19" i="17" s="1"/>
  <c r="AK14" i="17"/>
  <c r="AJ14" i="17"/>
  <c r="F64" i="17"/>
  <c r="O64" i="17" s="1"/>
  <c r="AI21" i="17" s="1"/>
  <c r="F63" i="17"/>
  <c r="O63" i="17" s="1"/>
  <c r="AI20" i="17" s="1"/>
  <c r="O78" i="17"/>
  <c r="AI35" i="17" s="1"/>
  <c r="K114" i="17"/>
  <c r="L114" i="17"/>
  <c r="L68" i="17"/>
  <c r="K68" i="17"/>
  <c r="N157" i="17"/>
  <c r="O157" i="17" s="1"/>
  <c r="AK26" i="17" s="1"/>
  <c r="O66" i="17"/>
  <c r="AI23" i="17" s="1"/>
  <c r="O25" i="17"/>
  <c r="AH25" i="17"/>
  <c r="K113" i="17"/>
  <c r="L113" i="17"/>
  <c r="F59" i="17"/>
  <c r="O59" i="17" s="1"/>
  <c r="AI16" i="17" s="1"/>
  <c r="F60" i="17"/>
  <c r="O60" i="17" s="1"/>
  <c r="AI17" i="17" s="1"/>
  <c r="F69" i="17"/>
  <c r="O69" i="17" s="1"/>
  <c r="AI26" i="17" s="1"/>
  <c r="F68" i="17"/>
  <c r="O67" i="17"/>
  <c r="AI24" i="17" s="1"/>
  <c r="F86" i="17" l="1"/>
  <c r="N114" i="21"/>
  <c r="N113" i="21"/>
  <c r="O177" i="21"/>
  <c r="P168" i="21" s="1"/>
  <c r="AK43" i="21"/>
  <c r="N69" i="21"/>
  <c r="N68" i="21"/>
  <c r="N113" i="17"/>
  <c r="O113" i="17" s="1"/>
  <c r="AJ25" i="17" s="1"/>
  <c r="N114" i="17"/>
  <c r="O114" i="17" s="1"/>
  <c r="AJ26" i="17" s="1"/>
  <c r="AJ42" i="17"/>
  <c r="AI42" i="17"/>
  <c r="AH25" i="21"/>
  <c r="N68" i="17"/>
  <c r="O68" i="17" s="1"/>
  <c r="AI25" i="17" s="1"/>
  <c r="P156" i="21" l="1"/>
  <c r="P151" i="21"/>
  <c r="P171" i="21"/>
  <c r="P157" i="21"/>
  <c r="P158" i="21"/>
  <c r="P160" i="21"/>
  <c r="P144" i="21"/>
  <c r="P161" i="21"/>
  <c r="P150" i="21"/>
  <c r="P148" i="21"/>
  <c r="P159" i="21"/>
  <c r="P153" i="21"/>
  <c r="P167" i="21"/>
  <c r="P147" i="21"/>
  <c r="P164" i="21"/>
  <c r="P152" i="21"/>
  <c r="P145" i="21"/>
  <c r="P170" i="21"/>
  <c r="E94" i="20"/>
  <c r="AK45" i="21"/>
  <c r="P162" i="21"/>
  <c r="P143" i="21"/>
  <c r="P166" i="21"/>
  <c r="P146" i="21"/>
  <c r="P165" i="21"/>
  <c r="P163" i="21"/>
  <c r="P172" i="21"/>
  <c r="P169" i="21"/>
  <c r="P149" i="21"/>
  <c r="P155" i="21"/>
  <c r="P154" i="21"/>
  <c r="P178" i="21" l="1"/>
  <c r="Q167" i="21" s="1"/>
  <c r="Q158" i="21" l="1"/>
  <c r="Q159" i="21"/>
  <c r="Q146" i="21"/>
  <c r="Q166" i="21"/>
  <c r="Q165" i="21"/>
  <c r="Q151" i="21"/>
  <c r="Q150" i="21"/>
  <c r="Q155" i="21"/>
  <c r="Q148" i="21"/>
  <c r="Q147" i="21"/>
  <c r="Q145" i="21"/>
  <c r="Q169" i="21"/>
  <c r="Q163" i="21"/>
  <c r="Q161" i="21"/>
  <c r="Q160" i="21"/>
  <c r="Q144" i="21"/>
  <c r="Q164" i="21"/>
  <c r="Q172" i="21"/>
  <c r="Q157" i="21"/>
  <c r="Q168" i="21"/>
  <c r="Q152" i="21"/>
  <c r="Q149" i="21"/>
  <c r="Q171" i="21"/>
  <c r="Q143" i="21"/>
  <c r="Q153" i="21"/>
  <c r="Q170" i="21"/>
  <c r="Q162" i="21"/>
  <c r="Q156" i="21"/>
  <c r="Q154" i="21"/>
  <c r="Q179" i="21" l="1"/>
  <c r="AA61" i="21" s="1"/>
  <c r="E114" i="20" l="1"/>
  <c r="Q58" i="16"/>
  <c r="S13" i="15"/>
  <c r="S14" i="15"/>
  <c r="S15" i="15"/>
  <c r="S16" i="15"/>
  <c r="S17" i="15"/>
  <c r="S18" i="15"/>
  <c r="S19" i="15"/>
  <c r="S20" i="15"/>
  <c r="S21" i="15"/>
  <c r="S22" i="15"/>
  <c r="S23" i="15"/>
  <c r="S24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12" i="15"/>
  <c r="F172" i="15"/>
  <c r="D172" i="15" s="1"/>
  <c r="B172" i="15" s="1"/>
  <c r="F171" i="15"/>
  <c r="D171" i="15" s="1"/>
  <c r="F170" i="15"/>
  <c r="F169" i="15"/>
  <c r="F168" i="15"/>
  <c r="F167" i="15"/>
  <c r="F166" i="15"/>
  <c r="F165" i="15"/>
  <c r="F164" i="15"/>
  <c r="D164" i="15" s="1"/>
  <c r="F163" i="15"/>
  <c r="D163" i="15" s="1"/>
  <c r="F162" i="15"/>
  <c r="D162" i="15" s="1"/>
  <c r="F161" i="15"/>
  <c r="D161" i="15" s="1"/>
  <c r="F160" i="15"/>
  <c r="D160" i="15" s="1"/>
  <c r="F159" i="15"/>
  <c r="D159" i="15" s="1"/>
  <c r="F158" i="15"/>
  <c r="D158" i="15" s="1"/>
  <c r="F157" i="15"/>
  <c r="F156" i="15"/>
  <c r="F155" i="15"/>
  <c r="D155" i="15" s="1"/>
  <c r="F154" i="15"/>
  <c r="D154" i="15" s="1"/>
  <c r="F153" i="15"/>
  <c r="D153" i="15" s="1"/>
  <c r="F152" i="15"/>
  <c r="F151" i="15"/>
  <c r="F150" i="15"/>
  <c r="D150" i="15" s="1"/>
  <c r="F149" i="15"/>
  <c r="D149" i="15" s="1"/>
  <c r="F148" i="15"/>
  <c r="F147" i="15"/>
  <c r="F146" i="15"/>
  <c r="D146" i="15" s="1"/>
  <c r="F145" i="15"/>
  <c r="D145" i="15" s="1"/>
  <c r="F144" i="15"/>
  <c r="D144" i="15" s="1"/>
  <c r="F143" i="15"/>
  <c r="D143" i="15" s="1"/>
  <c r="D129" i="15"/>
  <c r="B129" i="15" s="1"/>
  <c r="D128" i="15"/>
  <c r="D124" i="15"/>
  <c r="F124" i="15" s="1"/>
  <c r="D122" i="15"/>
  <c r="F123" i="15" s="1"/>
  <c r="D121" i="15"/>
  <c r="D120" i="15"/>
  <c r="D119" i="15"/>
  <c r="D118" i="15"/>
  <c r="D117" i="15"/>
  <c r="D116" i="15"/>
  <c r="D115" i="15"/>
  <c r="D113" i="15"/>
  <c r="F114" i="15" s="1"/>
  <c r="D112" i="15"/>
  <c r="D111" i="15"/>
  <c r="D110" i="15"/>
  <c r="D108" i="15"/>
  <c r="F109" i="15" s="1"/>
  <c r="D107" i="15"/>
  <c r="D106" i="15"/>
  <c r="D104" i="15"/>
  <c r="F104" i="15" s="1"/>
  <c r="D103" i="15"/>
  <c r="D102" i="15"/>
  <c r="D101" i="15"/>
  <c r="D100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12" i="15"/>
  <c r="D41" i="15"/>
  <c r="D40" i="15"/>
  <c r="D36" i="15"/>
  <c r="D28" i="15"/>
  <c r="D29" i="15"/>
  <c r="D30" i="15"/>
  <c r="D31" i="15"/>
  <c r="D32" i="15"/>
  <c r="D33" i="15"/>
  <c r="D34" i="15"/>
  <c r="D27" i="15"/>
  <c r="D23" i="15"/>
  <c r="D24" i="15"/>
  <c r="D25" i="15"/>
  <c r="D22" i="15"/>
  <c r="D19" i="15"/>
  <c r="D20" i="15"/>
  <c r="D18" i="15"/>
  <c r="D14" i="15"/>
  <c r="D15" i="15"/>
  <c r="D16" i="15"/>
  <c r="D13" i="15"/>
  <c r="D12" i="15"/>
  <c r="B41" i="15"/>
  <c r="B36" i="15"/>
  <c r="B27" i="15"/>
  <c r="B22" i="15"/>
  <c r="B18" i="15"/>
  <c r="B12" i="15"/>
  <c r="B22" i="21" l="1"/>
  <c r="C6" i="20"/>
  <c r="E6" i="20" s="1"/>
  <c r="D14" i="21"/>
  <c r="D102" i="21" s="1"/>
  <c r="F102" i="21" s="1"/>
  <c r="O102" i="21" s="1"/>
  <c r="AJ14" i="21" s="1"/>
  <c r="C20" i="20"/>
  <c r="E20" i="20" s="1"/>
  <c r="D27" i="21"/>
  <c r="D115" i="21" s="1"/>
  <c r="C30" i="20"/>
  <c r="E30" i="20" s="1"/>
  <c r="D36" i="21"/>
  <c r="D124" i="21" s="1"/>
  <c r="C38" i="20"/>
  <c r="E38" i="20" s="1"/>
  <c r="F37" i="21"/>
  <c r="O37" i="21" s="1"/>
  <c r="C71" i="20"/>
  <c r="E71" i="20" s="1"/>
  <c r="F29" i="21"/>
  <c r="O29" i="21" s="1"/>
  <c r="C63" i="20"/>
  <c r="E63" i="20" s="1"/>
  <c r="F21" i="21"/>
  <c r="O21" i="21" s="1"/>
  <c r="C55" i="20"/>
  <c r="E55" i="20" s="1"/>
  <c r="C47" i="20"/>
  <c r="E47" i="20" s="1"/>
  <c r="F13" i="21"/>
  <c r="O13" i="21" s="1"/>
  <c r="B27" i="21"/>
  <c r="C7" i="20"/>
  <c r="E7" i="20" s="1"/>
  <c r="D18" i="21"/>
  <c r="D106" i="21" s="1"/>
  <c r="C23" i="20"/>
  <c r="E23" i="20" s="1"/>
  <c r="D34" i="21"/>
  <c r="D122" i="21" s="1"/>
  <c r="C37" i="20"/>
  <c r="E37" i="20" s="1"/>
  <c r="D40" i="21"/>
  <c r="D128" i="21" s="1"/>
  <c r="F128" i="21" s="1"/>
  <c r="O128" i="21" s="1"/>
  <c r="AJ40" i="21" s="1"/>
  <c r="C39" i="20"/>
  <c r="E39" i="20" s="1"/>
  <c r="C70" i="20"/>
  <c r="E70" i="20" s="1"/>
  <c r="F36" i="21"/>
  <c r="O36" i="21" s="1"/>
  <c r="C62" i="20"/>
  <c r="E62" i="20" s="1"/>
  <c r="F28" i="21"/>
  <c r="O28" i="21" s="1"/>
  <c r="C54" i="20"/>
  <c r="E54" i="20" s="1"/>
  <c r="F20" i="21"/>
  <c r="O20" i="21" s="1"/>
  <c r="C8" i="20"/>
  <c r="E8" i="20" s="1"/>
  <c r="B36" i="21"/>
  <c r="D20" i="21"/>
  <c r="D108" i="21" s="1"/>
  <c r="C25" i="20"/>
  <c r="E25" i="20" s="1"/>
  <c r="D33" i="21"/>
  <c r="D121" i="21" s="1"/>
  <c r="F121" i="21" s="1"/>
  <c r="O121" i="21" s="1"/>
  <c r="AJ33" i="21" s="1"/>
  <c r="C36" i="20"/>
  <c r="E36" i="20" s="1"/>
  <c r="D41" i="21"/>
  <c r="D129" i="21" s="1"/>
  <c r="C40" i="20"/>
  <c r="E40" i="20" s="1"/>
  <c r="F35" i="21"/>
  <c r="O35" i="21" s="1"/>
  <c r="C69" i="20"/>
  <c r="E69" i="20" s="1"/>
  <c r="C61" i="20"/>
  <c r="E61" i="20" s="1"/>
  <c r="F27" i="21"/>
  <c r="O27" i="21" s="1"/>
  <c r="C53" i="20"/>
  <c r="E53" i="20" s="1"/>
  <c r="F19" i="21"/>
  <c r="O19" i="21" s="1"/>
  <c r="B84" i="15"/>
  <c r="C9" i="20"/>
  <c r="E9" i="20" s="1"/>
  <c r="B41" i="21"/>
  <c r="B84" i="21" s="1"/>
  <c r="D84" i="21" s="1"/>
  <c r="F84" i="21" s="1"/>
  <c r="O84" i="21" s="1"/>
  <c r="AI41" i="21" s="1"/>
  <c r="D19" i="21"/>
  <c r="D107" i="21" s="1"/>
  <c r="F107" i="21" s="1"/>
  <c r="O107" i="21" s="1"/>
  <c r="AJ19" i="21" s="1"/>
  <c r="C24" i="20"/>
  <c r="E24" i="20" s="1"/>
  <c r="D32" i="21"/>
  <c r="D120" i="21" s="1"/>
  <c r="F120" i="21" s="1"/>
  <c r="O120" i="21" s="1"/>
  <c r="AJ32" i="21" s="1"/>
  <c r="C35" i="20"/>
  <c r="E35" i="20" s="1"/>
  <c r="C46" i="20"/>
  <c r="E46" i="20" s="1"/>
  <c r="F12" i="21"/>
  <c r="F34" i="21"/>
  <c r="O34" i="21" s="1"/>
  <c r="C68" i="20"/>
  <c r="E68" i="20" s="1"/>
  <c r="F26" i="21"/>
  <c r="O26" i="21" s="1"/>
  <c r="C60" i="20"/>
  <c r="E60" i="20" s="1"/>
  <c r="F18" i="21"/>
  <c r="O18" i="21" s="1"/>
  <c r="C52" i="20"/>
  <c r="E52" i="20" s="1"/>
  <c r="D12" i="21"/>
  <c r="C18" i="20"/>
  <c r="E18" i="20" s="1"/>
  <c r="D22" i="21"/>
  <c r="D110" i="21" s="1"/>
  <c r="C26" i="20"/>
  <c r="E26" i="20" s="1"/>
  <c r="D31" i="21"/>
  <c r="D119" i="21" s="1"/>
  <c r="F119" i="21" s="1"/>
  <c r="O119" i="21" s="1"/>
  <c r="AJ31" i="21" s="1"/>
  <c r="C34" i="20"/>
  <c r="E34" i="20" s="1"/>
  <c r="C75" i="20"/>
  <c r="E75" i="20" s="1"/>
  <c r="F41" i="21"/>
  <c r="O41" i="21" s="1"/>
  <c r="C67" i="20"/>
  <c r="E67" i="20" s="1"/>
  <c r="F33" i="21"/>
  <c r="O33" i="21" s="1"/>
  <c r="C59" i="20"/>
  <c r="E59" i="20" s="1"/>
  <c r="F25" i="21"/>
  <c r="O25" i="21" s="1"/>
  <c r="C51" i="20"/>
  <c r="E51" i="20" s="1"/>
  <c r="F17" i="21"/>
  <c r="O17" i="21" s="1"/>
  <c r="D13" i="21"/>
  <c r="D101" i="21" s="1"/>
  <c r="F101" i="21" s="1"/>
  <c r="O101" i="21" s="1"/>
  <c r="AJ13" i="21" s="1"/>
  <c r="C19" i="20"/>
  <c r="E19" i="20" s="1"/>
  <c r="D25" i="21"/>
  <c r="D113" i="21" s="1"/>
  <c r="C29" i="20"/>
  <c r="E29" i="20" s="1"/>
  <c r="D30" i="21"/>
  <c r="D118" i="21" s="1"/>
  <c r="F118" i="21" s="1"/>
  <c r="O118" i="21" s="1"/>
  <c r="AJ30" i="21" s="1"/>
  <c r="C33" i="20"/>
  <c r="E33" i="20" s="1"/>
  <c r="B12" i="21"/>
  <c r="C4" i="20"/>
  <c r="E4" i="20" s="1"/>
  <c r="D16" i="21"/>
  <c r="D104" i="21" s="1"/>
  <c r="C22" i="20"/>
  <c r="E22" i="20" s="1"/>
  <c r="D24" i="21"/>
  <c r="D112" i="21" s="1"/>
  <c r="F112" i="21" s="1"/>
  <c r="O112" i="21" s="1"/>
  <c r="AJ24" i="21" s="1"/>
  <c r="C28" i="20"/>
  <c r="E28" i="20" s="1"/>
  <c r="D29" i="21"/>
  <c r="D117" i="21" s="1"/>
  <c r="F117" i="21" s="1"/>
  <c r="O117" i="21" s="1"/>
  <c r="AJ29" i="21" s="1"/>
  <c r="C32" i="20"/>
  <c r="E32" i="20" s="1"/>
  <c r="C73" i="20"/>
  <c r="E73" i="20" s="1"/>
  <c r="F39" i="21"/>
  <c r="O39" i="21" s="1"/>
  <c r="C65" i="20"/>
  <c r="E65" i="20" s="1"/>
  <c r="F31" i="21"/>
  <c r="O31" i="21" s="1"/>
  <c r="C57" i="20"/>
  <c r="E57" i="20" s="1"/>
  <c r="F23" i="21"/>
  <c r="O23" i="21" s="1"/>
  <c r="C49" i="20"/>
  <c r="E49" i="20" s="1"/>
  <c r="F15" i="21"/>
  <c r="O15" i="21" s="1"/>
  <c r="B18" i="21"/>
  <c r="C5" i="20"/>
  <c r="E5" i="20" s="1"/>
  <c r="D15" i="21"/>
  <c r="D103" i="21" s="1"/>
  <c r="F103" i="21" s="1"/>
  <c r="O103" i="21" s="1"/>
  <c r="AJ15" i="21" s="1"/>
  <c r="C21" i="20"/>
  <c r="E21" i="20" s="1"/>
  <c r="D23" i="21"/>
  <c r="D111" i="21" s="1"/>
  <c r="F111" i="21" s="1"/>
  <c r="O111" i="21" s="1"/>
  <c r="AJ23" i="21" s="1"/>
  <c r="C27" i="20"/>
  <c r="E27" i="20" s="1"/>
  <c r="D28" i="21"/>
  <c r="D116" i="21" s="1"/>
  <c r="F116" i="21" s="1"/>
  <c r="O116" i="21" s="1"/>
  <c r="AJ28" i="21" s="1"/>
  <c r="C31" i="20"/>
  <c r="E31" i="20" s="1"/>
  <c r="F38" i="21"/>
  <c r="O38" i="21" s="1"/>
  <c r="C72" i="20"/>
  <c r="E72" i="20" s="1"/>
  <c r="F30" i="21"/>
  <c r="O30" i="21" s="1"/>
  <c r="C64" i="20"/>
  <c r="E64" i="20" s="1"/>
  <c r="F22" i="21"/>
  <c r="O22" i="21" s="1"/>
  <c r="C56" i="20"/>
  <c r="E56" i="20" s="1"/>
  <c r="F14" i="21"/>
  <c r="O14" i="21" s="1"/>
  <c r="C48" i="20"/>
  <c r="E48" i="20" s="1"/>
  <c r="C74" i="20"/>
  <c r="E74" i="20" s="1"/>
  <c r="F40" i="21"/>
  <c r="O40" i="21" s="1"/>
  <c r="C66" i="20"/>
  <c r="E66" i="20" s="1"/>
  <c r="F32" i="21"/>
  <c r="O32" i="21" s="1"/>
  <c r="C58" i="20"/>
  <c r="E58" i="20" s="1"/>
  <c r="F24" i="21"/>
  <c r="O24" i="21" s="1"/>
  <c r="C50" i="20"/>
  <c r="E50" i="20" s="1"/>
  <c r="F16" i="21"/>
  <c r="O16" i="21" s="1"/>
  <c r="D167" i="15"/>
  <c r="B167" i="15" s="1"/>
  <c r="F113" i="15"/>
  <c r="D165" i="15"/>
  <c r="B158" i="15" s="1"/>
  <c r="D156" i="15"/>
  <c r="B153" i="15" s="1"/>
  <c r="D147" i="15"/>
  <c r="B143" i="15" s="1"/>
  <c r="B100" i="15"/>
  <c r="B110" i="15"/>
  <c r="D151" i="15"/>
  <c r="F122" i="15"/>
  <c r="B149" i="15"/>
  <c r="B106" i="15"/>
  <c r="F108" i="15"/>
  <c r="F126" i="15"/>
  <c r="F125" i="15"/>
  <c r="B124" i="15"/>
  <c r="F105" i="15"/>
  <c r="F127" i="15"/>
  <c r="B115" i="15"/>
  <c r="B79" i="15"/>
  <c r="B70" i="15"/>
  <c r="B65" i="15"/>
  <c r="B61" i="15"/>
  <c r="B55" i="15"/>
  <c r="F43" i="15"/>
  <c r="B43" i="15"/>
  <c r="D43" i="15"/>
  <c r="L172" i="15"/>
  <c r="K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L163" i="15"/>
  <c r="K163" i="15"/>
  <c r="L162" i="15"/>
  <c r="K162" i="15"/>
  <c r="L161" i="15"/>
  <c r="K161" i="15"/>
  <c r="M160" i="15"/>
  <c r="L160" i="15"/>
  <c r="L159" i="15"/>
  <c r="K159" i="15"/>
  <c r="L158" i="15"/>
  <c r="K158" i="15"/>
  <c r="K157" i="15"/>
  <c r="K156" i="15"/>
  <c r="M155" i="15"/>
  <c r="L155" i="15"/>
  <c r="M154" i="15"/>
  <c r="L154" i="15"/>
  <c r="L153" i="15"/>
  <c r="K153" i="15"/>
  <c r="L152" i="15"/>
  <c r="K152" i="15"/>
  <c r="L151" i="15"/>
  <c r="K151" i="15"/>
  <c r="L150" i="15"/>
  <c r="K150" i="15"/>
  <c r="M149" i="15"/>
  <c r="L149" i="15"/>
  <c r="L148" i="15"/>
  <c r="K148" i="15"/>
  <c r="M147" i="15"/>
  <c r="L147" i="15"/>
  <c r="L146" i="15"/>
  <c r="K146" i="15"/>
  <c r="L145" i="15"/>
  <c r="K145" i="15"/>
  <c r="M144" i="15"/>
  <c r="L144" i="15"/>
  <c r="L143" i="15"/>
  <c r="K143" i="15"/>
  <c r="L129" i="15"/>
  <c r="K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L120" i="15"/>
  <c r="K120" i="15"/>
  <c r="L119" i="15"/>
  <c r="K119" i="15"/>
  <c r="L118" i="15"/>
  <c r="K118" i="15"/>
  <c r="M117" i="15"/>
  <c r="L117" i="15"/>
  <c r="L116" i="15"/>
  <c r="K116" i="15"/>
  <c r="L115" i="15"/>
  <c r="K115" i="15"/>
  <c r="K114" i="15"/>
  <c r="L113" i="15"/>
  <c r="M112" i="15"/>
  <c r="L112" i="15"/>
  <c r="M111" i="15"/>
  <c r="L111" i="15"/>
  <c r="L110" i="15"/>
  <c r="K110" i="15"/>
  <c r="L109" i="15"/>
  <c r="K109" i="15"/>
  <c r="L108" i="15"/>
  <c r="K108" i="15"/>
  <c r="L107" i="15"/>
  <c r="K107" i="15"/>
  <c r="M106" i="15"/>
  <c r="L106" i="15"/>
  <c r="L105" i="15"/>
  <c r="K105" i="15"/>
  <c r="M104" i="15"/>
  <c r="L104" i="15"/>
  <c r="L103" i="15"/>
  <c r="K103" i="15"/>
  <c r="L102" i="15"/>
  <c r="K102" i="15"/>
  <c r="M101" i="15"/>
  <c r="L101" i="15"/>
  <c r="L100" i="15"/>
  <c r="K100" i="15"/>
  <c r="L84" i="15"/>
  <c r="K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L75" i="15"/>
  <c r="K75" i="15"/>
  <c r="L74" i="15"/>
  <c r="K74" i="15"/>
  <c r="L73" i="15"/>
  <c r="K73" i="15"/>
  <c r="M72" i="15"/>
  <c r="L72" i="15"/>
  <c r="L71" i="15"/>
  <c r="K71" i="15"/>
  <c r="L70" i="15"/>
  <c r="K70" i="15"/>
  <c r="K69" i="15"/>
  <c r="K68" i="15"/>
  <c r="M67" i="15"/>
  <c r="L67" i="15"/>
  <c r="M66" i="15"/>
  <c r="L66" i="15"/>
  <c r="L65" i="15"/>
  <c r="K65" i="15"/>
  <c r="L64" i="15"/>
  <c r="K64" i="15"/>
  <c r="L63" i="15"/>
  <c r="K63" i="15"/>
  <c r="L62" i="15"/>
  <c r="K62" i="15"/>
  <c r="M61" i="15"/>
  <c r="L61" i="15"/>
  <c r="L60" i="15"/>
  <c r="K60" i="15"/>
  <c r="M59" i="15"/>
  <c r="L59" i="15"/>
  <c r="L58" i="15"/>
  <c r="K58" i="15"/>
  <c r="L57" i="15"/>
  <c r="K57" i="15"/>
  <c r="M56" i="15"/>
  <c r="L56" i="15"/>
  <c r="L55" i="15"/>
  <c r="K55" i="15"/>
  <c r="S26" i="15"/>
  <c r="S25" i="15"/>
  <c r="F43" i="21" l="1"/>
  <c r="O12" i="21"/>
  <c r="F123" i="21"/>
  <c r="O123" i="21" s="1"/>
  <c r="AJ35" i="21" s="1"/>
  <c r="F122" i="21"/>
  <c r="O122" i="21" s="1"/>
  <c r="AJ34" i="21" s="1"/>
  <c r="F115" i="21"/>
  <c r="O115" i="21" s="1"/>
  <c r="AJ27" i="21" s="1"/>
  <c r="B115" i="21"/>
  <c r="F106" i="21"/>
  <c r="O106" i="21" s="1"/>
  <c r="AJ18" i="21" s="1"/>
  <c r="B106" i="21"/>
  <c r="D63" i="21"/>
  <c r="D62" i="21"/>
  <c r="F62" i="21" s="1"/>
  <c r="O62" i="21" s="1"/>
  <c r="AI19" i="21" s="1"/>
  <c r="D61" i="21"/>
  <c r="F61" i="21" s="1"/>
  <c r="O61" i="21" s="1"/>
  <c r="AI18" i="21" s="1"/>
  <c r="B61" i="21"/>
  <c r="D59" i="21"/>
  <c r="D56" i="21"/>
  <c r="F56" i="21" s="1"/>
  <c r="O56" i="21" s="1"/>
  <c r="AI13" i="21" s="1"/>
  <c r="D55" i="21"/>
  <c r="F55" i="21" s="1"/>
  <c r="O55" i="21" s="1"/>
  <c r="B55" i="21"/>
  <c r="B43" i="21"/>
  <c r="D57" i="21"/>
  <c r="F57" i="21" s="1"/>
  <c r="O57" i="21" s="1"/>
  <c r="AI14" i="21" s="1"/>
  <c r="D58" i="21"/>
  <c r="F58" i="21" s="1"/>
  <c r="O58" i="21" s="1"/>
  <c r="AI15" i="21" s="1"/>
  <c r="B79" i="21"/>
  <c r="D83" i="21"/>
  <c r="F83" i="21" s="1"/>
  <c r="O83" i="21" s="1"/>
  <c r="AI40" i="21" s="1"/>
  <c r="D79" i="21"/>
  <c r="O46" i="21"/>
  <c r="F124" i="21"/>
  <c r="O124" i="21" s="1"/>
  <c r="AJ36" i="21" s="1"/>
  <c r="AJ42" i="21" s="1"/>
  <c r="F126" i="21"/>
  <c r="O126" i="21" s="1"/>
  <c r="AJ38" i="21" s="1"/>
  <c r="B124" i="21"/>
  <c r="F127" i="21"/>
  <c r="O127" i="21" s="1"/>
  <c r="AJ39" i="21" s="1"/>
  <c r="F125" i="21"/>
  <c r="O125" i="21" s="1"/>
  <c r="AJ37" i="21" s="1"/>
  <c r="F110" i="21"/>
  <c r="O110" i="21" s="1"/>
  <c r="AJ22" i="21" s="1"/>
  <c r="B110" i="21"/>
  <c r="F129" i="21"/>
  <c r="O129" i="21" s="1"/>
  <c r="AJ41" i="21" s="1"/>
  <c r="B129" i="21"/>
  <c r="F114" i="21"/>
  <c r="O114" i="21" s="1"/>
  <c r="AJ26" i="21" s="1"/>
  <c r="F113" i="21"/>
  <c r="O113" i="21" s="1"/>
  <c r="AJ25" i="21" s="1"/>
  <c r="D100" i="21"/>
  <c r="D43" i="21"/>
  <c r="F104" i="21"/>
  <c r="O104" i="21" s="1"/>
  <c r="AJ16" i="21" s="1"/>
  <c r="F105" i="21"/>
  <c r="O105" i="21" s="1"/>
  <c r="AJ17" i="21" s="1"/>
  <c r="F108" i="21"/>
  <c r="O108" i="21" s="1"/>
  <c r="AJ20" i="21" s="1"/>
  <c r="F109" i="21"/>
  <c r="O109" i="21" s="1"/>
  <c r="AJ21" i="21" s="1"/>
  <c r="B70" i="21"/>
  <c r="D74" i="21"/>
  <c r="F74" i="21" s="1"/>
  <c r="O74" i="21" s="1"/>
  <c r="AI31" i="21" s="1"/>
  <c r="D76" i="21"/>
  <c r="F76" i="21" s="1"/>
  <c r="O76" i="21" s="1"/>
  <c r="AI33" i="21" s="1"/>
  <c r="D73" i="21"/>
  <c r="F73" i="21" s="1"/>
  <c r="O73" i="21" s="1"/>
  <c r="AI30" i="21" s="1"/>
  <c r="D77" i="21"/>
  <c r="D70" i="21"/>
  <c r="F70" i="21" s="1"/>
  <c r="O70" i="21" s="1"/>
  <c r="AI27" i="21" s="1"/>
  <c r="D71" i="21"/>
  <c r="F71" i="21" s="1"/>
  <c r="O71" i="21" s="1"/>
  <c r="AI28" i="21" s="1"/>
  <c r="D72" i="21"/>
  <c r="F72" i="21" s="1"/>
  <c r="O72" i="21" s="1"/>
  <c r="AI29" i="21" s="1"/>
  <c r="D75" i="21"/>
  <c r="F75" i="21" s="1"/>
  <c r="O75" i="21" s="1"/>
  <c r="AI32" i="21" s="1"/>
  <c r="D67" i="21"/>
  <c r="F67" i="21" s="1"/>
  <c r="O67" i="21" s="1"/>
  <c r="AI24" i="21" s="1"/>
  <c r="B65" i="21"/>
  <c r="D65" i="21"/>
  <c r="F65" i="21" s="1"/>
  <c r="O65" i="21" s="1"/>
  <c r="AI22" i="21" s="1"/>
  <c r="D66" i="21"/>
  <c r="F66" i="21" s="1"/>
  <c r="O66" i="21" s="1"/>
  <c r="AI23" i="21" s="1"/>
  <c r="D68" i="21"/>
  <c r="N167" i="15"/>
  <c r="N120" i="15"/>
  <c r="N116" i="15"/>
  <c r="N166" i="15"/>
  <c r="N102" i="15"/>
  <c r="N144" i="15"/>
  <c r="N148" i="15"/>
  <c r="N57" i="15"/>
  <c r="N164" i="15"/>
  <c r="N172" i="15"/>
  <c r="O172" i="15" s="1"/>
  <c r="N171" i="15"/>
  <c r="N77" i="15"/>
  <c r="N159" i="15"/>
  <c r="N170" i="15"/>
  <c r="N73" i="15"/>
  <c r="N56" i="15"/>
  <c r="N150" i="15"/>
  <c r="N71" i="15"/>
  <c r="N145" i="15"/>
  <c r="N65" i="15"/>
  <c r="K113" i="15"/>
  <c r="N113" i="15" s="1"/>
  <c r="N78" i="15"/>
  <c r="N64" i="15"/>
  <c r="N163" i="15"/>
  <c r="N66" i="15"/>
  <c r="N81" i="15"/>
  <c r="N121" i="15"/>
  <c r="N70" i="15"/>
  <c r="N124" i="15"/>
  <c r="N158" i="15"/>
  <c r="N127" i="15"/>
  <c r="N79" i="15"/>
  <c r="N123" i="15"/>
  <c r="N149" i="15"/>
  <c r="N55" i="15"/>
  <c r="N143" i="15"/>
  <c r="L114" i="15"/>
  <c r="N114" i="15" s="1"/>
  <c r="N82" i="15"/>
  <c r="N117" i="15"/>
  <c r="N152" i="15"/>
  <c r="L69" i="15"/>
  <c r="N69" i="15" s="1"/>
  <c r="N72" i="15"/>
  <c r="N151" i="15"/>
  <c r="N155" i="15"/>
  <c r="N162" i="15"/>
  <c r="N168" i="15"/>
  <c r="N75" i="15"/>
  <c r="N165" i="15"/>
  <c r="N109" i="15"/>
  <c r="N119" i="15"/>
  <c r="N58" i="15"/>
  <c r="N67" i="15"/>
  <c r="N80" i="15"/>
  <c r="N105" i="15"/>
  <c r="N115" i="15"/>
  <c r="N122" i="15"/>
  <c r="N153" i="15"/>
  <c r="L156" i="15"/>
  <c r="N156" i="15" s="1"/>
  <c r="N108" i="15"/>
  <c r="N118" i="15"/>
  <c r="N147" i="15"/>
  <c r="N146" i="15"/>
  <c r="N161" i="15"/>
  <c r="N63" i="15"/>
  <c r="N107" i="15"/>
  <c r="N76" i="15"/>
  <c r="N74" i="15"/>
  <c r="N112" i="15"/>
  <c r="N154" i="15"/>
  <c r="N160" i="15"/>
  <c r="N129" i="15"/>
  <c r="N83" i="15"/>
  <c r="N110" i="15"/>
  <c r="N100" i="15"/>
  <c r="N125" i="15"/>
  <c r="N59" i="15"/>
  <c r="N62" i="15"/>
  <c r="L68" i="15"/>
  <c r="N68" i="15" s="1"/>
  <c r="N103" i="15"/>
  <c r="N128" i="15"/>
  <c r="L157" i="15"/>
  <c r="N157" i="15" s="1"/>
  <c r="N169" i="15"/>
  <c r="N61" i="15"/>
  <c r="N104" i="15"/>
  <c r="N60" i="15"/>
  <c r="N84" i="15"/>
  <c r="N101" i="15"/>
  <c r="N106" i="15"/>
  <c r="N111" i="15"/>
  <c r="N126" i="15"/>
  <c r="D84" i="15"/>
  <c r="F69" i="21" l="1"/>
  <c r="O69" i="21" s="1"/>
  <c r="AI26" i="21" s="1"/>
  <c r="F68" i="21"/>
  <c r="O68" i="21" s="1"/>
  <c r="AI25" i="21" s="1"/>
  <c r="P14" i="21"/>
  <c r="P15" i="21"/>
  <c r="P28" i="21"/>
  <c r="P33" i="21"/>
  <c r="P13" i="21"/>
  <c r="P20" i="21"/>
  <c r="P31" i="21"/>
  <c r="P41" i="21"/>
  <c r="P12" i="21"/>
  <c r="P19" i="21"/>
  <c r="P36" i="21"/>
  <c r="P29" i="21"/>
  <c r="P40" i="21"/>
  <c r="P22" i="21"/>
  <c r="P25" i="21"/>
  <c r="P27" i="21"/>
  <c r="P34" i="21"/>
  <c r="P18" i="21"/>
  <c r="P23" i="21"/>
  <c r="P32" i="21"/>
  <c r="P16" i="21"/>
  <c r="P24" i="21"/>
  <c r="P30" i="21"/>
  <c r="F78" i="21"/>
  <c r="O78" i="21" s="1"/>
  <c r="AI35" i="21" s="1"/>
  <c r="F79" i="21"/>
  <c r="O79" i="21" s="1"/>
  <c r="AI36" i="21" s="1"/>
  <c r="F82" i="21"/>
  <c r="O82" i="21" s="1"/>
  <c r="AI39" i="21" s="1"/>
  <c r="F81" i="21"/>
  <c r="O81" i="21" s="1"/>
  <c r="AI38" i="21" s="1"/>
  <c r="F80" i="21"/>
  <c r="O80" i="21" s="1"/>
  <c r="AI37" i="21" s="1"/>
  <c r="F77" i="21"/>
  <c r="O77" i="21" s="1"/>
  <c r="AI34" i="21" s="1"/>
  <c r="AI42" i="21" s="1"/>
  <c r="F60" i="21"/>
  <c r="O60" i="21" s="1"/>
  <c r="AI17" i="21" s="1"/>
  <c r="F59" i="21"/>
  <c r="O59" i="21" s="1"/>
  <c r="AI16" i="21" s="1"/>
  <c r="AI12" i="21"/>
  <c r="B100" i="21"/>
  <c r="F100" i="21"/>
  <c r="O100" i="21" s="1"/>
  <c r="F64" i="21"/>
  <c r="O64" i="21" s="1"/>
  <c r="AI21" i="21" s="1"/>
  <c r="F63" i="21"/>
  <c r="O63" i="21" s="1"/>
  <c r="AI20" i="21" s="1"/>
  <c r="AK41" i="15"/>
  <c r="O162" i="15"/>
  <c r="F121" i="15"/>
  <c r="O121" i="15" s="1"/>
  <c r="F117" i="15"/>
  <c r="O117" i="15" s="1"/>
  <c r="F115" i="15"/>
  <c r="O115" i="15" s="1"/>
  <c r="AJ27" i="15" s="1"/>
  <c r="D72" i="15"/>
  <c r="F72" i="15" s="1"/>
  <c r="O72" i="15" s="1"/>
  <c r="AI29" i="15" s="1"/>
  <c r="D76" i="15"/>
  <c r="F76" i="15" s="1"/>
  <c r="O76" i="15" s="1"/>
  <c r="AI33" i="15" s="1"/>
  <c r="F116" i="15"/>
  <c r="O116" i="15" s="1"/>
  <c r="AJ28" i="15" s="1"/>
  <c r="D77" i="15"/>
  <c r="O160" i="15"/>
  <c r="AK29" i="15" s="1"/>
  <c r="F119" i="15"/>
  <c r="O119" i="15" s="1"/>
  <c r="D73" i="15"/>
  <c r="F73" i="15" s="1"/>
  <c r="O73" i="15" s="1"/>
  <c r="AI30" i="15" s="1"/>
  <c r="D70" i="15"/>
  <c r="O164" i="15"/>
  <c r="D74" i="15"/>
  <c r="F74" i="15" s="1"/>
  <c r="O74" i="15" s="1"/>
  <c r="AI31" i="15" s="1"/>
  <c r="F120" i="15"/>
  <c r="O120" i="15" s="1"/>
  <c r="D75" i="15"/>
  <c r="F75" i="15" s="1"/>
  <c r="O75" i="15" s="1"/>
  <c r="AI32" i="15" s="1"/>
  <c r="O159" i="15"/>
  <c r="AK28" i="15" s="1"/>
  <c r="D71" i="15"/>
  <c r="F71" i="15" s="1"/>
  <c r="O71" i="15" s="1"/>
  <c r="AI28" i="15" s="1"/>
  <c r="O163" i="15"/>
  <c r="O161" i="15"/>
  <c r="AK30" i="15" s="1"/>
  <c r="O158" i="15"/>
  <c r="AK27" i="15" s="1"/>
  <c r="F118" i="15"/>
  <c r="O118" i="15" s="1"/>
  <c r="D68" i="15"/>
  <c r="D67" i="15"/>
  <c r="F67" i="15" s="1"/>
  <c r="O67" i="15" s="1"/>
  <c r="AI24" i="15" s="1"/>
  <c r="D66" i="15"/>
  <c r="F66" i="15" s="1"/>
  <c r="O66" i="15" s="1"/>
  <c r="AI23" i="15" s="1"/>
  <c r="F112" i="15"/>
  <c r="O112" i="15" s="1"/>
  <c r="AJ24" i="15" s="1"/>
  <c r="D65" i="15"/>
  <c r="F65" i="15" s="1"/>
  <c r="O65" i="15" s="1"/>
  <c r="AI22" i="15" s="1"/>
  <c r="O143" i="15"/>
  <c r="D58" i="15"/>
  <c r="F58" i="15" s="1"/>
  <c r="O58" i="15" s="1"/>
  <c r="AI15" i="15" s="1"/>
  <c r="D59" i="15"/>
  <c r="D55" i="15"/>
  <c r="F55" i="15" s="1"/>
  <c r="D56" i="15"/>
  <c r="O144" i="15"/>
  <c r="D57" i="15"/>
  <c r="O171" i="15"/>
  <c r="D79" i="15"/>
  <c r="D83" i="15"/>
  <c r="F83" i="15" s="1"/>
  <c r="O83" i="15" s="1"/>
  <c r="AI40" i="15" s="1"/>
  <c r="F128" i="15"/>
  <c r="O128" i="15" s="1"/>
  <c r="O150" i="15"/>
  <c r="AK19" i="15" s="1"/>
  <c r="O149" i="15"/>
  <c r="AK18" i="15" s="1"/>
  <c r="D62" i="15"/>
  <c r="F107" i="15"/>
  <c r="O107" i="15" s="1"/>
  <c r="AJ19" i="15" s="1"/>
  <c r="D63" i="15"/>
  <c r="D61" i="15"/>
  <c r="F106" i="15"/>
  <c r="O106" i="15" s="1"/>
  <c r="AJ18" i="15" s="1"/>
  <c r="F84" i="15"/>
  <c r="O84" i="15" s="1"/>
  <c r="AI41" i="15" s="1"/>
  <c r="L41" i="15"/>
  <c r="K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L32" i="15"/>
  <c r="K32" i="15"/>
  <c r="L31" i="15"/>
  <c r="K31" i="15"/>
  <c r="L30" i="15"/>
  <c r="K30" i="15"/>
  <c r="M29" i="15"/>
  <c r="L29" i="15"/>
  <c r="L28" i="15"/>
  <c r="K28" i="15"/>
  <c r="L27" i="15"/>
  <c r="K27" i="15"/>
  <c r="L26" i="15"/>
  <c r="K26" i="15"/>
  <c r="L25" i="15"/>
  <c r="K25" i="15"/>
  <c r="M24" i="15"/>
  <c r="L24" i="15"/>
  <c r="M23" i="15"/>
  <c r="L23" i="15"/>
  <c r="L22" i="15"/>
  <c r="K22" i="15"/>
  <c r="L21" i="15"/>
  <c r="K21" i="15"/>
  <c r="L20" i="15"/>
  <c r="K20" i="15"/>
  <c r="L19" i="15"/>
  <c r="K19" i="15"/>
  <c r="M18" i="15"/>
  <c r="L18" i="15"/>
  <c r="L17" i="15"/>
  <c r="K17" i="15"/>
  <c r="M16" i="15"/>
  <c r="L16" i="15"/>
  <c r="L15" i="15"/>
  <c r="K15" i="15"/>
  <c r="L14" i="15"/>
  <c r="K14" i="15"/>
  <c r="M13" i="15"/>
  <c r="L13" i="15"/>
  <c r="L12" i="15"/>
  <c r="K12" i="15"/>
  <c r="AJ12" i="21" l="1"/>
  <c r="AJ43" i="21" s="1"/>
  <c r="O134" i="21"/>
  <c r="P47" i="21"/>
  <c r="AI43" i="21"/>
  <c r="O89" i="21"/>
  <c r="AK40" i="15"/>
  <c r="AK31" i="15"/>
  <c r="AK13" i="15"/>
  <c r="AK33" i="15"/>
  <c r="AK32" i="15"/>
  <c r="AJ29" i="15"/>
  <c r="AJ40" i="15"/>
  <c r="AJ30" i="15"/>
  <c r="AJ31" i="15"/>
  <c r="AJ32" i="15"/>
  <c r="AJ33" i="15"/>
  <c r="F63" i="15"/>
  <c r="O63" i="15" s="1"/>
  <c r="AI20" i="15" s="1"/>
  <c r="F64" i="15"/>
  <c r="O64" i="15" s="1"/>
  <c r="AI21" i="15" s="1"/>
  <c r="AK12" i="15"/>
  <c r="F60" i="15"/>
  <c r="O60" i="15" s="1"/>
  <c r="AI17" i="15" s="1"/>
  <c r="F59" i="15"/>
  <c r="F68" i="15"/>
  <c r="O68" i="15" s="1"/>
  <c r="AI25" i="15" s="1"/>
  <c r="F69" i="15"/>
  <c r="F77" i="15"/>
  <c r="O77" i="15" s="1"/>
  <c r="AI34" i="15" s="1"/>
  <c r="F78" i="15"/>
  <c r="O78" i="15" s="1"/>
  <c r="AI35" i="15" s="1"/>
  <c r="F80" i="15"/>
  <c r="O80" i="15" s="1"/>
  <c r="AI37" i="15" s="1"/>
  <c r="F79" i="15"/>
  <c r="O79" i="15" s="1"/>
  <c r="AI36" i="15" s="1"/>
  <c r="F82" i="15"/>
  <c r="O82" i="15" s="1"/>
  <c r="AI39" i="15" s="1"/>
  <c r="F81" i="15"/>
  <c r="O81" i="15" s="1"/>
  <c r="AI38" i="15" s="1"/>
  <c r="F56" i="15"/>
  <c r="O56" i="15" s="1"/>
  <c r="AI13" i="15" s="1"/>
  <c r="O166" i="15"/>
  <c r="O123" i="15"/>
  <c r="O122" i="15"/>
  <c r="O165" i="15"/>
  <c r="F100" i="15"/>
  <c r="O100" i="15" s="1"/>
  <c r="F110" i="15"/>
  <c r="O110" i="15" s="1"/>
  <c r="AJ22" i="15" s="1"/>
  <c r="O156" i="15"/>
  <c r="AK25" i="15" s="1"/>
  <c r="O69" i="15"/>
  <c r="AI26" i="15" s="1"/>
  <c r="O114" i="15"/>
  <c r="AJ26" i="15" s="1"/>
  <c r="O157" i="15"/>
  <c r="AK26" i="15" s="1"/>
  <c r="O113" i="15"/>
  <c r="AJ25" i="15" s="1"/>
  <c r="O105" i="15"/>
  <c r="AJ17" i="15" s="1"/>
  <c r="O147" i="15"/>
  <c r="AK16" i="15" s="1"/>
  <c r="O59" i="15"/>
  <c r="AI16" i="15" s="1"/>
  <c r="O148" i="15"/>
  <c r="AK17" i="15" s="1"/>
  <c r="O104" i="15"/>
  <c r="AJ16" i="15" s="1"/>
  <c r="F61" i="15"/>
  <c r="O61" i="15" s="1"/>
  <c r="AI18" i="15" s="1"/>
  <c r="F57" i="15"/>
  <c r="O57" i="15" s="1"/>
  <c r="AI14" i="15" s="1"/>
  <c r="O169" i="15"/>
  <c r="O167" i="15"/>
  <c r="O126" i="15"/>
  <c r="O124" i="15"/>
  <c r="O127" i="15"/>
  <c r="O168" i="15"/>
  <c r="O170" i="15"/>
  <c r="O125" i="15"/>
  <c r="F101" i="15"/>
  <c r="O101" i="15" s="1"/>
  <c r="AJ13" i="15" s="1"/>
  <c r="O145" i="15"/>
  <c r="F111" i="15"/>
  <c r="O111" i="15" s="1"/>
  <c r="AJ23" i="15" s="1"/>
  <c r="F70" i="15"/>
  <c r="O70" i="15" s="1"/>
  <c r="AI27" i="15" s="1"/>
  <c r="F103" i="15"/>
  <c r="O103" i="15" s="1"/>
  <c r="AJ15" i="15" s="1"/>
  <c r="O154" i="15"/>
  <c r="AK23" i="15" s="1"/>
  <c r="O55" i="15"/>
  <c r="O146" i="15"/>
  <c r="O155" i="15"/>
  <c r="AK24" i="15" s="1"/>
  <c r="O151" i="15"/>
  <c r="AK20" i="15" s="1"/>
  <c r="O152" i="15"/>
  <c r="AK21" i="15" s="1"/>
  <c r="O108" i="15"/>
  <c r="AJ20" i="15" s="1"/>
  <c r="O109" i="15"/>
  <c r="AJ21" i="15" s="1"/>
  <c r="F62" i="15"/>
  <c r="O62" i="15" s="1"/>
  <c r="AI19" i="15" s="1"/>
  <c r="F102" i="15"/>
  <c r="O102" i="15" s="1"/>
  <c r="AJ14" i="15" s="1"/>
  <c r="O153" i="15"/>
  <c r="AK22" i="15" s="1"/>
  <c r="N41" i="15"/>
  <c r="O41" i="15" s="1"/>
  <c r="N28" i="15"/>
  <c r="O28" i="15" s="1"/>
  <c r="N31" i="15"/>
  <c r="O31" i="15" s="1"/>
  <c r="N32" i="15"/>
  <c r="O32" i="15" s="1"/>
  <c r="N22" i="15"/>
  <c r="O22" i="15" s="1"/>
  <c r="N23" i="15"/>
  <c r="O23" i="15" s="1"/>
  <c r="N30" i="15"/>
  <c r="O30" i="15" s="1"/>
  <c r="N20" i="15"/>
  <c r="N27" i="15"/>
  <c r="O27" i="15" s="1"/>
  <c r="N33" i="15"/>
  <c r="O33" i="15" s="1"/>
  <c r="N19" i="15"/>
  <c r="O19" i="15" s="1"/>
  <c r="N13" i="15"/>
  <c r="O13" i="15" s="1"/>
  <c r="N21" i="15"/>
  <c r="N25" i="15"/>
  <c r="O25" i="15" s="1"/>
  <c r="N39" i="15"/>
  <c r="N12" i="15"/>
  <c r="N24" i="15"/>
  <c r="O24" i="15" s="1"/>
  <c r="N38" i="15"/>
  <c r="N18" i="15"/>
  <c r="O18" i="15" s="1"/>
  <c r="N34" i="15"/>
  <c r="O34" i="15" s="1"/>
  <c r="N14" i="15"/>
  <c r="O14" i="15" s="1"/>
  <c r="N40" i="15"/>
  <c r="O40" i="15" s="1"/>
  <c r="N35" i="15"/>
  <c r="O35" i="15" s="1"/>
  <c r="N15" i="15"/>
  <c r="O15" i="15" s="1"/>
  <c r="N26" i="15"/>
  <c r="O26" i="15" s="1"/>
  <c r="N36" i="15"/>
  <c r="O36" i="15" s="1"/>
  <c r="N37" i="15"/>
  <c r="N17" i="15"/>
  <c r="N16" i="15"/>
  <c r="N29" i="15"/>
  <c r="O29" i="15" s="1"/>
  <c r="Q27" i="21" l="1"/>
  <c r="Q41" i="21"/>
  <c r="Q18" i="21"/>
  <c r="Q36" i="21"/>
  <c r="Q12" i="21"/>
  <c r="Q22" i="21"/>
  <c r="P66" i="21"/>
  <c r="P82" i="21"/>
  <c r="P74" i="21"/>
  <c r="P59" i="21"/>
  <c r="P83" i="21"/>
  <c r="P68" i="21"/>
  <c r="P65" i="21"/>
  <c r="P61" i="21"/>
  <c r="P67" i="21"/>
  <c r="P62" i="21"/>
  <c r="P69" i="21"/>
  <c r="P64" i="21"/>
  <c r="P72" i="21"/>
  <c r="P79" i="21"/>
  <c r="P60" i="21"/>
  <c r="P58" i="21"/>
  <c r="P73" i="21"/>
  <c r="P77" i="21"/>
  <c r="P55" i="21"/>
  <c r="P63" i="21"/>
  <c r="P78" i="21"/>
  <c r="P84" i="21"/>
  <c r="P81" i="21"/>
  <c r="P57" i="21"/>
  <c r="P71" i="21"/>
  <c r="P76" i="21"/>
  <c r="P75" i="21"/>
  <c r="P70" i="21"/>
  <c r="P80" i="21"/>
  <c r="P56" i="21"/>
  <c r="F85" i="15"/>
  <c r="C94" i="20"/>
  <c r="AI45" i="21"/>
  <c r="P100" i="21"/>
  <c r="P104" i="21"/>
  <c r="P103" i="21"/>
  <c r="P125" i="21"/>
  <c r="P129" i="21"/>
  <c r="P124" i="21"/>
  <c r="P127" i="21"/>
  <c r="P114" i="21"/>
  <c r="P117" i="21"/>
  <c r="P106" i="21"/>
  <c r="P119" i="21"/>
  <c r="P113" i="21"/>
  <c r="P112" i="21"/>
  <c r="P105" i="21"/>
  <c r="P101" i="21"/>
  <c r="P116" i="21"/>
  <c r="P111" i="21"/>
  <c r="P122" i="21"/>
  <c r="P110" i="21"/>
  <c r="P118" i="21"/>
  <c r="P123" i="21"/>
  <c r="P120" i="21"/>
  <c r="P115" i="21"/>
  <c r="P121" i="21"/>
  <c r="P102" i="21"/>
  <c r="P108" i="21"/>
  <c r="P107" i="21"/>
  <c r="P128" i="21"/>
  <c r="P109" i="21"/>
  <c r="P126" i="21"/>
  <c r="D94" i="20"/>
  <c r="AJ45" i="21"/>
  <c r="O177" i="15"/>
  <c r="AI12" i="15"/>
  <c r="AI43" i="15" s="1"/>
  <c r="O89" i="15"/>
  <c r="AJ12" i="15"/>
  <c r="AK36" i="15"/>
  <c r="AK37" i="15"/>
  <c r="AK39" i="15"/>
  <c r="AK38" i="15"/>
  <c r="AK14" i="15"/>
  <c r="AK35" i="15"/>
  <c r="AK15" i="15"/>
  <c r="AK34" i="15"/>
  <c r="AJ35" i="15"/>
  <c r="AJ34" i="15"/>
  <c r="AJ38" i="15"/>
  <c r="AJ36" i="15"/>
  <c r="AJ39" i="15"/>
  <c r="AJ37" i="15"/>
  <c r="AI42" i="15"/>
  <c r="AH39" i="15"/>
  <c r="O39" i="15"/>
  <c r="AH12" i="15"/>
  <c r="O12" i="15"/>
  <c r="AH20" i="15"/>
  <c r="O20" i="15"/>
  <c r="AH38" i="15"/>
  <c r="O38" i="15"/>
  <c r="AH37" i="15"/>
  <c r="O37" i="15"/>
  <c r="AH17" i="15"/>
  <c r="O17" i="15"/>
  <c r="AH16" i="15"/>
  <c r="O16" i="15"/>
  <c r="AH21" i="15"/>
  <c r="O21" i="15"/>
  <c r="AH24" i="15"/>
  <c r="AH36" i="15"/>
  <c r="AH22" i="15"/>
  <c r="AH28" i="15"/>
  <c r="AH18" i="15"/>
  <c r="AH31" i="15"/>
  <c r="AH32" i="15"/>
  <c r="AH41" i="15"/>
  <c r="AH27" i="15"/>
  <c r="AH34" i="15"/>
  <c r="AH14" i="15"/>
  <c r="AH29" i="15"/>
  <c r="AH25" i="15"/>
  <c r="AH35" i="15"/>
  <c r="AH30" i="15"/>
  <c r="AH26" i="15"/>
  <c r="AH33" i="15"/>
  <c r="AH19" i="15"/>
  <c r="AH13" i="15"/>
  <c r="AH40" i="15"/>
  <c r="AH23" i="15"/>
  <c r="AH15" i="15"/>
  <c r="Q48" i="21" l="1"/>
  <c r="P135" i="21"/>
  <c r="P90" i="21"/>
  <c r="C92" i="20"/>
  <c r="AK42" i="15"/>
  <c r="AI45" i="15"/>
  <c r="AK43" i="15"/>
  <c r="AJ42" i="15"/>
  <c r="P151" i="15"/>
  <c r="P159" i="15"/>
  <c r="P167" i="15"/>
  <c r="P146" i="15"/>
  <c r="P149" i="15"/>
  <c r="P165" i="15"/>
  <c r="P144" i="15"/>
  <c r="P168" i="15"/>
  <c r="P150" i="15"/>
  <c r="P158" i="15"/>
  <c r="P166" i="15"/>
  <c r="P145" i="15"/>
  <c r="P157" i="15"/>
  <c r="P148" i="15"/>
  <c r="P156" i="15"/>
  <c r="P164" i="15"/>
  <c r="P172" i="15"/>
  <c r="P154" i="15"/>
  <c r="P143" i="15"/>
  <c r="P161" i="15"/>
  <c r="P147" i="15"/>
  <c r="P155" i="15"/>
  <c r="P163" i="15"/>
  <c r="P171" i="15"/>
  <c r="P162" i="15"/>
  <c r="P170" i="15"/>
  <c r="P153" i="15"/>
  <c r="P169" i="15"/>
  <c r="P152" i="15"/>
  <c r="P160" i="15"/>
  <c r="P58" i="15"/>
  <c r="P66" i="15"/>
  <c r="P74" i="15"/>
  <c r="P82" i="15"/>
  <c r="P70" i="15"/>
  <c r="P61" i="15"/>
  <c r="P68" i="15"/>
  <c r="P59" i="15"/>
  <c r="P57" i="15"/>
  <c r="P65" i="15"/>
  <c r="P73" i="15"/>
  <c r="P81" i="15"/>
  <c r="P78" i="15"/>
  <c r="P60" i="15"/>
  <c r="P83" i="15"/>
  <c r="P56" i="15"/>
  <c r="P64" i="15"/>
  <c r="P72" i="15"/>
  <c r="P80" i="15"/>
  <c r="P55" i="15"/>
  <c r="P69" i="15"/>
  <c r="P84" i="15"/>
  <c r="P75" i="15"/>
  <c r="P63" i="15"/>
  <c r="P71" i="15"/>
  <c r="P79" i="15"/>
  <c r="P62" i="15"/>
  <c r="P77" i="15"/>
  <c r="P76" i="15"/>
  <c r="P67" i="15"/>
  <c r="O46" i="15"/>
  <c r="Q107" i="21" l="1"/>
  <c r="Q119" i="21"/>
  <c r="Q109" i="21"/>
  <c r="Q113" i="21"/>
  <c r="Q100" i="21"/>
  <c r="Q114" i="21"/>
  <c r="Q122" i="21"/>
  <c r="Q115" i="21"/>
  <c r="Q112" i="21"/>
  <c r="Q111" i="21"/>
  <c r="Q128" i="21"/>
  <c r="Q121" i="21"/>
  <c r="Q123" i="21"/>
  <c r="Q101" i="21"/>
  <c r="Q104" i="21"/>
  <c r="Q129" i="21"/>
  <c r="Q103" i="21"/>
  <c r="Q105" i="21"/>
  <c r="Q124" i="21"/>
  <c r="Q117" i="21"/>
  <c r="Q126" i="21"/>
  <c r="Q116" i="21"/>
  <c r="Q110" i="21"/>
  <c r="Q120" i="21"/>
  <c r="Q127" i="21"/>
  <c r="Q106" i="21"/>
  <c r="Q102" i="21"/>
  <c r="Q108" i="21"/>
  <c r="Q125" i="21"/>
  <c r="Q118" i="21"/>
  <c r="Q55" i="21"/>
  <c r="Q79" i="21"/>
  <c r="Q61" i="21"/>
  <c r="Q65" i="21"/>
  <c r="Q84" i="21"/>
  <c r="Q70" i="21"/>
  <c r="E92" i="20"/>
  <c r="AK45" i="15"/>
  <c r="P12" i="15"/>
  <c r="P19" i="15"/>
  <c r="P27" i="15"/>
  <c r="P36" i="15"/>
  <c r="P13" i="15"/>
  <c r="P29" i="15"/>
  <c r="P20" i="15"/>
  <c r="P18" i="15"/>
  <c r="P34" i="15"/>
  <c r="P31" i="15"/>
  <c r="P22" i="15"/>
  <c r="P16" i="15"/>
  <c r="P25" i="15"/>
  <c r="P33" i="15"/>
  <c r="P14" i="15"/>
  <c r="P30" i="15"/>
  <c r="P40" i="15"/>
  <c r="P15" i="15"/>
  <c r="P24" i="15"/>
  <c r="P32" i="15"/>
  <c r="P23" i="15"/>
  <c r="P41" i="15"/>
  <c r="P28" i="15"/>
  <c r="Q136" i="21" l="1"/>
  <c r="AA60" i="21" s="1"/>
  <c r="Q91" i="21"/>
  <c r="AA59" i="21" s="1"/>
  <c r="P178" i="15"/>
  <c r="P90" i="15"/>
  <c r="P47" i="15"/>
  <c r="E112" i="20" l="1"/>
  <c r="Q56" i="16"/>
  <c r="Q59" i="16" s="1"/>
  <c r="Q57" i="16"/>
  <c r="E113" i="20"/>
  <c r="Q144" i="15"/>
  <c r="Q152" i="15"/>
  <c r="Q160" i="15"/>
  <c r="Q168" i="15"/>
  <c r="Q158" i="15"/>
  <c r="Q161" i="15"/>
  <c r="Q151" i="15"/>
  <c r="Q159" i="15"/>
  <c r="Q167" i="15"/>
  <c r="Q150" i="15"/>
  <c r="Q166" i="15"/>
  <c r="Q146" i="15"/>
  <c r="Q153" i="15"/>
  <c r="Q149" i="15"/>
  <c r="Q157" i="15"/>
  <c r="Q165" i="15"/>
  <c r="Q143" i="15"/>
  <c r="Q154" i="15"/>
  <c r="Q170" i="15"/>
  <c r="Q169" i="15"/>
  <c r="Q148" i="15"/>
  <c r="Q156" i="15"/>
  <c r="Q164" i="15"/>
  <c r="Q172" i="15"/>
  <c r="Q147" i="15"/>
  <c r="Q155" i="15"/>
  <c r="Q163" i="15"/>
  <c r="Q171" i="15"/>
  <c r="Q162" i="15"/>
  <c r="Q145" i="15"/>
  <c r="Q61" i="15"/>
  <c r="Q84" i="15"/>
  <c r="Q55" i="15"/>
  <c r="Q65" i="15"/>
  <c r="Q79" i="15"/>
  <c r="Q70" i="15"/>
  <c r="Q18" i="15"/>
  <c r="Q12" i="15"/>
  <c r="Q27" i="15"/>
  <c r="Q41" i="15"/>
  <c r="Q22" i="15"/>
  <c r="Q36" i="15"/>
  <c r="E115" i="20" l="1"/>
  <c r="Q179" i="15"/>
  <c r="AA61" i="15" s="1"/>
  <c r="Q48" i="15"/>
  <c r="Q91" i="15"/>
  <c r="AA59" i="15" s="1"/>
  <c r="C114" i="20" l="1"/>
  <c r="O58" i="16"/>
  <c r="C112" i="20"/>
  <c r="O56" i="16"/>
  <c r="F129" i="15"/>
  <c r="O129" i="15" s="1"/>
  <c r="O134" i="15" s="1"/>
  <c r="AJ41" i="15" l="1"/>
  <c r="AJ43" i="15" s="1"/>
  <c r="D92" i="20" s="1"/>
  <c r="AJ45" i="15" l="1"/>
  <c r="P101" i="15"/>
  <c r="P109" i="15"/>
  <c r="P117" i="15"/>
  <c r="P126" i="15"/>
  <c r="P112" i="15"/>
  <c r="P111" i="15"/>
  <c r="P110" i="15"/>
  <c r="P129" i="15"/>
  <c r="P108" i="15"/>
  <c r="P116" i="15"/>
  <c r="P100" i="15"/>
  <c r="P105" i="15"/>
  <c r="P125" i="15"/>
  <c r="P103" i="15"/>
  <c r="P118" i="15"/>
  <c r="P128" i="15"/>
  <c r="P107" i="15"/>
  <c r="P115" i="15"/>
  <c r="P123" i="15"/>
  <c r="P121" i="15"/>
  <c r="P104" i="15"/>
  <c r="P124" i="15"/>
  <c r="P127" i="15"/>
  <c r="P106" i="15"/>
  <c r="P114" i="15"/>
  <c r="P122" i="15"/>
  <c r="P113" i="15"/>
  <c r="P120" i="15"/>
  <c r="P119" i="15"/>
  <c r="P102" i="15"/>
  <c r="P135" i="15" l="1"/>
  <c r="Q100" i="15" l="1"/>
  <c r="Q105" i="15"/>
  <c r="Q113" i="15"/>
  <c r="Q121" i="15"/>
  <c r="Q129" i="15"/>
  <c r="Q111" i="15"/>
  <c r="Q127" i="15"/>
  <c r="Q123" i="15"/>
  <c r="Q122" i="15"/>
  <c r="Q104" i="15"/>
  <c r="Q112" i="15"/>
  <c r="Q120" i="15"/>
  <c r="Q128" i="15"/>
  <c r="Q103" i="15"/>
  <c r="Q119" i="15"/>
  <c r="Q106" i="15"/>
  <c r="Q102" i="15"/>
  <c r="Q110" i="15"/>
  <c r="Q118" i="15"/>
  <c r="Q126" i="15"/>
  <c r="Q116" i="15"/>
  <c r="Q107" i="15"/>
  <c r="Q101" i="15"/>
  <c r="Q109" i="15"/>
  <c r="Q117" i="15"/>
  <c r="Q125" i="15"/>
  <c r="Q108" i="15"/>
  <c r="Q124" i="15"/>
  <c r="Q115" i="15"/>
  <c r="Q114" i="15"/>
  <c r="Q136" i="15" l="1"/>
  <c r="AA60" i="15" s="1"/>
  <c r="L12" i="17"/>
  <c r="H55" i="17"/>
  <c r="K55" i="17" s="1"/>
  <c r="H100" i="17"/>
  <c r="K100" i="17" s="1"/>
  <c r="H143" i="17"/>
  <c r="K143" i="17" s="1"/>
  <c r="K12" i="17"/>
  <c r="L100" i="17" l="1"/>
  <c r="N100" i="17"/>
  <c r="O100" i="17" s="1"/>
  <c r="AJ12" i="17" s="1"/>
  <c r="AJ43" i="17" s="1"/>
  <c r="C113" i="20"/>
  <c r="O57" i="16"/>
  <c r="N12" i="17"/>
  <c r="AH12" i="17" s="1"/>
  <c r="L55" i="17"/>
  <c r="N55" i="17" s="1"/>
  <c r="O55" i="17" s="1"/>
  <c r="L143" i="17"/>
  <c r="N143" i="17" s="1"/>
  <c r="O143" i="17" s="1"/>
  <c r="O134" i="17" l="1"/>
  <c r="P120" i="17" s="1"/>
  <c r="O59" i="16"/>
  <c r="C115" i="20"/>
  <c r="O12" i="17"/>
  <c r="O46" i="17" s="1"/>
  <c r="O89" i="17"/>
  <c r="AI12" i="17"/>
  <c r="AJ45" i="17"/>
  <c r="D93" i="20"/>
  <c r="AK12" i="17"/>
  <c r="AK43" i="17" s="1"/>
  <c r="O177" i="17"/>
  <c r="P30" i="17" l="1"/>
  <c r="P21" i="17"/>
  <c r="P15" i="17"/>
  <c r="P41" i="17"/>
  <c r="P33" i="17"/>
  <c r="P22" i="17"/>
  <c r="P29" i="17"/>
  <c r="P20" i="17"/>
  <c r="P14" i="17"/>
  <c r="P27" i="17"/>
  <c r="P34" i="17"/>
  <c r="P24" i="17"/>
  <c r="P32" i="17"/>
  <c r="P12" i="17"/>
  <c r="P31" i="17"/>
  <c r="P28" i="17"/>
  <c r="P19" i="17"/>
  <c r="P13" i="17"/>
  <c r="P36" i="17"/>
  <c r="P18" i="17"/>
  <c r="P40" i="17"/>
  <c r="P25" i="17"/>
  <c r="P23" i="17"/>
  <c r="P16" i="17"/>
  <c r="P121" i="17"/>
  <c r="P112" i="17"/>
  <c r="P101" i="17"/>
  <c r="P117" i="17"/>
  <c r="P105" i="17"/>
  <c r="P119" i="17"/>
  <c r="P124" i="17"/>
  <c r="P106" i="17"/>
  <c r="P102" i="17"/>
  <c r="P115" i="17"/>
  <c r="P123" i="17"/>
  <c r="P128" i="17"/>
  <c r="P100" i="17"/>
  <c r="P122" i="17"/>
  <c r="P126" i="17"/>
  <c r="AI43" i="17"/>
  <c r="AI45" i="17" s="1"/>
  <c r="AM13" i="17"/>
  <c r="P108" i="17"/>
  <c r="P107" i="17"/>
  <c r="P127" i="17"/>
  <c r="P116" i="17"/>
  <c r="P114" i="17"/>
  <c r="P125" i="17"/>
  <c r="P111" i="17"/>
  <c r="P110" i="17"/>
  <c r="P103" i="17"/>
  <c r="P113" i="17"/>
  <c r="P118" i="17"/>
  <c r="P104" i="17"/>
  <c r="P109" i="17"/>
  <c r="P129" i="17"/>
  <c r="P57" i="17"/>
  <c r="P76" i="17"/>
  <c r="P73" i="17"/>
  <c r="P61" i="17"/>
  <c r="P59" i="17"/>
  <c r="P63" i="17"/>
  <c r="P79" i="17"/>
  <c r="P66" i="17"/>
  <c r="P62" i="17"/>
  <c r="P69" i="17"/>
  <c r="P83" i="17"/>
  <c r="P77" i="17"/>
  <c r="P58" i="17"/>
  <c r="P75" i="17"/>
  <c r="P84" i="17"/>
  <c r="P74" i="17"/>
  <c r="P70" i="17"/>
  <c r="P72" i="17"/>
  <c r="P65" i="17"/>
  <c r="P78" i="17"/>
  <c r="P71" i="17"/>
  <c r="P56" i="17"/>
  <c r="P67" i="17"/>
  <c r="P68" i="17"/>
  <c r="P55" i="17"/>
  <c r="C93" i="20"/>
  <c r="P167" i="17"/>
  <c r="P170" i="17"/>
  <c r="P160" i="17"/>
  <c r="P165" i="17"/>
  <c r="P150" i="17"/>
  <c r="P148" i="17"/>
  <c r="P155" i="17"/>
  <c r="P153" i="17"/>
  <c r="P154" i="17"/>
  <c r="P164" i="17"/>
  <c r="P169" i="17"/>
  <c r="P151" i="17"/>
  <c r="P146" i="17"/>
  <c r="P161" i="17"/>
  <c r="P162" i="17"/>
  <c r="P145" i="17"/>
  <c r="P143" i="17"/>
  <c r="P158" i="17"/>
  <c r="P152" i="17"/>
  <c r="P171" i="17"/>
  <c r="P144" i="17"/>
  <c r="P147" i="17"/>
  <c r="P168" i="17"/>
  <c r="P157" i="17"/>
  <c r="P172" i="17"/>
  <c r="P166" i="17"/>
  <c r="P156" i="17"/>
  <c r="P159" i="17"/>
  <c r="P163" i="17"/>
  <c r="P149" i="17"/>
  <c r="AK45" i="17"/>
  <c r="E93" i="20"/>
  <c r="P47" i="17" l="1"/>
  <c r="Q22" i="17" s="1"/>
  <c r="P135" i="17"/>
  <c r="Q106" i="17" s="1"/>
  <c r="P90" i="17"/>
  <c r="P178" i="17"/>
  <c r="Q108" i="17" l="1"/>
  <c r="Q126" i="17"/>
  <c r="Q36" i="17"/>
  <c r="Q117" i="17"/>
  <c r="Q104" i="17"/>
  <c r="Q115" i="17"/>
  <c r="Q111" i="17"/>
  <c r="Q125" i="17"/>
  <c r="Q27" i="17"/>
  <c r="Q103" i="17"/>
  <c r="Q114" i="17"/>
  <c r="Q121" i="17"/>
  <c r="Q119" i="17"/>
  <c r="Q128" i="17"/>
  <c r="Q18" i="17"/>
  <c r="Q107" i="17"/>
  <c r="Q112" i="17"/>
  <c r="Q129" i="17"/>
  <c r="Q110" i="17"/>
  <c r="Q105" i="17"/>
  <c r="Q102" i="17"/>
  <c r="Q120" i="17"/>
  <c r="Q127" i="17"/>
  <c r="Q12" i="17"/>
  <c r="Q123" i="17"/>
  <c r="Q100" i="17"/>
  <c r="Q116" i="17"/>
  <c r="Q122" i="17"/>
  <c r="Q113" i="17"/>
  <c r="Q41" i="17"/>
  <c r="Q118" i="17"/>
  <c r="Q101" i="17"/>
  <c r="Q109" i="17"/>
  <c r="Q124" i="17"/>
  <c r="Q84" i="17"/>
  <c r="Q61" i="17"/>
  <c r="Q55" i="17"/>
  <c r="Q70" i="17"/>
  <c r="Q79" i="17"/>
  <c r="Q65" i="17"/>
  <c r="Q165" i="17"/>
  <c r="Q163" i="17"/>
  <c r="Q156" i="17"/>
  <c r="Q158" i="17"/>
  <c r="Q147" i="17"/>
  <c r="Q151" i="17"/>
  <c r="Q154" i="17"/>
  <c r="Q168" i="17"/>
  <c r="Q153" i="17"/>
  <c r="Q162" i="17"/>
  <c r="Q148" i="17"/>
  <c r="Q144" i="17"/>
  <c r="Q164" i="17"/>
  <c r="Q171" i="17"/>
  <c r="Q169" i="17"/>
  <c r="Q172" i="17"/>
  <c r="Q146" i="17"/>
  <c r="Q149" i="17"/>
  <c r="Q145" i="17"/>
  <c r="Q155" i="17"/>
  <c r="Q170" i="17"/>
  <c r="Q150" i="17"/>
  <c r="Q152" i="17"/>
  <c r="Q161" i="17"/>
  <c r="Q160" i="17"/>
  <c r="Q157" i="17"/>
  <c r="Q166" i="17"/>
  <c r="Q159" i="17"/>
  <c r="Q167" i="17"/>
  <c r="Q143" i="17"/>
  <c r="Q48" i="17" l="1"/>
  <c r="Q136" i="17"/>
  <c r="AA60" i="17" s="1"/>
  <c r="P57" i="16" s="1"/>
  <c r="Q179" i="17"/>
  <c r="AA61" i="17" s="1"/>
  <c r="Q91" i="17"/>
  <c r="AA59" i="17" s="1"/>
  <c r="D113" i="20" l="1"/>
  <c r="F113" i="20" s="1"/>
  <c r="D112" i="20"/>
  <c r="P56" i="16"/>
  <c r="D114" i="20"/>
  <c r="F114" i="20" s="1"/>
  <c r="P58" i="16"/>
  <c r="D115" i="20" l="1"/>
  <c r="F116" i="20" s="1"/>
  <c r="F112" i="20"/>
  <c r="P59" i="16"/>
</calcChain>
</file>

<file path=xl/sharedStrings.xml><?xml version="1.0" encoding="utf-8"?>
<sst xmlns="http://schemas.openxmlformats.org/spreadsheetml/2006/main" count="2579" uniqueCount="291">
  <si>
    <t>Indicators</t>
  </si>
  <si>
    <t>Unit</t>
  </si>
  <si>
    <t>km</t>
  </si>
  <si>
    <t>Nos</t>
  </si>
  <si>
    <t>%</t>
  </si>
  <si>
    <t>Index value</t>
  </si>
  <si>
    <t>sq.m/person</t>
  </si>
  <si>
    <t>HH/acre</t>
  </si>
  <si>
    <t>person/acre</t>
  </si>
  <si>
    <t>km/ person</t>
  </si>
  <si>
    <t>kWh /person</t>
  </si>
  <si>
    <t>ton/person</t>
  </si>
  <si>
    <t>Ratio value</t>
  </si>
  <si>
    <t>SRC 1: Niketan</t>
  </si>
  <si>
    <t>Nos/HH</t>
  </si>
  <si>
    <t>Persons/HH</t>
  </si>
  <si>
    <t>Nos/sq.mile</t>
  </si>
  <si>
    <t>index</t>
  </si>
  <si>
    <t xml:space="preserve">Ratio </t>
  </si>
  <si>
    <t>Weight</t>
  </si>
  <si>
    <t>Goal</t>
  </si>
  <si>
    <t>MAX</t>
  </si>
  <si>
    <t>MIN</t>
  </si>
  <si>
    <t>C</t>
  </si>
  <si>
    <r>
      <t>W</t>
    </r>
    <r>
      <rPr>
        <sz val="8"/>
        <rFont val="Verdana"/>
        <family val="2"/>
      </rPr>
      <t>C</t>
    </r>
  </si>
  <si>
    <t>I</t>
  </si>
  <si>
    <t>U</t>
  </si>
  <si>
    <r>
      <t>V</t>
    </r>
    <r>
      <rPr>
        <sz val="8"/>
        <rFont val="Verdana"/>
        <family val="2"/>
      </rPr>
      <t>i</t>
    </r>
  </si>
  <si>
    <t>G</t>
  </si>
  <si>
    <r>
      <t>W</t>
    </r>
    <r>
      <rPr>
        <sz val="8"/>
        <rFont val="Verdana"/>
        <family val="2"/>
      </rPr>
      <t>I</t>
    </r>
  </si>
  <si>
    <r>
      <t>Parameter Ordinal Score (1,0.5,0), S</t>
    </r>
    <r>
      <rPr>
        <b/>
        <sz val="8"/>
        <color rgb="FF006100"/>
        <rFont val="Calibri"/>
        <family val="2"/>
        <scheme val="minor"/>
      </rPr>
      <t>P</t>
    </r>
  </si>
  <si>
    <t>Base value</t>
  </si>
  <si>
    <r>
      <t>B</t>
    </r>
    <r>
      <rPr>
        <sz val="8"/>
        <rFont val="Verdana"/>
        <family val="2"/>
      </rPr>
      <t>j</t>
    </r>
  </si>
  <si>
    <t>mean of SRC</t>
  </si>
  <si>
    <r>
      <t>R</t>
    </r>
    <r>
      <rPr>
        <sz val="8"/>
        <rFont val="Verdana"/>
        <family val="2"/>
      </rPr>
      <t>I</t>
    </r>
  </si>
  <si>
    <r>
      <t>R</t>
    </r>
    <r>
      <rPr>
        <sz val="8"/>
        <rFont val="Verdana"/>
        <family val="2"/>
      </rPr>
      <t>C</t>
    </r>
  </si>
  <si>
    <t>C1: Smart location</t>
  </si>
  <si>
    <t>I1: Proximity of surrounding landuse</t>
  </si>
  <si>
    <t xml:space="preserve">I2: Proximity to employment </t>
  </si>
  <si>
    <t>I3: Accessibility of public transport facilities</t>
  </si>
  <si>
    <t>I4: Local connectivity</t>
  </si>
  <si>
    <t>I5: Accessibility to electricity supply</t>
  </si>
  <si>
    <t>I6: State of hardscape</t>
  </si>
  <si>
    <t>I7: State of public green/open space</t>
  </si>
  <si>
    <t>I8: State of Road orientation</t>
  </si>
  <si>
    <t>I9: State of building for solar gain</t>
  </si>
  <si>
    <t>I10: State of building surface and volume</t>
  </si>
  <si>
    <t xml:space="preserve">I11: Building Aspect ratio </t>
  </si>
  <si>
    <t>I12: Building organization</t>
  </si>
  <si>
    <t>I13: Net housing density</t>
  </si>
  <si>
    <t>I14: Household size</t>
  </si>
  <si>
    <t xml:space="preserve">I15: State of Living space </t>
  </si>
  <si>
    <t>I:16: Residents age structure</t>
  </si>
  <si>
    <t>I17: Residents Income structure</t>
  </si>
  <si>
    <t>I18: Gross population density</t>
  </si>
  <si>
    <t>I19: Vehicle ownership status</t>
  </si>
  <si>
    <t>I20: Working mobility pattern</t>
  </si>
  <si>
    <t>I21: Electricity usage pattens</t>
  </si>
  <si>
    <t>I22: Energy consumption for working mobility</t>
  </si>
  <si>
    <t xml:space="preserve">I23: Solar electricity potential </t>
  </si>
  <si>
    <t xml:space="preserve">P1: Edge contrast index </t>
  </si>
  <si>
    <t>P2: Mean distance to major employment area</t>
  </si>
  <si>
    <t>P3: Total number of public bus station within 1km</t>
  </si>
  <si>
    <t>P4: Total number of nodes per sq.mile</t>
  </si>
  <si>
    <t>P5: HH connected to grid feed only</t>
  </si>
  <si>
    <t xml:space="preserve">P6: HH connected to solar PV </t>
  </si>
  <si>
    <t xml:space="preserve">P8: Public green and open spaces </t>
  </si>
  <si>
    <t>P9: Ratio of plots with straight vs curved road</t>
  </si>
  <si>
    <r>
      <t xml:space="preserve">P10: Ratio of plots along EW </t>
    </r>
    <r>
      <rPr>
        <i/>
        <sz val="11"/>
        <rFont val="Calibri"/>
        <family val="2"/>
      </rPr>
      <t>vs.</t>
    </r>
    <r>
      <rPr>
        <sz val="11"/>
        <rFont val="Calibri"/>
        <family val="2"/>
      </rPr>
      <t xml:space="preserve"> NS road</t>
    </r>
  </si>
  <si>
    <t xml:space="preserve">P11: Amount of buildings within angle to longer axis  15 (±) </t>
  </si>
  <si>
    <t>P12: Average Ratio of the building surface to the volume</t>
  </si>
  <si>
    <t xml:space="preserve">P13: Average Ratio of buildings length and to the width </t>
  </si>
  <si>
    <t>P14: Spatial Global Morans'I (Squared)</t>
  </si>
  <si>
    <t>P15: Average Spatial Local Morans'I (Squard)</t>
  </si>
  <si>
    <t>P16: Housing unites per unit of developed land area</t>
  </si>
  <si>
    <t>P17: Average household size in the neighborhood</t>
  </si>
  <si>
    <t>P18: Mean living space per residents in a HH unit</t>
  </si>
  <si>
    <t>P19: Residents age in between 15-65</t>
  </si>
  <si>
    <t xml:space="preserve">P20: Gini index value of annual HH income </t>
  </si>
  <si>
    <t>P21: Population per unit of gross land area</t>
  </si>
  <si>
    <t>P22: HH owned private motor Vehicle</t>
  </si>
  <si>
    <t>P23: Share of private car based trip</t>
  </si>
  <si>
    <t>P24: Average annual travel distance for work  (motor base)</t>
  </si>
  <si>
    <t>P25: Annual intensity of electricity use</t>
  </si>
  <si>
    <t>P26: Seasonal usage ratio: summer (NOV-JAN)/winter (FEB-OCT)</t>
  </si>
  <si>
    <t>P27: Average appliances in use (except cooling)</t>
  </si>
  <si>
    <t>P28: Average cooling appliance in use</t>
  </si>
  <si>
    <t xml:space="preserve">P29: Per capita Co2 emission </t>
  </si>
  <si>
    <t xml:space="preserve">P30: Annual electricity generation by roof top-solar PV  </t>
  </si>
  <si>
    <t>P7: Hard scape area</t>
  </si>
  <si>
    <t>C3: Building quality</t>
  </si>
  <si>
    <t>C6: Renewable Resources</t>
  </si>
  <si>
    <t>C2: Landscape elements</t>
  </si>
  <si>
    <r>
      <t>(V</t>
    </r>
    <r>
      <rPr>
        <i/>
        <sz val="8"/>
        <rFont val="Verdana"/>
        <family val="2"/>
      </rPr>
      <t>i</t>
    </r>
    <r>
      <rPr>
        <i/>
        <sz val="11"/>
        <rFont val="Verdana"/>
        <family val="2"/>
      </rPr>
      <t>&gt;B</t>
    </r>
    <r>
      <rPr>
        <i/>
        <sz val="8"/>
        <rFont val="Verdana"/>
        <family val="2"/>
      </rPr>
      <t>j</t>
    </r>
    <r>
      <rPr>
        <i/>
        <sz val="11"/>
        <rFont val="Verdana"/>
        <family val="2"/>
      </rPr>
      <t>) =1</t>
    </r>
  </si>
  <si>
    <t>Input Value</t>
  </si>
  <si>
    <r>
      <t>(V</t>
    </r>
    <r>
      <rPr>
        <i/>
        <sz val="8"/>
        <rFont val="Verdana"/>
        <family val="2"/>
      </rPr>
      <t>i</t>
    </r>
    <r>
      <rPr>
        <i/>
        <sz val="11"/>
        <rFont val="Verdana"/>
        <family val="2"/>
      </rPr>
      <t>=B</t>
    </r>
    <r>
      <rPr>
        <i/>
        <sz val="8"/>
        <rFont val="Verdana"/>
        <family val="2"/>
      </rPr>
      <t xml:space="preserve">j) </t>
    </r>
    <r>
      <rPr>
        <i/>
        <sz val="11"/>
        <rFont val="Verdana"/>
        <family val="2"/>
      </rPr>
      <t>=0.5</t>
    </r>
  </si>
  <si>
    <r>
      <t>(V</t>
    </r>
    <r>
      <rPr>
        <i/>
        <sz val="8"/>
        <rFont val="Verdana"/>
        <family val="2"/>
      </rPr>
      <t>i</t>
    </r>
    <r>
      <rPr>
        <i/>
        <sz val="11"/>
        <rFont val="Verdana"/>
        <family val="2"/>
      </rPr>
      <t>&lt;B</t>
    </r>
    <r>
      <rPr>
        <i/>
        <sz val="8"/>
        <rFont val="Verdana"/>
        <family val="2"/>
      </rPr>
      <t>j</t>
    </r>
    <r>
      <rPr>
        <i/>
        <sz val="11"/>
        <rFont val="Verdana"/>
        <family val="2"/>
      </rPr>
      <t>) =1</t>
    </r>
  </si>
  <si>
    <t>C4: Housing/Residents function</t>
  </si>
  <si>
    <t>C5: Energy usage</t>
  </si>
  <si>
    <t>Ordinal score</t>
  </si>
  <si>
    <t>Category</t>
  </si>
  <si>
    <t>Ctriteria</t>
  </si>
  <si>
    <t>CA</t>
  </si>
  <si>
    <r>
      <t>W</t>
    </r>
    <r>
      <rPr>
        <sz val="8"/>
        <rFont val="Verdana"/>
        <family val="2"/>
      </rPr>
      <t>CA</t>
    </r>
  </si>
  <si>
    <r>
      <t>S</t>
    </r>
    <r>
      <rPr>
        <i/>
        <sz val="8"/>
        <rFont val="Verdana"/>
        <family val="2"/>
      </rPr>
      <t>I</t>
    </r>
  </si>
  <si>
    <r>
      <t>R</t>
    </r>
    <r>
      <rPr>
        <sz val="8"/>
        <rFont val="Verdana"/>
        <family val="2"/>
      </rPr>
      <t>CA</t>
    </r>
  </si>
  <si>
    <r>
      <t>SUM (R</t>
    </r>
    <r>
      <rPr>
        <b/>
        <sz val="8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</si>
  <si>
    <r>
      <t>SUM (R</t>
    </r>
    <r>
      <rPr>
        <sz val="8"/>
        <color rgb="FF9C0006"/>
        <rFont val="Calibri"/>
        <family val="2"/>
        <scheme val="minor"/>
      </rPr>
      <t>C</t>
    </r>
    <r>
      <rPr>
        <sz val="11"/>
        <color rgb="FF9C0006"/>
        <rFont val="Calibri"/>
        <family val="2"/>
        <scheme val="minor"/>
      </rPr>
      <t>)</t>
    </r>
  </si>
  <si>
    <r>
      <t>Sum (R</t>
    </r>
    <r>
      <rPr>
        <b/>
        <sz val="8"/>
        <color rgb="FF3F3F3F"/>
        <rFont val="Calibri"/>
        <family val="2"/>
        <scheme val="minor"/>
      </rPr>
      <t>CA</t>
    </r>
    <r>
      <rPr>
        <b/>
        <sz val="11"/>
        <color rgb="FF3F3F3F"/>
        <rFont val="Calibri"/>
        <family val="2"/>
        <scheme val="minor"/>
      </rPr>
      <t>)</t>
    </r>
  </si>
  <si>
    <t>Title:</t>
  </si>
  <si>
    <t>Population:</t>
  </si>
  <si>
    <t xml:space="preserve">Total Area: </t>
  </si>
  <si>
    <t>Implementing Agency:</t>
  </si>
  <si>
    <t>Number of Plots:</t>
  </si>
  <si>
    <t xml:space="preserve">Equal </t>
  </si>
  <si>
    <t>Expert</t>
  </si>
  <si>
    <t>Number of Criteria</t>
  </si>
  <si>
    <t>Number of Indicator</t>
  </si>
  <si>
    <t>Number of Category</t>
  </si>
  <si>
    <r>
      <rPr>
        <b/>
        <sz val="8"/>
        <color rgb="FF006100"/>
        <rFont val="Calibri"/>
        <family val="2"/>
        <scheme val="minor"/>
      </rPr>
      <t xml:space="preserve"> </t>
    </r>
    <r>
      <rPr>
        <b/>
        <sz val="11"/>
        <color rgb="FF006100"/>
        <rFont val="Calibri"/>
        <family val="2"/>
        <scheme val="minor"/>
      </rPr>
      <t>S</t>
    </r>
    <r>
      <rPr>
        <b/>
        <sz val="8"/>
        <color rgb="FF006100"/>
        <rFont val="Calibri"/>
        <family val="2"/>
        <scheme val="minor"/>
      </rPr>
      <t>I</t>
    </r>
    <r>
      <rPr>
        <b/>
        <sz val="11"/>
        <color rgb="FF006100"/>
        <rFont val="Calibri"/>
        <family val="2"/>
        <scheme val="minor"/>
      </rPr>
      <t>*W</t>
    </r>
    <r>
      <rPr>
        <b/>
        <sz val="8"/>
        <color rgb="FF006100"/>
        <rFont val="Calibri"/>
        <family val="2"/>
        <scheme val="minor"/>
      </rPr>
      <t>I</t>
    </r>
  </si>
  <si>
    <r>
      <t>Sum(R</t>
    </r>
    <r>
      <rPr>
        <b/>
        <sz val="8"/>
        <color rgb="FF006100"/>
        <rFont val="Calibri"/>
        <family val="2"/>
        <scheme val="minor"/>
      </rPr>
      <t xml:space="preserve">I </t>
    </r>
    <r>
      <rPr>
        <b/>
        <sz val="11"/>
        <color rgb="FF006100"/>
        <rFont val="Calibri"/>
        <family val="2"/>
        <scheme val="minor"/>
      </rPr>
      <t>)*W</t>
    </r>
    <r>
      <rPr>
        <b/>
        <sz val="8"/>
        <color rgb="FF006100"/>
        <rFont val="Calibri"/>
        <family val="2"/>
        <scheme val="minor"/>
      </rPr>
      <t>I</t>
    </r>
  </si>
  <si>
    <r>
      <t>Sum(Rc)*W</t>
    </r>
    <r>
      <rPr>
        <b/>
        <sz val="8"/>
        <color rgb="FF006100"/>
        <rFont val="Calibri"/>
        <family val="2"/>
        <scheme val="minor"/>
      </rPr>
      <t>C</t>
    </r>
  </si>
  <si>
    <t>Independent weighting (Base)</t>
  </si>
  <si>
    <t>1. Category based weighting</t>
  </si>
  <si>
    <t>2. Criteria based weighting</t>
  </si>
  <si>
    <t>3. Indicator based weighting</t>
  </si>
  <si>
    <r>
      <t>SUM (R</t>
    </r>
    <r>
      <rPr>
        <b/>
        <sz val="8"/>
        <color rgb="FF9C0006"/>
        <rFont val="Calibri"/>
        <family val="2"/>
        <scheme val="minor"/>
      </rPr>
      <t>C</t>
    </r>
    <r>
      <rPr>
        <b/>
        <sz val="11"/>
        <color rgb="FF9C0006"/>
        <rFont val="Calibri"/>
        <family val="2"/>
        <scheme val="minor"/>
      </rPr>
      <t>)</t>
    </r>
  </si>
  <si>
    <t>Indicator</t>
  </si>
  <si>
    <t>Gap</t>
  </si>
  <si>
    <t>SUM MIN</t>
  </si>
  <si>
    <t>SUM MAX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</si>
  <si>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</si>
  <si>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</si>
  <si>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</si>
  <si>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</si>
  <si>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</si>
  <si>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</si>
  <si>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</si>
  <si>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</si>
  <si>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</si>
  <si>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</si>
  <si>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</si>
  <si>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</si>
  <si>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</si>
  <si>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</si>
  <si>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</si>
  <si>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</si>
  <si>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</si>
  <si>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</si>
  <si>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</si>
  <si>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</si>
  <si>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</si>
  <si>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</si>
  <si>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</si>
  <si>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</si>
  <si>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</si>
  <si>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</si>
  <si>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</si>
  <si>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</si>
  <si>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</si>
  <si>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</si>
  <si>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 xml:space="preserve">Indicator </t>
  </si>
  <si>
    <t xml:space="preserve">Category </t>
  </si>
  <si>
    <t xml:space="preserve">Criteria </t>
  </si>
  <si>
    <t>Resulted indicator score along goals</t>
  </si>
  <si>
    <t>C1: Proximity of surrounding landuse</t>
  </si>
  <si>
    <t xml:space="preserve">C2: Proximity to employment </t>
  </si>
  <si>
    <t>C3: Accessibility of public transport facilities</t>
  </si>
  <si>
    <t>C4: Local connectivity</t>
  </si>
  <si>
    <t>C5: Accessibility to electricity supply</t>
  </si>
  <si>
    <t xml:space="preserve">I1: Edge contrast index </t>
  </si>
  <si>
    <t>I2: Mean distance to major employment area</t>
  </si>
  <si>
    <t>I3: Total number of public bus station within 1km</t>
  </si>
  <si>
    <t>I4: Total number of nodes per sq.mile</t>
  </si>
  <si>
    <t>I5: HH connected to grid feed only</t>
  </si>
  <si>
    <t xml:space="preserve">I6: HH connected to solar PV </t>
  </si>
  <si>
    <t>Criteria</t>
  </si>
  <si>
    <t>C6: State of hardscape</t>
  </si>
  <si>
    <t>C7: State of public green/open space</t>
  </si>
  <si>
    <t>C8: State of Road orientation</t>
  </si>
  <si>
    <t>CA1: Smart location</t>
  </si>
  <si>
    <t>CA2: Landscape elements</t>
  </si>
  <si>
    <t>CA3: Building quality</t>
  </si>
  <si>
    <t>CA4: Housing/Residents function</t>
  </si>
  <si>
    <t>CA5: Energy usage</t>
  </si>
  <si>
    <t>CA6: Renewable Resources</t>
  </si>
  <si>
    <t>C9: State of building for solar gain</t>
  </si>
  <si>
    <t>C10: State of building surface and volume</t>
  </si>
  <si>
    <t xml:space="preserve">C11: Building Aspect ratio </t>
  </si>
  <si>
    <t>C13: Net housing density</t>
  </si>
  <si>
    <t>C14: Household size</t>
  </si>
  <si>
    <t xml:space="preserve">C15: State of Living space </t>
  </si>
  <si>
    <t>C17: Residents Income structure</t>
  </si>
  <si>
    <t>C18: Gross population density</t>
  </si>
  <si>
    <t>C19: Vehicle ownership status</t>
  </si>
  <si>
    <t>C20: Working mobility pattern</t>
  </si>
  <si>
    <t>C21: Electricity usage pattens</t>
  </si>
  <si>
    <t>C22: Energy consumption for working mobility</t>
  </si>
  <si>
    <t xml:space="preserve">C23: Solar electricity potential </t>
  </si>
  <si>
    <t>I7: Hard scape area</t>
  </si>
  <si>
    <t xml:space="preserve">I8: Public green and open spaces </t>
  </si>
  <si>
    <t>I9: Ratio of plots with straight vs curved road</t>
  </si>
  <si>
    <r>
      <t xml:space="preserve">I10: Ratio of plots along EW </t>
    </r>
    <r>
      <rPr>
        <i/>
        <sz val="11"/>
        <rFont val="Calibri"/>
        <family val="2"/>
      </rPr>
      <t>vs.</t>
    </r>
    <r>
      <rPr>
        <sz val="11"/>
        <rFont val="Calibri"/>
        <family val="2"/>
      </rPr>
      <t xml:space="preserve"> NS road</t>
    </r>
  </si>
  <si>
    <t xml:space="preserve">I11: Amount of buildings within angle to longer axis  15 (±) </t>
  </si>
  <si>
    <t>I12: Average Ratio of the building surface to the volume</t>
  </si>
  <si>
    <t xml:space="preserve">I13: Average Ratio of buildings length and to the width </t>
  </si>
  <si>
    <t>I14: Spatial Global Morans'I (Squared)</t>
  </si>
  <si>
    <t>I15: Average Spatial Local Morans'I (Squard)</t>
  </si>
  <si>
    <t>I16: Housing unites per unit of developed land area</t>
  </si>
  <si>
    <t>I17: Average household size in the neighborhood</t>
  </si>
  <si>
    <t>I18: Mean living space per residents in a HH unit</t>
  </si>
  <si>
    <t>I19: Residents age in between 15-65</t>
  </si>
  <si>
    <t xml:space="preserve">I20: Gini index value of annual HH income </t>
  </si>
  <si>
    <t>I21: Population per unit of gross land area</t>
  </si>
  <si>
    <t>I22: HH owned private motor Vehicle</t>
  </si>
  <si>
    <t>I23: Share of private car based trip</t>
  </si>
  <si>
    <t>I24: Average annual travel distance for work  (motor base)</t>
  </si>
  <si>
    <t>I25: Annual intensity of electricity use</t>
  </si>
  <si>
    <t>I26: Seasonal usage ratio: summer (NOV-JAN)/winter (FEB-OCT)</t>
  </si>
  <si>
    <t>I27: Average appliances in use (except cooling)</t>
  </si>
  <si>
    <t>I28: Average cooling appliance in use</t>
  </si>
  <si>
    <t xml:space="preserve">I29: Per capita Co2 emission </t>
  </si>
  <si>
    <t xml:space="preserve">I30: Annual electricity generation by roof top-solar PV  </t>
  </si>
  <si>
    <t>C12: Building organization</t>
  </si>
  <si>
    <r>
      <t>Indicator Ordinal Score (1,0.5,0), S</t>
    </r>
    <r>
      <rPr>
        <b/>
        <sz val="8"/>
        <color rgb="FF006100"/>
        <rFont val="Calibri"/>
        <family val="2"/>
        <scheme val="minor"/>
      </rPr>
      <t>P</t>
    </r>
  </si>
  <si>
    <t>C16: Residents age structure</t>
  </si>
  <si>
    <t>I10: Ratio of plots along EW vs. NS road</t>
  </si>
  <si>
    <t>Equal weight</t>
  </si>
  <si>
    <t>Expert weight (AHP)</t>
  </si>
  <si>
    <t>Hybird</t>
  </si>
  <si>
    <t>Avergae of both</t>
  </si>
  <si>
    <t>Total scores (F):</t>
  </si>
  <si>
    <t>Total scores (%):</t>
  </si>
  <si>
    <t>Total scores (P):</t>
  </si>
  <si>
    <t xml:space="preserve">Final result: </t>
  </si>
  <si>
    <t>Category focused</t>
  </si>
  <si>
    <t>Criteria focused</t>
  </si>
  <si>
    <t>Indicator focused</t>
  </si>
  <si>
    <t xml:space="preserve">Resulted score (according to weighting focus) </t>
  </si>
  <si>
    <t>Indicator Ordinal value(1,0.5,0), So</t>
  </si>
  <si>
    <t>Sum(So)</t>
  </si>
  <si>
    <t>Sensitivity max-min</t>
  </si>
  <si>
    <t>Sensitivity (max-min)</t>
  </si>
  <si>
    <t>Overall sensitivity to weighting approach</t>
  </si>
  <si>
    <t>Equal</t>
  </si>
  <si>
    <t>Final score</t>
  </si>
  <si>
    <t>Mean</t>
  </si>
  <si>
    <t>Focus</t>
  </si>
  <si>
    <t>Weighting Approach</t>
  </si>
  <si>
    <t>Absolute Distance of max to min score of different weighting and focus (gross)</t>
  </si>
  <si>
    <t>Final result</t>
  </si>
  <si>
    <t>Eastern Housing Ltd.</t>
  </si>
  <si>
    <t>Total Population:</t>
  </si>
  <si>
    <t>Niketan Housing Project</t>
  </si>
  <si>
    <t>Sensitivity (max-min) Score</t>
  </si>
  <si>
    <t>Equal weighting Score</t>
  </si>
  <si>
    <t>Expert weighting Score</t>
  </si>
  <si>
    <t>Hybird weighting Score</t>
  </si>
  <si>
    <t>Vi</t>
  </si>
  <si>
    <r>
      <t xml:space="preserve">I10: Ratio of plots along EW </t>
    </r>
    <r>
      <rPr>
        <i/>
        <sz val="9"/>
        <rFont val="Calibri"/>
        <family val="2"/>
      </rPr>
      <t>vs.</t>
    </r>
    <r>
      <rPr>
        <sz val="9"/>
        <rFont val="Calibri"/>
        <family val="2"/>
      </rPr>
      <t xml:space="preserve"> NS road</t>
    </r>
  </si>
  <si>
    <t xml:space="preserve"> Energy Optimized Residential Settlement in Dhaka (eNoP-DHAKA)</t>
  </si>
  <si>
    <t>Name:</t>
  </si>
  <si>
    <t>For calculation</t>
  </si>
  <si>
    <t>User defined</t>
  </si>
  <si>
    <t>Energy Optimized Residential Settlement in Dhaka (eNoP-DHAKA)</t>
  </si>
  <si>
    <r>
      <t>B</t>
    </r>
    <r>
      <rPr>
        <sz val="8"/>
        <color theme="0" tint="-0.14999847407452621"/>
        <rFont val="Verdana"/>
        <family val="2"/>
      </rPr>
      <t>j</t>
    </r>
  </si>
  <si>
    <t>Adjustment Factor</t>
  </si>
  <si>
    <t>Adjustment_Factor</t>
  </si>
  <si>
    <t>Amount</t>
  </si>
  <si>
    <t>Dhaka</t>
  </si>
  <si>
    <t>Bangladesh</t>
  </si>
  <si>
    <t>Location:</t>
  </si>
  <si>
    <t>Date:</t>
  </si>
  <si>
    <t>Indicator Value</t>
  </si>
  <si>
    <t>Gap to base</t>
  </si>
  <si>
    <t>Area name:</t>
  </si>
  <si>
    <t xml:space="preserve">City: </t>
  </si>
  <si>
    <t xml:space="preserve">Country: </t>
  </si>
  <si>
    <t>Rounded</t>
  </si>
  <si>
    <t>Click on after updating location</t>
  </si>
  <si>
    <t xml:space="preserve">Standardized value of Indicators </t>
  </si>
  <si>
    <t>This base value should be changed after having more case studies or local regulations</t>
  </si>
  <si>
    <t>Bj</t>
  </si>
  <si>
    <t xml:space="preserve">Total Area (in acres): </t>
  </si>
  <si>
    <t>URL</t>
  </si>
  <si>
    <t>Niketan</t>
  </si>
  <si>
    <t>https://www.google.com.bd/maps</t>
  </si>
  <si>
    <t>Final Results</t>
  </si>
  <si>
    <t>Weighting score and sensitivity</t>
  </si>
  <si>
    <t>Please fill all sky colored cells</t>
  </si>
  <si>
    <t>Project Discription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</si>
</sst>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"/>
    <numFmt numFmtId="167" formatCode="0.00000"/>
    <numFmt numFmtId="168" formatCode="[$-409]mmmm\ d\,\ yyyy;@"/>
  </numFmts>
  <fonts count="62" x14ac:knownFonts="1">
    <font>
      <sz val="10"/>
      <name val="Verdana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0"/>
      <name val="Verdana"/>
      <family val="2"/>
    </font>
    <font>
      <sz val="11"/>
      <name val="Verdana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color rgb="FF006100"/>
      <name val="Calibri"/>
      <family val="2"/>
      <scheme val="minor"/>
    </font>
    <font>
      <b/>
      <sz val="10"/>
      <name val="Verdana"/>
      <family val="2"/>
    </font>
    <font>
      <b/>
      <sz val="11"/>
      <name val="Calibri"/>
      <family val="2"/>
      <scheme val="minor"/>
    </font>
    <font>
      <b/>
      <sz val="11"/>
      <name val="Verdana"/>
      <family val="2"/>
    </font>
    <font>
      <b/>
      <sz val="9"/>
      <name val="Verdana"/>
      <family val="2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i/>
      <sz val="11"/>
      <name val="Verdana"/>
      <family val="2"/>
    </font>
    <font>
      <i/>
      <sz val="8"/>
      <name val="Verdana"/>
      <family val="2"/>
    </font>
    <font>
      <b/>
      <sz val="8"/>
      <color rgb="FF00610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9C0006"/>
      <name val="Calibri"/>
      <family val="2"/>
      <scheme val="minor"/>
    </font>
    <font>
      <b/>
      <sz val="8"/>
      <color rgb="FF3F3F3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8"/>
      <color rgb="FF9C0006"/>
      <name val="Calibri"/>
      <family val="2"/>
      <scheme val="minor"/>
    </font>
    <font>
      <b/>
      <sz val="9"/>
      <color rgb="FF0061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9"/>
      <name val="Verdana"/>
      <family val="2"/>
    </font>
    <font>
      <b/>
      <sz val="20"/>
      <name val="Calibri"/>
      <family val="2"/>
      <scheme val="minor"/>
    </font>
    <font>
      <b/>
      <sz val="12"/>
      <name val="Verdana"/>
      <family val="2"/>
    </font>
    <font>
      <sz val="9"/>
      <name val="Calibri"/>
      <family val="2"/>
    </font>
    <font>
      <b/>
      <sz val="9"/>
      <name val="Calibri"/>
      <family val="2"/>
    </font>
    <font>
      <i/>
      <sz val="9"/>
      <name val="Calibri"/>
      <family val="2"/>
    </font>
    <font>
      <b/>
      <sz val="9"/>
      <color theme="1"/>
      <name val="Calibri"/>
      <family val="2"/>
      <scheme val="minor"/>
    </font>
    <font>
      <b/>
      <sz val="10"/>
      <color theme="0" tint="-0.14999847407452621"/>
      <name val="Verdana"/>
      <family val="2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Verdana"/>
      <family val="2"/>
    </font>
    <font>
      <sz val="8"/>
      <color theme="0" tint="-0.14999847407452621"/>
      <name val="Verdana"/>
      <family val="2"/>
    </font>
    <font>
      <b/>
      <sz val="11"/>
      <color theme="0" tint="-0.14999847407452621"/>
      <name val="Calibri"/>
      <family val="2"/>
    </font>
    <font>
      <sz val="10"/>
      <color theme="0" tint="-0.14999847407452621"/>
      <name val="Verdana"/>
      <family val="2"/>
    </font>
    <font>
      <sz val="18"/>
      <name val="Verdana"/>
      <family val="2"/>
    </font>
    <font>
      <u/>
      <sz val="10"/>
      <name val="Verdana"/>
      <family val="2"/>
    </font>
    <font>
      <sz val="6"/>
      <name val="Verdana"/>
      <family val="2"/>
    </font>
    <font>
      <b/>
      <sz val="10"/>
      <color rgb="FF006100"/>
      <name val="Calibri"/>
      <family val="2"/>
      <scheme val="minor"/>
    </font>
    <font>
      <b/>
      <sz val="9"/>
      <color theme="0" tint="-0.14999847407452621"/>
      <name val="Verdana"/>
      <family val="2"/>
    </font>
    <font>
      <b/>
      <sz val="10"/>
      <color theme="0" tint="-0.14999847407452621"/>
      <name val="Calibri"/>
      <family val="2"/>
      <scheme val="minor"/>
    </font>
    <font>
      <sz val="10"/>
      <color theme="0" tint="-0.14999847407452621"/>
      <name val="Verdana"/>
      <family val="2"/>
    </font>
    <font>
      <b/>
      <sz val="9"/>
      <color theme="0"/>
      <name val="Verdana"/>
      <family val="2"/>
    </font>
    <font>
      <u/>
      <sz val="10"/>
      <color theme="0"/>
      <name val="Verdana"/>
      <family val="2"/>
    </font>
    <font>
      <sz val="8"/>
      <name val="Calibri"/>
      <family val="2"/>
    </font>
    <font>
      <b/>
      <sz val="10"/>
      <color theme="3" tint="0.59999389629810485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double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4" fillId="4" borderId="2" applyNumberFormat="0" applyAlignment="0" applyProtection="0"/>
    <xf numFmtId="0" fontId="15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3" borderId="21" applyNumberFormat="0" applyAlignment="0" applyProtection="0"/>
    <xf numFmtId="0" fontId="21" fillId="7" borderId="22" applyNumberFormat="0" applyFont="0" applyAlignment="0" applyProtection="0"/>
    <xf numFmtId="0" fontId="1" fillId="0" borderId="0" applyNumberFormat="0" applyFill="0" applyBorder="0" applyAlignment="0" applyProtection="0">
      <alignment vertical="top"/>
      <protection locked="0"/>
    </xf>
  </cellStyleXfs>
  <cellXfs count="59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justify" vertical="top" wrapText="1"/>
    </xf>
    <xf numFmtId="0" fontId="9" fillId="2" borderId="1" xfId="341" applyFont="1" applyBorder="1" applyAlignment="1">
      <alignment horizontal="justify" vertical="top"/>
    </xf>
    <xf numFmtId="0" fontId="10" fillId="0" borderId="0" xfId="0" applyFont="1"/>
    <xf numFmtId="0" fontId="7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 applyBorder="1"/>
    <xf numFmtId="0" fontId="9" fillId="2" borderId="1" xfId="341" applyFont="1" applyBorder="1" applyAlignment="1">
      <alignment horizontal="right" vertical="top"/>
    </xf>
    <xf numFmtId="0" fontId="10" fillId="0" borderId="0" xfId="0" applyFont="1" applyAlignment="1">
      <alignment horizontal="left"/>
    </xf>
    <xf numFmtId="0" fontId="10" fillId="0" borderId="0" xfId="0" applyFont="1" applyFill="1" applyBorder="1"/>
    <xf numFmtId="0" fontId="12" fillId="0" borderId="0" xfId="0" applyFont="1" applyBorder="1" applyAlignment="1">
      <alignment horizontal="right"/>
    </xf>
    <xf numFmtId="0" fontId="9" fillId="2" borderId="3" xfId="341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3" fillId="0" borderId="0" xfId="0" applyFont="1" applyBorder="1" applyAlignment="1">
      <alignment horizontal="justify" vertical="top"/>
    </xf>
    <xf numFmtId="0" fontId="3" fillId="0" borderId="0" xfId="0" applyFont="1" applyBorder="1" applyAlignment="1">
      <alignment horizontal="right" vertical="top" wrapText="1"/>
    </xf>
    <xf numFmtId="0" fontId="11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4" fillId="4" borderId="9" xfId="342" applyBorder="1" applyAlignment="1">
      <alignment horizontal="center" vertical="top"/>
    </xf>
    <xf numFmtId="0" fontId="14" fillId="4" borderId="11" xfId="342" applyBorder="1" applyAlignment="1">
      <alignment horizontal="center" vertical="top"/>
    </xf>
    <xf numFmtId="0" fontId="14" fillId="4" borderId="12" xfId="342" applyBorder="1" applyAlignment="1">
      <alignment horizontal="center"/>
    </xf>
    <xf numFmtId="0" fontId="14" fillId="4" borderId="13" xfId="342" applyBorder="1" applyAlignment="1">
      <alignment horizontal="center"/>
    </xf>
    <xf numFmtId="0" fontId="14" fillId="4" borderId="14" xfId="342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6" fillId="0" borderId="6" xfId="0" applyFont="1" applyBorder="1"/>
    <xf numFmtId="0" fontId="4" fillId="2" borderId="1" xfId="341" applyBorder="1" applyAlignment="1">
      <alignment horizontal="center" vertical="top"/>
    </xf>
    <xf numFmtId="0" fontId="4" fillId="2" borderId="4" xfId="341" applyBorder="1" applyAlignment="1">
      <alignment horizontal="center" vertical="top"/>
    </xf>
    <xf numFmtId="0" fontId="3" fillId="0" borderId="1" xfId="0" applyFont="1" applyBorder="1" applyAlignment="1">
      <alignment horizontal="justify" vertical="top"/>
    </xf>
    <xf numFmtId="0" fontId="20" fillId="0" borderId="1" xfId="342" applyFont="1" applyFill="1" applyBorder="1" applyAlignment="1">
      <alignment horizontal="justify" vertical="top"/>
    </xf>
    <xf numFmtId="0" fontId="6" fillId="0" borderId="6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3" fillId="0" borderId="26" xfId="0" applyFont="1" applyBorder="1" applyAlignment="1">
      <alignment horizontal="justify" vertical="top"/>
    </xf>
    <xf numFmtId="0" fontId="7" fillId="0" borderId="26" xfId="0" applyFont="1" applyBorder="1" applyAlignment="1">
      <alignment horizontal="center" vertical="top"/>
    </xf>
    <xf numFmtId="0" fontId="4" fillId="2" borderId="26" xfId="341" applyBorder="1" applyAlignment="1">
      <alignment horizontal="center" vertical="top"/>
    </xf>
    <xf numFmtId="0" fontId="0" fillId="0" borderId="28" xfId="0" applyBorder="1" applyAlignment="1">
      <alignment horizontal="center"/>
    </xf>
    <xf numFmtId="0" fontId="0" fillId="0" borderId="28" xfId="0" applyBorder="1"/>
    <xf numFmtId="0" fontId="11" fillId="0" borderId="26" xfId="0" applyFont="1" applyBorder="1" applyAlignment="1">
      <alignment horizontal="center" vertical="center" wrapText="1"/>
    </xf>
    <xf numFmtId="0" fontId="14" fillId="4" borderId="2" xfId="342" applyBorder="1" applyAlignment="1">
      <alignment horizontal="center" vertical="top"/>
    </xf>
    <xf numFmtId="0" fontId="14" fillId="4" borderId="2" xfId="342" applyBorder="1" applyAlignment="1">
      <alignment horizontal="center"/>
    </xf>
    <xf numFmtId="0" fontId="14" fillId="4" borderId="2" xfId="342" applyBorder="1"/>
    <xf numFmtId="0" fontId="4" fillId="2" borderId="6" xfId="341" applyBorder="1" applyAlignment="1">
      <alignment horizontal="center" vertical="top"/>
    </xf>
    <xf numFmtId="0" fontId="0" fillId="0" borderId="6" xfId="0" applyBorder="1"/>
    <xf numFmtId="0" fontId="20" fillId="0" borderId="26" xfId="342" applyFont="1" applyFill="1" applyBorder="1" applyAlignment="1">
      <alignment horizontal="justify" vertical="top"/>
    </xf>
    <xf numFmtId="0" fontId="14" fillId="4" borderId="33" xfId="342" applyBorder="1" applyAlignment="1">
      <alignment horizontal="center" vertical="top"/>
    </xf>
    <xf numFmtId="0" fontId="14" fillId="4" borderId="33" xfId="342" applyBorder="1" applyAlignment="1">
      <alignment horizontal="center"/>
    </xf>
    <xf numFmtId="0" fontId="14" fillId="4" borderId="33" xfId="342" applyBorder="1"/>
    <xf numFmtId="0" fontId="0" fillId="0" borderId="26" xfId="0" applyBorder="1"/>
    <xf numFmtId="0" fontId="3" fillId="0" borderId="6" xfId="0" applyFont="1" applyBorder="1" applyAlignment="1">
      <alignment horizontal="left" wrapText="1"/>
    </xf>
    <xf numFmtId="0" fontId="14" fillId="4" borderId="12" xfId="342" applyBorder="1"/>
    <xf numFmtId="0" fontId="14" fillId="4" borderId="32" xfId="342" applyBorder="1" applyAlignment="1">
      <alignment horizontal="center" vertical="top"/>
    </xf>
    <xf numFmtId="0" fontId="14" fillId="4" borderId="6" xfId="342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1" fillId="0" borderId="35" xfId="0" applyFont="1" applyBorder="1" applyAlignment="1">
      <alignment horizontal="center" vertical="top" wrapText="1"/>
    </xf>
    <xf numFmtId="0" fontId="4" fillId="2" borderId="35" xfId="341" applyBorder="1" applyAlignment="1">
      <alignment horizontal="center" vertical="top" wrapText="1"/>
    </xf>
    <xf numFmtId="0" fontId="4" fillId="2" borderId="35" xfId="341" applyBorder="1" applyAlignment="1">
      <alignment horizontal="center" vertical="top"/>
    </xf>
    <xf numFmtId="0" fontId="7" fillId="0" borderId="35" xfId="0" applyFont="1" applyBorder="1" applyAlignment="1">
      <alignment horizontal="center" vertical="top"/>
    </xf>
    <xf numFmtId="0" fontId="0" fillId="0" borderId="37" xfId="0" applyBorder="1"/>
    <xf numFmtId="0" fontId="11" fillId="7" borderId="22" xfId="346" applyFont="1" applyAlignment="1">
      <alignment horizontal="center" vertical="top" wrapText="1"/>
    </xf>
    <xf numFmtId="0" fontId="22" fillId="6" borderId="0" xfId="344" applyBorder="1" applyAlignment="1">
      <alignment horizontal="center" vertical="top" wrapText="1"/>
    </xf>
    <xf numFmtId="0" fontId="23" fillId="3" borderId="21" xfId="345"/>
    <xf numFmtId="0" fontId="3" fillId="0" borderId="38" xfId="0" applyFont="1" applyBorder="1" applyAlignment="1">
      <alignment horizontal="justify" vertical="top"/>
    </xf>
    <xf numFmtId="0" fontId="20" fillId="0" borderId="3" xfId="342" applyFont="1" applyFill="1" applyBorder="1" applyAlignment="1">
      <alignment horizontal="justify" vertical="top"/>
    </xf>
    <xf numFmtId="0" fontId="3" fillId="0" borderId="3" xfId="0" applyFont="1" applyBorder="1" applyAlignment="1">
      <alignment horizontal="justify" vertical="top"/>
    </xf>
    <xf numFmtId="165" fontId="3" fillId="0" borderId="31" xfId="0" applyNumberFormat="1" applyFont="1" applyBorder="1" applyAlignment="1">
      <alignment vertical="top"/>
    </xf>
    <xf numFmtId="165" fontId="3" fillId="0" borderId="1" xfId="0" applyNumberFormat="1" applyFont="1" applyBorder="1" applyAlignment="1">
      <alignment horizontal="justify" vertical="top"/>
    </xf>
    <xf numFmtId="165" fontId="20" fillId="0" borderId="8" xfId="342" applyNumberFormat="1" applyFont="1" applyFill="1" applyBorder="1" applyAlignment="1">
      <alignment vertical="top"/>
    </xf>
    <xf numFmtId="166" fontId="3" fillId="0" borderId="0" xfId="0" applyNumberFormat="1" applyFont="1" applyBorder="1" applyAlignment="1">
      <alignment horizontal="justify" vertical="top"/>
    </xf>
    <xf numFmtId="165" fontId="3" fillId="0" borderId="34" xfId="0" applyNumberFormat="1" applyFont="1" applyBorder="1" applyAlignment="1">
      <alignment horizontal="left" vertical="top"/>
    </xf>
    <xf numFmtId="165" fontId="3" fillId="0" borderId="7" xfId="0" applyNumberFormat="1" applyFont="1" applyBorder="1" applyAlignment="1">
      <alignment horizontal="left" vertical="top"/>
    </xf>
    <xf numFmtId="165" fontId="3" fillId="0" borderId="31" xfId="0" applyNumberFormat="1" applyFont="1" applyBorder="1" applyAlignment="1">
      <alignment horizontal="left" vertical="top"/>
    </xf>
    <xf numFmtId="165" fontId="0" fillId="0" borderId="0" xfId="0" applyNumberFormat="1" applyBorder="1"/>
    <xf numFmtId="164" fontId="7" fillId="0" borderId="38" xfId="0" applyNumberFormat="1" applyFont="1" applyBorder="1" applyAlignment="1">
      <alignment vertical="top"/>
    </xf>
    <xf numFmtId="164" fontId="11" fillId="0" borderId="39" xfId="0" applyNumberFormat="1" applyFont="1" applyBorder="1" applyAlignment="1">
      <alignment vertical="top" wrapText="1"/>
    </xf>
    <xf numFmtId="164" fontId="7" fillId="0" borderId="3" xfId="0" applyNumberFormat="1" applyFont="1" applyBorder="1" applyAlignment="1">
      <alignment vertical="top"/>
    </xf>
    <xf numFmtId="164" fontId="7" fillId="0" borderId="15" xfId="0" applyNumberFormat="1" applyFont="1" applyBorder="1" applyAlignment="1">
      <alignment vertical="top"/>
    </xf>
    <xf numFmtId="164" fontId="7" fillId="0" borderId="26" xfId="0" applyNumberFormat="1" applyFont="1" applyBorder="1" applyAlignment="1">
      <alignment vertical="top"/>
    </xf>
    <xf numFmtId="164" fontId="7" fillId="0" borderId="1" xfId="0" applyNumberFormat="1" applyFont="1" applyBorder="1" applyAlignment="1">
      <alignment vertical="top"/>
    </xf>
    <xf numFmtId="164" fontId="7" fillId="0" borderId="6" xfId="0" applyNumberFormat="1" applyFont="1" applyBorder="1" applyAlignment="1">
      <alignment vertical="top"/>
    </xf>
    <xf numFmtId="164" fontId="7" fillId="0" borderId="35" xfId="0" applyNumberFormat="1" applyFont="1" applyBorder="1" applyAlignment="1">
      <alignment vertical="top"/>
    </xf>
    <xf numFmtId="164" fontId="11" fillId="0" borderId="23" xfId="0" applyNumberFormat="1" applyFont="1" applyBorder="1" applyAlignment="1">
      <alignment vertical="top" wrapText="1"/>
    </xf>
    <xf numFmtId="2" fontId="23" fillId="8" borderId="22" xfId="346" applyNumberFormat="1" applyFont="1" applyFill="1"/>
    <xf numFmtId="0" fontId="13" fillId="0" borderId="42" xfId="0" applyFont="1" applyBorder="1"/>
    <xf numFmtId="165" fontId="3" fillId="0" borderId="23" xfId="0" applyNumberFormat="1" applyFont="1" applyBorder="1" applyAlignment="1">
      <alignment horizontal="left" vertical="top"/>
    </xf>
    <xf numFmtId="0" fontId="3" fillId="0" borderId="37" xfId="0" applyFont="1" applyBorder="1" applyAlignment="1">
      <alignment horizontal="left" wrapText="1"/>
    </xf>
    <xf numFmtId="165" fontId="3" fillId="0" borderId="6" xfId="0" applyNumberFormat="1" applyFont="1" applyBorder="1" applyAlignment="1">
      <alignment horizontal="justify" vertical="top"/>
    </xf>
    <xf numFmtId="165" fontId="3" fillId="0" borderId="23" xfId="0" applyNumberFormat="1" applyFont="1" applyBorder="1" applyAlignment="1">
      <alignment horizontal="justify" vertical="top"/>
    </xf>
    <xf numFmtId="0" fontId="0" fillId="0" borderId="35" xfId="0" applyBorder="1" applyAlignment="1">
      <alignment horizontal="center"/>
    </xf>
    <xf numFmtId="0" fontId="10" fillId="0" borderId="0" xfId="0" applyFont="1" applyAlignment="1">
      <alignment horizontal="right"/>
    </xf>
    <xf numFmtId="0" fontId="7" fillId="0" borderId="27" xfId="0" applyFont="1" applyBorder="1" applyAlignment="1">
      <alignment horizontal="center" vertical="top"/>
    </xf>
    <xf numFmtId="0" fontId="11" fillId="0" borderId="9" xfId="342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/>
    </xf>
    <xf numFmtId="0" fontId="3" fillId="0" borderId="43" xfId="0" applyFont="1" applyBorder="1" applyAlignment="1">
      <alignment horizontal="left" wrapText="1"/>
    </xf>
    <xf numFmtId="0" fontId="3" fillId="0" borderId="44" xfId="0" applyFont="1" applyBorder="1" applyAlignment="1">
      <alignment horizontal="left" wrapText="1"/>
    </xf>
    <xf numFmtId="0" fontId="3" fillId="0" borderId="44" xfId="0" applyFont="1" applyBorder="1" applyAlignment="1">
      <alignment horizontal="left" vertical="top" wrapText="1"/>
    </xf>
    <xf numFmtId="0" fontId="3" fillId="0" borderId="45" xfId="0" applyFont="1" applyBorder="1" applyAlignment="1">
      <alignment horizontal="left" vertical="top" wrapText="1"/>
    </xf>
    <xf numFmtId="0" fontId="20" fillId="0" borderId="38" xfId="342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11" fillId="0" borderId="32" xfId="342" applyFont="1" applyFill="1" applyBorder="1" applyAlignment="1">
      <alignment horizontal="center" vertical="top"/>
    </xf>
    <xf numFmtId="0" fontId="3" fillId="0" borderId="38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3" fillId="0" borderId="38" xfId="0" applyFont="1" applyBorder="1" applyAlignment="1">
      <alignment horizontal="left" wrapText="1"/>
    </xf>
    <xf numFmtId="0" fontId="7" fillId="0" borderId="4" xfId="0" applyFont="1" applyBorder="1" applyAlignment="1">
      <alignment horizontal="right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vertical="top" wrapText="1"/>
    </xf>
    <xf numFmtId="0" fontId="11" fillId="0" borderId="36" xfId="0" applyFont="1" applyBorder="1" applyAlignment="1">
      <alignment horizontal="center" vertical="top" wrapText="1"/>
    </xf>
    <xf numFmtId="165" fontId="3" fillId="0" borderId="46" xfId="0" applyNumberFormat="1" applyFont="1" applyBorder="1" applyAlignment="1">
      <alignment horizontal="center" wrapText="1"/>
    </xf>
    <xf numFmtId="165" fontId="3" fillId="0" borderId="47" xfId="0" applyNumberFormat="1" applyFont="1" applyBorder="1" applyAlignment="1">
      <alignment horizontal="center" wrapText="1"/>
    </xf>
    <xf numFmtId="165" fontId="3" fillId="0" borderId="48" xfId="0" applyNumberFormat="1" applyFont="1" applyBorder="1" applyAlignment="1">
      <alignment horizontal="center" wrapText="1"/>
    </xf>
    <xf numFmtId="0" fontId="9" fillId="2" borderId="1" xfId="341" applyFont="1" applyBorder="1" applyAlignment="1">
      <alignment horizontal="center" vertical="top"/>
    </xf>
    <xf numFmtId="164" fontId="11" fillId="0" borderId="17" xfId="0" applyNumberFormat="1" applyFont="1" applyBorder="1" applyAlignment="1">
      <alignment vertical="top" wrapText="1"/>
    </xf>
    <xf numFmtId="0" fontId="28" fillId="0" borderId="0" xfId="0" applyFont="1" applyBorder="1"/>
    <xf numFmtId="0" fontId="10" fillId="0" borderId="0" xfId="0" applyFont="1" applyBorder="1"/>
    <xf numFmtId="0" fontId="0" fillId="0" borderId="0" xfId="0" applyFill="1" applyBorder="1"/>
    <xf numFmtId="0" fontId="9" fillId="0" borderId="0" xfId="341" applyFont="1" applyFill="1" applyBorder="1" applyAlignment="1">
      <alignment horizontal="center" vertical="top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center" vertical="top"/>
    </xf>
    <xf numFmtId="0" fontId="14" fillId="0" borderId="0" xfId="342" applyFill="1" applyBorder="1" applyAlignment="1">
      <alignment horizontal="center" vertical="top"/>
    </xf>
    <xf numFmtId="0" fontId="14" fillId="0" borderId="0" xfId="342" applyFill="1" applyBorder="1"/>
    <xf numFmtId="0" fontId="11" fillId="0" borderId="0" xfId="0" applyFont="1" applyFill="1" applyBorder="1" applyAlignment="1">
      <alignment horizontal="center" vertical="top" wrapText="1"/>
    </xf>
    <xf numFmtId="164" fontId="11" fillId="0" borderId="17" xfId="0" applyNumberFormat="1" applyFont="1" applyBorder="1" applyAlignment="1">
      <alignment vertical="top" wrapText="1"/>
    </xf>
    <xf numFmtId="0" fontId="23" fillId="0" borderId="0" xfId="345" applyFill="1" applyBorder="1"/>
    <xf numFmtId="2" fontId="23" fillId="0" borderId="0" xfId="346" applyNumberFormat="1" applyFont="1" applyFill="1" applyBorder="1"/>
    <xf numFmtId="164" fontId="11" fillId="7" borderId="22" xfId="346" applyNumberFormat="1" applyFont="1" applyAlignment="1">
      <alignment horizontal="center" vertical="top" wrapText="1"/>
    </xf>
    <xf numFmtId="0" fontId="9" fillId="2" borderId="1" xfId="341" applyFont="1" applyBorder="1" applyAlignment="1">
      <alignment horizontal="center" vertical="top"/>
    </xf>
    <xf numFmtId="164" fontId="11" fillId="0" borderId="0" xfId="342" applyNumberFormat="1" applyFont="1" applyFill="1" applyBorder="1"/>
    <xf numFmtId="0" fontId="11" fillId="0" borderId="0" xfId="342" applyFont="1" applyFill="1" applyBorder="1"/>
    <xf numFmtId="0" fontId="5" fillId="0" borderId="0" xfId="0" applyFont="1" applyFill="1" applyBorder="1"/>
    <xf numFmtId="0" fontId="11" fillId="0" borderId="0" xfId="345" applyFont="1" applyFill="1" applyBorder="1"/>
    <xf numFmtId="2" fontId="11" fillId="0" borderId="0" xfId="346" applyNumberFormat="1" applyFont="1" applyFill="1" applyBorder="1"/>
    <xf numFmtId="0" fontId="0" fillId="0" borderId="0" xfId="0" applyFill="1" applyBorder="1" applyAlignment="1">
      <alignment horizontal="center"/>
    </xf>
    <xf numFmtId="0" fontId="10" fillId="9" borderId="0" xfId="0" applyFont="1" applyFill="1"/>
    <xf numFmtId="0" fontId="0" fillId="9" borderId="0" xfId="0" applyFill="1"/>
    <xf numFmtId="0" fontId="9" fillId="9" borderId="1" xfId="341" applyFont="1" applyFill="1" applyBorder="1" applyAlignment="1">
      <alignment horizontal="justify" vertical="top"/>
    </xf>
    <xf numFmtId="0" fontId="9" fillId="9" borderId="1" xfId="341" applyFont="1" applyFill="1" applyBorder="1" applyAlignment="1">
      <alignment horizontal="right" vertical="top"/>
    </xf>
    <xf numFmtId="0" fontId="9" fillId="9" borderId="1" xfId="341" applyFont="1" applyFill="1" applyBorder="1" applyAlignment="1">
      <alignment horizontal="center" vertical="top"/>
    </xf>
    <xf numFmtId="0" fontId="9" fillId="9" borderId="3" xfId="341" applyFont="1" applyFill="1" applyBorder="1" applyAlignment="1">
      <alignment horizontal="center" vertical="top"/>
    </xf>
    <xf numFmtId="0" fontId="9" fillId="9" borderId="1" xfId="341" applyFont="1" applyFill="1" applyBorder="1" applyAlignment="1">
      <alignment horizontal="center" vertical="top"/>
    </xf>
    <xf numFmtId="0" fontId="6" fillId="9" borderId="6" xfId="0" applyFont="1" applyFill="1" applyBorder="1"/>
    <xf numFmtId="0" fontId="6" fillId="9" borderId="6" xfId="0" applyFont="1" applyFill="1" applyBorder="1" applyAlignment="1">
      <alignment horizontal="right"/>
    </xf>
    <xf numFmtId="0" fontId="6" fillId="9" borderId="6" xfId="0" applyFont="1" applyFill="1" applyBorder="1" applyAlignment="1">
      <alignment horizontal="center"/>
    </xf>
    <xf numFmtId="0" fontId="17" fillId="9" borderId="6" xfId="0" applyFont="1" applyFill="1" applyBorder="1" applyAlignment="1">
      <alignment horizontal="center"/>
    </xf>
    <xf numFmtId="165" fontId="3" fillId="9" borderId="34" xfId="0" applyNumberFormat="1" applyFont="1" applyFill="1" applyBorder="1" applyAlignment="1">
      <alignment horizontal="left" vertical="top"/>
    </xf>
    <xf numFmtId="0" fontId="3" fillId="9" borderId="38" xfId="0" applyFont="1" applyFill="1" applyBorder="1" applyAlignment="1">
      <alignment horizontal="justify" vertical="top"/>
    </xf>
    <xf numFmtId="165" fontId="3" fillId="9" borderId="1" xfId="0" applyNumberFormat="1" applyFont="1" applyFill="1" applyBorder="1" applyAlignment="1">
      <alignment horizontal="justify" vertical="top"/>
    </xf>
    <xf numFmtId="0" fontId="3" fillId="9" borderId="43" xfId="0" applyFont="1" applyFill="1" applyBorder="1" applyAlignment="1">
      <alignment horizontal="left" wrapText="1"/>
    </xf>
    <xf numFmtId="165" fontId="3" fillId="9" borderId="46" xfId="0" applyNumberFormat="1" applyFont="1" applyFill="1" applyBorder="1" applyAlignment="1">
      <alignment horizontal="center" wrapText="1"/>
    </xf>
    <xf numFmtId="0" fontId="7" fillId="9" borderId="27" xfId="0" applyFont="1" applyFill="1" applyBorder="1" applyAlignment="1">
      <alignment horizontal="center" vertical="top"/>
    </xf>
    <xf numFmtId="0" fontId="11" fillId="9" borderId="26" xfId="0" applyFont="1" applyFill="1" applyBorder="1" applyAlignment="1">
      <alignment horizontal="center" vertical="center" wrapText="1"/>
    </xf>
    <xf numFmtId="0" fontId="7" fillId="9" borderId="26" xfId="0" applyFont="1" applyFill="1" applyBorder="1" applyAlignment="1">
      <alignment horizontal="center" vertical="top"/>
    </xf>
    <xf numFmtId="0" fontId="4" fillId="9" borderId="26" xfId="341" applyFill="1" applyBorder="1" applyAlignment="1">
      <alignment horizontal="center" vertical="top"/>
    </xf>
    <xf numFmtId="0" fontId="0" fillId="9" borderId="28" xfId="0" applyFill="1" applyBorder="1" applyAlignment="1">
      <alignment horizontal="center"/>
    </xf>
    <xf numFmtId="164" fontId="7" fillId="9" borderId="38" xfId="0" applyNumberFormat="1" applyFont="1" applyFill="1" applyBorder="1" applyAlignment="1">
      <alignment vertical="top"/>
    </xf>
    <xf numFmtId="164" fontId="11" fillId="9" borderId="39" xfId="0" applyNumberFormat="1" applyFont="1" applyFill="1" applyBorder="1" applyAlignment="1">
      <alignment vertical="top" wrapText="1"/>
    </xf>
    <xf numFmtId="164" fontId="11" fillId="9" borderId="17" xfId="0" applyNumberFormat="1" applyFont="1" applyFill="1" applyBorder="1" applyAlignment="1">
      <alignment vertical="top" wrapText="1"/>
    </xf>
    <xf numFmtId="165" fontId="3" fillId="9" borderId="7" xfId="0" applyNumberFormat="1" applyFont="1" applyFill="1" applyBorder="1" applyAlignment="1">
      <alignment horizontal="left" vertical="top"/>
    </xf>
    <xf numFmtId="0" fontId="20" fillId="9" borderId="3" xfId="342" applyFont="1" applyFill="1" applyBorder="1" applyAlignment="1">
      <alignment horizontal="justify" vertical="top"/>
    </xf>
    <xf numFmtId="0" fontId="3" fillId="9" borderId="44" xfId="0" applyFont="1" applyFill="1" applyBorder="1" applyAlignment="1">
      <alignment horizontal="left" wrapText="1"/>
    </xf>
    <xf numFmtId="0" fontId="11" fillId="9" borderId="9" xfId="342" applyFont="1" applyFill="1" applyBorder="1" applyAlignment="1">
      <alignment horizontal="center" vertical="top"/>
    </xf>
    <xf numFmtId="0" fontId="11" fillId="9" borderId="2" xfId="342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 vertical="top"/>
    </xf>
    <xf numFmtId="0" fontId="0" fillId="9" borderId="0" xfId="0" applyFill="1" applyBorder="1" applyAlignment="1">
      <alignment horizontal="center"/>
    </xf>
    <xf numFmtId="164" fontId="7" fillId="9" borderId="3" xfId="0" applyNumberFormat="1" applyFont="1" applyFill="1" applyBorder="1" applyAlignment="1">
      <alignment vertical="top"/>
    </xf>
    <xf numFmtId="164" fontId="11" fillId="9" borderId="18" xfId="0" applyNumberFormat="1" applyFont="1" applyFill="1" applyBorder="1" applyAlignment="1">
      <alignment vertical="top" wrapText="1"/>
    </xf>
    <xf numFmtId="0" fontId="3" fillId="9" borderId="3" xfId="0" applyFont="1" applyFill="1" applyBorder="1" applyAlignment="1">
      <alignment horizontal="justify" vertical="top"/>
    </xf>
    <xf numFmtId="0" fontId="7" fillId="9" borderId="4" xfId="0" applyFont="1" applyFill="1" applyBorder="1" applyAlignment="1">
      <alignment horizontal="center" vertical="top"/>
    </xf>
    <xf numFmtId="0" fontId="11" fillId="9" borderId="1" xfId="0" applyFont="1" applyFill="1" applyBorder="1" applyAlignment="1">
      <alignment horizontal="center" vertical="center" wrapText="1"/>
    </xf>
    <xf numFmtId="0" fontId="4" fillId="9" borderId="1" xfId="341" applyFill="1" applyBorder="1" applyAlignment="1">
      <alignment horizontal="center" vertical="top"/>
    </xf>
    <xf numFmtId="0" fontId="0" fillId="9" borderId="1" xfId="0" applyFill="1" applyBorder="1"/>
    <xf numFmtId="0" fontId="3" fillId="9" borderId="44" xfId="0" applyFont="1" applyFill="1" applyBorder="1" applyAlignment="1">
      <alignment horizontal="left" vertical="top" wrapText="1"/>
    </xf>
    <xf numFmtId="0" fontId="7" fillId="9" borderId="4" xfId="0" applyFont="1" applyFill="1" applyBorder="1" applyAlignment="1">
      <alignment horizontal="center" vertical="top" wrapText="1"/>
    </xf>
    <xf numFmtId="165" fontId="3" fillId="9" borderId="31" xfId="0" applyNumberFormat="1" applyFont="1" applyFill="1" applyBorder="1" applyAlignment="1">
      <alignment horizontal="left" vertical="top"/>
    </xf>
    <xf numFmtId="165" fontId="20" fillId="9" borderId="8" xfId="342" applyNumberFormat="1" applyFont="1" applyFill="1" applyBorder="1" applyAlignment="1">
      <alignment vertical="top"/>
    </xf>
    <xf numFmtId="0" fontId="3" fillId="9" borderId="45" xfId="0" applyFont="1" applyFill="1" applyBorder="1" applyAlignment="1">
      <alignment horizontal="left" vertical="top" wrapText="1"/>
    </xf>
    <xf numFmtId="0" fontId="7" fillId="9" borderId="10" xfId="0" applyFont="1" applyFill="1" applyBorder="1" applyAlignment="1">
      <alignment horizontal="center" vertical="top"/>
    </xf>
    <xf numFmtId="0" fontId="11" fillId="9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top"/>
    </xf>
    <xf numFmtId="0" fontId="4" fillId="9" borderId="6" xfId="341" applyFill="1" applyBorder="1" applyAlignment="1">
      <alignment horizontal="center" vertical="top"/>
    </xf>
    <xf numFmtId="164" fontId="7" fillId="9" borderId="15" xfId="0" applyNumberFormat="1" applyFont="1" applyFill="1" applyBorder="1" applyAlignment="1">
      <alignment vertical="top"/>
    </xf>
    <xf numFmtId="164" fontId="11" fillId="9" borderId="19" xfId="0" applyNumberFormat="1" applyFont="1" applyFill="1" applyBorder="1" applyAlignment="1">
      <alignment vertical="top" wrapText="1"/>
    </xf>
    <xf numFmtId="0" fontId="20" fillId="9" borderId="26" xfId="342" applyFont="1" applyFill="1" applyBorder="1" applyAlignment="1">
      <alignment horizontal="justify" vertical="top"/>
    </xf>
    <xf numFmtId="0" fontId="20" fillId="9" borderId="38" xfId="342" applyFont="1" applyFill="1" applyBorder="1" applyAlignment="1">
      <alignment horizontal="left" vertical="top" wrapText="1"/>
    </xf>
    <xf numFmtId="0" fontId="11" fillId="9" borderId="32" xfId="342" applyFont="1" applyFill="1" applyBorder="1" applyAlignment="1">
      <alignment horizontal="center" vertical="top"/>
    </xf>
    <xf numFmtId="0" fontId="11" fillId="9" borderId="33" xfId="342" applyFont="1" applyFill="1" applyBorder="1" applyAlignment="1">
      <alignment horizontal="center" vertical="top"/>
    </xf>
    <xf numFmtId="164" fontId="7" fillId="9" borderId="26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horizontal="justify" vertical="top"/>
    </xf>
    <xf numFmtId="0" fontId="3" fillId="9" borderId="3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center" vertical="center"/>
    </xf>
    <xf numFmtId="164" fontId="7" fillId="9" borderId="1" xfId="0" applyNumberFormat="1" applyFont="1" applyFill="1" applyBorder="1" applyAlignment="1">
      <alignment vertical="top"/>
    </xf>
    <xf numFmtId="0" fontId="11" fillId="9" borderId="1" xfId="0" applyFont="1" applyFill="1" applyBorder="1" applyAlignment="1">
      <alignment horizontal="center" vertical="top"/>
    </xf>
    <xf numFmtId="165" fontId="3" fillId="9" borderId="31" xfId="0" applyNumberFormat="1" applyFont="1" applyFill="1" applyBorder="1" applyAlignment="1">
      <alignment vertical="top"/>
    </xf>
    <xf numFmtId="0" fontId="3" fillId="9" borderId="1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center" vertical="top"/>
    </xf>
    <xf numFmtId="164" fontId="7" fillId="9" borderId="6" xfId="0" applyNumberFormat="1" applyFont="1" applyFill="1" applyBorder="1" applyAlignment="1">
      <alignment vertical="top"/>
    </xf>
    <xf numFmtId="0" fontId="3" fillId="9" borderId="26" xfId="0" applyFont="1" applyFill="1" applyBorder="1" applyAlignment="1">
      <alignment horizontal="justify" vertical="top"/>
    </xf>
    <xf numFmtId="0" fontId="3" fillId="9" borderId="38" xfId="0" applyFont="1" applyFill="1" applyBorder="1" applyAlignment="1">
      <alignment horizontal="left" vertical="top" wrapText="1"/>
    </xf>
    <xf numFmtId="0" fontId="20" fillId="9" borderId="1" xfId="342" applyFont="1" applyFill="1" applyBorder="1" applyAlignment="1">
      <alignment horizontal="justify" vertical="top"/>
    </xf>
    <xf numFmtId="0" fontId="3" fillId="9" borderId="3" xfId="0" applyFont="1" applyFill="1" applyBorder="1" applyAlignment="1">
      <alignment horizontal="left" wrapText="1"/>
    </xf>
    <xf numFmtId="0" fontId="3" fillId="9" borderId="15" xfId="0" applyFont="1" applyFill="1" applyBorder="1" applyAlignment="1">
      <alignment horizontal="left" wrapText="1"/>
    </xf>
    <xf numFmtId="0" fontId="3" fillId="9" borderId="38" xfId="0" applyFont="1" applyFill="1" applyBorder="1" applyAlignment="1">
      <alignment horizontal="left" wrapText="1"/>
    </xf>
    <xf numFmtId="0" fontId="11" fillId="9" borderId="26" xfId="0" applyFont="1" applyFill="1" applyBorder="1" applyAlignment="1">
      <alignment horizontal="center" vertical="top"/>
    </xf>
    <xf numFmtId="0" fontId="7" fillId="9" borderId="4" xfId="0" applyFont="1" applyFill="1" applyBorder="1" applyAlignment="1">
      <alignment horizontal="right" vertical="top" wrapText="1"/>
    </xf>
    <xf numFmtId="0" fontId="3" fillId="9" borderId="1" xfId="0" applyFont="1" applyFill="1" applyBorder="1" applyAlignment="1">
      <alignment horizontal="justify" vertical="top" wrapText="1"/>
    </xf>
    <xf numFmtId="0" fontId="11" fillId="9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left" wrapText="1"/>
    </xf>
    <xf numFmtId="0" fontId="7" fillId="9" borderId="10" xfId="0" applyFont="1" applyFill="1" applyBorder="1" applyAlignment="1">
      <alignment horizontal="center" vertical="top" wrapText="1"/>
    </xf>
    <xf numFmtId="0" fontId="7" fillId="9" borderId="27" xfId="0" applyFont="1" applyFill="1" applyBorder="1" applyAlignment="1">
      <alignment horizontal="center" vertical="top" wrapText="1"/>
    </xf>
    <xf numFmtId="0" fontId="3" fillId="9" borderId="6" xfId="0" applyFont="1" applyFill="1" applyBorder="1" applyAlignment="1">
      <alignment horizontal="left" wrapText="1"/>
    </xf>
    <xf numFmtId="0" fontId="0" fillId="9" borderId="6" xfId="0" applyFill="1" applyBorder="1" applyAlignment="1">
      <alignment horizontal="center"/>
    </xf>
    <xf numFmtId="0" fontId="13" fillId="9" borderId="42" xfId="0" applyFont="1" applyFill="1" applyBorder="1"/>
    <xf numFmtId="165" fontId="3" fillId="9" borderId="23" xfId="0" applyNumberFormat="1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wrapText="1"/>
    </xf>
    <xf numFmtId="0" fontId="11" fillId="9" borderId="36" xfId="0" applyFont="1" applyFill="1" applyBorder="1" applyAlignment="1">
      <alignment horizontal="center" vertical="top" wrapText="1"/>
    </xf>
    <xf numFmtId="0" fontId="11" fillId="9" borderId="35" xfId="0" applyFont="1" applyFill="1" applyBorder="1" applyAlignment="1">
      <alignment horizontal="center" vertical="top" wrapText="1"/>
    </xf>
    <xf numFmtId="0" fontId="4" fillId="9" borderId="35" xfId="341" applyFill="1" applyBorder="1" applyAlignment="1">
      <alignment horizontal="center" vertical="top"/>
    </xf>
    <xf numFmtId="0" fontId="7" fillId="9" borderId="35" xfId="0" applyFont="1" applyFill="1" applyBorder="1" applyAlignment="1">
      <alignment horizontal="center" vertical="top"/>
    </xf>
    <xf numFmtId="0" fontId="0" fillId="9" borderId="35" xfId="0" applyFill="1" applyBorder="1" applyAlignment="1">
      <alignment horizontal="center"/>
    </xf>
    <xf numFmtId="164" fontId="7" fillId="9" borderId="35" xfId="0" applyNumberFormat="1" applyFont="1" applyFill="1" applyBorder="1" applyAlignment="1">
      <alignment vertical="top"/>
    </xf>
    <xf numFmtId="164" fontId="11" fillId="9" borderId="23" xfId="0" applyNumberFormat="1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/>
    </xf>
    <xf numFmtId="0" fontId="3" fillId="9" borderId="0" xfId="0" applyFont="1" applyFill="1" applyBorder="1" applyAlignment="1">
      <alignment horizontal="right" vertical="top" wrapText="1"/>
    </xf>
    <xf numFmtId="0" fontId="11" fillId="9" borderId="0" xfId="0" applyFont="1" applyFill="1" applyBorder="1" applyAlignment="1">
      <alignment horizontal="center" vertical="top" wrapText="1"/>
    </xf>
    <xf numFmtId="0" fontId="0" fillId="9" borderId="0" xfId="0" applyFill="1" applyBorder="1"/>
    <xf numFmtId="0" fontId="3" fillId="9" borderId="0" xfId="0" applyFont="1" applyFill="1" applyBorder="1" applyAlignment="1">
      <alignment horizontal="justify" vertical="top"/>
    </xf>
    <xf numFmtId="166" fontId="3" fillId="9" borderId="0" xfId="0" applyNumberFormat="1" applyFont="1" applyFill="1" applyBorder="1" applyAlignment="1">
      <alignment horizontal="justify" vertical="top"/>
    </xf>
    <xf numFmtId="165" fontId="3" fillId="9" borderId="0" xfId="0" applyNumberFormat="1" applyFont="1" applyFill="1" applyBorder="1" applyAlignment="1">
      <alignment horizontal="justify" vertical="top"/>
    </xf>
    <xf numFmtId="165" fontId="0" fillId="9" borderId="0" xfId="0" applyNumberFormat="1" applyFill="1" applyBorder="1"/>
    <xf numFmtId="0" fontId="12" fillId="9" borderId="0" xfId="0" applyFont="1" applyFill="1" applyBorder="1" applyAlignment="1">
      <alignment horizontal="right"/>
    </xf>
    <xf numFmtId="0" fontId="6" fillId="9" borderId="0" xfId="0" applyFont="1" applyFill="1" applyBorder="1"/>
    <xf numFmtId="0" fontId="5" fillId="9" borderId="0" xfId="0" applyFont="1" applyFill="1"/>
    <xf numFmtId="0" fontId="30" fillId="9" borderId="8" xfId="344" applyFont="1" applyFill="1" applyBorder="1" applyAlignment="1">
      <alignment horizontal="center" vertical="top" wrapText="1"/>
    </xf>
    <xf numFmtId="0" fontId="11" fillId="9" borderId="1" xfId="346" applyFont="1" applyFill="1" applyBorder="1" applyAlignment="1">
      <alignment horizontal="center" vertical="top" wrapText="1"/>
    </xf>
    <xf numFmtId="0" fontId="30" fillId="9" borderId="6" xfId="344" applyFont="1" applyFill="1" applyBorder="1" applyAlignment="1">
      <alignment horizontal="center" vertical="top" wrapText="1"/>
    </xf>
    <xf numFmtId="0" fontId="23" fillId="9" borderId="1" xfId="345" applyFill="1" applyBorder="1"/>
    <xf numFmtId="2" fontId="23" fillId="9" borderId="1" xfId="346" applyNumberFormat="1" applyFont="1" applyFill="1" applyBorder="1"/>
    <xf numFmtId="0" fontId="15" fillId="9" borderId="51" xfId="343" applyFill="1" applyBorder="1"/>
    <xf numFmtId="0" fontId="9" fillId="9" borderId="1" xfId="341" applyFont="1" applyFill="1" applyBorder="1" applyAlignment="1">
      <alignment vertical="top"/>
    </xf>
    <xf numFmtId="165" fontId="3" fillId="0" borderId="23" xfId="0" applyNumberFormat="1" applyFont="1" applyBorder="1" applyAlignment="1">
      <alignment horizontal="center" wrapText="1"/>
    </xf>
    <xf numFmtId="164" fontId="11" fillId="7" borderId="50" xfId="346" applyNumberFormat="1" applyFont="1" applyBorder="1" applyAlignment="1">
      <alignment horizontal="center" vertical="top" wrapText="1"/>
    </xf>
    <xf numFmtId="0" fontId="23" fillId="3" borderId="52" xfId="345" applyBorder="1"/>
    <xf numFmtId="0" fontId="22" fillId="6" borderId="1" xfId="344" applyBorder="1" applyAlignment="1">
      <alignment horizontal="center" vertical="top" wrapText="1"/>
    </xf>
    <xf numFmtId="9" fontId="10" fillId="0" borderId="0" xfId="0" applyNumberFormat="1" applyFont="1" applyFill="1" applyAlignment="1">
      <alignment horizontal="left"/>
    </xf>
    <xf numFmtId="0" fontId="11" fillId="9" borderId="2" xfId="342" applyFont="1" applyFill="1" applyBorder="1" applyAlignment="1">
      <alignment horizontal="center" vertical="center" wrapText="1"/>
    </xf>
    <xf numFmtId="0" fontId="11" fillId="9" borderId="2" xfId="342" applyFont="1" applyFill="1" applyBorder="1" applyAlignment="1">
      <alignment horizontal="center" vertical="center"/>
    </xf>
    <xf numFmtId="0" fontId="11" fillId="9" borderId="33" xfId="342" applyFont="1" applyFill="1" applyBorder="1" applyAlignment="1">
      <alignment horizontal="center" vertical="center"/>
    </xf>
    <xf numFmtId="0" fontId="11" fillId="9" borderId="2" xfId="342" applyFont="1" applyFill="1" applyBorder="1" applyAlignment="1">
      <alignment horizontal="center" vertical="top" wrapText="1"/>
    </xf>
    <xf numFmtId="0" fontId="11" fillId="9" borderId="1" xfId="0" applyFont="1" applyFill="1" applyBorder="1" applyAlignment="1">
      <alignment horizontal="center"/>
    </xf>
    <xf numFmtId="0" fontId="11" fillId="9" borderId="12" xfId="342" applyFont="1" applyFill="1" applyBorder="1" applyAlignment="1">
      <alignment horizontal="center" vertical="top" wrapText="1"/>
    </xf>
    <xf numFmtId="0" fontId="11" fillId="9" borderId="33" xfId="342" applyFont="1" applyFill="1" applyBorder="1" applyAlignment="1">
      <alignment horizontal="center" vertical="top" wrapText="1"/>
    </xf>
    <xf numFmtId="0" fontId="20" fillId="9" borderId="1" xfId="341" applyFont="1" applyFill="1" applyBorder="1" applyAlignment="1">
      <alignment horizontal="center" vertical="top"/>
    </xf>
    <xf numFmtId="0" fontId="20" fillId="9" borderId="6" xfId="341" applyFont="1" applyFill="1" applyBorder="1" applyAlignment="1">
      <alignment horizontal="center" vertical="top"/>
    </xf>
    <xf numFmtId="0" fontId="20" fillId="9" borderId="26" xfId="341" applyFont="1" applyFill="1" applyBorder="1" applyAlignment="1">
      <alignment horizontal="center" vertical="top"/>
    </xf>
    <xf numFmtId="0" fontId="20" fillId="9" borderId="4" xfId="341" applyFont="1" applyFill="1" applyBorder="1" applyAlignment="1">
      <alignment horizontal="center" vertical="top"/>
    </xf>
    <xf numFmtId="0" fontId="11" fillId="9" borderId="11" xfId="342" applyFont="1" applyFill="1" applyBorder="1" applyAlignment="1">
      <alignment horizontal="center" vertical="top"/>
    </xf>
    <xf numFmtId="0" fontId="11" fillId="9" borderId="6" xfId="342" applyFont="1" applyFill="1" applyBorder="1" applyAlignment="1">
      <alignment horizontal="center" vertical="top"/>
    </xf>
    <xf numFmtId="0" fontId="20" fillId="9" borderId="35" xfId="341" applyFont="1" applyFill="1" applyBorder="1" applyAlignment="1">
      <alignment horizontal="center" vertical="top" wrapText="1"/>
    </xf>
    <xf numFmtId="0" fontId="11" fillId="9" borderId="2" xfId="342" applyFont="1" applyFill="1" applyBorder="1" applyAlignment="1">
      <alignment horizontal="center"/>
    </xf>
    <xf numFmtId="0" fontId="5" fillId="9" borderId="1" xfId="0" applyFont="1" applyFill="1" applyBorder="1"/>
    <xf numFmtId="0" fontId="5" fillId="9" borderId="6" xfId="0" applyFont="1" applyFill="1" applyBorder="1"/>
    <xf numFmtId="0" fontId="11" fillId="9" borderId="33" xfId="342" applyFont="1" applyFill="1" applyBorder="1" applyAlignment="1">
      <alignment horizontal="center"/>
    </xf>
    <xf numFmtId="0" fontId="5" fillId="9" borderId="26" xfId="0" applyFont="1" applyFill="1" applyBorder="1"/>
    <xf numFmtId="0" fontId="11" fillId="9" borderId="12" xfId="342" applyFont="1" applyFill="1" applyBorder="1" applyAlignment="1">
      <alignment horizontal="center"/>
    </xf>
    <xf numFmtId="0" fontId="11" fillId="9" borderId="14" xfId="342" applyFont="1" applyFill="1" applyBorder="1" applyAlignment="1">
      <alignment horizontal="center"/>
    </xf>
    <xf numFmtId="0" fontId="11" fillId="9" borderId="13" xfId="342" applyFont="1" applyFill="1" applyBorder="1" applyAlignment="1">
      <alignment horizontal="center"/>
    </xf>
    <xf numFmtId="0" fontId="9" fillId="9" borderId="16" xfId="34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341" applyFont="1" applyFill="1" applyBorder="1" applyAlignment="1">
      <alignment horizontal="justify" vertical="top"/>
    </xf>
    <xf numFmtId="0" fontId="10" fillId="0" borderId="0" xfId="0" applyFont="1" applyFill="1" applyBorder="1" applyAlignment="1">
      <alignment horizontal="center"/>
    </xf>
    <xf numFmtId="0" fontId="4" fillId="0" borderId="0" xfId="341" applyFill="1" applyBorder="1" applyAlignment="1">
      <alignment horizontal="center" vertical="top"/>
    </xf>
    <xf numFmtId="0" fontId="4" fillId="0" borderId="0" xfId="341" applyFill="1" applyBorder="1" applyAlignment="1">
      <alignment horizontal="center" vertical="top" wrapText="1"/>
    </xf>
    <xf numFmtId="9" fontId="10" fillId="0" borderId="0" xfId="0" applyNumberFormat="1" applyFont="1" applyFill="1" applyBorder="1" applyAlignment="1">
      <alignment horizontal="left"/>
    </xf>
    <xf numFmtId="0" fontId="11" fillId="0" borderId="0" xfId="342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left"/>
    </xf>
    <xf numFmtId="0" fontId="14" fillId="0" borderId="0" xfId="342" applyFill="1" applyBorder="1" applyAlignment="1">
      <alignment vertical="top"/>
    </xf>
    <xf numFmtId="2" fontId="14" fillId="0" borderId="0" xfId="342" applyNumberFormat="1" applyFill="1" applyBorder="1" applyAlignment="1">
      <alignment horizontal="center" vertical="top"/>
    </xf>
    <xf numFmtId="0" fontId="4" fillId="0" borderId="0" xfId="341" applyFill="1" applyBorder="1" applyAlignment="1">
      <alignment vertical="top" wrapText="1"/>
    </xf>
    <xf numFmtId="2" fontId="4" fillId="0" borderId="0" xfId="341" applyNumberForma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right"/>
    </xf>
    <xf numFmtId="0" fontId="32" fillId="0" borderId="1" xfId="341" applyFont="1" applyFill="1" applyBorder="1" applyAlignment="1">
      <alignment horizontal="center" vertical="top"/>
    </xf>
    <xf numFmtId="0" fontId="33" fillId="0" borderId="1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2" fillId="2" borderId="1" xfId="341" applyFont="1" applyBorder="1" applyAlignment="1">
      <alignment horizontal="justify" vertical="top"/>
    </xf>
    <xf numFmtId="0" fontId="29" fillId="0" borderId="1" xfId="0" applyFont="1" applyBorder="1"/>
    <xf numFmtId="0" fontId="34" fillId="2" borderId="1" xfId="341" applyFont="1" applyBorder="1" applyAlignment="1">
      <alignment horizontal="center" vertical="top"/>
    </xf>
    <xf numFmtId="0" fontId="33" fillId="0" borderId="27" xfId="0" applyFont="1" applyFill="1" applyBorder="1" applyAlignment="1">
      <alignment horizontal="center" vertical="top"/>
    </xf>
    <xf numFmtId="0" fontId="34" fillId="2" borderId="3" xfId="341" applyFont="1" applyBorder="1" applyAlignment="1">
      <alignment horizontal="center" vertical="top"/>
    </xf>
    <xf numFmtId="0" fontId="35" fillId="4" borderId="1" xfId="342" applyFont="1" applyBorder="1" applyAlignment="1">
      <alignment horizontal="center" vertical="top"/>
    </xf>
    <xf numFmtId="0" fontId="33" fillId="0" borderId="9" xfId="342" applyFont="1" applyFill="1" applyBorder="1" applyAlignment="1">
      <alignment horizontal="center" vertical="top"/>
    </xf>
    <xf numFmtId="0" fontId="35" fillId="4" borderId="3" xfId="342" applyFont="1" applyBorder="1" applyAlignment="1">
      <alignment horizontal="center" vertical="top"/>
    </xf>
    <xf numFmtId="0" fontId="33" fillId="0" borderId="4" xfId="0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center" vertical="top" wrapText="1"/>
    </xf>
    <xf numFmtId="0" fontId="33" fillId="0" borderId="10" xfId="0" applyFont="1" applyFill="1" applyBorder="1" applyAlignment="1">
      <alignment horizontal="center" vertical="top"/>
    </xf>
    <xf numFmtId="0" fontId="33" fillId="0" borderId="32" xfId="342" applyFont="1" applyFill="1" applyBorder="1" applyAlignment="1">
      <alignment horizontal="center" vertical="top"/>
    </xf>
    <xf numFmtId="0" fontId="33" fillId="0" borderId="4" xfId="0" applyFont="1" applyFill="1" applyBorder="1" applyAlignment="1">
      <alignment horizontal="right" vertical="top" wrapText="1"/>
    </xf>
    <xf numFmtId="0" fontId="33" fillId="0" borderId="10" xfId="0" applyFont="1" applyFill="1" applyBorder="1" applyAlignment="1">
      <alignment horizontal="center" vertical="top" wrapText="1"/>
    </xf>
    <xf numFmtId="0" fontId="33" fillId="0" borderId="27" xfId="0" applyFont="1" applyFill="1" applyBorder="1" applyAlignment="1">
      <alignment horizontal="center" vertical="top" wrapText="1"/>
    </xf>
    <xf numFmtId="0" fontId="34" fillId="2" borderId="1" xfId="341" applyFont="1" applyBorder="1" applyAlignment="1">
      <alignment horizontal="center" vertical="top" wrapText="1"/>
    </xf>
    <xf numFmtId="0" fontId="33" fillId="0" borderId="36" xfId="0" applyFont="1" applyFill="1" applyBorder="1" applyAlignment="1">
      <alignment horizontal="center" vertical="top" wrapText="1"/>
    </xf>
    <xf numFmtId="0" fontId="34" fillId="2" borderId="3" xfId="341" applyFont="1" applyBorder="1" applyAlignment="1">
      <alignment horizontal="center" vertical="top" wrapText="1"/>
    </xf>
    <xf numFmtId="0" fontId="33" fillId="0" borderId="0" xfId="0" applyFont="1"/>
    <xf numFmtId="0" fontId="33" fillId="0" borderId="1" xfId="0" applyFont="1" applyBorder="1"/>
    <xf numFmtId="0" fontId="33" fillId="0" borderId="1" xfId="0" applyFont="1" applyFill="1" applyBorder="1"/>
    <xf numFmtId="164" fontId="33" fillId="0" borderId="1" xfId="342" applyNumberFormat="1" applyFont="1" applyFill="1" applyBorder="1"/>
    <xf numFmtId="0" fontId="35" fillId="4" borderId="49" xfId="342" applyFont="1" applyBorder="1" applyAlignment="1">
      <alignment vertical="top"/>
    </xf>
    <xf numFmtId="0" fontId="34" fillId="2" borderId="25" xfId="341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4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3" fillId="0" borderId="24" xfId="0" applyFont="1" applyBorder="1" applyAlignment="1">
      <alignment vertical="top"/>
    </xf>
    <xf numFmtId="0" fontId="13" fillId="0" borderId="20" xfId="0" applyFont="1" applyBorder="1" applyAlignment="1">
      <alignment vertical="top"/>
    </xf>
    <xf numFmtId="0" fontId="13" fillId="0" borderId="29" xfId="0" applyFont="1" applyBorder="1" applyAlignment="1">
      <alignment vertical="top"/>
    </xf>
    <xf numFmtId="0" fontId="20" fillId="0" borderId="6" xfId="342" applyFont="1" applyFill="1" applyBorder="1" applyAlignment="1">
      <alignment vertical="top"/>
    </xf>
    <xf numFmtId="0" fontId="20" fillId="0" borderId="31" xfId="342" applyFont="1" applyFill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31" xfId="0" applyFont="1" applyBorder="1" applyAlignment="1">
      <alignment vertical="top" wrapText="1"/>
    </xf>
    <xf numFmtId="0" fontId="20" fillId="9" borderId="6" xfId="342" applyFont="1" applyFill="1" applyBorder="1" applyAlignment="1">
      <alignment vertical="top"/>
    </xf>
    <xf numFmtId="0" fontId="20" fillId="9" borderId="31" xfId="342" applyFont="1" applyFill="1" applyBorder="1" applyAlignment="1">
      <alignment vertical="top"/>
    </xf>
    <xf numFmtId="0" fontId="3" fillId="9" borderId="6" xfId="0" applyFont="1" applyFill="1" applyBorder="1" applyAlignment="1">
      <alignment vertical="top"/>
    </xf>
    <xf numFmtId="0" fontId="3" fillId="9" borderId="31" xfId="0" applyFont="1" applyFill="1" applyBorder="1" applyAlignment="1">
      <alignment vertical="top"/>
    </xf>
    <xf numFmtId="0" fontId="3" fillId="9" borderId="6" xfId="0" applyFont="1" applyFill="1" applyBorder="1" applyAlignment="1">
      <alignment vertical="top" wrapText="1"/>
    </xf>
    <xf numFmtId="0" fontId="3" fillId="9" borderId="31" xfId="0" applyFont="1" applyFill="1" applyBorder="1" applyAlignment="1">
      <alignment vertical="top" wrapText="1"/>
    </xf>
    <xf numFmtId="0" fontId="3" fillId="9" borderId="34" xfId="0" applyFont="1" applyFill="1" applyBorder="1" applyAlignment="1">
      <alignment vertical="top" wrapText="1"/>
    </xf>
    <xf numFmtId="0" fontId="3" fillId="9" borderId="7" xfId="0" applyFont="1" applyFill="1" applyBorder="1" applyAlignment="1">
      <alignment vertical="top" wrapText="1"/>
    </xf>
    <xf numFmtId="0" fontId="3" fillId="9" borderId="8" xfId="0" applyFont="1" applyFill="1" applyBorder="1" applyAlignment="1">
      <alignment vertical="top" wrapText="1"/>
    </xf>
    <xf numFmtId="2" fontId="0" fillId="0" borderId="0" xfId="0" applyNumberFormat="1"/>
    <xf numFmtId="0" fontId="5" fillId="0" borderId="0" xfId="0" applyFont="1" applyBorder="1"/>
    <xf numFmtId="2" fontId="0" fillId="0" borderId="0" xfId="0" applyNumberFormat="1" applyAlignment="1">
      <alignment horizontal="center"/>
    </xf>
    <xf numFmtId="165" fontId="3" fillId="0" borderId="0" xfId="0" applyNumberFormat="1" applyFont="1" applyFill="1" applyBorder="1" applyAlignment="1">
      <alignment horizontal="left" vertical="top"/>
    </xf>
    <xf numFmtId="2" fontId="0" fillId="0" borderId="0" xfId="0" applyNumberFormat="1" applyAlignment="1">
      <alignment horizontal="right"/>
    </xf>
    <xf numFmtId="0" fontId="9" fillId="9" borderId="1" xfId="341" applyFont="1" applyFill="1" applyBorder="1" applyAlignment="1">
      <alignment horizontal="center" vertical="top"/>
    </xf>
    <xf numFmtId="0" fontId="9" fillId="2" borderId="1" xfId="341" applyFont="1" applyBorder="1" applyAlignment="1">
      <alignment horizontal="center" vertical="top"/>
    </xf>
    <xf numFmtId="166" fontId="5" fillId="0" borderId="0" xfId="0" applyNumberFormat="1" applyFont="1" applyFill="1" applyBorder="1"/>
    <xf numFmtId="165" fontId="3" fillId="0" borderId="8" xfId="0" applyNumberFormat="1" applyFont="1" applyBorder="1" applyAlignment="1">
      <alignment horizontal="justify" vertical="top"/>
    </xf>
    <xf numFmtId="165" fontId="20" fillId="0" borderId="1" xfId="342" applyNumberFormat="1" applyFont="1" applyFill="1" applyBorder="1" applyAlignment="1">
      <alignment vertical="top"/>
    </xf>
    <xf numFmtId="0" fontId="6" fillId="0" borderId="54" xfId="0" applyFont="1" applyBorder="1"/>
    <xf numFmtId="2" fontId="35" fillId="4" borderId="53" xfId="342" applyNumberFormat="1" applyFont="1" applyBorder="1" applyAlignment="1">
      <alignment horizontal="right" vertical="top"/>
    </xf>
    <xf numFmtId="2" fontId="35" fillId="4" borderId="0" xfId="342" applyNumberFormat="1" applyFont="1" applyBorder="1" applyAlignment="1">
      <alignment horizontal="right" vertical="top"/>
    </xf>
    <xf numFmtId="2" fontId="34" fillId="2" borderId="34" xfId="341" applyNumberFormat="1" applyFont="1" applyBorder="1" applyAlignment="1">
      <alignment horizontal="right" vertical="top" wrapText="1"/>
    </xf>
    <xf numFmtId="2" fontId="34" fillId="2" borderId="25" xfId="341" applyNumberFormat="1" applyFont="1" applyBorder="1" applyAlignment="1">
      <alignment horizontal="right" vertical="top" wrapText="1"/>
    </xf>
    <xf numFmtId="0" fontId="9" fillId="9" borderId="4" xfId="341" applyFont="1" applyFill="1" applyBorder="1" applyAlignment="1">
      <alignment vertical="top"/>
    </xf>
    <xf numFmtId="165" fontId="3" fillId="9" borderId="35" xfId="0" applyNumberFormat="1" applyFont="1" applyFill="1" applyBorder="1" applyAlignment="1">
      <alignment horizontal="left" vertical="top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7" fontId="33" fillId="0" borderId="1" xfId="342" applyNumberFormat="1" applyFont="1" applyFill="1" applyBorder="1"/>
    <xf numFmtId="165" fontId="3" fillId="0" borderId="0" xfId="0" applyNumberFormat="1" applyFont="1" applyBorder="1" applyAlignment="1">
      <alignment horizontal="right" vertical="top" wrapText="1"/>
    </xf>
    <xf numFmtId="0" fontId="20" fillId="9" borderId="38" xfId="342" applyFont="1" applyFill="1" applyBorder="1" applyAlignment="1">
      <alignment horizontal="justify" vertical="top"/>
    </xf>
    <xf numFmtId="0" fontId="3" fillId="9" borderId="3" xfId="0" applyFont="1" applyFill="1" applyBorder="1" applyAlignment="1">
      <alignment horizontal="justify" vertical="top" wrapText="1"/>
    </xf>
    <xf numFmtId="0" fontId="20" fillId="9" borderId="43" xfId="342" applyFont="1" applyFill="1" applyBorder="1" applyAlignment="1">
      <alignment horizontal="left" vertical="top" wrapText="1"/>
    </xf>
    <xf numFmtId="0" fontId="3" fillId="9" borderId="43" xfId="0" applyFont="1" applyFill="1" applyBorder="1" applyAlignment="1">
      <alignment horizontal="left" vertical="top" wrapText="1"/>
    </xf>
    <xf numFmtId="0" fontId="3" fillId="9" borderId="4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64" fontId="0" fillId="0" borderId="0" xfId="0" applyNumberFormat="1" applyBorder="1"/>
    <xf numFmtId="164" fontId="7" fillId="0" borderId="7" xfId="0" applyNumberFormat="1" applyFont="1" applyFill="1" applyBorder="1" applyAlignment="1">
      <alignment vertical="top"/>
    </xf>
    <xf numFmtId="164" fontId="0" fillId="0" borderId="0" xfId="0" applyNumberFormat="1"/>
    <xf numFmtId="164" fontId="23" fillId="9" borderId="1" xfId="346" applyNumberFormat="1" applyFont="1" applyFill="1" applyBorder="1"/>
    <xf numFmtId="167" fontId="0" fillId="0" borderId="0" xfId="0" applyNumberFormat="1"/>
    <xf numFmtId="0" fontId="33" fillId="0" borderId="0" xfId="0" applyFont="1" applyFill="1" applyBorder="1" applyAlignment="1">
      <alignment horizontal="center" vertical="top"/>
    </xf>
    <xf numFmtId="0" fontId="33" fillId="0" borderId="0" xfId="0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/>
    <xf numFmtId="0" fontId="34" fillId="0" borderId="0" xfId="341" applyFont="1" applyFill="1" applyBorder="1" applyAlignment="1">
      <alignment horizontal="center" vertical="top"/>
    </xf>
    <xf numFmtId="0" fontId="35" fillId="0" borderId="0" xfId="342" applyFont="1" applyFill="1" applyBorder="1" applyAlignment="1">
      <alignment horizontal="center" vertical="top"/>
    </xf>
    <xf numFmtId="0" fontId="34" fillId="0" borderId="0" xfId="341" applyFont="1" applyFill="1" applyBorder="1" applyAlignment="1">
      <alignment horizontal="center" vertical="top" wrapText="1"/>
    </xf>
    <xf numFmtId="167" fontId="0" fillId="0" borderId="0" xfId="0" applyNumberFormat="1" applyAlignment="1">
      <alignment horizontal="left"/>
    </xf>
    <xf numFmtId="167" fontId="10" fillId="0" borderId="0" xfId="0" applyNumberFormat="1" applyFont="1" applyAlignment="1">
      <alignment horizontal="left"/>
    </xf>
    <xf numFmtId="0" fontId="33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/>
    <xf numFmtId="0" fontId="33" fillId="0" borderId="0" xfId="0" applyFont="1" applyBorder="1" applyAlignment="1">
      <alignment horizontal="center"/>
    </xf>
    <xf numFmtId="0" fontId="34" fillId="2" borderId="0" xfId="341" applyFont="1" applyBorder="1" applyAlignment="1">
      <alignment horizontal="center" vertical="top"/>
    </xf>
    <xf numFmtId="0" fontId="35" fillId="4" borderId="0" xfId="342" applyFont="1" applyBorder="1" applyAlignment="1">
      <alignment horizontal="center" vertical="top"/>
    </xf>
    <xf numFmtId="0" fontId="34" fillId="2" borderId="0" xfId="341" applyFont="1" applyBorder="1" applyAlignment="1">
      <alignment horizontal="center" vertical="top" wrapText="1"/>
    </xf>
    <xf numFmtId="166" fontId="0" fillId="0" borderId="0" xfId="0" applyNumberFormat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1" fillId="0" borderId="0" xfId="347" applyAlignment="1" applyProtection="1"/>
    <xf numFmtId="0" fontId="0" fillId="0" borderId="39" xfId="0" applyBorder="1"/>
    <xf numFmtId="0" fontId="0" fillId="0" borderId="55" xfId="0" applyBorder="1"/>
    <xf numFmtId="0" fontId="0" fillId="0" borderId="40" xfId="0" applyBorder="1"/>
    <xf numFmtId="0" fontId="0" fillId="0" borderId="56" xfId="0" applyBorder="1"/>
    <xf numFmtId="0" fontId="0" fillId="0" borderId="57" xfId="0" applyBorder="1"/>
    <xf numFmtId="0" fontId="0" fillId="0" borderId="49" xfId="0" applyBorder="1"/>
    <xf numFmtId="0" fontId="0" fillId="0" borderId="41" xfId="0" applyBorder="1"/>
    <xf numFmtId="0" fontId="5" fillId="0" borderId="0" xfId="0" applyFont="1" applyBorder="1" applyAlignment="1">
      <alignment horizontal="center"/>
    </xf>
    <xf numFmtId="166" fontId="28" fillId="0" borderId="1" xfId="0" applyNumberFormat="1" applyFont="1" applyBorder="1" applyAlignment="1">
      <alignment horizontal="right"/>
    </xf>
    <xf numFmtId="166" fontId="10" fillId="0" borderId="1" xfId="0" applyNumberFormat="1" applyFon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11" fillId="11" borderId="1" xfId="0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right" wrapText="1"/>
    </xf>
    <xf numFmtId="0" fontId="37" fillId="0" borderId="0" xfId="0" applyFont="1" applyBorder="1" applyAlignment="1">
      <alignment horizontal="right" wrapText="1"/>
    </xf>
    <xf numFmtId="2" fontId="0" fillId="0" borderId="0" xfId="0" applyNumberFormat="1" applyBorder="1"/>
    <xf numFmtId="0" fontId="29" fillId="0" borderId="0" xfId="341" applyFont="1" applyFill="1" applyBorder="1" applyAlignment="1">
      <alignment horizontal="center" vertical="top"/>
    </xf>
    <xf numFmtId="0" fontId="33" fillId="0" borderId="0" xfId="342" applyFont="1" applyFill="1" applyBorder="1" applyAlignment="1">
      <alignment horizontal="center" vertical="top"/>
    </xf>
    <xf numFmtId="0" fontId="38" fillId="0" borderId="0" xfId="0" applyFont="1" applyBorder="1"/>
    <xf numFmtId="0" fontId="0" fillId="0" borderId="0" xfId="0" applyFill="1"/>
    <xf numFmtId="0" fontId="0" fillId="15" borderId="0" xfId="0" applyFill="1"/>
    <xf numFmtId="0" fontId="39" fillId="15" borderId="28" xfId="0" applyFont="1" applyFill="1" applyBorder="1" applyAlignment="1"/>
    <xf numFmtId="0" fontId="27" fillId="15" borderId="0" xfId="0" applyFont="1" applyFill="1" applyBorder="1" applyAlignment="1"/>
    <xf numFmtId="0" fontId="27" fillId="15" borderId="0" xfId="0" applyFont="1" applyFill="1" applyBorder="1" applyAlignment="1">
      <alignment horizontal="right"/>
    </xf>
    <xf numFmtId="0" fontId="46" fillId="15" borderId="0" xfId="341" applyFont="1" applyFill="1" applyBorder="1" applyAlignment="1">
      <alignment horizontal="center" vertical="top"/>
    </xf>
    <xf numFmtId="0" fontId="47" fillId="15" borderId="0" xfId="0" applyFont="1" applyFill="1" applyBorder="1" applyAlignment="1">
      <alignment horizontal="center"/>
    </xf>
    <xf numFmtId="0" fontId="29" fillId="12" borderId="0" xfId="0" applyFont="1" applyFill="1" applyBorder="1" applyAlignment="1">
      <alignment horizontal="center" vertical="top"/>
    </xf>
    <xf numFmtId="0" fontId="29" fillId="12" borderId="0" xfId="342" applyFont="1" applyFill="1" applyBorder="1" applyAlignment="1">
      <alignment horizontal="center" vertical="top"/>
    </xf>
    <xf numFmtId="0" fontId="29" fillId="12" borderId="0" xfId="0" applyFont="1" applyFill="1" applyBorder="1" applyAlignment="1">
      <alignment horizontal="center" vertical="top" wrapText="1"/>
    </xf>
    <xf numFmtId="0" fontId="32" fillId="2" borderId="0" xfId="341" applyFont="1" applyBorder="1" applyAlignment="1">
      <alignment horizontal="center" vertical="top"/>
    </xf>
    <xf numFmtId="0" fontId="32" fillId="14" borderId="0" xfId="341" applyFont="1" applyFill="1" applyBorder="1" applyAlignment="1">
      <alignment horizontal="justify" vertical="top"/>
    </xf>
    <xf numFmtId="0" fontId="33" fillId="14" borderId="0" xfId="0" applyFont="1" applyFill="1" applyBorder="1" applyAlignment="1">
      <alignment horizontal="center"/>
    </xf>
    <xf numFmtId="0" fontId="32" fillId="14" borderId="0" xfId="341" applyFont="1" applyFill="1" applyBorder="1" applyAlignment="1">
      <alignment horizontal="center" vertical="top"/>
    </xf>
    <xf numFmtId="0" fontId="33" fillId="16" borderId="0" xfId="0" applyFont="1" applyFill="1" applyBorder="1" applyAlignment="1">
      <alignment horizontal="center"/>
    </xf>
    <xf numFmtId="0" fontId="27" fillId="16" borderId="0" xfId="0" applyFont="1" applyFill="1" applyBorder="1" applyAlignment="1">
      <alignment horizontal="left"/>
    </xf>
    <xf numFmtId="0" fontId="0" fillId="16" borderId="0" xfId="0" applyFill="1" applyBorder="1"/>
    <xf numFmtId="0" fontId="41" fillId="0" borderId="58" xfId="0" applyFont="1" applyFill="1" applyBorder="1" applyAlignment="1">
      <alignment horizontal="left" wrapText="1"/>
    </xf>
    <xf numFmtId="0" fontId="9" fillId="0" borderId="16" xfId="341" applyFont="1" applyFill="1" applyBorder="1" applyAlignment="1">
      <alignment horizontal="center" vertical="top"/>
    </xf>
    <xf numFmtId="0" fontId="51" fillId="15" borderId="0" xfId="0" applyFont="1" applyFill="1"/>
    <xf numFmtId="2" fontId="49" fillId="15" borderId="0" xfId="0" applyNumberFormat="1" applyFont="1" applyFill="1" applyBorder="1" applyAlignment="1">
      <alignment horizontal="center" vertical="top"/>
    </xf>
    <xf numFmtId="2" fontId="46" fillId="15" borderId="0" xfId="342" applyNumberFormat="1" applyFont="1" applyFill="1" applyBorder="1" applyAlignment="1">
      <alignment horizontal="center" vertical="top"/>
    </xf>
    <xf numFmtId="2" fontId="49" fillId="15" borderId="0" xfId="0" applyNumberFormat="1" applyFont="1" applyFill="1" applyBorder="1" applyAlignment="1">
      <alignment horizontal="center" vertical="top" wrapText="1"/>
    </xf>
    <xf numFmtId="2" fontId="46" fillId="15" borderId="0" xfId="0" applyNumberFormat="1" applyFont="1" applyFill="1" applyBorder="1" applyAlignment="1">
      <alignment horizontal="center" vertical="top" wrapText="1"/>
    </xf>
    <xf numFmtId="164" fontId="49" fillId="15" borderId="0" xfId="0" applyNumberFormat="1" applyFont="1" applyFill="1" applyBorder="1" applyAlignment="1">
      <alignment horizontal="center" vertical="top"/>
    </xf>
    <xf numFmtId="1" fontId="49" fillId="15" borderId="0" xfId="0" applyNumberFormat="1" applyFont="1" applyFill="1" applyBorder="1" applyAlignment="1">
      <alignment horizontal="center" vertical="top"/>
    </xf>
    <xf numFmtId="1" fontId="49" fillId="15" borderId="0" xfId="0" applyNumberFormat="1" applyFont="1" applyFill="1" applyBorder="1" applyAlignment="1">
      <alignment horizontal="center" vertical="top" wrapText="1"/>
    </xf>
    <xf numFmtId="0" fontId="0" fillId="15" borderId="0" xfId="0" applyFill="1" applyBorder="1"/>
    <xf numFmtId="0" fontId="10" fillId="15" borderId="0" xfId="0" applyFont="1" applyFill="1" applyBorder="1"/>
    <xf numFmtId="166" fontId="40" fillId="15" borderId="0" xfId="0" applyNumberFormat="1" applyFont="1" applyFill="1" applyBorder="1" applyAlignment="1">
      <alignment horizontal="center"/>
    </xf>
    <xf numFmtId="0" fontId="40" fillId="15" borderId="0" xfId="0" applyFont="1" applyFill="1" applyBorder="1" applyAlignment="1">
      <alignment horizontal="right"/>
    </xf>
    <xf numFmtId="166" fontId="40" fillId="15" borderId="0" xfId="0" applyNumberFormat="1" applyFont="1" applyFill="1" applyBorder="1"/>
    <xf numFmtId="0" fontId="28" fillId="17" borderId="1" xfId="0" applyFont="1" applyFill="1" applyBorder="1" applyAlignment="1">
      <alignment horizontal="right"/>
    </xf>
    <xf numFmtId="0" fontId="29" fillId="18" borderId="1" xfId="0" applyFont="1" applyFill="1" applyBorder="1" applyAlignment="1">
      <alignment horizontal="left"/>
    </xf>
    <xf numFmtId="0" fontId="0" fillId="15" borderId="39" xfId="0" applyFill="1" applyBorder="1"/>
    <xf numFmtId="0" fontId="39" fillId="15" borderId="55" xfId="0" applyFont="1" applyFill="1" applyBorder="1" applyAlignment="1"/>
    <xf numFmtId="0" fontId="0" fillId="15" borderId="40" xfId="0" applyFill="1" applyBorder="1"/>
    <xf numFmtId="0" fontId="0" fillId="15" borderId="56" xfId="0" applyFill="1" applyBorder="1"/>
    <xf numFmtId="0" fontId="0" fillId="15" borderId="57" xfId="0" applyFill="1" applyBorder="1"/>
    <xf numFmtId="0" fontId="0" fillId="15" borderId="49" xfId="0" applyFill="1" applyBorder="1"/>
    <xf numFmtId="0" fontId="0" fillId="15" borderId="41" xfId="0" applyFill="1" applyBorder="1"/>
    <xf numFmtId="0" fontId="53" fillId="15" borderId="0" xfId="0" applyFont="1" applyFill="1" applyBorder="1"/>
    <xf numFmtId="0" fontId="45" fillId="15" borderId="0" xfId="0" applyFont="1" applyFill="1" applyBorder="1" applyAlignment="1">
      <alignment horizontal="center"/>
    </xf>
    <xf numFmtId="0" fontId="50" fillId="15" borderId="0" xfId="0" applyFont="1" applyFill="1" applyBorder="1"/>
    <xf numFmtId="0" fontId="41" fillId="0" borderId="0" xfId="0" applyFont="1" applyFill="1" applyBorder="1" applyAlignment="1">
      <alignment horizontal="justify" vertical="top"/>
    </xf>
    <xf numFmtId="0" fontId="41" fillId="0" borderId="0" xfId="0" applyFont="1" applyFill="1" applyBorder="1" applyAlignment="1">
      <alignment horizontal="left" wrapText="1"/>
    </xf>
    <xf numFmtId="0" fontId="42" fillId="0" borderId="0" xfId="0" applyFont="1" applyFill="1" applyBorder="1" applyAlignment="1">
      <alignment horizontal="center" vertical="top"/>
    </xf>
    <xf numFmtId="0" fontId="29" fillId="0" borderId="0" xfId="342" applyFont="1" applyFill="1" applyBorder="1" applyAlignment="1">
      <alignment horizontal="justify" vertical="top"/>
    </xf>
    <xf numFmtId="0" fontId="29" fillId="0" borderId="0" xfId="342" applyFont="1" applyFill="1" applyBorder="1" applyAlignment="1">
      <alignment vertical="top"/>
    </xf>
    <xf numFmtId="0" fontId="41" fillId="0" borderId="0" xfId="0" applyFont="1" applyFill="1" applyBorder="1" applyAlignment="1">
      <alignment horizontal="left" vertical="top" wrapText="1"/>
    </xf>
    <xf numFmtId="0" fontId="42" fillId="0" borderId="0" xfId="0" applyFont="1" applyFill="1" applyBorder="1" applyAlignment="1">
      <alignment horizontal="center" vertical="top" wrapText="1"/>
    </xf>
    <xf numFmtId="0" fontId="29" fillId="0" borderId="0" xfId="342" applyFont="1" applyFill="1" applyBorder="1" applyAlignment="1">
      <alignment horizontal="left" vertical="top" wrapText="1"/>
    </xf>
    <xf numFmtId="0" fontId="41" fillId="0" borderId="0" xfId="0" applyFont="1" applyFill="1" applyBorder="1" applyAlignment="1">
      <alignment vertical="top"/>
    </xf>
    <xf numFmtId="0" fontId="42" fillId="0" borderId="0" xfId="0" applyFont="1" applyFill="1" applyBorder="1" applyAlignment="1">
      <alignment horizontal="right" vertical="top" wrapText="1"/>
    </xf>
    <xf numFmtId="0" fontId="41" fillId="0" borderId="0" xfId="0" applyFont="1" applyFill="1" applyBorder="1" applyAlignment="1">
      <alignment horizontal="justify" vertical="top" wrapText="1"/>
    </xf>
    <xf numFmtId="0" fontId="41" fillId="0" borderId="0" xfId="0" applyFont="1" applyFill="1" applyBorder="1" applyAlignment="1">
      <alignment vertical="top" wrapText="1"/>
    </xf>
    <xf numFmtId="0" fontId="33" fillId="0" borderId="58" xfId="0" applyFont="1" applyFill="1" applyBorder="1" applyAlignment="1">
      <alignment horizontal="center" vertical="top" wrapText="1"/>
    </xf>
    <xf numFmtId="0" fontId="29" fillId="0" borderId="58" xfId="341" applyFont="1" applyFill="1" applyBorder="1" applyAlignment="1">
      <alignment horizontal="center" vertical="top" wrapText="1"/>
    </xf>
    <xf numFmtId="0" fontId="7" fillId="0" borderId="58" xfId="0" applyFont="1" applyFill="1" applyBorder="1" applyAlignment="1">
      <alignment horizontal="center" vertical="top"/>
    </xf>
    <xf numFmtId="0" fontId="0" fillId="15" borderId="45" xfId="0" applyFill="1" applyBorder="1"/>
    <xf numFmtId="0" fontId="5" fillId="15" borderId="45" xfId="0" applyFont="1" applyFill="1" applyBorder="1"/>
    <xf numFmtId="0" fontId="44" fillId="13" borderId="45" xfId="0" applyFont="1" applyFill="1" applyBorder="1" applyAlignment="1">
      <alignment horizontal="center"/>
    </xf>
    <xf numFmtId="0" fontId="41" fillId="0" borderId="49" xfId="0" applyFont="1" applyFill="1" applyBorder="1" applyAlignment="1">
      <alignment horizontal="left" wrapText="1"/>
    </xf>
    <xf numFmtId="0" fontId="42" fillId="0" borderId="49" xfId="0" applyFont="1" applyFill="1" applyBorder="1" applyAlignment="1">
      <alignment horizontal="center" vertical="top" wrapText="1"/>
    </xf>
    <xf numFmtId="0" fontId="33" fillId="0" borderId="49" xfId="342" applyFont="1" applyFill="1" applyBorder="1" applyAlignment="1">
      <alignment horizontal="center" vertical="top"/>
    </xf>
    <xf numFmtId="0" fontId="7" fillId="0" borderId="49" xfId="0" applyFont="1" applyFill="1" applyBorder="1" applyAlignment="1">
      <alignment horizontal="center" vertical="top"/>
    </xf>
    <xf numFmtId="0" fontId="41" fillId="0" borderId="49" xfId="0" applyFont="1" applyFill="1" applyBorder="1" applyAlignment="1">
      <alignment vertical="top" wrapText="1"/>
    </xf>
    <xf numFmtId="0" fontId="41" fillId="0" borderId="49" xfId="0" applyFont="1" applyFill="1" applyBorder="1" applyAlignment="1">
      <alignment vertical="top"/>
    </xf>
    <xf numFmtId="0" fontId="42" fillId="0" borderId="49" xfId="0" applyFont="1" applyFill="1" applyBorder="1" applyAlignment="1">
      <alignment horizontal="center" vertical="top"/>
    </xf>
    <xf numFmtId="0" fontId="29" fillId="0" borderId="49" xfId="341" applyFont="1" applyFill="1" applyBorder="1" applyAlignment="1">
      <alignment horizontal="center" vertical="top"/>
    </xf>
    <xf numFmtId="0" fontId="41" fillId="0" borderId="49" xfId="0" applyFont="1" applyFill="1" applyBorder="1" applyAlignment="1">
      <alignment horizontal="left" vertical="top" wrapText="1"/>
    </xf>
    <xf numFmtId="0" fontId="29" fillId="0" borderId="49" xfId="342" applyFont="1" applyFill="1" applyBorder="1" applyAlignment="1">
      <alignment vertical="top"/>
    </xf>
    <xf numFmtId="0" fontId="54" fillId="11" borderId="15" xfId="341" applyFont="1" applyFill="1" applyBorder="1" applyAlignment="1">
      <alignment horizontal="justify" vertical="top"/>
    </xf>
    <xf numFmtId="0" fontId="54" fillId="11" borderId="45" xfId="341" applyFont="1" applyFill="1" applyBorder="1" applyAlignment="1">
      <alignment horizontal="justify" vertical="top"/>
    </xf>
    <xf numFmtId="0" fontId="54" fillId="11" borderId="45" xfId="341" applyFont="1" applyFill="1" applyBorder="1" applyAlignment="1">
      <alignment horizontal="center" vertical="top"/>
    </xf>
    <xf numFmtId="0" fontId="27" fillId="0" borderId="45" xfId="341" applyFont="1" applyFill="1" applyBorder="1" applyAlignment="1">
      <alignment horizontal="center" vertical="top"/>
    </xf>
    <xf numFmtId="0" fontId="5" fillId="0" borderId="16" xfId="0" applyFont="1" applyFill="1" applyBorder="1"/>
    <xf numFmtId="0" fontId="5" fillId="0" borderId="0" xfId="0" applyFont="1" applyFill="1" applyBorder="1" applyAlignment="1">
      <alignment horizontal="left"/>
    </xf>
    <xf numFmtId="0" fontId="29" fillId="0" borderId="5" xfId="0" applyFont="1" applyFill="1" applyBorder="1"/>
    <xf numFmtId="0" fontId="18" fillId="15" borderId="0" xfId="0" applyFont="1" applyFill="1" applyBorder="1"/>
    <xf numFmtId="0" fontId="52" fillId="15" borderId="0" xfId="347" applyFont="1" applyFill="1" applyBorder="1" applyAlignment="1" applyProtection="1"/>
    <xf numFmtId="0" fontId="10" fillId="15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55" fillId="15" borderId="0" xfId="0" applyFont="1" applyFill="1" applyAlignment="1">
      <alignment horizontal="right"/>
    </xf>
    <xf numFmtId="0" fontId="56" fillId="15" borderId="0" xfId="0" applyFont="1" applyFill="1" applyBorder="1" applyAlignment="1"/>
    <xf numFmtId="0" fontId="57" fillId="15" borderId="0" xfId="0" applyFont="1" applyFill="1"/>
    <xf numFmtId="0" fontId="57" fillId="0" borderId="0" xfId="0" applyFont="1"/>
    <xf numFmtId="0" fontId="58" fillId="15" borderId="0" xfId="0" applyFont="1" applyFill="1" applyAlignment="1">
      <alignment horizontal="right"/>
    </xf>
    <xf numFmtId="0" fontId="59" fillId="15" borderId="0" xfId="347" applyFont="1" applyFill="1" applyBorder="1" applyAlignment="1" applyProtection="1"/>
    <xf numFmtId="0" fontId="60" fillId="0" borderId="62" xfId="0" applyFont="1" applyBorder="1" applyAlignment="1">
      <alignment horizontal="center"/>
    </xf>
    <xf numFmtId="0" fontId="60" fillId="0" borderId="63" xfId="0" applyFont="1" applyBorder="1" applyAlignment="1">
      <alignment horizontal="center"/>
    </xf>
    <xf numFmtId="0" fontId="60" fillId="0" borderId="64" xfId="0" applyFont="1" applyBorder="1" applyAlignment="1">
      <alignment horizontal="center"/>
    </xf>
    <xf numFmtId="165" fontId="3" fillId="0" borderId="0" xfId="0" applyNumberFormat="1" applyFont="1" applyBorder="1" applyAlignment="1">
      <alignment vertical="top"/>
    </xf>
    <xf numFmtId="165" fontId="0" fillId="0" borderId="0" xfId="0" applyNumberFormat="1"/>
    <xf numFmtId="0" fontId="3" fillId="0" borderId="0" xfId="0" applyFont="1" applyAlignment="1">
      <alignment wrapText="1"/>
    </xf>
    <xf numFmtId="165" fontId="41" fillId="0" borderId="65" xfId="0" applyNumberFormat="1" applyFont="1" applyBorder="1" applyAlignment="1">
      <alignment horizontal="center"/>
    </xf>
    <xf numFmtId="165" fontId="41" fillId="0" borderId="49" xfId="0" applyNumberFormat="1" applyFont="1" applyBorder="1" applyAlignment="1">
      <alignment horizontal="center"/>
    </xf>
    <xf numFmtId="165" fontId="41" fillId="0" borderId="28" xfId="0" applyNumberFormat="1" applyFont="1" applyBorder="1" applyAlignment="1">
      <alignment horizontal="center"/>
    </xf>
    <xf numFmtId="165" fontId="41" fillId="0" borderId="49" xfId="0" applyNumberFormat="1" applyFont="1" applyBorder="1" applyAlignment="1"/>
    <xf numFmtId="165" fontId="41" fillId="0" borderId="49" xfId="0" applyNumberFormat="1" applyFont="1" applyBorder="1" applyAlignment="1">
      <alignment horizontal="center" vertical="top"/>
    </xf>
    <xf numFmtId="165" fontId="41" fillId="0" borderId="28" xfId="0" applyNumberFormat="1" applyFont="1" applyBorder="1" applyAlignment="1">
      <alignment horizontal="center" vertical="top"/>
    </xf>
    <xf numFmtId="165" fontId="41" fillId="0" borderId="49" xfId="0" applyNumberFormat="1" applyFont="1" applyBorder="1" applyAlignment="1">
      <alignment vertical="top"/>
    </xf>
    <xf numFmtId="165" fontId="41" fillId="0" borderId="0" xfId="0" applyNumberFormat="1" applyFont="1" applyAlignment="1">
      <alignment vertical="top"/>
    </xf>
    <xf numFmtId="165" fontId="41" fillId="0" borderId="66" xfId="0" applyNumberFormat="1" applyFont="1" applyBorder="1" applyAlignment="1">
      <alignment horizontal="center" vertical="top"/>
    </xf>
    <xf numFmtId="0" fontId="38" fillId="20" borderId="0" xfId="0" applyFont="1" applyFill="1" applyBorder="1"/>
    <xf numFmtId="0" fontId="38" fillId="20" borderId="0" xfId="0" applyFont="1" applyFill="1" applyBorder="1" applyAlignment="1">
      <alignment horizontal="left"/>
    </xf>
    <xf numFmtId="168" fontId="38" fillId="20" borderId="0" xfId="0" applyNumberFormat="1" applyFont="1" applyFill="1" applyBorder="1" applyAlignment="1">
      <alignment horizontal="left"/>
    </xf>
    <xf numFmtId="0" fontId="54" fillId="20" borderId="45" xfId="341" applyFont="1" applyFill="1" applyBorder="1" applyAlignment="1">
      <alignment horizontal="right" vertical="top"/>
    </xf>
    <xf numFmtId="0" fontId="5" fillId="20" borderId="0" xfId="0" applyFont="1" applyFill="1" applyBorder="1" applyAlignment="1">
      <alignment horizontal="center"/>
    </xf>
    <xf numFmtId="0" fontId="33" fillId="20" borderId="0" xfId="0" applyFont="1" applyFill="1" applyBorder="1" applyAlignment="1">
      <alignment horizontal="center" vertical="center" wrapText="1"/>
    </xf>
    <xf numFmtId="0" fontId="33" fillId="20" borderId="0" xfId="0" applyFont="1" applyFill="1" applyBorder="1" applyAlignment="1">
      <alignment horizontal="center" vertical="center"/>
    </xf>
    <xf numFmtId="0" fontId="33" fillId="20" borderId="49" xfId="0" applyFont="1" applyFill="1" applyBorder="1" applyAlignment="1">
      <alignment horizontal="center" vertical="center"/>
    </xf>
    <xf numFmtId="0" fontId="33" fillId="20" borderId="0" xfId="0" applyFont="1" applyFill="1" applyBorder="1" applyAlignment="1">
      <alignment horizontal="center" vertical="top"/>
    </xf>
    <xf numFmtId="0" fontId="33" fillId="20" borderId="49" xfId="0" applyFont="1" applyFill="1" applyBorder="1" applyAlignment="1">
      <alignment horizontal="center" vertical="top"/>
    </xf>
    <xf numFmtId="0" fontId="33" fillId="20" borderId="0" xfId="0" applyFont="1" applyFill="1" applyBorder="1" applyAlignment="1">
      <alignment horizontal="center" vertical="top" wrapText="1"/>
    </xf>
    <xf numFmtId="0" fontId="33" fillId="20" borderId="0" xfId="0" applyFont="1" applyFill="1" applyBorder="1" applyAlignment="1">
      <alignment horizontal="center"/>
    </xf>
    <xf numFmtId="0" fontId="33" fillId="20" borderId="49" xfId="0" applyFont="1" applyFill="1" applyBorder="1" applyAlignment="1">
      <alignment horizontal="center" vertical="top" wrapText="1"/>
    </xf>
    <xf numFmtId="0" fontId="33" fillId="20" borderId="58" xfId="0" applyFont="1" applyFill="1" applyBorder="1" applyAlignment="1">
      <alignment horizontal="center" vertical="top" wrapText="1"/>
    </xf>
    <xf numFmtId="0" fontId="33" fillId="20" borderId="60" xfId="0" applyFont="1" applyFill="1" applyBorder="1" applyAlignment="1">
      <alignment horizontal="center"/>
    </xf>
    <xf numFmtId="0" fontId="33" fillId="20" borderId="61" xfId="0" applyFont="1" applyFill="1" applyBorder="1" applyAlignment="1">
      <alignment horizontal="center"/>
    </xf>
    <xf numFmtId="0" fontId="33" fillId="20" borderId="59" xfId="0" applyFont="1" applyFill="1" applyBorder="1" applyAlignment="1">
      <alignment horizontal="center"/>
    </xf>
    <xf numFmtId="0" fontId="39" fillId="0" borderId="28" xfId="0" applyFont="1" applyBorder="1" applyAlignment="1">
      <alignment horizontal="left"/>
    </xf>
    <xf numFmtId="0" fontId="61" fillId="0" borderId="0" xfId="0" applyFont="1" applyBorder="1" applyAlignment="1">
      <alignment horizontal="left"/>
    </xf>
    <xf numFmtId="0" fontId="54" fillId="20" borderId="10" xfId="341" applyFont="1" applyFill="1" applyBorder="1" applyAlignment="1">
      <alignment horizontal="center" vertical="top"/>
    </xf>
    <xf numFmtId="0" fontId="54" fillId="20" borderId="60" xfId="341" applyFont="1" applyFill="1" applyBorder="1" applyAlignment="1">
      <alignment horizontal="center" vertical="top"/>
    </xf>
    <xf numFmtId="0" fontId="29" fillId="0" borderId="16" xfId="0" applyFont="1" applyFill="1" applyBorder="1" applyAlignment="1">
      <alignment horizontal="left" vertical="top"/>
    </xf>
    <xf numFmtId="0" fontId="29" fillId="0" borderId="30" xfId="0" applyFont="1" applyFill="1" applyBorder="1" applyAlignment="1">
      <alignment horizontal="left" vertical="top"/>
    </xf>
    <xf numFmtId="0" fontId="27" fillId="0" borderId="45" xfId="341" applyFont="1" applyFill="1" applyBorder="1" applyAlignment="1">
      <alignment horizontal="center" vertical="top"/>
    </xf>
    <xf numFmtId="0" fontId="27" fillId="0" borderId="0" xfId="341" applyFont="1" applyFill="1" applyBorder="1" applyAlignment="1">
      <alignment horizontal="center" vertical="top"/>
    </xf>
    <xf numFmtId="0" fontId="39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3" fillId="10" borderId="3" xfId="0" applyFont="1" applyFill="1" applyBorder="1" applyAlignment="1">
      <alignment horizontal="center"/>
    </xf>
    <xf numFmtId="0" fontId="33" fillId="10" borderId="44" xfId="0" applyFont="1" applyFill="1" applyBorder="1" applyAlignment="1">
      <alignment horizontal="center"/>
    </xf>
    <xf numFmtId="0" fontId="33" fillId="10" borderId="4" xfId="0" applyFont="1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27" fillId="10" borderId="6" xfId="0" applyFont="1" applyFill="1" applyBorder="1" applyAlignment="1">
      <alignment horizontal="center"/>
    </xf>
    <xf numFmtId="0" fontId="27" fillId="10" borderId="8" xfId="0" applyFont="1" applyFill="1" applyBorder="1" applyAlignment="1">
      <alignment horizontal="center"/>
    </xf>
    <xf numFmtId="0" fontId="13" fillId="0" borderId="24" xfId="0" applyFont="1" applyBorder="1" applyAlignment="1">
      <alignment horizontal="left" vertical="top"/>
    </xf>
    <xf numFmtId="0" fontId="13" fillId="0" borderId="20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9" fillId="2" borderId="1" xfId="341" applyFont="1" applyBorder="1" applyAlignment="1">
      <alignment horizontal="center" vertical="top"/>
    </xf>
    <xf numFmtId="0" fontId="10" fillId="0" borderId="0" xfId="0" applyFont="1" applyFill="1" applyBorder="1" applyAlignment="1">
      <alignment horizontal="right"/>
    </xf>
    <xf numFmtId="0" fontId="9" fillId="9" borderId="1" xfId="341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left" vertical="top"/>
    </xf>
    <xf numFmtId="0" fontId="13" fillId="9" borderId="20" xfId="0" applyFont="1" applyFill="1" applyBorder="1" applyAlignment="1">
      <alignment horizontal="left" vertical="top"/>
    </xf>
    <xf numFmtId="0" fontId="13" fillId="9" borderId="29" xfId="0" applyFont="1" applyFill="1" applyBorder="1" applyAlignment="1">
      <alignment horizontal="left" vertical="top"/>
    </xf>
    <xf numFmtId="0" fontId="3" fillId="0" borderId="2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20" fillId="0" borderId="15" xfId="342" applyFont="1" applyFill="1" applyBorder="1" applyAlignment="1">
      <alignment horizontal="left" vertical="top"/>
    </xf>
    <xf numFmtId="0" fontId="20" fillId="0" borderId="30" xfId="342" applyFont="1" applyFill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20" fillId="9" borderId="15" xfId="342" applyFont="1" applyFill="1" applyBorder="1" applyAlignment="1">
      <alignment horizontal="left" vertical="top"/>
    </xf>
    <xf numFmtId="0" fontId="20" fillId="9" borderId="30" xfId="342" applyFont="1" applyFill="1" applyBorder="1" applyAlignment="1">
      <alignment horizontal="left" vertical="top"/>
    </xf>
    <xf numFmtId="0" fontId="3" fillId="9" borderId="15" xfId="0" applyFont="1" applyFill="1" applyBorder="1" applyAlignment="1">
      <alignment horizontal="left" vertical="top"/>
    </xf>
    <xf numFmtId="0" fontId="3" fillId="9" borderId="30" xfId="0" applyFont="1" applyFill="1" applyBorder="1" applyAlignment="1">
      <alignment horizontal="left" vertical="top"/>
    </xf>
    <xf numFmtId="0" fontId="3" fillId="9" borderId="15" xfId="0" applyFont="1" applyFill="1" applyBorder="1" applyAlignment="1">
      <alignment horizontal="left" vertical="top" wrapText="1"/>
    </xf>
    <xf numFmtId="0" fontId="3" fillId="9" borderId="30" xfId="0" applyFont="1" applyFill="1" applyBorder="1" applyAlignment="1">
      <alignment horizontal="left" vertical="top" wrapText="1"/>
    </xf>
    <xf numFmtId="0" fontId="3" fillId="9" borderId="25" xfId="0" applyFont="1" applyFill="1" applyBorder="1" applyAlignment="1">
      <alignment horizontal="left" vertical="top" wrapText="1"/>
    </xf>
    <xf numFmtId="0" fontId="3" fillId="9" borderId="16" xfId="0" applyFont="1" applyFill="1" applyBorder="1" applyAlignment="1">
      <alignment horizontal="left" vertical="top" wrapText="1"/>
    </xf>
    <xf numFmtId="0" fontId="3" fillId="9" borderId="5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9" borderId="6" xfId="0" applyFont="1" applyFill="1" applyBorder="1" applyAlignment="1">
      <alignment horizontal="left" vertical="top"/>
    </xf>
    <xf numFmtId="0" fontId="3" fillId="9" borderId="31" xfId="0" applyFont="1" applyFill="1" applyBorder="1" applyAlignment="1">
      <alignment horizontal="left" vertical="top"/>
    </xf>
    <xf numFmtId="0" fontId="9" fillId="9" borderId="3" xfId="341" applyFont="1" applyFill="1" applyBorder="1" applyAlignment="1">
      <alignment horizontal="center" vertical="top"/>
    </xf>
    <xf numFmtId="0" fontId="9" fillId="9" borderId="44" xfId="341" applyFont="1" applyFill="1" applyBorder="1" applyAlignment="1">
      <alignment horizontal="center" vertical="top"/>
    </xf>
    <xf numFmtId="0" fontId="3" fillId="9" borderId="6" xfId="0" applyFont="1" applyFill="1" applyBorder="1" applyAlignment="1">
      <alignment horizontal="left" vertical="top" wrapText="1"/>
    </xf>
    <xf numFmtId="0" fontId="3" fillId="9" borderId="31" xfId="0" applyFont="1" applyFill="1" applyBorder="1" applyAlignment="1">
      <alignment horizontal="left" vertical="top" wrapText="1"/>
    </xf>
    <xf numFmtId="0" fontId="9" fillId="9" borderId="45" xfId="341" applyFont="1" applyFill="1" applyBorder="1" applyAlignment="1">
      <alignment horizontal="center" vertical="top"/>
    </xf>
    <xf numFmtId="0" fontId="9" fillId="9" borderId="58" xfId="341" applyFont="1" applyFill="1" applyBorder="1" applyAlignment="1">
      <alignment horizontal="center" vertical="top"/>
    </xf>
    <xf numFmtId="0" fontId="27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right"/>
    </xf>
    <xf numFmtId="0" fontId="28" fillId="15" borderId="0" xfId="0" applyFont="1" applyFill="1" applyBorder="1"/>
    <xf numFmtId="0" fontId="27" fillId="14" borderId="15" xfId="0" applyFont="1" applyFill="1" applyBorder="1"/>
    <xf numFmtId="0" fontId="28" fillId="14" borderId="45" xfId="0" applyFont="1" applyFill="1" applyBorder="1"/>
    <xf numFmtId="0" fontId="28" fillId="14" borderId="10" xfId="0" applyFont="1" applyFill="1" applyBorder="1"/>
    <xf numFmtId="0" fontId="28" fillId="15" borderId="16" xfId="0" applyFont="1" applyFill="1" applyBorder="1"/>
    <xf numFmtId="0" fontId="28" fillId="15" borderId="60" xfId="0" applyFont="1" applyFill="1" applyBorder="1"/>
    <xf numFmtId="0" fontId="27" fillId="0" borderId="16" xfId="0" applyFont="1" applyFill="1" applyBorder="1" applyAlignment="1">
      <alignment horizontal="left"/>
    </xf>
    <xf numFmtId="0" fontId="27" fillId="0" borderId="16" xfId="0" applyFont="1" applyFill="1" applyBorder="1" applyAlignment="1">
      <alignment horizontal="left"/>
    </xf>
    <xf numFmtId="0" fontId="28" fillId="0" borderId="16" xfId="0" applyFont="1" applyFill="1" applyBorder="1"/>
    <xf numFmtId="0" fontId="28" fillId="0" borderId="5" xfId="0" applyFont="1" applyBorder="1"/>
    <xf numFmtId="0" fontId="28" fillId="0" borderId="58" xfId="0" applyFont="1" applyBorder="1"/>
    <xf numFmtId="0" fontId="28" fillId="0" borderId="59" xfId="0" applyFont="1" applyBorder="1"/>
    <xf numFmtId="0" fontId="28" fillId="20" borderId="60" xfId="0" applyFont="1" applyFill="1" applyBorder="1" applyAlignment="1">
      <alignment horizontal="left"/>
    </xf>
    <xf numFmtId="0" fontId="28" fillId="20" borderId="60" xfId="0" applyFont="1" applyFill="1" applyBorder="1"/>
  </cellXfs>
  <cellStyles count="348">
    <cellStyle name="Bad" xfId="344" builtinId="27"/>
    <cellStyle name="Check Cell" xfId="342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Good" xfId="34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/>
    <cellStyle name="Neutral" xfId="343" builtinId="28"/>
    <cellStyle name="Normal" xfId="0" builtinId="0"/>
    <cellStyle name="Note" xfId="346" builtinId="10"/>
    <cellStyle name="Output" xfId="345" builtinId="2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856F961-340A-11D0-A96B-00C04FD705A2}" ax:persistence="persistPropertyBag">
  <ax:ocxPr ax:name="ExtentX" ax:value="21"/>
  <ax:ocxPr ax:name="ExtentY" ax:value="21"/>
  <ax:ocxPr ax:name="ViewMode" ax:value="0"/>
  <ax:ocxPr ax:name="Offline" ax:value="0"/>
  <ax:ocxPr ax:name="Silent" ax:value="0"/>
  <ax:ocxPr ax:name="RegisterAsBrowser" ax:value="0"/>
  <ax:ocxPr ax:name="RegisterAsDropTarget" ax:value="1"/>
  <ax:ocxPr ax:name="AutoArrange" ax:value="0"/>
  <ax:ocxPr ax:name="NoClientEdge" ax:value="0"/>
  <ax:ocxPr ax:name="AlignLeft" ax:value="0"/>
  <ax:ocxPr ax:name="NoWebView" ax:value="0"/>
  <ax:ocxPr ax:name="HideFileNames" ax:value="0"/>
  <ax:ocxPr ax:name="SingleClick" ax:value="0"/>
  <ax:ocxPr ax:name="SingleSelection" ax:value="0"/>
  <ax:ocxPr ax:name="NoFolders" ax:value="0"/>
  <ax:ocxPr ax:name="Transparent" ax:value="0"/>
  <ax:ocxPr ax:name="ViewID" ax:value="{0057D0E0-3573-11CF-AE69-08002B2E1262}"/>
  <ax:ocxPr ax:name="Location" ax:value="http://maps.google.com,au/maps?f=q&amp;source=s_q&amp;hl=en&amp;gecode=&amp;q=Niketan+Dhaka+Bangladesh"/>
</ax:ocx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173614327620841"/>
          <c:y val="0.11945423021280825"/>
          <c:w val="0.54672379187895626"/>
          <c:h val="0.76109153957439024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Compilation_Equal!$AB$12:$AB$41</c:f>
              <c:strCache>
                <c:ptCount val="30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I10</c:v>
                </c:pt>
                <c:pt idx="10">
                  <c:v>I11</c:v>
                </c:pt>
                <c:pt idx="11">
                  <c:v>I12</c:v>
                </c:pt>
                <c:pt idx="12">
                  <c:v>I13</c:v>
                </c:pt>
                <c:pt idx="13">
                  <c:v>I14</c:v>
                </c:pt>
                <c:pt idx="14">
                  <c:v>I15</c:v>
                </c:pt>
                <c:pt idx="15">
                  <c:v>I16</c:v>
                </c:pt>
                <c:pt idx="16">
                  <c:v>I17</c:v>
                </c:pt>
                <c:pt idx="17">
                  <c:v>I18</c:v>
                </c:pt>
                <c:pt idx="18">
                  <c:v>I19</c:v>
                </c:pt>
                <c:pt idx="19">
                  <c:v>I20</c:v>
                </c:pt>
                <c:pt idx="20">
                  <c:v>I21</c:v>
                </c:pt>
                <c:pt idx="21">
                  <c:v>I22</c:v>
                </c:pt>
                <c:pt idx="22">
                  <c:v>I23</c:v>
                </c:pt>
                <c:pt idx="23">
                  <c:v>I24</c:v>
                </c:pt>
                <c:pt idx="24">
                  <c:v>I25</c:v>
                </c:pt>
                <c:pt idx="25">
                  <c:v>I26</c:v>
                </c:pt>
                <c:pt idx="26">
                  <c:v>I27</c:v>
                </c:pt>
                <c:pt idx="27">
                  <c:v>I28</c:v>
                </c:pt>
                <c:pt idx="28">
                  <c:v>I29</c:v>
                </c:pt>
                <c:pt idx="29">
                  <c:v>I30</c:v>
                </c:pt>
              </c:strCache>
            </c:strRef>
          </c:cat>
          <c:val>
            <c:numRef>
              <c:f>Compilation_Equal!$AH$12:$AH$41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50688"/>
        <c:axId val="226848448"/>
      </c:radarChart>
      <c:catAx>
        <c:axId val="2268506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26848448"/>
        <c:crosses val="autoZero"/>
        <c:auto val="1"/>
        <c:lblAlgn val="ctr"/>
        <c:lblOffset val="100"/>
        <c:noMultiLvlLbl val="0"/>
      </c:catAx>
      <c:valAx>
        <c:axId val="226848448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cross"/>
        <c:minorTickMark val="none"/>
        <c:tickLblPos val="low"/>
        <c:txPr>
          <a:bodyPr/>
          <a:lstStyle/>
          <a:p>
            <a:pPr>
              <a:defRPr sz="700" b="1"/>
            </a:pPr>
            <a:endParaRPr lang="en-US"/>
          </a:p>
        </c:txPr>
        <c:crossAx val="226850688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0058877775425E-2"/>
          <c:y val="7.4314054116730213E-2"/>
          <c:w val="0.77327524633191913"/>
          <c:h val="0.55432807344865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Compilation_Equal!$AH$42</c:f>
              <c:strCache>
                <c:ptCount val="1"/>
                <c:pt idx="0">
                  <c:v>SUM MIN</c:v>
                </c:pt>
              </c:strCache>
            </c:strRef>
          </c:tx>
          <c:invertIfNegative val="0"/>
          <c:cat>
            <c:strRef>
              <c:f>Compilation_Equal!$AI$11:$AK$11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Compilation_Equal!$AI$42:$AK$42</c:f>
              <c:numCache>
                <c:formatCode>0.00</c:formatCode>
                <c:ptCount val="3"/>
                <c:pt idx="0">
                  <c:v>0.16805555555555554</c:v>
                </c:pt>
                <c:pt idx="1">
                  <c:v>0.17391304347826086</c:v>
                </c:pt>
                <c:pt idx="2">
                  <c:v>0.19999999999999998</c:v>
                </c:pt>
              </c:numCache>
            </c:numRef>
          </c:val>
        </c:ser>
        <c:ser>
          <c:idx val="1"/>
          <c:order val="1"/>
          <c:tx>
            <c:strRef>
              <c:f>Compilation_Equal!$AH$43</c:f>
              <c:strCache>
                <c:ptCount val="1"/>
                <c:pt idx="0">
                  <c:v>SUM MAX</c:v>
                </c:pt>
              </c:strCache>
            </c:strRef>
          </c:tx>
          <c:invertIfNegative val="0"/>
          <c:cat>
            <c:strRef>
              <c:f>Compilation_Equal!$AI$11:$AK$11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Compilation_Equal!$AI$43:$AK$43</c:f>
              <c:numCache>
                <c:formatCode>0.00</c:formatCode>
                <c:ptCount val="3"/>
                <c:pt idx="0">
                  <c:v>0.34027777777777779</c:v>
                </c:pt>
                <c:pt idx="1">
                  <c:v>0.2608695652173913</c:v>
                </c:pt>
                <c:pt idx="2">
                  <c:v>0.23333333333333331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157360"/>
        <c:axId val="229157920"/>
      </c:barChart>
      <c:catAx>
        <c:axId val="22915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157920"/>
        <c:crosses val="autoZero"/>
        <c:auto val="1"/>
        <c:lblAlgn val="ctr"/>
        <c:lblOffset val="100"/>
        <c:noMultiLvlLbl val="0"/>
      </c:catAx>
      <c:valAx>
        <c:axId val="2291579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29157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653758444129106"/>
          <c:y val="0.83735858448728351"/>
          <c:w val="0.58952755905511756"/>
          <c:h val="0.15361960568882391"/>
        </c:manualLayout>
      </c:layout>
      <c:overlay val="0"/>
      <c:txPr>
        <a:bodyPr/>
        <a:lstStyle/>
        <a:p>
          <a:pPr rtl="0"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Compilation_Expert!$AB$12:$AB$41</c:f>
              <c:strCache>
                <c:ptCount val="30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I10</c:v>
                </c:pt>
                <c:pt idx="10">
                  <c:v>I11</c:v>
                </c:pt>
                <c:pt idx="11">
                  <c:v>I12</c:v>
                </c:pt>
                <c:pt idx="12">
                  <c:v>I13</c:v>
                </c:pt>
                <c:pt idx="13">
                  <c:v>I14</c:v>
                </c:pt>
                <c:pt idx="14">
                  <c:v>I15</c:v>
                </c:pt>
                <c:pt idx="15">
                  <c:v>I16</c:v>
                </c:pt>
                <c:pt idx="16">
                  <c:v>I17</c:v>
                </c:pt>
                <c:pt idx="17">
                  <c:v>I18</c:v>
                </c:pt>
                <c:pt idx="18">
                  <c:v>I19</c:v>
                </c:pt>
                <c:pt idx="19">
                  <c:v>I20</c:v>
                </c:pt>
                <c:pt idx="20">
                  <c:v>I21</c:v>
                </c:pt>
                <c:pt idx="21">
                  <c:v>I22</c:v>
                </c:pt>
                <c:pt idx="22">
                  <c:v>I23</c:v>
                </c:pt>
                <c:pt idx="23">
                  <c:v>I24</c:v>
                </c:pt>
                <c:pt idx="24">
                  <c:v>I25</c:v>
                </c:pt>
                <c:pt idx="25">
                  <c:v>I26</c:v>
                </c:pt>
                <c:pt idx="26">
                  <c:v>I27</c:v>
                </c:pt>
                <c:pt idx="27">
                  <c:v>I28</c:v>
                </c:pt>
                <c:pt idx="28">
                  <c:v>I29</c:v>
                </c:pt>
                <c:pt idx="29">
                  <c:v>I30</c:v>
                </c:pt>
              </c:strCache>
            </c:strRef>
          </c:cat>
          <c:val>
            <c:numRef>
              <c:f>Compilation_Expert!$AH$12:$AH$41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65392"/>
        <c:axId val="226365952"/>
      </c:radarChart>
      <c:catAx>
        <c:axId val="22636539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26365952"/>
        <c:crosses val="autoZero"/>
        <c:auto val="1"/>
        <c:lblAlgn val="ctr"/>
        <c:lblOffset val="100"/>
        <c:noMultiLvlLbl val="0"/>
      </c:catAx>
      <c:valAx>
        <c:axId val="226365952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26365392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0058877775425E-2"/>
          <c:y val="7.4314054116730213E-2"/>
          <c:w val="0.78420427481287069"/>
          <c:h val="0.55432807344865065"/>
        </c:manualLayout>
      </c:layout>
      <c:lineChart>
        <c:grouping val="stacked"/>
        <c:varyColors val="0"/>
        <c:ser>
          <c:idx val="0"/>
          <c:order val="0"/>
          <c:tx>
            <c:strRef>
              <c:f>Compilation_Expert!$AH$42</c:f>
              <c:strCache>
                <c:ptCount val="1"/>
                <c:pt idx="0">
                  <c:v>SUM MIN</c:v>
                </c:pt>
              </c:strCache>
            </c:strRef>
          </c:tx>
          <c:marker>
            <c:symbol val="none"/>
          </c:marker>
          <c:cat>
            <c:strRef>
              <c:f>Compilation_Expert!$AI$11:$AK$11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Compilation_Expert!$AI$42:$AK$42</c:f>
              <c:numCache>
                <c:formatCode>0.00</c:formatCode>
                <c:ptCount val="3"/>
                <c:pt idx="0">
                  <c:v>6.3366666666666668E-2</c:v>
                </c:pt>
                <c:pt idx="1">
                  <c:v>0.1205</c:v>
                </c:pt>
                <c:pt idx="2">
                  <c:v>0.17699999999999999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Compilation_Expert!$AH$43</c:f>
              <c:strCache>
                <c:ptCount val="1"/>
                <c:pt idx="0">
                  <c:v>SUM MAX</c:v>
                </c:pt>
              </c:strCache>
            </c:strRef>
          </c:tx>
          <c:marker>
            <c:symbol val="none"/>
          </c:marker>
          <c:cat>
            <c:strRef>
              <c:f>Compilation_Expert!$AI$11:$AK$11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Compilation_Expert!$AI$43:$AK$43</c:f>
              <c:numCache>
                <c:formatCode>0.00</c:formatCode>
                <c:ptCount val="3"/>
                <c:pt idx="0">
                  <c:v>0.46183333333333337</c:v>
                </c:pt>
                <c:pt idx="1">
                  <c:v>0.26550000000000001</c:v>
                </c:pt>
                <c:pt idx="2">
                  <c:v>0.20200000000000001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68752"/>
        <c:axId val="226369312"/>
      </c:lineChart>
      <c:catAx>
        <c:axId val="22636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369312"/>
        <c:crosses val="autoZero"/>
        <c:auto val="1"/>
        <c:lblAlgn val="ctr"/>
        <c:lblOffset val="100"/>
        <c:noMultiLvlLbl val="0"/>
      </c:catAx>
      <c:valAx>
        <c:axId val="2263693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2636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026151434041039"/>
          <c:y val="0.85066900604816587"/>
          <c:w val="0.64950495049504964"/>
          <c:h val="0.14933099395184299"/>
        </c:manualLayout>
      </c:layout>
      <c:overlay val="0"/>
      <c:txPr>
        <a:bodyPr/>
        <a:lstStyle/>
        <a:p>
          <a:pPr rtl="0">
            <a:defRPr sz="800"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0058877775425E-2"/>
          <c:y val="7.4314054116730269E-2"/>
          <c:w val="0.77327524633191935"/>
          <c:h val="0.55432807344865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Compilation_Expert!$AH$42</c:f>
              <c:strCache>
                <c:ptCount val="1"/>
                <c:pt idx="0">
                  <c:v>SUM MIN</c:v>
                </c:pt>
              </c:strCache>
            </c:strRef>
          </c:tx>
          <c:invertIfNegative val="0"/>
          <c:cat>
            <c:strRef>
              <c:f>Compilation_Expert!$AI$11:$AK$11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Compilation_Expert!$AI$42:$AK$42</c:f>
              <c:numCache>
                <c:formatCode>0.00</c:formatCode>
                <c:ptCount val="3"/>
                <c:pt idx="0">
                  <c:v>6.3366666666666668E-2</c:v>
                </c:pt>
                <c:pt idx="1">
                  <c:v>0.1205</c:v>
                </c:pt>
                <c:pt idx="2">
                  <c:v>0.17699999999999999</c:v>
                </c:pt>
              </c:numCache>
            </c:numRef>
          </c:val>
        </c:ser>
        <c:ser>
          <c:idx val="1"/>
          <c:order val="1"/>
          <c:tx>
            <c:strRef>
              <c:f>Compilation_Expert!$AH$43</c:f>
              <c:strCache>
                <c:ptCount val="1"/>
                <c:pt idx="0">
                  <c:v>SUM MAX</c:v>
                </c:pt>
              </c:strCache>
            </c:strRef>
          </c:tx>
          <c:invertIfNegative val="0"/>
          <c:cat>
            <c:strRef>
              <c:f>Compilation_Expert!$AI$11:$AK$11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Compilation_Expert!$AI$43:$AK$43</c:f>
              <c:numCache>
                <c:formatCode>0.00</c:formatCode>
                <c:ptCount val="3"/>
                <c:pt idx="0">
                  <c:v>0.46183333333333337</c:v>
                </c:pt>
                <c:pt idx="1">
                  <c:v>0.26550000000000001</c:v>
                </c:pt>
                <c:pt idx="2">
                  <c:v>0.20200000000000001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372672"/>
        <c:axId val="226373232"/>
      </c:barChart>
      <c:catAx>
        <c:axId val="22637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373232"/>
        <c:crosses val="autoZero"/>
        <c:auto val="1"/>
        <c:lblAlgn val="ctr"/>
        <c:lblOffset val="100"/>
        <c:noMultiLvlLbl val="0"/>
      </c:catAx>
      <c:valAx>
        <c:axId val="2263732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2637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65375844412912"/>
          <c:y val="0.83735858448728351"/>
          <c:w val="0.58952755905511756"/>
          <c:h val="0.15361960568882391"/>
        </c:manualLayout>
      </c:layout>
      <c:overlay val="0"/>
      <c:txPr>
        <a:bodyPr/>
        <a:lstStyle/>
        <a:p>
          <a:pPr rtl="0"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33759694065393E-2"/>
          <c:y val="9.2761590285085363E-2"/>
          <c:w val="0.90182717544922253"/>
          <c:h val="0.6174957968963557"/>
        </c:manualLayout>
      </c:layout>
      <c:lineChart>
        <c:grouping val="stacked"/>
        <c:varyColors val="0"/>
        <c:ser>
          <c:idx val="0"/>
          <c:order val="0"/>
          <c:tx>
            <c:v>Category weighted</c:v>
          </c:tx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</c:spPr>
          </c:marker>
          <c:cat>
            <c:strRef>
              <c:f>Compilation_Equal!$AC$12:$AC$41</c:f>
              <c:strCache>
                <c:ptCount val="30"/>
                <c:pt idx="0">
                  <c:v>MAX</c:v>
                </c:pt>
                <c:pt idx="1">
                  <c:v>MIN</c:v>
                </c:pt>
                <c:pt idx="2">
                  <c:v>MAX</c:v>
                </c:pt>
                <c:pt idx="3">
                  <c:v>MAX</c:v>
                </c:pt>
                <c:pt idx="4">
                  <c:v>MIN</c:v>
                </c:pt>
                <c:pt idx="5">
                  <c:v>MAX</c:v>
                </c:pt>
                <c:pt idx="6">
                  <c:v>MIN</c:v>
                </c:pt>
                <c:pt idx="7">
                  <c:v>MAX</c:v>
                </c:pt>
                <c:pt idx="8">
                  <c:v>MAX</c:v>
                </c:pt>
                <c:pt idx="9">
                  <c:v>MAX</c:v>
                </c:pt>
                <c:pt idx="10">
                  <c:v>MAX</c:v>
                </c:pt>
                <c:pt idx="11">
                  <c:v>MIN</c:v>
                </c:pt>
                <c:pt idx="12">
                  <c:v>MIN</c:v>
                </c:pt>
                <c:pt idx="13">
                  <c:v>MAX</c:v>
                </c:pt>
                <c:pt idx="14">
                  <c:v>MAX</c:v>
                </c:pt>
                <c:pt idx="15">
                  <c:v>MAX</c:v>
                </c:pt>
                <c:pt idx="16">
                  <c:v>MAX</c:v>
                </c:pt>
                <c:pt idx="17">
                  <c:v>MIN</c:v>
                </c:pt>
                <c:pt idx="18">
                  <c:v>MAX</c:v>
                </c:pt>
                <c:pt idx="19">
                  <c:v>MAX</c:v>
                </c:pt>
                <c:pt idx="20">
                  <c:v>MAX</c:v>
                </c:pt>
                <c:pt idx="21">
                  <c:v>MIN</c:v>
                </c:pt>
                <c:pt idx="22">
                  <c:v>MIN</c:v>
                </c:pt>
                <c:pt idx="23">
                  <c:v>MIN</c:v>
                </c:pt>
                <c:pt idx="24">
                  <c:v>MIN</c:v>
                </c:pt>
                <c:pt idx="25">
                  <c:v>MIN</c:v>
                </c:pt>
                <c:pt idx="26">
                  <c:v>MIN</c:v>
                </c:pt>
                <c:pt idx="27">
                  <c:v>MIN</c:v>
                </c:pt>
                <c:pt idx="28">
                  <c:v>MIN</c:v>
                </c:pt>
                <c:pt idx="29">
                  <c:v>MAX</c:v>
                </c:pt>
              </c:strCache>
            </c:strRef>
          </c:cat>
          <c:val>
            <c:numRef>
              <c:f>Compilation_Expert!$AI$12:$AI$41</c:f>
              <c:numCache>
                <c:formatCode>0.0000</c:formatCode>
                <c:ptCount val="30"/>
                <c:pt idx="0">
                  <c:v>4.8000000000000004E-3</c:v>
                </c:pt>
                <c:pt idx="1">
                  <c:v>4.8000000000000004E-3</c:v>
                </c:pt>
                <c:pt idx="2">
                  <c:v>0</c:v>
                </c:pt>
                <c:pt idx="3">
                  <c:v>4.8000000000000004E-3</c:v>
                </c:pt>
                <c:pt idx="4">
                  <c:v>2.4000000000000002E-3</c:v>
                </c:pt>
                <c:pt idx="5">
                  <c:v>2.4000000000000002E-3</c:v>
                </c:pt>
                <c:pt idx="6">
                  <c:v>1.4666666666666666E-2</c:v>
                </c:pt>
                <c:pt idx="7">
                  <c:v>0</c:v>
                </c:pt>
                <c:pt idx="8">
                  <c:v>7.3333333333333332E-3</c:v>
                </c:pt>
                <c:pt idx="9">
                  <c:v>0</c:v>
                </c:pt>
                <c:pt idx="10">
                  <c:v>2.1000000000000001E-2</c:v>
                </c:pt>
                <c:pt idx="11">
                  <c:v>2.1000000000000001E-2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2.0500000000000001E-2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1.025E-2</c:v>
                </c:pt>
                <c:pt idx="26">
                  <c:v>1.025E-2</c:v>
                </c:pt>
                <c:pt idx="27">
                  <c:v>0</c:v>
                </c:pt>
                <c:pt idx="28">
                  <c:v>0</c:v>
                </c:pt>
                <c:pt idx="29">
                  <c:v>0.40100000000000002</c:v>
                </c:pt>
              </c:numCache>
            </c:numRef>
          </c:val>
          <c:smooth val="0"/>
        </c:ser>
        <c:ser>
          <c:idx val="1"/>
          <c:order val="1"/>
          <c:tx>
            <c:v>Criteria weighted</c:v>
          </c:tx>
          <c:marker>
            <c:symbol val="square"/>
            <c:size val="3"/>
          </c:marker>
          <c:val>
            <c:numRef>
              <c:f>Compilation_Expert!$AJ$12:$AJ$41</c:f>
              <c:numCache>
                <c:formatCode>0.0000</c:formatCode>
                <c:ptCount val="30"/>
                <c:pt idx="0">
                  <c:v>6.0000000000000001E-3</c:v>
                </c:pt>
                <c:pt idx="1">
                  <c:v>1.2E-2</c:v>
                </c:pt>
                <c:pt idx="2">
                  <c:v>0</c:v>
                </c:pt>
                <c:pt idx="3">
                  <c:v>1.7999999999999999E-2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</c:v>
                </c:pt>
                <c:pt idx="8">
                  <c:v>1.55E-2</c:v>
                </c:pt>
                <c:pt idx="9">
                  <c:v>0</c:v>
                </c:pt>
                <c:pt idx="10">
                  <c:v>3.3000000000000002E-2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4.5999999999999999E-2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2.6749999999999999E-2</c:v>
                </c:pt>
                <c:pt idx="26">
                  <c:v>2.6749999999999999E-2</c:v>
                </c:pt>
                <c:pt idx="27">
                  <c:v>0</c:v>
                </c:pt>
                <c:pt idx="28">
                  <c:v>0</c:v>
                </c:pt>
                <c:pt idx="29">
                  <c:v>0.13700000000000001</c:v>
                </c:pt>
              </c:numCache>
            </c:numRef>
          </c:val>
          <c:smooth val="0"/>
        </c:ser>
        <c:ser>
          <c:idx val="2"/>
          <c:order val="2"/>
          <c:tx>
            <c:v>Indicator weighted</c:v>
          </c:tx>
          <c:marker>
            <c:symbol val="triangle"/>
            <c:size val="4"/>
          </c:marker>
          <c:val>
            <c:numRef>
              <c:f>Compilation_Expert!$AK$12:$AK$41</c:f>
              <c:numCache>
                <c:formatCode>0.0000</c:formatCode>
                <c:ptCount val="30"/>
                <c:pt idx="0">
                  <c:v>8.9999999999999993E-3</c:v>
                </c:pt>
                <c:pt idx="1">
                  <c:v>1.6E-2</c:v>
                </c:pt>
                <c:pt idx="2">
                  <c:v>0</c:v>
                </c:pt>
                <c:pt idx="3">
                  <c:v>0.01</c:v>
                </c:pt>
                <c:pt idx="4">
                  <c:v>1.7999999999999999E-2</c:v>
                </c:pt>
                <c:pt idx="5">
                  <c:v>1.4E-2</c:v>
                </c:pt>
                <c:pt idx="6">
                  <c:v>1.4E-2</c:v>
                </c:pt>
                <c:pt idx="7">
                  <c:v>0</c:v>
                </c:pt>
                <c:pt idx="8">
                  <c:v>1.7999999999999999E-2</c:v>
                </c:pt>
                <c:pt idx="9">
                  <c:v>0</c:v>
                </c:pt>
                <c:pt idx="10">
                  <c:v>8.9999999999999993E-3</c:v>
                </c:pt>
                <c:pt idx="11">
                  <c:v>1.6E-2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4.2000000000000003E-2</c:v>
                </c:pt>
                <c:pt idx="26">
                  <c:v>7.0999999999999994E-2</c:v>
                </c:pt>
                <c:pt idx="27">
                  <c:v>0</c:v>
                </c:pt>
                <c:pt idx="28">
                  <c:v>0</c:v>
                </c:pt>
                <c:pt idx="29">
                  <c:v>0.10299999999999999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77152"/>
        <c:axId val="226377712"/>
      </c:lineChart>
      <c:catAx>
        <c:axId val="226377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en-US"/>
          </a:p>
        </c:txPr>
        <c:crossAx val="226377712"/>
        <c:crosses val="autoZero"/>
        <c:auto val="1"/>
        <c:lblAlgn val="ctr"/>
        <c:lblOffset val="100"/>
        <c:noMultiLvlLbl val="0"/>
      </c:catAx>
      <c:valAx>
        <c:axId val="226377712"/>
        <c:scaling>
          <c:orientation val="minMax"/>
          <c:max val="0.4"/>
          <c:min val="0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6377152"/>
        <c:crosses val="autoZero"/>
        <c:crossBetween val="between"/>
        <c:majorUnit val="0.1"/>
        <c:minorUnit val="4.0000000000000022E-2"/>
      </c:valAx>
      <c:spPr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9772573071223407"/>
          <c:y val="0.87647531961730585"/>
          <c:w val="0.56884362668953214"/>
          <c:h val="0.12033274066548239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Compilation_Hybird!$AB$12:$AB$41</c:f>
              <c:strCache>
                <c:ptCount val="30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I10</c:v>
                </c:pt>
                <c:pt idx="10">
                  <c:v>I11</c:v>
                </c:pt>
                <c:pt idx="11">
                  <c:v>I12</c:v>
                </c:pt>
                <c:pt idx="12">
                  <c:v>I13</c:v>
                </c:pt>
                <c:pt idx="13">
                  <c:v>I14</c:v>
                </c:pt>
                <c:pt idx="14">
                  <c:v>I15</c:v>
                </c:pt>
                <c:pt idx="15">
                  <c:v>I16</c:v>
                </c:pt>
                <c:pt idx="16">
                  <c:v>I17</c:v>
                </c:pt>
                <c:pt idx="17">
                  <c:v>I18</c:v>
                </c:pt>
                <c:pt idx="18">
                  <c:v>I19</c:v>
                </c:pt>
                <c:pt idx="19">
                  <c:v>I20</c:v>
                </c:pt>
                <c:pt idx="20">
                  <c:v>I21</c:v>
                </c:pt>
                <c:pt idx="21">
                  <c:v>I22</c:v>
                </c:pt>
                <c:pt idx="22">
                  <c:v>I23</c:v>
                </c:pt>
                <c:pt idx="23">
                  <c:v>I24</c:v>
                </c:pt>
                <c:pt idx="24">
                  <c:v>I25</c:v>
                </c:pt>
                <c:pt idx="25">
                  <c:v>I26</c:v>
                </c:pt>
                <c:pt idx="26">
                  <c:v>I27</c:v>
                </c:pt>
                <c:pt idx="27">
                  <c:v>I28</c:v>
                </c:pt>
                <c:pt idx="28">
                  <c:v>I29</c:v>
                </c:pt>
                <c:pt idx="29">
                  <c:v>I30</c:v>
                </c:pt>
              </c:strCache>
            </c:strRef>
          </c:cat>
          <c:val>
            <c:numRef>
              <c:f>Compilation_Hybird!$AH$12:$AH$41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79952"/>
        <c:axId val="228872176"/>
      </c:radarChart>
      <c:catAx>
        <c:axId val="2263799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28872176"/>
        <c:crosses val="autoZero"/>
        <c:auto val="1"/>
        <c:lblAlgn val="ctr"/>
        <c:lblOffset val="100"/>
        <c:noMultiLvlLbl val="0"/>
      </c:catAx>
      <c:valAx>
        <c:axId val="228872176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26379952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0058877775425E-2"/>
          <c:y val="7.4314054116730269E-2"/>
          <c:w val="0.78420427481287069"/>
          <c:h val="0.55432807344865065"/>
        </c:manualLayout>
      </c:layout>
      <c:lineChart>
        <c:grouping val="stacked"/>
        <c:varyColors val="0"/>
        <c:ser>
          <c:idx val="0"/>
          <c:order val="0"/>
          <c:tx>
            <c:strRef>
              <c:f>Compilation_Hybird!$AH$42</c:f>
              <c:strCache>
                <c:ptCount val="1"/>
                <c:pt idx="0">
                  <c:v>SUM MIN</c:v>
                </c:pt>
              </c:strCache>
            </c:strRef>
          </c:tx>
          <c:marker>
            <c:symbol val="none"/>
          </c:marker>
          <c:cat>
            <c:strRef>
              <c:f>Compilation_Hybird!$AI$11:$AK$11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Compilation_Hybird!$AI$42:$AK$42</c:f>
              <c:numCache>
                <c:formatCode>0.00</c:formatCode>
                <c:ptCount val="3"/>
                <c:pt idx="0">
                  <c:v>0.1157111111111111</c:v>
                </c:pt>
                <c:pt idx="1">
                  <c:v>0.14720652173913043</c:v>
                </c:pt>
                <c:pt idx="2">
                  <c:v>0.19999999999999998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Compilation_Hybird!$AH$43</c:f>
              <c:strCache>
                <c:ptCount val="1"/>
                <c:pt idx="0">
                  <c:v>SUM MAX</c:v>
                </c:pt>
              </c:strCache>
            </c:strRef>
          </c:tx>
          <c:marker>
            <c:symbol val="none"/>
          </c:marker>
          <c:cat>
            <c:strRef>
              <c:f>Compilation_Hybird!$AI$11:$AK$11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Compilation_Hybird!$AI$43:$AK$43</c:f>
              <c:numCache>
                <c:formatCode>0.00</c:formatCode>
                <c:ptCount val="3"/>
                <c:pt idx="0">
                  <c:v>0.40105555555555555</c:v>
                </c:pt>
                <c:pt idx="1">
                  <c:v>0.26318478260869566</c:v>
                </c:pt>
                <c:pt idx="2">
                  <c:v>0.23333333333333331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74976"/>
        <c:axId val="228875536"/>
      </c:lineChart>
      <c:catAx>
        <c:axId val="2288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875536"/>
        <c:crosses val="autoZero"/>
        <c:auto val="1"/>
        <c:lblAlgn val="ctr"/>
        <c:lblOffset val="100"/>
        <c:noMultiLvlLbl val="0"/>
      </c:catAx>
      <c:valAx>
        <c:axId val="22887553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2887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026151434041039"/>
          <c:y val="0.85066900604816631"/>
          <c:w val="0.34697469746975079"/>
          <c:h val="0.14933099395184299"/>
        </c:manualLayout>
      </c:layout>
      <c:overlay val="0"/>
      <c:txPr>
        <a:bodyPr/>
        <a:lstStyle/>
        <a:p>
          <a:pPr rtl="0">
            <a:defRPr sz="800"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0058877775425E-2"/>
          <c:y val="7.4314054116730324E-2"/>
          <c:w val="0.77327524633191969"/>
          <c:h val="0.55432807344865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Compilation_Hybird!$AH$42</c:f>
              <c:strCache>
                <c:ptCount val="1"/>
                <c:pt idx="0">
                  <c:v>SUM MIN</c:v>
                </c:pt>
              </c:strCache>
            </c:strRef>
          </c:tx>
          <c:invertIfNegative val="0"/>
          <c:cat>
            <c:strRef>
              <c:f>Compilation_Hybird!$AI$11:$AK$11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Compilation_Hybird!$AI$42:$AK$42</c:f>
              <c:numCache>
                <c:formatCode>0.00</c:formatCode>
                <c:ptCount val="3"/>
                <c:pt idx="0">
                  <c:v>0.1157111111111111</c:v>
                </c:pt>
                <c:pt idx="1">
                  <c:v>0.14720652173913043</c:v>
                </c:pt>
                <c:pt idx="2">
                  <c:v>0.19999999999999998</c:v>
                </c:pt>
              </c:numCache>
            </c:numRef>
          </c:val>
        </c:ser>
        <c:ser>
          <c:idx val="1"/>
          <c:order val="1"/>
          <c:tx>
            <c:strRef>
              <c:f>Compilation_Hybird!$AH$43</c:f>
              <c:strCache>
                <c:ptCount val="1"/>
                <c:pt idx="0">
                  <c:v>SUM MAX</c:v>
                </c:pt>
              </c:strCache>
            </c:strRef>
          </c:tx>
          <c:invertIfNegative val="0"/>
          <c:cat>
            <c:strRef>
              <c:f>Compilation_Hybird!$AI$11:$AK$11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Compilation_Hybird!$AI$43:$AK$43</c:f>
              <c:numCache>
                <c:formatCode>0.00</c:formatCode>
                <c:ptCount val="3"/>
                <c:pt idx="0">
                  <c:v>0.40105555555555555</c:v>
                </c:pt>
                <c:pt idx="1">
                  <c:v>0.26318478260869566</c:v>
                </c:pt>
                <c:pt idx="2">
                  <c:v>0.23333333333333331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878896"/>
        <c:axId val="228879456"/>
      </c:barChart>
      <c:catAx>
        <c:axId val="22887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879456"/>
        <c:crosses val="autoZero"/>
        <c:auto val="1"/>
        <c:lblAlgn val="ctr"/>
        <c:lblOffset val="100"/>
        <c:noMultiLvlLbl val="0"/>
      </c:catAx>
      <c:valAx>
        <c:axId val="2288794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2887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653758444129131"/>
          <c:y val="0.83735858448728351"/>
          <c:w val="0.58952755905511756"/>
          <c:h val="0.15361960568882391"/>
        </c:manualLayout>
      </c:layout>
      <c:overlay val="0"/>
      <c:txPr>
        <a:bodyPr/>
        <a:lstStyle/>
        <a:p>
          <a:pPr rtl="0"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33759694065393E-2"/>
          <c:y val="9.2761590285085363E-2"/>
          <c:w val="0.90182717544922253"/>
          <c:h val="0.6174957968963557"/>
        </c:manualLayout>
      </c:layout>
      <c:lineChart>
        <c:grouping val="stacked"/>
        <c:varyColors val="0"/>
        <c:ser>
          <c:idx val="0"/>
          <c:order val="0"/>
          <c:tx>
            <c:v>Category weighted</c:v>
          </c:tx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</c:spPr>
          </c:marker>
          <c:cat>
            <c:strRef>
              <c:f>Compilation_Equal!$AC$12:$AC$41</c:f>
              <c:strCache>
                <c:ptCount val="30"/>
                <c:pt idx="0">
                  <c:v>MAX</c:v>
                </c:pt>
                <c:pt idx="1">
                  <c:v>MIN</c:v>
                </c:pt>
                <c:pt idx="2">
                  <c:v>MAX</c:v>
                </c:pt>
                <c:pt idx="3">
                  <c:v>MAX</c:v>
                </c:pt>
                <c:pt idx="4">
                  <c:v>MIN</c:v>
                </c:pt>
                <c:pt idx="5">
                  <c:v>MAX</c:v>
                </c:pt>
                <c:pt idx="6">
                  <c:v>MIN</c:v>
                </c:pt>
                <c:pt idx="7">
                  <c:v>MAX</c:v>
                </c:pt>
                <c:pt idx="8">
                  <c:v>MAX</c:v>
                </c:pt>
                <c:pt idx="9">
                  <c:v>MAX</c:v>
                </c:pt>
                <c:pt idx="10">
                  <c:v>MAX</c:v>
                </c:pt>
                <c:pt idx="11">
                  <c:v>MIN</c:v>
                </c:pt>
                <c:pt idx="12">
                  <c:v>MIN</c:v>
                </c:pt>
                <c:pt idx="13">
                  <c:v>MAX</c:v>
                </c:pt>
                <c:pt idx="14">
                  <c:v>MAX</c:v>
                </c:pt>
                <c:pt idx="15">
                  <c:v>MAX</c:v>
                </c:pt>
                <c:pt idx="16">
                  <c:v>MAX</c:v>
                </c:pt>
                <c:pt idx="17">
                  <c:v>MIN</c:v>
                </c:pt>
                <c:pt idx="18">
                  <c:v>MAX</c:v>
                </c:pt>
                <c:pt idx="19">
                  <c:v>MAX</c:v>
                </c:pt>
                <c:pt idx="20">
                  <c:v>MAX</c:v>
                </c:pt>
                <c:pt idx="21">
                  <c:v>MIN</c:v>
                </c:pt>
                <c:pt idx="22">
                  <c:v>MIN</c:v>
                </c:pt>
                <c:pt idx="23">
                  <c:v>MIN</c:v>
                </c:pt>
                <c:pt idx="24">
                  <c:v>MIN</c:v>
                </c:pt>
                <c:pt idx="25">
                  <c:v>MIN</c:v>
                </c:pt>
                <c:pt idx="26">
                  <c:v>MIN</c:v>
                </c:pt>
                <c:pt idx="27">
                  <c:v>MIN</c:v>
                </c:pt>
                <c:pt idx="28">
                  <c:v>MIN</c:v>
                </c:pt>
                <c:pt idx="29">
                  <c:v>MAX</c:v>
                </c:pt>
              </c:strCache>
            </c:strRef>
          </c:cat>
          <c:val>
            <c:numRef>
              <c:f>Compilation_Expert!$AI$12:$AI$41</c:f>
              <c:numCache>
                <c:formatCode>0.0000</c:formatCode>
                <c:ptCount val="30"/>
                <c:pt idx="0">
                  <c:v>4.8000000000000004E-3</c:v>
                </c:pt>
                <c:pt idx="1">
                  <c:v>4.8000000000000004E-3</c:v>
                </c:pt>
                <c:pt idx="2">
                  <c:v>0</c:v>
                </c:pt>
                <c:pt idx="3">
                  <c:v>4.8000000000000004E-3</c:v>
                </c:pt>
                <c:pt idx="4">
                  <c:v>2.4000000000000002E-3</c:v>
                </c:pt>
                <c:pt idx="5">
                  <c:v>2.4000000000000002E-3</c:v>
                </c:pt>
                <c:pt idx="6">
                  <c:v>1.4666666666666666E-2</c:v>
                </c:pt>
                <c:pt idx="7">
                  <c:v>0</c:v>
                </c:pt>
                <c:pt idx="8">
                  <c:v>7.3333333333333332E-3</c:v>
                </c:pt>
                <c:pt idx="9">
                  <c:v>0</c:v>
                </c:pt>
                <c:pt idx="10">
                  <c:v>2.1000000000000001E-2</c:v>
                </c:pt>
                <c:pt idx="11">
                  <c:v>2.1000000000000001E-2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2.0500000000000001E-2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1.025E-2</c:v>
                </c:pt>
                <c:pt idx="26">
                  <c:v>1.025E-2</c:v>
                </c:pt>
                <c:pt idx="27">
                  <c:v>0</c:v>
                </c:pt>
                <c:pt idx="28">
                  <c:v>0</c:v>
                </c:pt>
                <c:pt idx="29">
                  <c:v>0.40100000000000002</c:v>
                </c:pt>
              </c:numCache>
            </c:numRef>
          </c:val>
          <c:smooth val="0"/>
        </c:ser>
        <c:ser>
          <c:idx val="1"/>
          <c:order val="1"/>
          <c:tx>
            <c:v>Criteria weighted</c:v>
          </c:tx>
          <c:marker>
            <c:symbol val="square"/>
            <c:size val="3"/>
          </c:marker>
          <c:val>
            <c:numRef>
              <c:f>Compilation_Expert!$AJ$12:$AJ$41</c:f>
              <c:numCache>
                <c:formatCode>0.0000</c:formatCode>
                <c:ptCount val="30"/>
                <c:pt idx="0">
                  <c:v>6.0000000000000001E-3</c:v>
                </c:pt>
                <c:pt idx="1">
                  <c:v>1.2E-2</c:v>
                </c:pt>
                <c:pt idx="2">
                  <c:v>0</c:v>
                </c:pt>
                <c:pt idx="3">
                  <c:v>1.7999999999999999E-2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</c:v>
                </c:pt>
                <c:pt idx="8">
                  <c:v>1.55E-2</c:v>
                </c:pt>
                <c:pt idx="9">
                  <c:v>0</c:v>
                </c:pt>
                <c:pt idx="10">
                  <c:v>3.3000000000000002E-2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4.5999999999999999E-2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2.6749999999999999E-2</c:v>
                </c:pt>
                <c:pt idx="26">
                  <c:v>2.6749999999999999E-2</c:v>
                </c:pt>
                <c:pt idx="27">
                  <c:v>0</c:v>
                </c:pt>
                <c:pt idx="28">
                  <c:v>0</c:v>
                </c:pt>
                <c:pt idx="29">
                  <c:v>0.13700000000000001</c:v>
                </c:pt>
              </c:numCache>
            </c:numRef>
          </c:val>
          <c:smooth val="0"/>
        </c:ser>
        <c:ser>
          <c:idx val="2"/>
          <c:order val="2"/>
          <c:tx>
            <c:v>Indicator weighted</c:v>
          </c:tx>
          <c:marker>
            <c:symbol val="triangle"/>
            <c:size val="4"/>
          </c:marker>
          <c:val>
            <c:numRef>
              <c:f>Compilation_Expert!$AK$12:$AK$41</c:f>
              <c:numCache>
                <c:formatCode>0.0000</c:formatCode>
                <c:ptCount val="30"/>
                <c:pt idx="0">
                  <c:v>8.9999999999999993E-3</c:v>
                </c:pt>
                <c:pt idx="1">
                  <c:v>1.6E-2</c:v>
                </c:pt>
                <c:pt idx="2">
                  <c:v>0</c:v>
                </c:pt>
                <c:pt idx="3">
                  <c:v>0.01</c:v>
                </c:pt>
                <c:pt idx="4">
                  <c:v>1.7999999999999999E-2</c:v>
                </c:pt>
                <c:pt idx="5">
                  <c:v>1.4E-2</c:v>
                </c:pt>
                <c:pt idx="6">
                  <c:v>1.4E-2</c:v>
                </c:pt>
                <c:pt idx="7">
                  <c:v>0</c:v>
                </c:pt>
                <c:pt idx="8">
                  <c:v>1.7999999999999999E-2</c:v>
                </c:pt>
                <c:pt idx="9">
                  <c:v>0</c:v>
                </c:pt>
                <c:pt idx="10">
                  <c:v>8.9999999999999993E-3</c:v>
                </c:pt>
                <c:pt idx="11">
                  <c:v>1.6E-2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4.2000000000000003E-2</c:v>
                </c:pt>
                <c:pt idx="26">
                  <c:v>7.0999999999999994E-2</c:v>
                </c:pt>
                <c:pt idx="27">
                  <c:v>0</c:v>
                </c:pt>
                <c:pt idx="28">
                  <c:v>0</c:v>
                </c:pt>
                <c:pt idx="29">
                  <c:v>0.10299999999999999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83376"/>
        <c:axId val="228883936"/>
      </c:lineChart>
      <c:catAx>
        <c:axId val="228883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en-US"/>
          </a:p>
        </c:txPr>
        <c:crossAx val="228883936"/>
        <c:crosses val="autoZero"/>
        <c:auto val="1"/>
        <c:lblAlgn val="ctr"/>
        <c:lblOffset val="100"/>
        <c:noMultiLvlLbl val="0"/>
      </c:catAx>
      <c:valAx>
        <c:axId val="228883936"/>
        <c:scaling>
          <c:orientation val="minMax"/>
          <c:max val="0.4"/>
          <c:min val="0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8883376"/>
        <c:crosses val="autoZero"/>
        <c:crossBetween val="between"/>
        <c:majorUnit val="0.1"/>
        <c:minorUnit val="4.0000000000000022E-2"/>
      </c:valAx>
      <c:spPr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9772573071223418"/>
          <c:y val="0.87647531961730585"/>
          <c:w val="0.5688436266895327"/>
          <c:h val="0.1203327406654824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33759694065393E-2"/>
          <c:y val="9.2761590285085363E-2"/>
          <c:w val="0.90182717544922253"/>
          <c:h val="0.6174957968963557"/>
        </c:manualLayout>
      </c:layout>
      <c:lineChart>
        <c:grouping val="stacked"/>
        <c:varyColors val="0"/>
        <c:ser>
          <c:idx val="0"/>
          <c:order val="0"/>
          <c:tx>
            <c:v>Category weighted</c:v>
          </c:tx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</c:spPr>
          </c:marker>
          <c:cat>
            <c:strRef>
              <c:f>Compilation_Equal!$AC$12:$AC$41</c:f>
              <c:strCache>
                <c:ptCount val="30"/>
                <c:pt idx="0">
                  <c:v>MAX</c:v>
                </c:pt>
                <c:pt idx="1">
                  <c:v>MIN</c:v>
                </c:pt>
                <c:pt idx="2">
                  <c:v>MAX</c:v>
                </c:pt>
                <c:pt idx="3">
                  <c:v>MAX</c:v>
                </c:pt>
                <c:pt idx="4">
                  <c:v>MIN</c:v>
                </c:pt>
                <c:pt idx="5">
                  <c:v>MAX</c:v>
                </c:pt>
                <c:pt idx="6">
                  <c:v>MIN</c:v>
                </c:pt>
                <c:pt idx="7">
                  <c:v>MAX</c:v>
                </c:pt>
                <c:pt idx="8">
                  <c:v>MAX</c:v>
                </c:pt>
                <c:pt idx="9">
                  <c:v>MAX</c:v>
                </c:pt>
                <c:pt idx="10">
                  <c:v>MAX</c:v>
                </c:pt>
                <c:pt idx="11">
                  <c:v>MIN</c:v>
                </c:pt>
                <c:pt idx="12">
                  <c:v>MIN</c:v>
                </c:pt>
                <c:pt idx="13">
                  <c:v>MAX</c:v>
                </c:pt>
                <c:pt idx="14">
                  <c:v>MAX</c:v>
                </c:pt>
                <c:pt idx="15">
                  <c:v>MAX</c:v>
                </c:pt>
                <c:pt idx="16">
                  <c:v>MAX</c:v>
                </c:pt>
                <c:pt idx="17">
                  <c:v>MIN</c:v>
                </c:pt>
                <c:pt idx="18">
                  <c:v>MAX</c:v>
                </c:pt>
                <c:pt idx="19">
                  <c:v>MAX</c:v>
                </c:pt>
                <c:pt idx="20">
                  <c:v>MAX</c:v>
                </c:pt>
                <c:pt idx="21">
                  <c:v>MIN</c:v>
                </c:pt>
                <c:pt idx="22">
                  <c:v>MIN</c:v>
                </c:pt>
                <c:pt idx="23">
                  <c:v>MIN</c:v>
                </c:pt>
                <c:pt idx="24">
                  <c:v>MIN</c:v>
                </c:pt>
                <c:pt idx="25">
                  <c:v>MIN</c:v>
                </c:pt>
                <c:pt idx="26">
                  <c:v>MIN</c:v>
                </c:pt>
                <c:pt idx="27">
                  <c:v>MIN</c:v>
                </c:pt>
                <c:pt idx="28">
                  <c:v>MIN</c:v>
                </c:pt>
                <c:pt idx="29">
                  <c:v>MAX</c:v>
                </c:pt>
              </c:strCache>
            </c:strRef>
          </c:cat>
          <c:val>
            <c:numRef>
              <c:f>Compilation_Expert!$AI$12:$AI$41</c:f>
              <c:numCache>
                <c:formatCode>0.0000</c:formatCode>
                <c:ptCount val="30"/>
                <c:pt idx="0">
                  <c:v>4.8000000000000004E-3</c:v>
                </c:pt>
                <c:pt idx="1">
                  <c:v>4.8000000000000004E-3</c:v>
                </c:pt>
                <c:pt idx="2">
                  <c:v>0</c:v>
                </c:pt>
                <c:pt idx="3">
                  <c:v>4.8000000000000004E-3</c:v>
                </c:pt>
                <c:pt idx="4">
                  <c:v>2.4000000000000002E-3</c:v>
                </c:pt>
                <c:pt idx="5">
                  <c:v>2.4000000000000002E-3</c:v>
                </c:pt>
                <c:pt idx="6">
                  <c:v>1.4666666666666666E-2</c:v>
                </c:pt>
                <c:pt idx="7">
                  <c:v>0</c:v>
                </c:pt>
                <c:pt idx="8">
                  <c:v>7.3333333333333332E-3</c:v>
                </c:pt>
                <c:pt idx="9">
                  <c:v>0</c:v>
                </c:pt>
                <c:pt idx="10">
                  <c:v>2.1000000000000001E-2</c:v>
                </c:pt>
                <c:pt idx="11">
                  <c:v>2.1000000000000001E-2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2.0500000000000001E-2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1.025E-2</c:v>
                </c:pt>
                <c:pt idx="26">
                  <c:v>1.025E-2</c:v>
                </c:pt>
                <c:pt idx="27">
                  <c:v>0</c:v>
                </c:pt>
                <c:pt idx="28">
                  <c:v>0</c:v>
                </c:pt>
                <c:pt idx="29">
                  <c:v>0.40100000000000002</c:v>
                </c:pt>
              </c:numCache>
            </c:numRef>
          </c:val>
          <c:smooth val="0"/>
        </c:ser>
        <c:ser>
          <c:idx val="1"/>
          <c:order val="1"/>
          <c:tx>
            <c:v>Criteria weighted</c:v>
          </c:tx>
          <c:marker>
            <c:symbol val="square"/>
            <c:size val="3"/>
          </c:marker>
          <c:val>
            <c:numRef>
              <c:f>Compilation_Expert!$AJ$12:$AJ$41</c:f>
              <c:numCache>
                <c:formatCode>0.0000</c:formatCode>
                <c:ptCount val="30"/>
                <c:pt idx="0">
                  <c:v>6.0000000000000001E-3</c:v>
                </c:pt>
                <c:pt idx="1">
                  <c:v>1.2E-2</c:v>
                </c:pt>
                <c:pt idx="2">
                  <c:v>0</c:v>
                </c:pt>
                <c:pt idx="3">
                  <c:v>1.7999999999999999E-2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</c:v>
                </c:pt>
                <c:pt idx="8">
                  <c:v>1.55E-2</c:v>
                </c:pt>
                <c:pt idx="9">
                  <c:v>0</c:v>
                </c:pt>
                <c:pt idx="10">
                  <c:v>3.3000000000000002E-2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4.5999999999999999E-2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2.6749999999999999E-2</c:v>
                </c:pt>
                <c:pt idx="26">
                  <c:v>2.6749999999999999E-2</c:v>
                </c:pt>
                <c:pt idx="27">
                  <c:v>0</c:v>
                </c:pt>
                <c:pt idx="28">
                  <c:v>0</c:v>
                </c:pt>
                <c:pt idx="29">
                  <c:v>0.13700000000000001</c:v>
                </c:pt>
              </c:numCache>
            </c:numRef>
          </c:val>
          <c:smooth val="0"/>
        </c:ser>
        <c:ser>
          <c:idx val="2"/>
          <c:order val="2"/>
          <c:tx>
            <c:v>Indicator weighted</c:v>
          </c:tx>
          <c:marker>
            <c:symbol val="triangle"/>
            <c:size val="4"/>
          </c:marker>
          <c:val>
            <c:numRef>
              <c:f>Compilation_Expert!$AK$12:$AK$41</c:f>
              <c:numCache>
                <c:formatCode>0.0000</c:formatCode>
                <c:ptCount val="30"/>
                <c:pt idx="0">
                  <c:v>8.9999999999999993E-3</c:v>
                </c:pt>
                <c:pt idx="1">
                  <c:v>1.6E-2</c:v>
                </c:pt>
                <c:pt idx="2">
                  <c:v>0</c:v>
                </c:pt>
                <c:pt idx="3">
                  <c:v>0.01</c:v>
                </c:pt>
                <c:pt idx="4">
                  <c:v>1.7999999999999999E-2</c:v>
                </c:pt>
                <c:pt idx="5">
                  <c:v>1.4E-2</c:v>
                </c:pt>
                <c:pt idx="6">
                  <c:v>1.4E-2</c:v>
                </c:pt>
                <c:pt idx="7">
                  <c:v>0</c:v>
                </c:pt>
                <c:pt idx="8">
                  <c:v>1.7999999999999999E-2</c:v>
                </c:pt>
                <c:pt idx="9">
                  <c:v>0</c:v>
                </c:pt>
                <c:pt idx="10">
                  <c:v>8.9999999999999993E-3</c:v>
                </c:pt>
                <c:pt idx="11">
                  <c:v>1.6E-2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4.2000000000000003E-2</c:v>
                </c:pt>
                <c:pt idx="26">
                  <c:v>7.0999999999999994E-2</c:v>
                </c:pt>
                <c:pt idx="27">
                  <c:v>0</c:v>
                </c:pt>
                <c:pt idx="28">
                  <c:v>0</c:v>
                </c:pt>
                <c:pt idx="29">
                  <c:v>0.10299999999999999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87296"/>
        <c:axId val="228887856"/>
      </c:lineChart>
      <c:catAx>
        <c:axId val="228887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en-US"/>
          </a:p>
        </c:txPr>
        <c:crossAx val="228887856"/>
        <c:crosses val="autoZero"/>
        <c:auto val="1"/>
        <c:lblAlgn val="ctr"/>
        <c:lblOffset val="100"/>
        <c:noMultiLvlLbl val="0"/>
      </c:catAx>
      <c:valAx>
        <c:axId val="228887856"/>
        <c:scaling>
          <c:orientation val="minMax"/>
          <c:max val="0.4"/>
          <c:min val="0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8887296"/>
        <c:crosses val="autoZero"/>
        <c:crossBetween val="between"/>
        <c:majorUnit val="0.1"/>
        <c:minorUnit val="4.0000000000000022E-2"/>
      </c:valAx>
      <c:spPr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9772573071223418"/>
          <c:y val="0.87647531961730585"/>
          <c:w val="0.5688436266895327"/>
          <c:h val="0.1203327406654824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0148296925649"/>
          <c:y val="3.9457756358041454E-2"/>
          <c:w val="0.86239579815502765"/>
          <c:h val="0.69455863471611501"/>
        </c:manualLayout>
      </c:layout>
      <c:lineChart>
        <c:grouping val="standard"/>
        <c:varyColors val="0"/>
        <c:ser>
          <c:idx val="4"/>
          <c:order val="0"/>
          <c:tx>
            <c:v>Category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Performance_weight!$C$92:$C$94</c:f>
              <c:numCache>
                <c:formatCode>0.00000</c:formatCode>
                <c:ptCount val="3"/>
                <c:pt idx="0">
                  <c:v>0.17222222222222225</c:v>
                </c:pt>
                <c:pt idx="1">
                  <c:v>0.39846666666666669</c:v>
                </c:pt>
                <c:pt idx="2">
                  <c:v>0.28534444444444446</c:v>
                </c:pt>
              </c:numCache>
            </c:numRef>
          </c:val>
          <c:smooth val="0"/>
        </c:ser>
        <c:ser>
          <c:idx val="5"/>
          <c:order val="1"/>
          <c:tx>
            <c:v>Criteria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Performance_weight!$D$92:$D$94</c:f>
              <c:numCache>
                <c:formatCode>0.00000</c:formatCode>
                <c:ptCount val="3"/>
                <c:pt idx="0">
                  <c:v>8.6956521739130432E-2</c:v>
                </c:pt>
                <c:pt idx="1">
                  <c:v>0.14500000000000002</c:v>
                </c:pt>
                <c:pt idx="2">
                  <c:v>0.11597826086956523</c:v>
                </c:pt>
              </c:numCache>
            </c:numRef>
          </c:val>
          <c:smooth val="0"/>
        </c:ser>
        <c:ser>
          <c:idx val="8"/>
          <c:order val="2"/>
          <c:tx>
            <c:v>Indicator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Performance_weight!$E$92:$E$94</c:f>
              <c:numCache>
                <c:formatCode>0.00000</c:formatCode>
                <c:ptCount val="3"/>
                <c:pt idx="0">
                  <c:v>3.3333333333333326E-2</c:v>
                </c:pt>
                <c:pt idx="1">
                  <c:v>2.5000000000000022E-2</c:v>
                </c:pt>
                <c:pt idx="2">
                  <c:v>3.3333333333333326E-2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7216"/>
        <c:axId val="228371584"/>
      </c:lineChart>
      <c:catAx>
        <c:axId val="4431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8371584"/>
        <c:crosses val="autoZero"/>
        <c:auto val="1"/>
        <c:lblAlgn val="ctr"/>
        <c:lblOffset val="100"/>
        <c:noMultiLvlLbl val="0"/>
      </c:catAx>
      <c:valAx>
        <c:axId val="228371584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431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90303751868126958"/>
          <c:w val="0.99654687394844876"/>
          <c:h val="9.294214935461835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8573928259053"/>
          <c:y val="5.5568166591788662E-2"/>
          <c:w val="0.87208108420410235"/>
          <c:h val="0.81767505913613214"/>
        </c:manualLayout>
      </c:layout>
      <c:lineChart>
        <c:grouping val="standard"/>
        <c:varyColors val="0"/>
        <c:ser>
          <c:idx val="0"/>
          <c:order val="0"/>
          <c:tx>
            <c:v>Category (Equal)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val>
            <c:numRef>
              <c:f>Performance_weight!$C$4:$C$9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Category (Expert) 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Performance_weight!$D$4:$D$9</c:f>
              <c:numCache>
                <c:formatCode>General</c:formatCode>
                <c:ptCount val="6"/>
                <c:pt idx="0">
                  <c:v>2.4E-2</c:v>
                </c:pt>
                <c:pt idx="1">
                  <c:v>4.3999999999999997E-2</c:v>
                </c:pt>
                <c:pt idx="2">
                  <c:v>8.4000000000000005E-2</c:v>
                </c:pt>
                <c:pt idx="3">
                  <c:v>0.16400000000000001</c:v>
                </c:pt>
                <c:pt idx="4">
                  <c:v>0.28299999999999997</c:v>
                </c:pt>
                <c:pt idx="5">
                  <c:v>0.40100000000000002</c:v>
                </c:pt>
              </c:numCache>
            </c:numRef>
          </c:val>
          <c:smooth val="0"/>
        </c:ser>
        <c:ser>
          <c:idx val="6"/>
          <c:order val="2"/>
          <c:tx>
            <c:v>Category (Hybird)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val>
            <c:numRef>
              <c:f>Performance_weight!$E$4:$E$9</c:f>
              <c:numCache>
                <c:formatCode>General</c:formatCode>
                <c:ptCount val="6"/>
                <c:pt idx="0">
                  <c:v>9.5333333333333325E-2</c:v>
                </c:pt>
                <c:pt idx="1">
                  <c:v>0.10533333333333333</c:v>
                </c:pt>
                <c:pt idx="2">
                  <c:v>0.12533333333333332</c:v>
                </c:pt>
                <c:pt idx="3">
                  <c:v>0.16533333333333333</c:v>
                </c:pt>
                <c:pt idx="4">
                  <c:v>0.22483333333333333</c:v>
                </c:pt>
                <c:pt idx="5">
                  <c:v>0.28383333333333333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83520"/>
        <c:axId val="231784080"/>
      </c:lineChart>
      <c:catAx>
        <c:axId val="231783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1784080"/>
        <c:crosses val="autoZero"/>
        <c:auto val="1"/>
        <c:lblAlgn val="ctr"/>
        <c:lblOffset val="100"/>
        <c:noMultiLvlLbl val="0"/>
      </c:catAx>
      <c:valAx>
        <c:axId val="23178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178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723332342891238"/>
          <c:y val="4.5467094390979013E-2"/>
          <c:w val="0.86475366876310722"/>
          <c:h val="4.8872687210395525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8573928259057"/>
          <c:y val="5.5568166591788662E-2"/>
          <c:w val="0.87208108420410269"/>
          <c:h val="0.81767505913613237"/>
        </c:manualLayout>
      </c:layout>
      <c:lineChart>
        <c:grouping val="standard"/>
        <c:varyColors val="0"/>
        <c:ser>
          <c:idx val="2"/>
          <c:order val="0"/>
          <c:tx>
            <c:v>Criteria (Equal)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val>
            <c:numRef>
              <c:f>Performance_weight!$C$18:$C$40</c:f>
              <c:numCache>
                <c:formatCode>General</c:formatCode>
                <c:ptCount val="23"/>
                <c:pt idx="0">
                  <c:v>4.3478260869565216E-2</c:v>
                </c:pt>
                <c:pt idx="1">
                  <c:v>4.3478260869565216E-2</c:v>
                </c:pt>
                <c:pt idx="2">
                  <c:v>4.3478260869565216E-2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4.3478260869565216E-2</c:v>
                </c:pt>
                <c:pt idx="6">
                  <c:v>4.3478260869565216E-2</c:v>
                </c:pt>
                <c:pt idx="7">
                  <c:v>4.3478260869565216E-2</c:v>
                </c:pt>
                <c:pt idx="8">
                  <c:v>4.3478260869565216E-2</c:v>
                </c:pt>
                <c:pt idx="9">
                  <c:v>4.3478260869565216E-2</c:v>
                </c:pt>
                <c:pt idx="10">
                  <c:v>4.3478260869565216E-2</c:v>
                </c:pt>
                <c:pt idx="11">
                  <c:v>4.3478260869565216E-2</c:v>
                </c:pt>
                <c:pt idx="12">
                  <c:v>4.3478260869565216E-2</c:v>
                </c:pt>
                <c:pt idx="13">
                  <c:v>4.3478260869565216E-2</c:v>
                </c:pt>
                <c:pt idx="14">
                  <c:v>4.3478260869565216E-2</c:v>
                </c:pt>
                <c:pt idx="15">
                  <c:v>4.3478260869565216E-2</c:v>
                </c:pt>
                <c:pt idx="16">
                  <c:v>4.3478260869565216E-2</c:v>
                </c:pt>
                <c:pt idx="17">
                  <c:v>4.3478260869565216E-2</c:v>
                </c:pt>
                <c:pt idx="18">
                  <c:v>4.3478260869565216E-2</c:v>
                </c:pt>
                <c:pt idx="19">
                  <c:v>4.3478260869565216E-2</c:v>
                </c:pt>
                <c:pt idx="20">
                  <c:v>4.3478260869565216E-2</c:v>
                </c:pt>
                <c:pt idx="21">
                  <c:v>4.3478260869565216E-2</c:v>
                </c:pt>
                <c:pt idx="22">
                  <c:v>4.3478260869565216E-2</c:v>
                </c:pt>
              </c:numCache>
            </c:numRef>
          </c:val>
          <c:smooth val="0"/>
        </c:ser>
        <c:ser>
          <c:idx val="3"/>
          <c:order val="1"/>
          <c:tx>
            <c:v>Criteria (Expert)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Performance_weight!$D$18:$D$40</c:f>
              <c:numCache>
                <c:formatCode>General</c:formatCode>
                <c:ptCount val="23"/>
                <c:pt idx="0">
                  <c:v>6.0000000000000001E-3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1.7999999999999999E-2</c:v>
                </c:pt>
                <c:pt idx="4">
                  <c:v>0.02</c:v>
                </c:pt>
                <c:pt idx="5">
                  <c:v>1.4999999999999999E-2</c:v>
                </c:pt>
                <c:pt idx="6">
                  <c:v>2.4E-2</c:v>
                </c:pt>
                <c:pt idx="7">
                  <c:v>3.1E-2</c:v>
                </c:pt>
                <c:pt idx="8">
                  <c:v>3.3000000000000002E-2</c:v>
                </c:pt>
                <c:pt idx="9">
                  <c:v>0.03</c:v>
                </c:pt>
                <c:pt idx="10">
                  <c:v>2.1999999999999999E-2</c:v>
                </c:pt>
                <c:pt idx="11">
                  <c:v>2.9000000000000001E-2</c:v>
                </c:pt>
                <c:pt idx="12">
                  <c:v>4.3999999999999997E-2</c:v>
                </c:pt>
                <c:pt idx="13">
                  <c:v>4.2000000000000003E-2</c:v>
                </c:pt>
                <c:pt idx="14">
                  <c:v>4.3999999999999997E-2</c:v>
                </c:pt>
                <c:pt idx="15">
                  <c:v>4.5999999999999999E-2</c:v>
                </c:pt>
                <c:pt idx="16">
                  <c:v>5.7000000000000002E-2</c:v>
                </c:pt>
                <c:pt idx="17">
                  <c:v>6.8000000000000005E-2</c:v>
                </c:pt>
                <c:pt idx="18">
                  <c:v>8.9999999999999993E-3</c:v>
                </c:pt>
                <c:pt idx="19">
                  <c:v>6.6000000000000003E-2</c:v>
                </c:pt>
                <c:pt idx="20">
                  <c:v>0.107</c:v>
                </c:pt>
                <c:pt idx="21">
                  <c:v>0.129</c:v>
                </c:pt>
                <c:pt idx="22">
                  <c:v>0.13700000000000001</c:v>
                </c:pt>
              </c:numCache>
            </c:numRef>
          </c:val>
          <c:smooth val="0"/>
        </c:ser>
        <c:ser>
          <c:idx val="7"/>
          <c:order val="2"/>
          <c:tx>
            <c:v>Criteria (Hybird)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val>
            <c:numRef>
              <c:f>Performance_weight!$E$18:$E$40</c:f>
              <c:numCache>
                <c:formatCode>0.00</c:formatCode>
                <c:ptCount val="23"/>
                <c:pt idx="0">
                  <c:v>2.4739130434782607E-2</c:v>
                </c:pt>
                <c:pt idx="1">
                  <c:v>2.7739130434782606E-2</c:v>
                </c:pt>
                <c:pt idx="2">
                  <c:v>2.8239130434782607E-2</c:v>
                </c:pt>
                <c:pt idx="3">
                  <c:v>3.0739130434782609E-2</c:v>
                </c:pt>
                <c:pt idx="4">
                  <c:v>3.173913043478261E-2</c:v>
                </c:pt>
                <c:pt idx="5">
                  <c:v>2.9239130434782608E-2</c:v>
                </c:pt>
                <c:pt idx="6">
                  <c:v>3.3739130434782605E-2</c:v>
                </c:pt>
                <c:pt idx="7">
                  <c:v>3.7239130434782608E-2</c:v>
                </c:pt>
                <c:pt idx="8">
                  <c:v>3.8239130434782609E-2</c:v>
                </c:pt>
                <c:pt idx="9">
                  <c:v>3.6739130434782608E-2</c:v>
                </c:pt>
                <c:pt idx="10">
                  <c:v>3.2739130434782604E-2</c:v>
                </c:pt>
                <c:pt idx="11">
                  <c:v>3.6239130434782607E-2</c:v>
                </c:pt>
                <c:pt idx="12">
                  <c:v>4.3739130434782607E-2</c:v>
                </c:pt>
                <c:pt idx="13">
                  <c:v>4.2739130434782613E-2</c:v>
                </c:pt>
                <c:pt idx="14">
                  <c:v>4.3739130434782607E-2</c:v>
                </c:pt>
                <c:pt idx="15">
                  <c:v>4.4739130434782608E-2</c:v>
                </c:pt>
                <c:pt idx="16">
                  <c:v>5.0239130434782606E-2</c:v>
                </c:pt>
                <c:pt idx="17">
                  <c:v>5.5739130434782611E-2</c:v>
                </c:pt>
                <c:pt idx="18">
                  <c:v>2.6239130434782609E-2</c:v>
                </c:pt>
                <c:pt idx="19">
                  <c:v>5.473913043478261E-2</c:v>
                </c:pt>
                <c:pt idx="20">
                  <c:v>7.5239130434782614E-2</c:v>
                </c:pt>
                <c:pt idx="21">
                  <c:v>8.623913043478261E-2</c:v>
                </c:pt>
                <c:pt idx="22">
                  <c:v>9.0239130434782613E-2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89120"/>
        <c:axId val="231789680"/>
      </c:lineChart>
      <c:catAx>
        <c:axId val="231789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1789680"/>
        <c:crosses val="autoZero"/>
        <c:auto val="1"/>
        <c:lblAlgn val="ctr"/>
        <c:lblOffset val="100"/>
        <c:noMultiLvlLbl val="0"/>
      </c:catAx>
      <c:valAx>
        <c:axId val="231789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1789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61277835553655"/>
          <c:y val="5.3697547065876018E-2"/>
          <c:w val="0.87261530398322862"/>
          <c:h val="4.0642234535497902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6513643341833"/>
          <c:y val="3.9107287514986606E-2"/>
          <c:w val="0.87208108420410269"/>
          <c:h val="0.81767505913613237"/>
        </c:manualLayout>
      </c:layout>
      <c:lineChart>
        <c:grouping val="standard"/>
        <c:varyColors val="0"/>
        <c:ser>
          <c:idx val="4"/>
          <c:order val="0"/>
          <c:tx>
            <c:v>Indicator (Equal)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val>
            <c:numRef>
              <c:f>Performance_weight!$C$46:$C$75</c:f>
              <c:numCache>
                <c:formatCode>0.00</c:formatCode>
                <c:ptCount val="30"/>
                <c:pt idx="0">
                  <c:v>3.3333333333333333E-2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3.3333333333333333E-2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3.3333333333333333E-2</c:v>
                </c:pt>
                <c:pt idx="12">
                  <c:v>3.3333333333333333E-2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3.3333333333333333E-2</c:v>
                </c:pt>
                <c:pt idx="16">
                  <c:v>3.3333333333333333E-2</c:v>
                </c:pt>
                <c:pt idx="17">
                  <c:v>3.3333333333333333E-2</c:v>
                </c:pt>
                <c:pt idx="18">
                  <c:v>3.3333333333333333E-2</c:v>
                </c:pt>
                <c:pt idx="19">
                  <c:v>3.3333333333333333E-2</c:v>
                </c:pt>
                <c:pt idx="20">
                  <c:v>3.3333333333333333E-2</c:v>
                </c:pt>
                <c:pt idx="21">
                  <c:v>3.3333333333333333E-2</c:v>
                </c:pt>
                <c:pt idx="22">
                  <c:v>3.3333333333333333E-2</c:v>
                </c:pt>
                <c:pt idx="23">
                  <c:v>3.3333333333333333E-2</c:v>
                </c:pt>
                <c:pt idx="24">
                  <c:v>3.3333333333333333E-2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3.3333333333333333E-2</c:v>
                </c:pt>
                <c:pt idx="28">
                  <c:v>3.3333333333333333E-2</c:v>
                </c:pt>
                <c:pt idx="29">
                  <c:v>3.3333333333333333E-2</c:v>
                </c:pt>
              </c:numCache>
            </c:numRef>
          </c:val>
          <c:smooth val="0"/>
        </c:ser>
        <c:ser>
          <c:idx val="5"/>
          <c:order val="1"/>
          <c:tx>
            <c:v>Indicator (Expert)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Performance_weight!$D$46:$D$75</c:f>
              <c:numCache>
                <c:formatCode>0.00</c:formatCode>
                <c:ptCount val="30"/>
                <c:pt idx="0">
                  <c:v>8.9999999999999993E-3</c:v>
                </c:pt>
                <c:pt idx="1">
                  <c:v>1.6E-2</c:v>
                </c:pt>
                <c:pt idx="2">
                  <c:v>1.4E-2</c:v>
                </c:pt>
                <c:pt idx="3">
                  <c:v>0.01</c:v>
                </c:pt>
                <c:pt idx="4">
                  <c:v>1.7999999999999999E-2</c:v>
                </c:pt>
                <c:pt idx="5">
                  <c:v>1.4E-2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1.2E-2</c:v>
                </c:pt>
                <c:pt idx="10">
                  <c:v>8.9999999999999993E-3</c:v>
                </c:pt>
                <c:pt idx="11">
                  <c:v>1.6E-2</c:v>
                </c:pt>
                <c:pt idx="12">
                  <c:v>2.1000000000000001E-2</c:v>
                </c:pt>
                <c:pt idx="13">
                  <c:v>0.01</c:v>
                </c:pt>
                <c:pt idx="14">
                  <c:v>2.5999999999999999E-2</c:v>
                </c:pt>
                <c:pt idx="15">
                  <c:v>0.02</c:v>
                </c:pt>
                <c:pt idx="16">
                  <c:v>3.2000000000000001E-2</c:v>
                </c:pt>
                <c:pt idx="17">
                  <c:v>5.2999999999999999E-2</c:v>
                </c:pt>
                <c:pt idx="18">
                  <c:v>3.9E-2</c:v>
                </c:pt>
                <c:pt idx="19">
                  <c:v>5.1999999999999998E-2</c:v>
                </c:pt>
                <c:pt idx="20">
                  <c:v>2.5000000000000001E-2</c:v>
                </c:pt>
                <c:pt idx="21">
                  <c:v>4.1000000000000002E-2</c:v>
                </c:pt>
                <c:pt idx="22">
                  <c:v>5.1999999999999998E-2</c:v>
                </c:pt>
                <c:pt idx="23">
                  <c:v>1.7000000000000001E-2</c:v>
                </c:pt>
                <c:pt idx="24">
                  <c:v>0.06</c:v>
                </c:pt>
                <c:pt idx="25">
                  <c:v>4.2000000000000003E-2</c:v>
                </c:pt>
                <c:pt idx="26">
                  <c:v>7.0999999999999994E-2</c:v>
                </c:pt>
                <c:pt idx="27">
                  <c:v>7.8E-2</c:v>
                </c:pt>
                <c:pt idx="28">
                  <c:v>9.2999999999999999E-2</c:v>
                </c:pt>
                <c:pt idx="29">
                  <c:v>0.10299999999999999</c:v>
                </c:pt>
              </c:numCache>
            </c:numRef>
          </c:val>
          <c:smooth val="0"/>
        </c:ser>
        <c:ser>
          <c:idx val="8"/>
          <c:order val="2"/>
          <c:tx>
            <c:v>Indicator (Hybird)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val>
            <c:numRef>
              <c:f>Performance_weight!$E$46:$E$75</c:f>
              <c:numCache>
                <c:formatCode>0.00</c:formatCode>
                <c:ptCount val="30"/>
                <c:pt idx="0">
                  <c:v>2.1166666666666667E-2</c:v>
                </c:pt>
                <c:pt idx="1">
                  <c:v>2.4666666666666667E-2</c:v>
                </c:pt>
                <c:pt idx="2">
                  <c:v>2.3666666666666666E-2</c:v>
                </c:pt>
                <c:pt idx="3">
                  <c:v>2.1666666666666667E-2</c:v>
                </c:pt>
                <c:pt idx="4">
                  <c:v>2.5666666666666664E-2</c:v>
                </c:pt>
                <c:pt idx="5">
                  <c:v>2.3666666666666666E-2</c:v>
                </c:pt>
                <c:pt idx="6">
                  <c:v>2.3666666666666666E-2</c:v>
                </c:pt>
                <c:pt idx="7">
                  <c:v>2.4666666666666667E-2</c:v>
                </c:pt>
                <c:pt idx="8">
                  <c:v>2.5666666666666664E-2</c:v>
                </c:pt>
                <c:pt idx="9">
                  <c:v>2.2666666666666668E-2</c:v>
                </c:pt>
                <c:pt idx="10">
                  <c:v>2.1166666666666667E-2</c:v>
                </c:pt>
                <c:pt idx="11">
                  <c:v>2.4666666666666667E-2</c:v>
                </c:pt>
                <c:pt idx="12">
                  <c:v>2.7166666666666665E-2</c:v>
                </c:pt>
                <c:pt idx="13">
                  <c:v>2.1666666666666667E-2</c:v>
                </c:pt>
                <c:pt idx="14">
                  <c:v>2.9666666666666668E-2</c:v>
                </c:pt>
                <c:pt idx="15">
                  <c:v>2.6666666666666665E-2</c:v>
                </c:pt>
                <c:pt idx="16">
                  <c:v>3.2666666666666663E-2</c:v>
                </c:pt>
                <c:pt idx="17">
                  <c:v>4.3166666666666666E-2</c:v>
                </c:pt>
                <c:pt idx="18">
                  <c:v>3.6166666666666666E-2</c:v>
                </c:pt>
                <c:pt idx="19">
                  <c:v>4.2666666666666665E-2</c:v>
                </c:pt>
                <c:pt idx="20">
                  <c:v>2.9166666666666667E-2</c:v>
                </c:pt>
                <c:pt idx="21">
                  <c:v>3.7166666666666667E-2</c:v>
                </c:pt>
                <c:pt idx="22">
                  <c:v>4.2666666666666665E-2</c:v>
                </c:pt>
                <c:pt idx="23">
                  <c:v>2.5166666666666667E-2</c:v>
                </c:pt>
                <c:pt idx="24">
                  <c:v>4.6666666666666662E-2</c:v>
                </c:pt>
                <c:pt idx="25">
                  <c:v>3.7666666666666668E-2</c:v>
                </c:pt>
                <c:pt idx="26">
                  <c:v>5.2166666666666667E-2</c:v>
                </c:pt>
                <c:pt idx="27">
                  <c:v>5.566666666666667E-2</c:v>
                </c:pt>
                <c:pt idx="28">
                  <c:v>6.3166666666666663E-2</c:v>
                </c:pt>
                <c:pt idx="29">
                  <c:v>6.8166666666666667E-2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91360"/>
        <c:axId val="231791920"/>
      </c:lineChart>
      <c:catAx>
        <c:axId val="231791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1791920"/>
        <c:crosses val="autoZero"/>
        <c:auto val="1"/>
        <c:lblAlgn val="ctr"/>
        <c:lblOffset val="100"/>
        <c:noMultiLvlLbl val="0"/>
      </c:catAx>
      <c:valAx>
        <c:axId val="2317919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3179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61277835553655"/>
          <c:y val="3.7236641716081792E-2"/>
          <c:w val="0.87261530398322862"/>
          <c:h val="5.2987913547844143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6513643341838"/>
          <c:y val="3.9107287514986606E-2"/>
          <c:w val="0.87208108420410291"/>
          <c:h val="0.81767505913613281"/>
        </c:manualLayout>
      </c:layout>
      <c:lineChart>
        <c:grouping val="standard"/>
        <c:varyColors val="0"/>
        <c:ser>
          <c:idx val="4"/>
          <c:order val="0"/>
          <c:tx>
            <c:v>Category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Performance_weight!$C$92:$C$94</c:f>
              <c:numCache>
                <c:formatCode>0.00000</c:formatCode>
                <c:ptCount val="3"/>
                <c:pt idx="0">
                  <c:v>0.17222222222222225</c:v>
                </c:pt>
                <c:pt idx="1">
                  <c:v>0.39846666666666669</c:v>
                </c:pt>
                <c:pt idx="2">
                  <c:v>0.28534444444444446</c:v>
                </c:pt>
              </c:numCache>
            </c:numRef>
          </c:val>
          <c:smooth val="0"/>
        </c:ser>
        <c:ser>
          <c:idx val="5"/>
          <c:order val="1"/>
          <c:tx>
            <c:v>Criteria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Performance_weight!$D$92:$D$94</c:f>
              <c:numCache>
                <c:formatCode>0.00000</c:formatCode>
                <c:ptCount val="3"/>
                <c:pt idx="0">
                  <c:v>8.6956521739130432E-2</c:v>
                </c:pt>
                <c:pt idx="1">
                  <c:v>0.14500000000000002</c:v>
                </c:pt>
                <c:pt idx="2">
                  <c:v>0.11597826086956523</c:v>
                </c:pt>
              </c:numCache>
            </c:numRef>
          </c:val>
          <c:smooth val="0"/>
        </c:ser>
        <c:ser>
          <c:idx val="8"/>
          <c:order val="2"/>
          <c:tx>
            <c:v>Indicator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Performance_weight!$E$92:$E$94</c:f>
              <c:numCache>
                <c:formatCode>0.00000</c:formatCode>
                <c:ptCount val="3"/>
                <c:pt idx="0">
                  <c:v>3.3333333333333326E-2</c:v>
                </c:pt>
                <c:pt idx="1">
                  <c:v>2.5000000000000022E-2</c:v>
                </c:pt>
                <c:pt idx="2">
                  <c:v>3.3333333333333326E-2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95280"/>
        <c:axId val="231795840"/>
      </c:lineChart>
      <c:catAx>
        <c:axId val="23179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1795840"/>
        <c:crosses val="autoZero"/>
        <c:auto val="1"/>
        <c:lblAlgn val="ctr"/>
        <c:lblOffset val="100"/>
        <c:noMultiLvlLbl val="0"/>
      </c:catAx>
      <c:valAx>
        <c:axId val="231795840"/>
        <c:scaling>
          <c:orientation val="minMax"/>
          <c:max val="0.60000000000000064"/>
          <c:min val="0"/>
        </c:scaling>
        <c:delete val="0"/>
        <c:axPos val="l"/>
        <c:numFmt formatCode="#,##0.00" sourceLinked="0"/>
        <c:majorTickMark val="out"/>
        <c:minorTickMark val="none"/>
        <c:tickLblPos val="nextTo"/>
        <c:crossAx val="23179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6127783555366"/>
          <c:y val="3.7236641716081792E-2"/>
          <c:w val="0.87261530398322862"/>
          <c:h val="5.298791354784417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6513643341844"/>
          <c:y val="3.9107287514986606E-2"/>
          <c:w val="0.87208108420410313"/>
          <c:h val="0.81767505913613303"/>
        </c:manualLayout>
      </c:layout>
      <c:lineChart>
        <c:grouping val="standard"/>
        <c:varyColors val="0"/>
        <c:ser>
          <c:idx val="4"/>
          <c:order val="0"/>
          <c:tx>
            <c:v>Category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Performance_weight!$C$112:$E$112</c:f>
              <c:numCache>
                <c:formatCode>0.00000</c:formatCode>
                <c:ptCount val="3"/>
                <c:pt idx="0">
                  <c:v>0.5083333333333333</c:v>
                </c:pt>
                <c:pt idx="1">
                  <c:v>0.5252</c:v>
                </c:pt>
                <c:pt idx="2">
                  <c:v>0.5167666666666666</c:v>
                </c:pt>
              </c:numCache>
            </c:numRef>
          </c:val>
          <c:smooth val="0"/>
        </c:ser>
        <c:ser>
          <c:idx val="5"/>
          <c:order val="1"/>
          <c:tx>
            <c:v>Criteria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Performance_weight!$C$113:$E$113</c:f>
              <c:numCache>
                <c:formatCode>0.00000</c:formatCode>
                <c:ptCount val="3"/>
                <c:pt idx="0">
                  <c:v>0.43478260869565216</c:v>
                </c:pt>
                <c:pt idx="1">
                  <c:v>0.38754554399999991</c:v>
                </c:pt>
                <c:pt idx="2">
                  <c:v>0.41121249734782611</c:v>
                </c:pt>
              </c:numCache>
            </c:numRef>
          </c:val>
          <c:smooth val="0"/>
        </c:ser>
        <c:ser>
          <c:idx val="8"/>
          <c:order val="2"/>
          <c:tx>
            <c:v>Indicator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Performance_weight!$C$114:$E$114</c:f>
              <c:numCache>
                <c:formatCode>0.00000</c:formatCode>
                <c:ptCount val="3"/>
                <c:pt idx="0">
                  <c:v>0.43333333333333324</c:v>
                </c:pt>
                <c:pt idx="1">
                  <c:v>0.37975837900000003</c:v>
                </c:pt>
                <c:pt idx="2">
                  <c:v>0.43333333333333324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38928"/>
        <c:axId val="233139488"/>
      </c:lineChart>
      <c:catAx>
        <c:axId val="23313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3139488"/>
        <c:crosses val="autoZero"/>
        <c:auto val="1"/>
        <c:lblAlgn val="ctr"/>
        <c:lblOffset val="100"/>
        <c:noMultiLvlLbl val="0"/>
      </c:catAx>
      <c:valAx>
        <c:axId val="233139488"/>
        <c:scaling>
          <c:orientation val="minMax"/>
          <c:max val="0.60000000000000064"/>
          <c:min val="0"/>
        </c:scaling>
        <c:delete val="0"/>
        <c:axPos val="l"/>
        <c:numFmt formatCode="#,##0.00" sourceLinked="0"/>
        <c:majorTickMark val="out"/>
        <c:minorTickMark val="none"/>
        <c:tickLblPos val="nextTo"/>
        <c:crossAx val="23313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61277835553663"/>
          <c:y val="3.7236641716081792E-2"/>
          <c:w val="0.87261530398322862"/>
          <c:h val="5.2987913547844191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33759694065393E-2"/>
          <c:y val="9.2761590285085363E-2"/>
          <c:w val="0.90182717544922253"/>
          <c:h val="0.6174957968963557"/>
        </c:manualLayout>
      </c:layout>
      <c:lineChart>
        <c:grouping val="stacked"/>
        <c:varyColors val="0"/>
        <c:ser>
          <c:idx val="0"/>
          <c:order val="0"/>
          <c:tx>
            <c:v>Category weighted</c:v>
          </c:tx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</c:spPr>
          </c:marker>
          <c:cat>
            <c:strRef>
              <c:f>Compilation_Equal!$AC$12:$AC$41</c:f>
              <c:strCache>
                <c:ptCount val="30"/>
                <c:pt idx="0">
                  <c:v>MAX</c:v>
                </c:pt>
                <c:pt idx="1">
                  <c:v>MIN</c:v>
                </c:pt>
                <c:pt idx="2">
                  <c:v>MAX</c:v>
                </c:pt>
                <c:pt idx="3">
                  <c:v>MAX</c:v>
                </c:pt>
                <c:pt idx="4">
                  <c:v>MIN</c:v>
                </c:pt>
                <c:pt idx="5">
                  <c:v>MAX</c:v>
                </c:pt>
                <c:pt idx="6">
                  <c:v>MIN</c:v>
                </c:pt>
                <c:pt idx="7">
                  <c:v>MAX</c:v>
                </c:pt>
                <c:pt idx="8">
                  <c:v>MAX</c:v>
                </c:pt>
                <c:pt idx="9">
                  <c:v>MAX</c:v>
                </c:pt>
                <c:pt idx="10">
                  <c:v>MAX</c:v>
                </c:pt>
                <c:pt idx="11">
                  <c:v>MIN</c:v>
                </c:pt>
                <c:pt idx="12">
                  <c:v>MIN</c:v>
                </c:pt>
                <c:pt idx="13">
                  <c:v>MAX</c:v>
                </c:pt>
                <c:pt idx="14">
                  <c:v>MAX</c:v>
                </c:pt>
                <c:pt idx="15">
                  <c:v>MAX</c:v>
                </c:pt>
                <c:pt idx="16">
                  <c:v>MAX</c:v>
                </c:pt>
                <c:pt idx="17">
                  <c:v>MIN</c:v>
                </c:pt>
                <c:pt idx="18">
                  <c:v>MAX</c:v>
                </c:pt>
                <c:pt idx="19">
                  <c:v>MAX</c:v>
                </c:pt>
                <c:pt idx="20">
                  <c:v>MAX</c:v>
                </c:pt>
                <c:pt idx="21">
                  <c:v>MIN</c:v>
                </c:pt>
                <c:pt idx="22">
                  <c:v>MIN</c:v>
                </c:pt>
                <c:pt idx="23">
                  <c:v>MIN</c:v>
                </c:pt>
                <c:pt idx="24">
                  <c:v>MIN</c:v>
                </c:pt>
                <c:pt idx="25">
                  <c:v>MIN</c:v>
                </c:pt>
                <c:pt idx="26">
                  <c:v>MIN</c:v>
                </c:pt>
                <c:pt idx="27">
                  <c:v>MIN</c:v>
                </c:pt>
                <c:pt idx="28">
                  <c:v>MIN</c:v>
                </c:pt>
                <c:pt idx="29">
                  <c:v>MAX</c:v>
                </c:pt>
              </c:strCache>
            </c:strRef>
          </c:cat>
          <c:val>
            <c:numRef>
              <c:f>Compilation_Equal!$AI$12:$AI$41</c:f>
              <c:numCache>
                <c:formatCode>0.0000</c:formatCode>
                <c:ptCount val="30"/>
                <c:pt idx="0">
                  <c:v>3.3333333333333333E-2</c:v>
                </c:pt>
                <c:pt idx="1">
                  <c:v>3.3333333333333333E-2</c:v>
                </c:pt>
                <c:pt idx="2">
                  <c:v>0</c:v>
                </c:pt>
                <c:pt idx="3">
                  <c:v>3.3333333333333333E-2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5.5555555555555552E-2</c:v>
                </c:pt>
                <c:pt idx="7">
                  <c:v>0</c:v>
                </c:pt>
                <c:pt idx="8">
                  <c:v>2.7777777777777776E-2</c:v>
                </c:pt>
                <c:pt idx="9">
                  <c:v>0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2.0833333333333332E-2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1.0416666666666666E-2</c:v>
                </c:pt>
                <c:pt idx="27">
                  <c:v>0</c:v>
                </c:pt>
                <c:pt idx="28">
                  <c:v>0</c:v>
                </c:pt>
                <c:pt idx="29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Criteria weighted</c:v>
          </c:tx>
          <c:marker>
            <c:symbol val="square"/>
            <c:size val="3"/>
          </c:marker>
          <c:val>
            <c:numRef>
              <c:f>Compilation_Equal!$AJ$12:$AJ$41</c:f>
              <c:numCache>
                <c:formatCode>0.0000</c:formatCode>
                <c:ptCount val="30"/>
                <c:pt idx="0">
                  <c:v>4.3478260869565216E-2</c:v>
                </c:pt>
                <c:pt idx="1">
                  <c:v>4.3478260869565216E-2</c:v>
                </c:pt>
                <c:pt idx="2">
                  <c:v>0</c:v>
                </c:pt>
                <c:pt idx="3">
                  <c:v>4.3478260869565216E-2</c:v>
                </c:pt>
                <c:pt idx="4">
                  <c:v>2.1739130434782608E-2</c:v>
                </c:pt>
                <c:pt idx="5">
                  <c:v>2.1739130434782608E-2</c:v>
                </c:pt>
                <c:pt idx="6">
                  <c:v>4.3478260869565216E-2</c:v>
                </c:pt>
                <c:pt idx="7">
                  <c:v>0</c:v>
                </c:pt>
                <c:pt idx="8">
                  <c:v>2.1739130434782608E-2</c:v>
                </c:pt>
                <c:pt idx="9">
                  <c:v>0</c:v>
                </c:pt>
                <c:pt idx="10">
                  <c:v>4.3478260869565216E-2</c:v>
                </c:pt>
                <c:pt idx="11">
                  <c:v>4.3478260869565216E-2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4.3478260869565216E-2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1.0869565217391304E-2</c:v>
                </c:pt>
                <c:pt idx="26">
                  <c:v>1.0869565217391304E-2</c:v>
                </c:pt>
                <c:pt idx="27">
                  <c:v>0</c:v>
                </c:pt>
                <c:pt idx="28">
                  <c:v>0</c:v>
                </c:pt>
                <c:pt idx="29">
                  <c:v>4.3478260869565216E-2</c:v>
                </c:pt>
              </c:numCache>
            </c:numRef>
          </c:val>
          <c:smooth val="0"/>
        </c:ser>
        <c:ser>
          <c:idx val="2"/>
          <c:order val="2"/>
          <c:tx>
            <c:v>Indicator weighted</c:v>
          </c:tx>
          <c:marker>
            <c:symbol val="triangle"/>
            <c:size val="4"/>
          </c:marker>
          <c:val>
            <c:numRef>
              <c:f>Compilation_Equal!$AK$12:$AK$41</c:f>
              <c:numCache>
                <c:formatCode>0.0000</c:formatCode>
                <c:ptCount val="30"/>
                <c:pt idx="0">
                  <c:v>3.3333333333333333E-2</c:v>
                </c:pt>
                <c:pt idx="1">
                  <c:v>3.3333333333333333E-2</c:v>
                </c:pt>
                <c:pt idx="2">
                  <c:v>0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0</c:v>
                </c:pt>
                <c:pt idx="8">
                  <c:v>3.3333333333333333E-2</c:v>
                </c:pt>
                <c:pt idx="9">
                  <c:v>0</c:v>
                </c:pt>
                <c:pt idx="10">
                  <c:v>3.3333333333333333E-2</c:v>
                </c:pt>
                <c:pt idx="11">
                  <c:v>3.3333333333333333E-2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3.3333333333333333E-2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0</c:v>
                </c:pt>
                <c:pt idx="28">
                  <c:v>0</c:v>
                </c:pt>
                <c:pt idx="29">
                  <c:v>3.3333333333333333E-2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43408"/>
        <c:axId val="233143968"/>
      </c:lineChart>
      <c:catAx>
        <c:axId val="233143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en-US"/>
          </a:p>
        </c:txPr>
        <c:crossAx val="233143968"/>
        <c:crosses val="autoZero"/>
        <c:auto val="1"/>
        <c:lblAlgn val="ctr"/>
        <c:lblOffset val="100"/>
        <c:noMultiLvlLbl val="0"/>
      </c:catAx>
      <c:valAx>
        <c:axId val="233143968"/>
        <c:scaling>
          <c:orientation val="minMax"/>
          <c:max val="0.2"/>
          <c:min val="0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3143408"/>
        <c:crosses val="autoZero"/>
        <c:crossBetween val="between"/>
        <c:majorUnit val="0.05"/>
        <c:minorUnit val="4.0000000000000022E-2"/>
      </c:valAx>
      <c:spPr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9772573071223407"/>
          <c:y val="0.87647531961730585"/>
          <c:w val="0.56884362668953214"/>
          <c:h val="0.12033274066548239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33759694065393E-2"/>
          <c:y val="9.2761590285085363E-2"/>
          <c:w val="0.90182717544922253"/>
          <c:h val="0.6174957968963557"/>
        </c:manualLayout>
      </c:layout>
      <c:lineChart>
        <c:grouping val="stacked"/>
        <c:varyColors val="0"/>
        <c:ser>
          <c:idx val="0"/>
          <c:order val="0"/>
          <c:tx>
            <c:v>Category weighted</c:v>
          </c:tx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</c:spPr>
          </c:marker>
          <c:cat>
            <c:strRef>
              <c:f>Compilation_Equal!$AC$12:$AC$41</c:f>
              <c:strCache>
                <c:ptCount val="30"/>
                <c:pt idx="0">
                  <c:v>MAX</c:v>
                </c:pt>
                <c:pt idx="1">
                  <c:v>MIN</c:v>
                </c:pt>
                <c:pt idx="2">
                  <c:v>MAX</c:v>
                </c:pt>
                <c:pt idx="3">
                  <c:v>MAX</c:v>
                </c:pt>
                <c:pt idx="4">
                  <c:v>MIN</c:v>
                </c:pt>
                <c:pt idx="5">
                  <c:v>MAX</c:v>
                </c:pt>
                <c:pt idx="6">
                  <c:v>MIN</c:v>
                </c:pt>
                <c:pt idx="7">
                  <c:v>MAX</c:v>
                </c:pt>
                <c:pt idx="8">
                  <c:v>MAX</c:v>
                </c:pt>
                <c:pt idx="9">
                  <c:v>MAX</c:v>
                </c:pt>
                <c:pt idx="10">
                  <c:v>MAX</c:v>
                </c:pt>
                <c:pt idx="11">
                  <c:v>MIN</c:v>
                </c:pt>
                <c:pt idx="12">
                  <c:v>MIN</c:v>
                </c:pt>
                <c:pt idx="13">
                  <c:v>MAX</c:v>
                </c:pt>
                <c:pt idx="14">
                  <c:v>MAX</c:v>
                </c:pt>
                <c:pt idx="15">
                  <c:v>MAX</c:v>
                </c:pt>
                <c:pt idx="16">
                  <c:v>MAX</c:v>
                </c:pt>
                <c:pt idx="17">
                  <c:v>MIN</c:v>
                </c:pt>
                <c:pt idx="18">
                  <c:v>MAX</c:v>
                </c:pt>
                <c:pt idx="19">
                  <c:v>MAX</c:v>
                </c:pt>
                <c:pt idx="20">
                  <c:v>MAX</c:v>
                </c:pt>
                <c:pt idx="21">
                  <c:v>MIN</c:v>
                </c:pt>
                <c:pt idx="22">
                  <c:v>MIN</c:v>
                </c:pt>
                <c:pt idx="23">
                  <c:v>MIN</c:v>
                </c:pt>
                <c:pt idx="24">
                  <c:v>MIN</c:v>
                </c:pt>
                <c:pt idx="25">
                  <c:v>MIN</c:v>
                </c:pt>
                <c:pt idx="26">
                  <c:v>MIN</c:v>
                </c:pt>
                <c:pt idx="27">
                  <c:v>MIN</c:v>
                </c:pt>
                <c:pt idx="28">
                  <c:v>MIN</c:v>
                </c:pt>
                <c:pt idx="29">
                  <c:v>MAX</c:v>
                </c:pt>
              </c:strCache>
            </c:strRef>
          </c:cat>
          <c:val>
            <c:numRef>
              <c:f>Compilation_Equal!$AI$12:$AI$41</c:f>
              <c:numCache>
                <c:formatCode>0.0000</c:formatCode>
                <c:ptCount val="30"/>
                <c:pt idx="0">
                  <c:v>3.3333333333333333E-2</c:v>
                </c:pt>
                <c:pt idx="1">
                  <c:v>3.3333333333333333E-2</c:v>
                </c:pt>
                <c:pt idx="2">
                  <c:v>0</c:v>
                </c:pt>
                <c:pt idx="3">
                  <c:v>3.3333333333333333E-2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5.5555555555555552E-2</c:v>
                </c:pt>
                <c:pt idx="7">
                  <c:v>0</c:v>
                </c:pt>
                <c:pt idx="8">
                  <c:v>2.7777777777777776E-2</c:v>
                </c:pt>
                <c:pt idx="9">
                  <c:v>0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2.0833333333333332E-2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1.0416666666666666E-2</c:v>
                </c:pt>
                <c:pt idx="27">
                  <c:v>0</c:v>
                </c:pt>
                <c:pt idx="28">
                  <c:v>0</c:v>
                </c:pt>
                <c:pt idx="29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Criteria weighted</c:v>
          </c:tx>
          <c:marker>
            <c:symbol val="square"/>
            <c:size val="3"/>
          </c:marker>
          <c:val>
            <c:numRef>
              <c:f>Compilation_Equal!$AJ$12:$AJ$41</c:f>
              <c:numCache>
                <c:formatCode>0.0000</c:formatCode>
                <c:ptCount val="30"/>
                <c:pt idx="0">
                  <c:v>4.3478260869565216E-2</c:v>
                </c:pt>
                <c:pt idx="1">
                  <c:v>4.3478260869565216E-2</c:v>
                </c:pt>
                <c:pt idx="2">
                  <c:v>0</c:v>
                </c:pt>
                <c:pt idx="3">
                  <c:v>4.3478260869565216E-2</c:v>
                </c:pt>
                <c:pt idx="4">
                  <c:v>2.1739130434782608E-2</c:v>
                </c:pt>
                <c:pt idx="5">
                  <c:v>2.1739130434782608E-2</c:v>
                </c:pt>
                <c:pt idx="6">
                  <c:v>4.3478260869565216E-2</c:v>
                </c:pt>
                <c:pt idx="7">
                  <c:v>0</c:v>
                </c:pt>
                <c:pt idx="8">
                  <c:v>2.1739130434782608E-2</c:v>
                </c:pt>
                <c:pt idx="9">
                  <c:v>0</c:v>
                </c:pt>
                <c:pt idx="10">
                  <c:v>4.3478260869565216E-2</c:v>
                </c:pt>
                <c:pt idx="11">
                  <c:v>4.3478260869565216E-2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4.3478260869565216E-2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1.0869565217391304E-2</c:v>
                </c:pt>
                <c:pt idx="26">
                  <c:v>1.0869565217391304E-2</c:v>
                </c:pt>
                <c:pt idx="27">
                  <c:v>0</c:v>
                </c:pt>
                <c:pt idx="28">
                  <c:v>0</c:v>
                </c:pt>
                <c:pt idx="29">
                  <c:v>4.3478260869565216E-2</c:v>
                </c:pt>
              </c:numCache>
            </c:numRef>
          </c:val>
          <c:smooth val="0"/>
        </c:ser>
        <c:ser>
          <c:idx val="2"/>
          <c:order val="2"/>
          <c:tx>
            <c:v>Indicator weighted</c:v>
          </c:tx>
          <c:marker>
            <c:symbol val="triangle"/>
            <c:size val="4"/>
          </c:marker>
          <c:val>
            <c:numRef>
              <c:f>Compilation_Equal!$AK$12:$AK$41</c:f>
              <c:numCache>
                <c:formatCode>0.0000</c:formatCode>
                <c:ptCount val="30"/>
                <c:pt idx="0">
                  <c:v>3.3333333333333333E-2</c:v>
                </c:pt>
                <c:pt idx="1">
                  <c:v>3.3333333333333333E-2</c:v>
                </c:pt>
                <c:pt idx="2">
                  <c:v>0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0</c:v>
                </c:pt>
                <c:pt idx="8">
                  <c:v>3.3333333333333333E-2</c:v>
                </c:pt>
                <c:pt idx="9">
                  <c:v>0</c:v>
                </c:pt>
                <c:pt idx="10">
                  <c:v>3.3333333333333333E-2</c:v>
                </c:pt>
                <c:pt idx="11">
                  <c:v>3.3333333333333333E-2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3.3333333333333333E-2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0</c:v>
                </c:pt>
                <c:pt idx="28">
                  <c:v>0</c:v>
                </c:pt>
                <c:pt idx="29">
                  <c:v>3.3333333333333333E-2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47328"/>
        <c:axId val="233147888"/>
      </c:lineChart>
      <c:catAx>
        <c:axId val="233147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en-US"/>
          </a:p>
        </c:txPr>
        <c:crossAx val="233147888"/>
        <c:crosses val="autoZero"/>
        <c:auto val="1"/>
        <c:lblAlgn val="ctr"/>
        <c:lblOffset val="100"/>
        <c:noMultiLvlLbl val="0"/>
      </c:catAx>
      <c:valAx>
        <c:axId val="233147888"/>
        <c:scaling>
          <c:orientation val="minMax"/>
          <c:max val="0.2"/>
          <c:min val="0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3147328"/>
        <c:crosses val="autoZero"/>
        <c:crossBetween val="between"/>
        <c:majorUnit val="0.05"/>
        <c:minorUnit val="4.0000000000000022E-2"/>
      </c:valAx>
      <c:spPr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9772573071223407"/>
          <c:y val="0.87647531961730585"/>
          <c:w val="0.56884362668953214"/>
          <c:h val="0.12033274066548239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Performance_weight!$B$92</c:f>
              <c:strCache>
                <c:ptCount val="1"/>
                <c:pt idx="0">
                  <c:v>Equal </c:v>
                </c:pt>
              </c:strCache>
            </c:strRef>
          </c:tx>
          <c:cat>
            <c:strRef>
              <c:f>Performance_weight!$C$91:$E$91</c:f>
              <c:strCache>
                <c:ptCount val="3"/>
                <c:pt idx="0">
                  <c:v>Category</c:v>
                </c:pt>
                <c:pt idx="1">
                  <c:v>Criteria</c:v>
                </c:pt>
                <c:pt idx="2">
                  <c:v>Indicator</c:v>
                </c:pt>
              </c:strCache>
            </c:strRef>
          </c:cat>
          <c:val>
            <c:numRef>
              <c:f>Performance_weight!$C$92:$E$92</c:f>
              <c:numCache>
                <c:formatCode>0.00000</c:formatCode>
                <c:ptCount val="3"/>
                <c:pt idx="0">
                  <c:v>0.17222222222222225</c:v>
                </c:pt>
                <c:pt idx="1">
                  <c:v>8.6956521739130432E-2</c:v>
                </c:pt>
                <c:pt idx="2">
                  <c:v>3.3333333333333326E-2</c:v>
                </c:pt>
              </c:numCache>
            </c:numRef>
          </c:val>
        </c:ser>
        <c:ser>
          <c:idx val="1"/>
          <c:order val="1"/>
          <c:tx>
            <c:strRef>
              <c:f>Performance_weight!$B$93</c:f>
              <c:strCache>
                <c:ptCount val="1"/>
                <c:pt idx="0">
                  <c:v>Expert</c:v>
                </c:pt>
              </c:strCache>
            </c:strRef>
          </c:tx>
          <c:spPr>
            <a:ln w="25400">
              <a:noFill/>
            </a:ln>
          </c:spPr>
          <c:cat>
            <c:strRef>
              <c:f>Performance_weight!$C$91:$E$91</c:f>
              <c:strCache>
                <c:ptCount val="3"/>
                <c:pt idx="0">
                  <c:v>Category</c:v>
                </c:pt>
                <c:pt idx="1">
                  <c:v>Criteria</c:v>
                </c:pt>
                <c:pt idx="2">
                  <c:v>Indicator</c:v>
                </c:pt>
              </c:strCache>
            </c:strRef>
          </c:cat>
          <c:val>
            <c:numRef>
              <c:f>Performance_weight!$C$93:$E$93</c:f>
              <c:numCache>
                <c:formatCode>0.00000</c:formatCode>
                <c:ptCount val="3"/>
                <c:pt idx="0">
                  <c:v>0.39846666666666669</c:v>
                </c:pt>
                <c:pt idx="1">
                  <c:v>0.14500000000000002</c:v>
                </c:pt>
                <c:pt idx="2">
                  <c:v>2.5000000000000022E-2</c:v>
                </c:pt>
              </c:numCache>
            </c:numRef>
          </c:val>
        </c:ser>
        <c:ser>
          <c:idx val="2"/>
          <c:order val="2"/>
          <c:tx>
            <c:strRef>
              <c:f>Performance_weight!$B$94</c:f>
              <c:strCache>
                <c:ptCount val="1"/>
                <c:pt idx="0">
                  <c:v>Hybird</c:v>
                </c:pt>
              </c:strCache>
            </c:strRef>
          </c:tx>
          <c:spPr>
            <a:ln w="25400">
              <a:noFill/>
            </a:ln>
          </c:spPr>
          <c:cat>
            <c:strRef>
              <c:f>Performance_weight!$C$91:$E$91</c:f>
              <c:strCache>
                <c:ptCount val="3"/>
                <c:pt idx="0">
                  <c:v>Category</c:v>
                </c:pt>
                <c:pt idx="1">
                  <c:v>Criteria</c:v>
                </c:pt>
                <c:pt idx="2">
                  <c:v>Indicator</c:v>
                </c:pt>
              </c:strCache>
            </c:strRef>
          </c:cat>
          <c:val>
            <c:numRef>
              <c:f>Performance_weight!$C$94:$E$94</c:f>
              <c:numCache>
                <c:formatCode>0.00000</c:formatCode>
                <c:ptCount val="3"/>
                <c:pt idx="0">
                  <c:v>0.28534444444444446</c:v>
                </c:pt>
                <c:pt idx="1">
                  <c:v>0.11597826086956523</c:v>
                </c:pt>
                <c:pt idx="2">
                  <c:v>3.3333333333333326E-2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51248"/>
        <c:axId val="233151808"/>
      </c:radarChart>
      <c:catAx>
        <c:axId val="23315124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233151808"/>
        <c:crosses val="autoZero"/>
        <c:auto val="1"/>
        <c:lblAlgn val="ctr"/>
        <c:lblOffset val="100"/>
        <c:noMultiLvlLbl val="0"/>
      </c:catAx>
      <c:valAx>
        <c:axId val="233151808"/>
        <c:scaling>
          <c:orientation val="minMax"/>
        </c:scaling>
        <c:delete val="0"/>
        <c:axPos val="l"/>
        <c:majorGridlines/>
        <c:numFmt formatCode="0.00000" sourceLinked="1"/>
        <c:majorTickMark val="cross"/>
        <c:minorTickMark val="none"/>
        <c:tickLblPos val="nextTo"/>
        <c:crossAx val="23315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6513643341849"/>
          <c:y val="0.27286260737294626"/>
          <c:w val="0.85882402630705978"/>
          <c:h val="0.48406574355762388"/>
        </c:manualLayout>
      </c:layout>
      <c:barChart>
        <c:barDir val="col"/>
        <c:grouping val="clustered"/>
        <c:varyColors val="0"/>
        <c:ser>
          <c:idx val="4"/>
          <c:order val="0"/>
          <c:tx>
            <c:v>Category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Performance_weight!$C$112:$E$112</c:f>
              <c:numCache>
                <c:formatCode>0.00000</c:formatCode>
                <c:ptCount val="3"/>
                <c:pt idx="0">
                  <c:v>0.5083333333333333</c:v>
                </c:pt>
                <c:pt idx="1">
                  <c:v>0.5252</c:v>
                </c:pt>
                <c:pt idx="2">
                  <c:v>0.5167666666666666</c:v>
                </c:pt>
              </c:numCache>
            </c:numRef>
          </c:val>
        </c:ser>
        <c:ser>
          <c:idx val="5"/>
          <c:order val="1"/>
          <c:tx>
            <c:v>Criteria</c:v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Performance_weight!$C$113:$E$113</c:f>
              <c:numCache>
                <c:formatCode>0.00000</c:formatCode>
                <c:ptCount val="3"/>
                <c:pt idx="0">
                  <c:v>0.43478260869565216</c:v>
                </c:pt>
                <c:pt idx="1">
                  <c:v>0.38754554399999991</c:v>
                </c:pt>
                <c:pt idx="2">
                  <c:v>0.41121249734782611</c:v>
                </c:pt>
              </c:numCache>
            </c:numRef>
          </c:val>
        </c:ser>
        <c:ser>
          <c:idx val="8"/>
          <c:order val="2"/>
          <c:tx>
            <c:v>Indicator</c:v>
          </c:tx>
          <c:spPr>
            <a:solidFill>
              <a:srgbClr val="00B0F0"/>
            </a:solidFill>
            <a:ln>
              <a:noFill/>
            </a:ln>
          </c:spPr>
          <c:invertIfNegative val="0"/>
          <c:cat>
            <c:strRef>
              <c:f>Performance_weight!$B$92:$B$94</c:f>
              <c:strCache>
                <c:ptCount val="3"/>
                <c:pt idx="0">
                  <c:v>Equal </c:v>
                </c:pt>
                <c:pt idx="1">
                  <c:v>Expert</c:v>
                </c:pt>
                <c:pt idx="2">
                  <c:v>Hybird</c:v>
                </c:pt>
              </c:strCache>
            </c:strRef>
          </c:cat>
          <c:val>
            <c:numRef>
              <c:f>Performance_weight!$C$114:$E$114</c:f>
              <c:numCache>
                <c:formatCode>0.00000</c:formatCode>
                <c:ptCount val="3"/>
                <c:pt idx="0">
                  <c:v>0.43333333333333324</c:v>
                </c:pt>
                <c:pt idx="1">
                  <c:v>0.37975837900000003</c:v>
                </c:pt>
                <c:pt idx="2">
                  <c:v>0.43333333333333324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75504"/>
        <c:axId val="228376064"/>
      </c:barChart>
      <c:catAx>
        <c:axId val="22837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8376064"/>
        <c:crosses val="autoZero"/>
        <c:auto val="1"/>
        <c:lblAlgn val="ctr"/>
        <c:lblOffset val="100"/>
        <c:noMultiLvlLbl val="0"/>
      </c:catAx>
      <c:valAx>
        <c:axId val="228376064"/>
        <c:scaling>
          <c:orientation val="minMax"/>
          <c:max val="0.60000000000000064"/>
          <c:min val="0"/>
        </c:scaling>
        <c:delete val="0"/>
        <c:axPos val="l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837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72815601899714"/>
          <c:y val="0.19412916070150318"/>
          <c:w val="0.75745799016502269"/>
          <c:h val="7.8295824500302841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0058877775425E-2"/>
          <c:y val="7.4314054116730269E-2"/>
          <c:w val="0.78420427481287069"/>
          <c:h val="0.55432807344865065"/>
        </c:manualLayout>
      </c:layout>
      <c:lineChart>
        <c:grouping val="stacked"/>
        <c:varyColors val="0"/>
        <c:ser>
          <c:idx val="0"/>
          <c:order val="0"/>
          <c:tx>
            <c:strRef>
              <c:f>Compilation_Equal!$AH$42</c:f>
              <c:strCache>
                <c:ptCount val="1"/>
                <c:pt idx="0">
                  <c:v>SUM MIN</c:v>
                </c:pt>
              </c:strCache>
            </c:strRef>
          </c:tx>
          <c:marker>
            <c:symbol val="none"/>
          </c:marker>
          <c:cat>
            <c:strRef>
              <c:f>Compilation_Equal!$AI$11:$AK$11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Compilation_Equal!$AI$42:$AK$42</c:f>
              <c:numCache>
                <c:formatCode>0.00</c:formatCode>
                <c:ptCount val="3"/>
                <c:pt idx="0">
                  <c:v>0.16805555555555554</c:v>
                </c:pt>
                <c:pt idx="1">
                  <c:v>0.17391304347826086</c:v>
                </c:pt>
                <c:pt idx="2">
                  <c:v>0.19999999999999998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Compilation_Equal!$AH$43</c:f>
              <c:strCache>
                <c:ptCount val="1"/>
                <c:pt idx="0">
                  <c:v>SUM MAX</c:v>
                </c:pt>
              </c:strCache>
            </c:strRef>
          </c:tx>
          <c:marker>
            <c:symbol val="none"/>
          </c:marker>
          <c:cat>
            <c:strRef>
              <c:f>Compilation_Equal!$AI$11:$AK$11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Compilation_Equal!$AI$43:$AK$43</c:f>
              <c:numCache>
                <c:formatCode>0.00</c:formatCode>
                <c:ptCount val="3"/>
                <c:pt idx="0">
                  <c:v>0.34027777777777779</c:v>
                </c:pt>
                <c:pt idx="1">
                  <c:v>0.2608695652173913</c:v>
                </c:pt>
                <c:pt idx="2">
                  <c:v>0.23333333333333331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79424"/>
        <c:axId val="228379984"/>
      </c:lineChart>
      <c:catAx>
        <c:axId val="22837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379984"/>
        <c:crosses val="autoZero"/>
        <c:auto val="1"/>
        <c:lblAlgn val="ctr"/>
        <c:lblOffset val="100"/>
        <c:noMultiLvlLbl val="0"/>
      </c:catAx>
      <c:valAx>
        <c:axId val="2283799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2837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520433519954491"/>
          <c:y val="0.80680895151263987"/>
          <c:w val="0.77973856209150838"/>
          <c:h val="0.14933119991017171"/>
        </c:manualLayout>
      </c:layout>
      <c:overlay val="0"/>
      <c:txPr>
        <a:bodyPr/>
        <a:lstStyle/>
        <a:p>
          <a:pPr rtl="0">
            <a:defRPr sz="8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0058877775425E-2"/>
          <c:y val="7.4314054116730352E-2"/>
          <c:w val="0.78420427481287069"/>
          <c:h val="0.55432807344865065"/>
        </c:manualLayout>
      </c:layout>
      <c:lineChart>
        <c:grouping val="stacked"/>
        <c:varyColors val="0"/>
        <c:ser>
          <c:idx val="0"/>
          <c:order val="0"/>
          <c:tx>
            <c:strRef>
              <c:f>Compilation_Expert!$AH$42</c:f>
              <c:strCache>
                <c:ptCount val="1"/>
                <c:pt idx="0">
                  <c:v>SUM MIN</c:v>
                </c:pt>
              </c:strCache>
            </c:strRef>
          </c:tx>
          <c:marker>
            <c:symbol val="none"/>
          </c:marker>
          <c:cat>
            <c:strRef>
              <c:f>Compilation_Expert!$AI$11:$AK$11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Compilation_Expert!$AI$42:$AK$42</c:f>
              <c:numCache>
                <c:formatCode>0.00</c:formatCode>
                <c:ptCount val="3"/>
                <c:pt idx="0">
                  <c:v>6.3366666666666668E-2</c:v>
                </c:pt>
                <c:pt idx="1">
                  <c:v>0.1205</c:v>
                </c:pt>
                <c:pt idx="2">
                  <c:v>0.17699999999999999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Compilation_Expert!$AH$43</c:f>
              <c:strCache>
                <c:ptCount val="1"/>
                <c:pt idx="0">
                  <c:v>SUM MAX</c:v>
                </c:pt>
              </c:strCache>
            </c:strRef>
          </c:tx>
          <c:marker>
            <c:symbol val="none"/>
          </c:marker>
          <c:cat>
            <c:strRef>
              <c:f>Compilation_Expert!$AI$11:$AK$11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Compilation_Expert!$AI$43:$AK$43</c:f>
              <c:numCache>
                <c:formatCode>0.00</c:formatCode>
                <c:ptCount val="3"/>
                <c:pt idx="0">
                  <c:v>0.46183333333333337</c:v>
                </c:pt>
                <c:pt idx="1">
                  <c:v>0.26550000000000001</c:v>
                </c:pt>
                <c:pt idx="2">
                  <c:v>0.20200000000000001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82784"/>
        <c:axId val="228383344"/>
      </c:lineChart>
      <c:catAx>
        <c:axId val="2283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383344"/>
        <c:crosses val="autoZero"/>
        <c:auto val="1"/>
        <c:lblAlgn val="ctr"/>
        <c:lblOffset val="100"/>
        <c:noMultiLvlLbl val="0"/>
      </c:catAx>
      <c:valAx>
        <c:axId val="22838334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2838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026151434041039"/>
          <c:y val="0.85066900604816709"/>
          <c:w val="0.64950495049504964"/>
          <c:h val="0.14933099395184299"/>
        </c:manualLayout>
      </c:layout>
      <c:overlay val="0"/>
      <c:txPr>
        <a:bodyPr/>
        <a:lstStyle/>
        <a:p>
          <a:pPr rtl="0">
            <a:defRPr sz="8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0058877775425E-2"/>
          <c:y val="7.4314054116730408E-2"/>
          <c:w val="0.78420427481287069"/>
          <c:h val="0.55432807344865065"/>
        </c:manualLayout>
      </c:layout>
      <c:lineChart>
        <c:grouping val="stacked"/>
        <c:varyColors val="0"/>
        <c:ser>
          <c:idx val="0"/>
          <c:order val="0"/>
          <c:tx>
            <c:strRef>
              <c:f>Compilation_Hybird!$AH$42</c:f>
              <c:strCache>
                <c:ptCount val="1"/>
                <c:pt idx="0">
                  <c:v>SUM MIN</c:v>
                </c:pt>
              </c:strCache>
            </c:strRef>
          </c:tx>
          <c:marker>
            <c:symbol val="none"/>
          </c:marker>
          <c:cat>
            <c:strRef>
              <c:f>Compilation_Hybird!$AI$11:$AK$11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Compilation_Hybird!$AI$42:$AK$42</c:f>
              <c:numCache>
                <c:formatCode>0.00</c:formatCode>
                <c:ptCount val="3"/>
                <c:pt idx="0">
                  <c:v>0.1157111111111111</c:v>
                </c:pt>
                <c:pt idx="1">
                  <c:v>0.14720652173913043</c:v>
                </c:pt>
                <c:pt idx="2">
                  <c:v>0.19999999999999998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Compilation_Hybird!$AH$43</c:f>
              <c:strCache>
                <c:ptCount val="1"/>
                <c:pt idx="0">
                  <c:v>SUM MAX</c:v>
                </c:pt>
              </c:strCache>
            </c:strRef>
          </c:tx>
          <c:marker>
            <c:symbol val="none"/>
          </c:marker>
          <c:cat>
            <c:strRef>
              <c:f>Compilation_Hybird!$AI$11:$AK$11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Compilation_Hybird!$AI$43:$AK$43</c:f>
              <c:numCache>
                <c:formatCode>0.00</c:formatCode>
                <c:ptCount val="3"/>
                <c:pt idx="0">
                  <c:v>0.40105555555555555</c:v>
                </c:pt>
                <c:pt idx="1">
                  <c:v>0.26318478260869566</c:v>
                </c:pt>
                <c:pt idx="2">
                  <c:v>0.23333333333333331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86704"/>
        <c:axId val="228387264"/>
      </c:lineChart>
      <c:catAx>
        <c:axId val="22838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387264"/>
        <c:crosses val="autoZero"/>
        <c:auto val="1"/>
        <c:lblAlgn val="ctr"/>
        <c:lblOffset val="100"/>
        <c:noMultiLvlLbl val="0"/>
      </c:catAx>
      <c:valAx>
        <c:axId val="2283872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2838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323721264064524"/>
          <c:y val="0.85066900604816753"/>
          <c:w val="0.75503314264001264"/>
          <c:h val="0.14933099395184299"/>
        </c:manualLayout>
      </c:layout>
      <c:overlay val="0"/>
      <c:txPr>
        <a:bodyPr/>
        <a:lstStyle/>
        <a:p>
          <a:pPr rtl="0">
            <a:defRPr sz="8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33759694065393E-2"/>
          <c:y val="9.2761590285085363E-2"/>
          <c:w val="0.90182717544922253"/>
          <c:h val="0.6174957968963557"/>
        </c:manualLayout>
      </c:layout>
      <c:lineChart>
        <c:grouping val="stacked"/>
        <c:varyColors val="0"/>
        <c:ser>
          <c:idx val="0"/>
          <c:order val="0"/>
          <c:tx>
            <c:v>Category weighted</c:v>
          </c:tx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</c:spPr>
          </c:marker>
          <c:cat>
            <c:strRef>
              <c:f>Compilation_Equal!$AC$12:$AC$41</c:f>
              <c:strCache>
                <c:ptCount val="30"/>
                <c:pt idx="0">
                  <c:v>MAX</c:v>
                </c:pt>
                <c:pt idx="1">
                  <c:v>MIN</c:v>
                </c:pt>
                <c:pt idx="2">
                  <c:v>MAX</c:v>
                </c:pt>
                <c:pt idx="3">
                  <c:v>MAX</c:v>
                </c:pt>
                <c:pt idx="4">
                  <c:v>MIN</c:v>
                </c:pt>
                <c:pt idx="5">
                  <c:v>MAX</c:v>
                </c:pt>
                <c:pt idx="6">
                  <c:v>MIN</c:v>
                </c:pt>
                <c:pt idx="7">
                  <c:v>MAX</c:v>
                </c:pt>
                <c:pt idx="8">
                  <c:v>MAX</c:v>
                </c:pt>
                <c:pt idx="9">
                  <c:v>MAX</c:v>
                </c:pt>
                <c:pt idx="10">
                  <c:v>MAX</c:v>
                </c:pt>
                <c:pt idx="11">
                  <c:v>MIN</c:v>
                </c:pt>
                <c:pt idx="12">
                  <c:v>MIN</c:v>
                </c:pt>
                <c:pt idx="13">
                  <c:v>MAX</c:v>
                </c:pt>
                <c:pt idx="14">
                  <c:v>MAX</c:v>
                </c:pt>
                <c:pt idx="15">
                  <c:v>MAX</c:v>
                </c:pt>
                <c:pt idx="16">
                  <c:v>MAX</c:v>
                </c:pt>
                <c:pt idx="17">
                  <c:v>MIN</c:v>
                </c:pt>
                <c:pt idx="18">
                  <c:v>MAX</c:v>
                </c:pt>
                <c:pt idx="19">
                  <c:v>MAX</c:v>
                </c:pt>
                <c:pt idx="20">
                  <c:v>MAX</c:v>
                </c:pt>
                <c:pt idx="21">
                  <c:v>MIN</c:v>
                </c:pt>
                <c:pt idx="22">
                  <c:v>MIN</c:v>
                </c:pt>
                <c:pt idx="23">
                  <c:v>MIN</c:v>
                </c:pt>
                <c:pt idx="24">
                  <c:v>MIN</c:v>
                </c:pt>
                <c:pt idx="25">
                  <c:v>MIN</c:v>
                </c:pt>
                <c:pt idx="26">
                  <c:v>MIN</c:v>
                </c:pt>
                <c:pt idx="27">
                  <c:v>MIN</c:v>
                </c:pt>
                <c:pt idx="28">
                  <c:v>MIN</c:v>
                </c:pt>
                <c:pt idx="29">
                  <c:v>MAX</c:v>
                </c:pt>
              </c:strCache>
            </c:strRef>
          </c:cat>
          <c:val>
            <c:numRef>
              <c:f>Compilation_Equal!$AI$12:$AI$41</c:f>
              <c:numCache>
                <c:formatCode>0.0000</c:formatCode>
                <c:ptCount val="30"/>
                <c:pt idx="0">
                  <c:v>3.3333333333333333E-2</c:v>
                </c:pt>
                <c:pt idx="1">
                  <c:v>3.3333333333333333E-2</c:v>
                </c:pt>
                <c:pt idx="2">
                  <c:v>0</c:v>
                </c:pt>
                <c:pt idx="3">
                  <c:v>3.3333333333333333E-2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5.5555555555555552E-2</c:v>
                </c:pt>
                <c:pt idx="7">
                  <c:v>0</c:v>
                </c:pt>
                <c:pt idx="8">
                  <c:v>2.7777777777777776E-2</c:v>
                </c:pt>
                <c:pt idx="9">
                  <c:v>0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2.0833333333333332E-2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1.0416666666666666E-2</c:v>
                </c:pt>
                <c:pt idx="27">
                  <c:v>0</c:v>
                </c:pt>
                <c:pt idx="28">
                  <c:v>0</c:v>
                </c:pt>
                <c:pt idx="29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Criteria weighted</c:v>
          </c:tx>
          <c:marker>
            <c:symbol val="square"/>
            <c:size val="3"/>
          </c:marker>
          <c:val>
            <c:numRef>
              <c:f>Compilation_Equal!$AJ$12:$AJ$41</c:f>
              <c:numCache>
                <c:formatCode>0.0000</c:formatCode>
                <c:ptCount val="30"/>
                <c:pt idx="0">
                  <c:v>4.3478260869565216E-2</c:v>
                </c:pt>
                <c:pt idx="1">
                  <c:v>4.3478260869565216E-2</c:v>
                </c:pt>
                <c:pt idx="2">
                  <c:v>0</c:v>
                </c:pt>
                <c:pt idx="3">
                  <c:v>4.3478260869565216E-2</c:v>
                </c:pt>
                <c:pt idx="4">
                  <c:v>2.1739130434782608E-2</c:v>
                </c:pt>
                <c:pt idx="5">
                  <c:v>2.1739130434782608E-2</c:v>
                </c:pt>
                <c:pt idx="6">
                  <c:v>4.3478260869565216E-2</c:v>
                </c:pt>
                <c:pt idx="7">
                  <c:v>0</c:v>
                </c:pt>
                <c:pt idx="8">
                  <c:v>2.1739130434782608E-2</c:v>
                </c:pt>
                <c:pt idx="9">
                  <c:v>0</c:v>
                </c:pt>
                <c:pt idx="10">
                  <c:v>4.3478260869565216E-2</c:v>
                </c:pt>
                <c:pt idx="11">
                  <c:v>4.3478260869565216E-2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4.3478260869565216E-2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1.0869565217391304E-2</c:v>
                </c:pt>
                <c:pt idx="26">
                  <c:v>1.0869565217391304E-2</c:v>
                </c:pt>
                <c:pt idx="27">
                  <c:v>0</c:v>
                </c:pt>
                <c:pt idx="28">
                  <c:v>0</c:v>
                </c:pt>
                <c:pt idx="29">
                  <c:v>4.3478260869565216E-2</c:v>
                </c:pt>
              </c:numCache>
            </c:numRef>
          </c:val>
          <c:smooth val="0"/>
        </c:ser>
        <c:ser>
          <c:idx val="2"/>
          <c:order val="2"/>
          <c:tx>
            <c:v>Indicator weighted</c:v>
          </c:tx>
          <c:marker>
            <c:symbol val="triangle"/>
            <c:size val="4"/>
          </c:marker>
          <c:val>
            <c:numRef>
              <c:f>Compilation_Equal!$AK$12:$AK$41</c:f>
              <c:numCache>
                <c:formatCode>0.0000</c:formatCode>
                <c:ptCount val="30"/>
                <c:pt idx="0">
                  <c:v>3.3333333333333333E-2</c:v>
                </c:pt>
                <c:pt idx="1">
                  <c:v>3.3333333333333333E-2</c:v>
                </c:pt>
                <c:pt idx="2">
                  <c:v>0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0</c:v>
                </c:pt>
                <c:pt idx="8">
                  <c:v>3.3333333333333333E-2</c:v>
                </c:pt>
                <c:pt idx="9">
                  <c:v>0</c:v>
                </c:pt>
                <c:pt idx="10">
                  <c:v>3.3333333333333333E-2</c:v>
                </c:pt>
                <c:pt idx="11">
                  <c:v>3.3333333333333333E-2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3.3333333333333333E-2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0</c:v>
                </c:pt>
                <c:pt idx="28">
                  <c:v>0</c:v>
                </c:pt>
                <c:pt idx="29">
                  <c:v>3.3333333333333333E-2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47280"/>
        <c:axId val="229147840"/>
      </c:lineChart>
      <c:catAx>
        <c:axId val="229147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en-US"/>
          </a:p>
        </c:txPr>
        <c:crossAx val="229147840"/>
        <c:crosses val="autoZero"/>
        <c:auto val="1"/>
        <c:lblAlgn val="ctr"/>
        <c:lblOffset val="100"/>
        <c:noMultiLvlLbl val="0"/>
      </c:catAx>
      <c:valAx>
        <c:axId val="229147840"/>
        <c:scaling>
          <c:orientation val="minMax"/>
          <c:max val="0.4"/>
          <c:min val="0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9147280"/>
        <c:crosses val="autoZero"/>
        <c:crossBetween val="between"/>
        <c:majorUnit val="0.1"/>
        <c:minorUnit val="4.0000000000000022E-2"/>
      </c:valAx>
      <c:spPr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9772573071223401"/>
          <c:y val="0.87647531961730585"/>
          <c:w val="0.5688436266895317"/>
          <c:h val="0.1203327406654823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Compilation_Equal!$AB$12:$AB$41</c:f>
              <c:strCache>
                <c:ptCount val="30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I4</c:v>
                </c:pt>
                <c:pt idx="4">
                  <c:v>I5</c:v>
                </c:pt>
                <c:pt idx="5">
                  <c:v>I6</c:v>
                </c:pt>
                <c:pt idx="6">
                  <c:v>I7</c:v>
                </c:pt>
                <c:pt idx="7">
                  <c:v>I8</c:v>
                </c:pt>
                <c:pt idx="8">
                  <c:v>I9</c:v>
                </c:pt>
                <c:pt idx="9">
                  <c:v>I10</c:v>
                </c:pt>
                <c:pt idx="10">
                  <c:v>I11</c:v>
                </c:pt>
                <c:pt idx="11">
                  <c:v>I12</c:v>
                </c:pt>
                <c:pt idx="12">
                  <c:v>I13</c:v>
                </c:pt>
                <c:pt idx="13">
                  <c:v>I14</c:v>
                </c:pt>
                <c:pt idx="14">
                  <c:v>I15</c:v>
                </c:pt>
                <c:pt idx="15">
                  <c:v>I16</c:v>
                </c:pt>
                <c:pt idx="16">
                  <c:v>I17</c:v>
                </c:pt>
                <c:pt idx="17">
                  <c:v>I18</c:v>
                </c:pt>
                <c:pt idx="18">
                  <c:v>I19</c:v>
                </c:pt>
                <c:pt idx="19">
                  <c:v>I20</c:v>
                </c:pt>
                <c:pt idx="20">
                  <c:v>I21</c:v>
                </c:pt>
                <c:pt idx="21">
                  <c:v>I22</c:v>
                </c:pt>
                <c:pt idx="22">
                  <c:v>I23</c:v>
                </c:pt>
                <c:pt idx="23">
                  <c:v>I24</c:v>
                </c:pt>
                <c:pt idx="24">
                  <c:v>I25</c:v>
                </c:pt>
                <c:pt idx="25">
                  <c:v>I26</c:v>
                </c:pt>
                <c:pt idx="26">
                  <c:v>I27</c:v>
                </c:pt>
                <c:pt idx="27">
                  <c:v>I28</c:v>
                </c:pt>
                <c:pt idx="28">
                  <c:v>I29</c:v>
                </c:pt>
                <c:pt idx="29">
                  <c:v>I30</c:v>
                </c:pt>
              </c:strCache>
            </c:strRef>
          </c:cat>
          <c:val>
            <c:numRef>
              <c:f>Compilation_Equal!$AH$12:$AH$41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50080"/>
        <c:axId val="229150640"/>
      </c:radarChart>
      <c:catAx>
        <c:axId val="2291500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29150640"/>
        <c:crosses val="autoZero"/>
        <c:auto val="1"/>
        <c:lblAlgn val="ctr"/>
        <c:lblOffset val="100"/>
        <c:noMultiLvlLbl val="0"/>
      </c:catAx>
      <c:valAx>
        <c:axId val="229150640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29150080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0058877775425E-2"/>
          <c:y val="7.4314054116730158E-2"/>
          <c:w val="0.78420427481287069"/>
          <c:h val="0.55432807344865065"/>
        </c:manualLayout>
      </c:layout>
      <c:lineChart>
        <c:grouping val="stacked"/>
        <c:varyColors val="0"/>
        <c:ser>
          <c:idx val="0"/>
          <c:order val="0"/>
          <c:tx>
            <c:strRef>
              <c:f>Compilation_Equal!$AH$42</c:f>
              <c:strCache>
                <c:ptCount val="1"/>
                <c:pt idx="0">
                  <c:v>SUM MIN</c:v>
                </c:pt>
              </c:strCache>
            </c:strRef>
          </c:tx>
          <c:marker>
            <c:symbol val="none"/>
          </c:marker>
          <c:cat>
            <c:strRef>
              <c:f>Compilation_Equal!$AI$11:$AK$11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Compilation_Equal!$AI$42:$AK$42</c:f>
              <c:numCache>
                <c:formatCode>0.00</c:formatCode>
                <c:ptCount val="3"/>
                <c:pt idx="0">
                  <c:v>0.16805555555555554</c:v>
                </c:pt>
                <c:pt idx="1">
                  <c:v>0.17391304347826086</c:v>
                </c:pt>
                <c:pt idx="2">
                  <c:v>0.19999999999999998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Compilation_Equal!$AH$43</c:f>
              <c:strCache>
                <c:ptCount val="1"/>
                <c:pt idx="0">
                  <c:v>SUM MAX</c:v>
                </c:pt>
              </c:strCache>
            </c:strRef>
          </c:tx>
          <c:marker>
            <c:symbol val="none"/>
          </c:marker>
          <c:cat>
            <c:strRef>
              <c:f>Compilation_Equal!$AI$11:$AK$11</c:f>
              <c:strCache>
                <c:ptCount val="3"/>
                <c:pt idx="0">
                  <c:v>Category </c:v>
                </c:pt>
                <c:pt idx="1">
                  <c:v>Criteria </c:v>
                </c:pt>
                <c:pt idx="2">
                  <c:v>Indicator </c:v>
                </c:pt>
              </c:strCache>
            </c:strRef>
          </c:cat>
          <c:val>
            <c:numRef>
              <c:f>Compilation_Equal!$AI$43:$AK$43</c:f>
              <c:numCache>
                <c:formatCode>0.00</c:formatCode>
                <c:ptCount val="3"/>
                <c:pt idx="0">
                  <c:v>0.34027777777777779</c:v>
                </c:pt>
                <c:pt idx="1">
                  <c:v>0.2608695652173913</c:v>
                </c:pt>
                <c:pt idx="2">
                  <c:v>0.23333333333333331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53440"/>
        <c:axId val="229154000"/>
      </c:lineChart>
      <c:catAx>
        <c:axId val="22915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154000"/>
        <c:crosses val="autoZero"/>
        <c:auto val="1"/>
        <c:lblAlgn val="ctr"/>
        <c:lblOffset val="100"/>
        <c:noMultiLvlLbl val="0"/>
      </c:catAx>
      <c:valAx>
        <c:axId val="22915400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29153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026151434041039"/>
          <c:y val="0.85066900604816564"/>
          <c:w val="0.77973856209150783"/>
          <c:h val="0.14933119991017171"/>
        </c:manualLayout>
      </c:layout>
      <c:overlay val="0"/>
      <c:txPr>
        <a:bodyPr/>
        <a:lstStyle/>
        <a:p>
          <a:pPr rtl="0">
            <a:defRPr sz="800"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422030</xdr:colOff>
      <xdr:row>2</xdr:row>
      <xdr:rowOff>82062</xdr:rowOff>
    </xdr:from>
    <xdr:to>
      <xdr:col>8</xdr:col>
      <xdr:colOff>827051</xdr:colOff>
      <xdr:row>17</xdr:row>
      <xdr:rowOff>110861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38799" y="574431"/>
          <a:ext cx="7655169" cy="26195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114300</xdr:rowOff>
        </xdr:from>
        <xdr:to>
          <xdr:col>3</xdr:col>
          <xdr:colOff>9525</xdr:colOff>
          <xdr:row>2</xdr:row>
          <xdr:rowOff>123825</xdr:rowOff>
        </xdr:to>
        <xdr:sp macro="" textlink="">
          <xdr:nvSpPr>
            <xdr:cNvPr id="1044" name="WebBrowser1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85725</xdr:rowOff>
        </xdr:from>
        <xdr:to>
          <xdr:col>2</xdr:col>
          <xdr:colOff>2028825</xdr:colOff>
          <xdr:row>17</xdr:row>
          <xdr:rowOff>47625</xdr:rowOff>
        </xdr:to>
        <xdr:sp macro="" textlink="">
          <xdr:nvSpPr>
            <xdr:cNvPr id="1045" name="CommandButton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500744</xdr:colOff>
      <xdr:row>50</xdr:row>
      <xdr:rowOff>121556</xdr:rowOff>
    </xdr:from>
    <xdr:to>
      <xdr:col>6</xdr:col>
      <xdr:colOff>10886</xdr:colOff>
      <xdr:row>61</xdr:row>
      <xdr:rowOff>119743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292100</xdr:colOff>
      <xdr:row>37</xdr:row>
      <xdr:rowOff>101600</xdr:rowOff>
    </xdr:from>
    <xdr:to>
      <xdr:col>17</xdr:col>
      <xdr:colOff>97536</xdr:colOff>
      <xdr:row>47</xdr:row>
      <xdr:rowOff>10160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27940</xdr:colOff>
      <xdr:row>50</xdr:row>
      <xdr:rowOff>121920</xdr:rowOff>
    </xdr:from>
    <xdr:to>
      <xdr:col>11</xdr:col>
      <xdr:colOff>20320</xdr:colOff>
      <xdr:row>60</xdr:row>
      <xdr:rowOff>20320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10160</xdr:colOff>
      <xdr:row>23</xdr:row>
      <xdr:rowOff>10160</xdr:rowOff>
    </xdr:from>
    <xdr:to>
      <xdr:col>11</xdr:col>
      <xdr:colOff>26416</xdr:colOff>
      <xdr:row>33</xdr:row>
      <xdr:rowOff>20320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10160</xdr:colOff>
      <xdr:row>23</xdr:row>
      <xdr:rowOff>12700</xdr:rowOff>
    </xdr:from>
    <xdr:to>
      <xdr:col>17</xdr:col>
      <xdr:colOff>117856</xdr:colOff>
      <xdr:row>33</xdr:row>
      <xdr:rowOff>22860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439420</xdr:colOff>
      <xdr:row>37</xdr:row>
      <xdr:rowOff>91440</xdr:rowOff>
    </xdr:from>
    <xdr:to>
      <xdr:col>11</xdr:col>
      <xdr:colOff>10160</xdr:colOff>
      <xdr:row>47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404447</xdr:colOff>
      <xdr:row>2</xdr:row>
      <xdr:rowOff>107851</xdr:rowOff>
    </xdr:from>
    <xdr:to>
      <xdr:col>16</xdr:col>
      <xdr:colOff>316524</xdr:colOff>
      <xdr:row>18</xdr:row>
      <xdr:rowOff>14666</xdr:rowOff>
    </xdr:to>
    <xdr:pic>
      <xdr:nvPicPr>
        <xdr:cNvPr id="207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148755" y="600220"/>
          <a:ext cx="4824046" cy="27362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6</xdr:row>
          <xdr:rowOff>190500</xdr:rowOff>
        </xdr:from>
        <xdr:to>
          <xdr:col>6</xdr:col>
          <xdr:colOff>57150</xdr:colOff>
          <xdr:row>9</xdr:row>
          <xdr:rowOff>9525</xdr:rowOff>
        </xdr:to>
        <xdr:sp macro="" textlink="">
          <xdr:nvSpPr>
            <xdr:cNvPr id="2050" name="CommandButton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</xdr:colOff>
      <xdr:row>46</xdr:row>
      <xdr:rowOff>15240</xdr:rowOff>
    </xdr:from>
    <xdr:to>
      <xdr:col>31</xdr:col>
      <xdr:colOff>7620</xdr:colOff>
      <xdr:row>55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10</xdr:row>
      <xdr:rowOff>0</xdr:rowOff>
    </xdr:from>
    <xdr:to>
      <xdr:col>25</xdr:col>
      <xdr:colOff>647700</xdr:colOff>
      <xdr:row>20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7620</xdr:colOff>
      <xdr:row>23</xdr:row>
      <xdr:rowOff>83820</xdr:rowOff>
    </xdr:from>
    <xdr:to>
      <xdr:col>25</xdr:col>
      <xdr:colOff>647700</xdr:colOff>
      <xdr:row>31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33</xdr:row>
      <xdr:rowOff>15240</xdr:rowOff>
    </xdr:from>
    <xdr:to>
      <xdr:col>25</xdr:col>
      <xdr:colOff>640080</xdr:colOff>
      <xdr:row>40</xdr:row>
      <xdr:rowOff>160020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22860</xdr:colOff>
      <xdr:row>10</xdr:row>
      <xdr:rowOff>30480</xdr:rowOff>
    </xdr:from>
    <xdr:to>
      <xdr:col>25</xdr:col>
      <xdr:colOff>609600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23</xdr:row>
      <xdr:rowOff>83820</xdr:rowOff>
    </xdr:from>
    <xdr:to>
      <xdr:col>25</xdr:col>
      <xdr:colOff>624840</xdr:colOff>
      <xdr:row>31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33</xdr:row>
      <xdr:rowOff>45720</xdr:rowOff>
    </xdr:from>
    <xdr:to>
      <xdr:col>25</xdr:col>
      <xdr:colOff>670560</xdr:colOff>
      <xdr:row>41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45</xdr:row>
      <xdr:rowOff>7620</xdr:rowOff>
    </xdr:from>
    <xdr:to>
      <xdr:col>30</xdr:col>
      <xdr:colOff>937260</xdr:colOff>
      <xdr:row>54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22860</xdr:colOff>
      <xdr:row>10</xdr:row>
      <xdr:rowOff>30480</xdr:rowOff>
    </xdr:from>
    <xdr:to>
      <xdr:col>25</xdr:col>
      <xdr:colOff>609600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23</xdr:row>
      <xdr:rowOff>83820</xdr:rowOff>
    </xdr:from>
    <xdr:to>
      <xdr:col>25</xdr:col>
      <xdr:colOff>624840</xdr:colOff>
      <xdr:row>31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33</xdr:row>
      <xdr:rowOff>45720</xdr:rowOff>
    </xdr:from>
    <xdr:to>
      <xdr:col>25</xdr:col>
      <xdr:colOff>670560</xdr:colOff>
      <xdr:row>41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45</xdr:row>
      <xdr:rowOff>7620</xdr:rowOff>
    </xdr:from>
    <xdr:to>
      <xdr:col>30</xdr:col>
      <xdr:colOff>937260</xdr:colOff>
      <xdr:row>54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67</xdr:row>
      <xdr:rowOff>0</xdr:rowOff>
    </xdr:from>
    <xdr:to>
      <xdr:col>30</xdr:col>
      <xdr:colOff>929640</xdr:colOff>
      <xdr:row>75</xdr:row>
      <xdr:rowOff>106680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1226820</xdr:colOff>
      <xdr:row>1</xdr:row>
      <xdr:rowOff>7620</xdr:rowOff>
    </xdr:from>
    <xdr:to>
      <xdr:col>7</xdr:col>
      <xdr:colOff>601980</xdr:colOff>
      <xdr:row>18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1501140</xdr:colOff>
      <xdr:row>21</xdr:row>
      <xdr:rowOff>30480</xdr:rowOff>
    </xdr:from>
    <xdr:to>
      <xdr:col>8</xdr:col>
      <xdr:colOff>144780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1531620</xdr:colOff>
      <xdr:row>45</xdr:row>
      <xdr:rowOff>30480</xdr:rowOff>
    </xdr:from>
    <xdr:to>
      <xdr:col>8</xdr:col>
      <xdr:colOff>175260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2186940</xdr:colOff>
      <xdr:row>90</xdr:row>
      <xdr:rowOff>68580</xdr:rowOff>
    </xdr:from>
    <xdr:to>
      <xdr:col>9</xdr:col>
      <xdr:colOff>99060</xdr:colOff>
      <xdr:row>109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2225040</xdr:colOff>
      <xdr:row>112</xdr:row>
      <xdr:rowOff>7620</xdr:rowOff>
    </xdr:from>
    <xdr:to>
      <xdr:col>9</xdr:col>
      <xdr:colOff>137160</xdr:colOff>
      <xdr:row>131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142</xdr:row>
      <xdr:rowOff>0</xdr:rowOff>
    </xdr:from>
    <xdr:to>
      <xdr:col>8</xdr:col>
      <xdr:colOff>518160</xdr:colOff>
      <xdr:row>152</xdr:row>
      <xdr:rowOff>53340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159</xdr:row>
      <xdr:rowOff>0</xdr:rowOff>
    </xdr:from>
    <xdr:to>
      <xdr:col>8</xdr:col>
      <xdr:colOff>518160</xdr:colOff>
      <xdr:row>169</xdr:row>
      <xdr:rowOff>53340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518160</xdr:colOff>
      <xdr:row>91</xdr:row>
      <xdr:rowOff>91440</xdr:rowOff>
    </xdr:from>
    <xdr:to>
      <xdr:col>16</xdr:col>
      <xdr:colOff>274320</xdr:colOff>
      <xdr:row>107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HP%20spread%20sheet/AHP_Expt2015_for_survey_without_l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"/>
      <sheetName val="CRITERIA"/>
      <sheetName val="INDICATOR"/>
    </sheetNames>
    <sheetDataSet>
      <sheetData sheetId="0">
        <row r="14">
          <cell r="C14">
            <v>0.1111111111111111</v>
          </cell>
        </row>
        <row r="15">
          <cell r="C15">
            <v>0.125</v>
          </cell>
        </row>
        <row r="16">
          <cell r="C16">
            <v>0.14285714285714285</v>
          </cell>
        </row>
        <row r="17">
          <cell r="C17">
            <v>0.16666666666666666</v>
          </cell>
        </row>
        <row r="18">
          <cell r="C18">
            <v>0.2</v>
          </cell>
        </row>
        <row r="19">
          <cell r="C19">
            <v>0.25</v>
          </cell>
        </row>
        <row r="20">
          <cell r="C20">
            <v>0.33333333333333331</v>
          </cell>
        </row>
        <row r="21">
          <cell r="C21">
            <v>0.5</v>
          </cell>
        </row>
        <row r="22">
          <cell r="C22">
            <v>1</v>
          </cell>
        </row>
        <row r="23">
          <cell r="C23">
            <v>2</v>
          </cell>
        </row>
        <row r="24">
          <cell r="C24">
            <v>3</v>
          </cell>
        </row>
        <row r="25">
          <cell r="C25">
            <v>4</v>
          </cell>
        </row>
        <row r="26">
          <cell r="C26">
            <v>5</v>
          </cell>
        </row>
        <row r="27">
          <cell r="C27">
            <v>6</v>
          </cell>
        </row>
        <row r="28">
          <cell r="C28">
            <v>7</v>
          </cell>
        </row>
        <row r="29">
          <cell r="C29">
            <v>8</v>
          </cell>
        </row>
        <row r="30">
          <cell r="C30">
            <v>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.bd/maps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104"/>
  <sheetViews>
    <sheetView zoomScale="70" zoomScaleNormal="70" workbookViewId="0">
      <selection activeCell="I24" sqref="I24"/>
    </sheetView>
  </sheetViews>
  <sheetFormatPr defaultRowHeight="12.75" x14ac:dyDescent="0.2"/>
  <cols>
    <col min="2" max="2" width="22.125" customWidth="1"/>
    <col min="3" max="3" width="31.625" customWidth="1"/>
    <col min="4" max="4" width="45.125" customWidth="1"/>
    <col min="5" max="5" width="10.625" customWidth="1"/>
    <col min="6" max="6" width="11.5" customWidth="1"/>
    <col min="7" max="7" width="6.5" customWidth="1"/>
    <col min="8" max="8" width="11.875" customWidth="1"/>
    <col min="9" max="9" width="19" customWidth="1"/>
    <col min="11" max="11" width="13.875" customWidth="1"/>
  </cols>
  <sheetData>
    <row r="1" spans="1:15" ht="26.25" x14ac:dyDescent="0.4">
      <c r="A1" s="440"/>
      <c r="B1" s="527" t="s">
        <v>264</v>
      </c>
      <c r="C1" s="527"/>
      <c r="D1" s="527"/>
      <c r="E1" s="527"/>
      <c r="F1" s="527"/>
      <c r="G1" s="527"/>
      <c r="H1" s="527"/>
      <c r="I1" s="527"/>
      <c r="J1" s="408"/>
      <c r="K1" s="408"/>
      <c r="L1" s="408"/>
      <c r="M1" s="408"/>
      <c r="N1" s="441"/>
      <c r="O1" s="408"/>
    </row>
    <row r="2" spans="1:15" x14ac:dyDescent="0.2">
      <c r="A2" s="442"/>
      <c r="B2" s="528" t="s">
        <v>289</v>
      </c>
      <c r="C2" s="528"/>
      <c r="D2" s="433"/>
      <c r="E2" s="433"/>
      <c r="F2" s="433"/>
      <c r="G2" s="433"/>
      <c r="H2" s="433"/>
      <c r="I2" s="433"/>
      <c r="J2" s="443"/>
      <c r="K2" s="407"/>
    </row>
    <row r="3" spans="1:15" x14ac:dyDescent="0.2">
      <c r="A3" s="442"/>
      <c r="B3" s="18"/>
      <c r="C3" s="18"/>
      <c r="D3" s="433"/>
      <c r="E3" s="433"/>
      <c r="F3" s="433"/>
      <c r="G3" s="433"/>
      <c r="H3" s="433"/>
      <c r="I3" s="433"/>
      <c r="J3" s="443"/>
      <c r="K3" s="407"/>
    </row>
    <row r="4" spans="1:15" x14ac:dyDescent="0.2">
      <c r="A4" s="442"/>
      <c r="B4" s="409" t="s">
        <v>261</v>
      </c>
      <c r="C4" s="510" t="s">
        <v>253</v>
      </c>
      <c r="D4" s="433"/>
      <c r="E4" s="433"/>
      <c r="F4" s="433"/>
      <c r="G4" s="433"/>
      <c r="H4" s="433"/>
      <c r="I4" s="433"/>
      <c r="J4" s="443"/>
      <c r="K4" s="407"/>
    </row>
    <row r="5" spans="1:15" x14ac:dyDescent="0.2">
      <c r="A5" s="442"/>
      <c r="B5" s="409" t="s">
        <v>252</v>
      </c>
      <c r="C5" s="511">
        <v>6783</v>
      </c>
      <c r="D5" s="433"/>
      <c r="E5" s="433"/>
      <c r="F5" s="433"/>
      <c r="G5" s="433"/>
      <c r="H5" s="433"/>
      <c r="I5" s="433"/>
      <c r="J5" s="443"/>
      <c r="K5" s="407"/>
    </row>
    <row r="6" spans="1:15" x14ac:dyDescent="0.2">
      <c r="A6" s="442"/>
      <c r="B6" s="409" t="s">
        <v>283</v>
      </c>
      <c r="C6" s="511">
        <v>55.24</v>
      </c>
      <c r="D6" s="433"/>
      <c r="E6" s="433"/>
      <c r="F6" s="433"/>
      <c r="G6" s="433"/>
      <c r="H6" s="433"/>
      <c r="I6" s="433"/>
      <c r="J6" s="443"/>
      <c r="K6" s="407"/>
    </row>
    <row r="7" spans="1:15" x14ac:dyDescent="0.2">
      <c r="A7" s="442"/>
      <c r="B7" s="409" t="s">
        <v>113</v>
      </c>
      <c r="C7" s="511">
        <v>562</v>
      </c>
      <c r="D7" s="433"/>
      <c r="E7" s="433"/>
      <c r="F7" s="433"/>
      <c r="G7" s="433"/>
      <c r="H7" s="433"/>
      <c r="I7" s="433"/>
      <c r="J7" s="443"/>
      <c r="K7" s="407"/>
    </row>
    <row r="8" spans="1:15" x14ac:dyDescent="0.2">
      <c r="A8" s="442"/>
      <c r="B8" s="409" t="s">
        <v>112</v>
      </c>
      <c r="C8" s="510" t="s">
        <v>251</v>
      </c>
      <c r="D8" s="433"/>
      <c r="E8" s="433"/>
      <c r="F8" s="433"/>
      <c r="G8" s="433"/>
      <c r="H8" s="433"/>
      <c r="I8" s="433"/>
      <c r="J8" s="443"/>
      <c r="K8" s="407"/>
    </row>
    <row r="9" spans="1:15" x14ac:dyDescent="0.2">
      <c r="A9" s="442"/>
      <c r="B9" s="409" t="s">
        <v>272</v>
      </c>
      <c r="C9" s="512">
        <v>40923</v>
      </c>
      <c r="D9" s="433"/>
      <c r="E9" s="433"/>
      <c r="F9" s="433"/>
      <c r="G9" s="433"/>
      <c r="H9" s="433"/>
      <c r="I9" s="433"/>
      <c r="J9" s="443"/>
      <c r="K9" s="407"/>
    </row>
    <row r="10" spans="1:15" x14ac:dyDescent="0.2">
      <c r="A10" s="442"/>
      <c r="B10" s="409" t="s">
        <v>271</v>
      </c>
      <c r="C10" s="405"/>
      <c r="D10" s="433"/>
      <c r="E10" s="433"/>
      <c r="F10" s="433"/>
      <c r="G10" s="433"/>
      <c r="H10" s="433"/>
      <c r="I10" s="433"/>
      <c r="J10" s="443"/>
      <c r="K10" s="407"/>
    </row>
    <row r="11" spans="1:15" x14ac:dyDescent="0.2">
      <c r="A11" s="442"/>
      <c r="B11" s="410" t="s">
        <v>275</v>
      </c>
      <c r="C11" s="510" t="s">
        <v>285</v>
      </c>
      <c r="D11" s="433"/>
      <c r="E11" s="433"/>
      <c r="F11" s="433"/>
      <c r="G11" s="433"/>
      <c r="H11" s="433"/>
      <c r="I11" s="433"/>
      <c r="J11" s="443"/>
      <c r="K11" s="407"/>
    </row>
    <row r="12" spans="1:15" x14ac:dyDescent="0.2">
      <c r="A12" s="442"/>
      <c r="B12" s="410" t="s">
        <v>276</v>
      </c>
      <c r="C12" s="510" t="s">
        <v>269</v>
      </c>
      <c r="D12" s="433"/>
      <c r="E12" s="433"/>
      <c r="F12" s="433"/>
      <c r="G12" s="433"/>
      <c r="H12" s="433"/>
      <c r="I12" s="433"/>
      <c r="J12" s="443"/>
      <c r="K12" s="407"/>
    </row>
    <row r="13" spans="1:15" x14ac:dyDescent="0.2">
      <c r="A13" s="442"/>
      <c r="B13" s="410" t="s">
        <v>277</v>
      </c>
      <c r="C13" s="510" t="s">
        <v>270</v>
      </c>
      <c r="D13" s="433"/>
      <c r="E13" s="433"/>
      <c r="F13" s="433"/>
      <c r="G13" s="433"/>
      <c r="H13" s="433"/>
      <c r="I13" s="433"/>
      <c r="J13" s="443"/>
      <c r="K13" s="407"/>
    </row>
    <row r="14" spans="1:15" x14ac:dyDescent="0.2">
      <c r="A14" s="442"/>
      <c r="B14" s="410"/>
      <c r="C14" s="510"/>
      <c r="D14" s="433"/>
      <c r="E14" s="433"/>
      <c r="F14" s="433"/>
      <c r="G14" s="433"/>
      <c r="H14" s="433"/>
      <c r="I14" s="433"/>
      <c r="J14" s="443"/>
      <c r="K14" s="407"/>
    </row>
    <row r="15" spans="1:15" x14ac:dyDescent="0.2">
      <c r="A15" s="442"/>
      <c r="B15" s="407"/>
      <c r="D15" s="433"/>
      <c r="E15" s="433"/>
      <c r="F15" s="433"/>
      <c r="G15" s="433"/>
      <c r="H15" s="433"/>
      <c r="I15" s="433"/>
      <c r="J15" s="443"/>
      <c r="K15" s="407"/>
    </row>
    <row r="16" spans="1:15" x14ac:dyDescent="0.2">
      <c r="A16" s="442"/>
      <c r="B16" s="407"/>
      <c r="C16" s="486"/>
      <c r="D16" s="433"/>
      <c r="E16" s="433"/>
      <c r="F16" s="433"/>
      <c r="G16" s="433"/>
      <c r="H16" s="433"/>
      <c r="I16" s="433"/>
      <c r="J16" s="443"/>
      <c r="K16" s="407"/>
    </row>
    <row r="17" spans="1:15" x14ac:dyDescent="0.2">
      <c r="A17" s="442"/>
      <c r="B17" s="485" t="s">
        <v>279</v>
      </c>
      <c r="C17" s="433"/>
      <c r="D17" s="433"/>
      <c r="E17" s="433"/>
      <c r="F17" s="433"/>
      <c r="G17" s="433"/>
      <c r="H17" s="433"/>
      <c r="I17" s="433"/>
      <c r="J17" s="443"/>
      <c r="K17" s="407"/>
    </row>
    <row r="18" spans="1:15" s="406" customFormat="1" x14ac:dyDescent="0.2">
      <c r="A18" s="442"/>
      <c r="B18" s="433"/>
      <c r="C18" s="485"/>
      <c r="D18" s="433"/>
      <c r="E18" s="433"/>
      <c r="F18" s="433"/>
      <c r="G18" s="433"/>
      <c r="H18" s="433"/>
      <c r="I18" s="433"/>
      <c r="J18" s="433"/>
      <c r="K18" s="447" t="s">
        <v>281</v>
      </c>
      <c r="L18" s="433"/>
      <c r="M18" s="433"/>
      <c r="N18" s="443"/>
      <c r="O18" s="407"/>
    </row>
    <row r="19" spans="1:15" x14ac:dyDescent="0.2">
      <c r="A19" s="442"/>
      <c r="B19" s="18"/>
      <c r="C19" s="18"/>
      <c r="D19" s="433"/>
      <c r="E19" s="433"/>
      <c r="F19" s="487" t="s">
        <v>263</v>
      </c>
      <c r="G19" s="488"/>
      <c r="H19" s="488"/>
      <c r="I19" s="487" t="s">
        <v>263</v>
      </c>
      <c r="J19" s="434"/>
      <c r="K19" s="448" t="s">
        <v>262</v>
      </c>
      <c r="L19" s="433"/>
      <c r="M19" s="433"/>
      <c r="N19" s="443"/>
      <c r="O19" s="407"/>
    </row>
    <row r="20" spans="1:15" ht="15" x14ac:dyDescent="0.2">
      <c r="A20" s="442"/>
      <c r="B20" s="478" t="s">
        <v>100</v>
      </c>
      <c r="C20" s="479" t="s">
        <v>101</v>
      </c>
      <c r="D20" s="479" t="s">
        <v>0</v>
      </c>
      <c r="E20" s="480" t="s">
        <v>1</v>
      </c>
      <c r="F20" s="513" t="s">
        <v>273</v>
      </c>
      <c r="G20" s="533" t="s">
        <v>20</v>
      </c>
      <c r="H20" s="481" t="s">
        <v>31</v>
      </c>
      <c r="I20" s="529" t="s">
        <v>266</v>
      </c>
      <c r="J20" s="433"/>
      <c r="K20" s="411" t="s">
        <v>31</v>
      </c>
      <c r="L20" s="433"/>
      <c r="M20" s="433"/>
      <c r="N20" s="443"/>
      <c r="O20" s="407"/>
    </row>
    <row r="21" spans="1:15" ht="14.45" customHeight="1" x14ac:dyDescent="0.2">
      <c r="A21" s="442"/>
      <c r="B21" s="482" t="s">
        <v>102</v>
      </c>
      <c r="C21" s="133" t="s">
        <v>23</v>
      </c>
      <c r="D21" s="483" t="s">
        <v>25</v>
      </c>
      <c r="E21" s="272" t="s">
        <v>26</v>
      </c>
      <c r="F21" s="514" t="s">
        <v>258</v>
      </c>
      <c r="G21" s="534"/>
      <c r="H21" s="272" t="s">
        <v>282</v>
      </c>
      <c r="I21" s="530"/>
      <c r="J21" s="433"/>
      <c r="K21" s="412" t="s">
        <v>265</v>
      </c>
      <c r="L21" s="433"/>
      <c r="M21" s="433"/>
      <c r="N21" s="443"/>
      <c r="O21" s="407"/>
    </row>
    <row r="22" spans="1:15" ht="14.45" customHeight="1" x14ac:dyDescent="0.2">
      <c r="A22" s="442"/>
      <c r="B22" s="531" t="s">
        <v>180</v>
      </c>
      <c r="C22" s="450" t="s">
        <v>165</v>
      </c>
      <c r="D22" s="451" t="s">
        <v>170</v>
      </c>
      <c r="E22" s="452" t="s">
        <v>5</v>
      </c>
      <c r="F22" s="515">
        <v>28.5</v>
      </c>
      <c r="G22" s="403" t="s">
        <v>21</v>
      </c>
      <c r="H22" s="122">
        <f>K22+(K22*I22)</f>
        <v>19.399999999999999</v>
      </c>
      <c r="I22" s="524">
        <v>0</v>
      </c>
      <c r="J22" s="433"/>
      <c r="K22" s="426">
        <v>19.399999999999999</v>
      </c>
      <c r="L22" s="433"/>
      <c r="M22" s="433"/>
      <c r="N22" s="443"/>
      <c r="O22" s="407"/>
    </row>
    <row r="23" spans="1:15" ht="11.45" customHeight="1" x14ac:dyDescent="0.2">
      <c r="A23" s="442"/>
      <c r="B23" s="531"/>
      <c r="C23" s="453" t="s">
        <v>166</v>
      </c>
      <c r="D23" s="451" t="s">
        <v>171</v>
      </c>
      <c r="E23" s="404" t="s">
        <v>2</v>
      </c>
      <c r="F23" s="515">
        <v>4.9000000000000004</v>
      </c>
      <c r="G23" s="404" t="s">
        <v>22</v>
      </c>
      <c r="H23" s="122">
        <f>K23-(K23*I23)</f>
        <v>6.6000000000000005</v>
      </c>
      <c r="I23" s="524">
        <v>0</v>
      </c>
      <c r="J23" s="433"/>
      <c r="K23" s="427">
        <v>6.6000000000000005</v>
      </c>
      <c r="L23" s="433"/>
      <c r="M23" s="433"/>
      <c r="N23" s="443"/>
      <c r="O23" s="407"/>
    </row>
    <row r="24" spans="1:15" ht="13.15" customHeight="1" x14ac:dyDescent="0.2">
      <c r="A24" s="442"/>
      <c r="B24" s="531"/>
      <c r="C24" s="450" t="s">
        <v>167</v>
      </c>
      <c r="D24" s="451" t="s">
        <v>172</v>
      </c>
      <c r="E24" s="452" t="s">
        <v>3</v>
      </c>
      <c r="F24" s="515">
        <v>3</v>
      </c>
      <c r="G24" s="403" t="s">
        <v>21</v>
      </c>
      <c r="H24" s="122">
        <f>K24+(K24*I24)</f>
        <v>3.25</v>
      </c>
      <c r="I24" s="524">
        <v>0.3</v>
      </c>
      <c r="J24" s="433"/>
      <c r="K24" s="431">
        <v>2.5</v>
      </c>
      <c r="L24" s="449" t="s">
        <v>278</v>
      </c>
      <c r="M24" s="433"/>
      <c r="N24" s="443"/>
      <c r="O24" s="407"/>
    </row>
    <row r="25" spans="1:15" ht="12" customHeight="1" x14ac:dyDescent="0.2">
      <c r="A25" s="442"/>
      <c r="B25" s="531"/>
      <c r="C25" s="450" t="s">
        <v>168</v>
      </c>
      <c r="D25" s="451" t="s">
        <v>173</v>
      </c>
      <c r="E25" s="452" t="s">
        <v>16</v>
      </c>
      <c r="F25" s="515">
        <v>844</v>
      </c>
      <c r="G25" s="403" t="s">
        <v>21</v>
      </c>
      <c r="H25" s="122">
        <f>K25+(K25*I25)</f>
        <v>762</v>
      </c>
      <c r="I25" s="524">
        <v>0</v>
      </c>
      <c r="J25" s="433"/>
      <c r="K25" s="431">
        <v>762</v>
      </c>
      <c r="L25" s="449" t="s">
        <v>278</v>
      </c>
      <c r="M25" s="433"/>
      <c r="N25" s="443"/>
      <c r="O25" s="407"/>
    </row>
    <row r="26" spans="1:15" ht="13.9" customHeight="1" x14ac:dyDescent="0.2">
      <c r="A26" s="442"/>
      <c r="B26" s="531"/>
      <c r="C26" s="454" t="s">
        <v>169</v>
      </c>
      <c r="D26" s="455" t="s">
        <v>174</v>
      </c>
      <c r="E26" s="456" t="s">
        <v>4</v>
      </c>
      <c r="F26" s="516">
        <v>93.94</v>
      </c>
      <c r="G26" s="404" t="s">
        <v>22</v>
      </c>
      <c r="H26" s="122">
        <f>K26-(K26*I26)</f>
        <v>96.015000000000001</v>
      </c>
      <c r="I26" s="524">
        <v>0</v>
      </c>
      <c r="J26" s="433"/>
      <c r="K26" s="431">
        <v>96.015000000000001</v>
      </c>
      <c r="L26" s="449" t="s">
        <v>278</v>
      </c>
      <c r="M26" s="433"/>
      <c r="N26" s="443"/>
      <c r="O26" s="407"/>
    </row>
    <row r="27" spans="1:15" ht="13.15" customHeight="1" thickBot="1" x14ac:dyDescent="0.25">
      <c r="A27" s="442"/>
      <c r="B27" s="532"/>
      <c r="C27" s="477"/>
      <c r="D27" s="476" t="s">
        <v>175</v>
      </c>
      <c r="E27" s="474" t="s">
        <v>4</v>
      </c>
      <c r="F27" s="517">
        <v>6.06</v>
      </c>
      <c r="G27" s="475" t="s">
        <v>21</v>
      </c>
      <c r="H27" s="471">
        <f t="shared" ref="H27:H32" si="0">K27+(K27*I27)</f>
        <v>3.9849999999999999</v>
      </c>
      <c r="I27" s="525">
        <v>0</v>
      </c>
      <c r="J27" s="433"/>
      <c r="K27" s="431">
        <v>3.9849999999999999</v>
      </c>
      <c r="L27" s="449" t="s">
        <v>278</v>
      </c>
      <c r="M27" s="433"/>
      <c r="N27" s="443"/>
      <c r="O27" s="407"/>
    </row>
    <row r="28" spans="1:15" ht="13.15" customHeight="1" x14ac:dyDescent="0.2">
      <c r="A28" s="442"/>
      <c r="B28" s="531" t="s">
        <v>181</v>
      </c>
      <c r="C28" s="453" t="s">
        <v>177</v>
      </c>
      <c r="D28" s="457" t="s">
        <v>199</v>
      </c>
      <c r="E28" s="404" t="s">
        <v>4</v>
      </c>
      <c r="F28" s="516">
        <v>12.36</v>
      </c>
      <c r="G28" s="404" t="s">
        <v>22</v>
      </c>
      <c r="H28" s="122">
        <f t="shared" si="0"/>
        <v>14.709999999999999</v>
      </c>
      <c r="I28" s="524">
        <v>0</v>
      </c>
      <c r="J28" s="433"/>
      <c r="K28" s="427">
        <v>14.709999999999999</v>
      </c>
      <c r="L28" s="449"/>
      <c r="M28" s="433"/>
      <c r="N28" s="443"/>
      <c r="O28" s="407"/>
    </row>
    <row r="29" spans="1:15" ht="12.6" customHeight="1" x14ac:dyDescent="0.2">
      <c r="A29" s="442"/>
      <c r="B29" s="531"/>
      <c r="C29" s="450" t="s">
        <v>178</v>
      </c>
      <c r="D29" s="455" t="s">
        <v>200</v>
      </c>
      <c r="E29" s="452" t="s">
        <v>4</v>
      </c>
      <c r="F29" s="516">
        <v>0</v>
      </c>
      <c r="G29" s="403" t="s">
        <v>21</v>
      </c>
      <c r="H29" s="122">
        <f t="shared" si="0"/>
        <v>2.44</v>
      </c>
      <c r="I29" s="524">
        <v>0</v>
      </c>
      <c r="J29" s="433"/>
      <c r="K29" s="426">
        <v>2.44</v>
      </c>
      <c r="L29" s="449"/>
      <c r="M29" s="433"/>
      <c r="N29" s="443"/>
      <c r="O29" s="407"/>
    </row>
    <row r="30" spans="1:15" ht="13.9" customHeight="1" x14ac:dyDescent="0.2">
      <c r="A30" s="442"/>
      <c r="B30" s="531"/>
      <c r="C30" s="458" t="s">
        <v>179</v>
      </c>
      <c r="D30" s="455" t="s">
        <v>201</v>
      </c>
      <c r="E30" s="452" t="s">
        <v>12</v>
      </c>
      <c r="F30" s="518">
        <v>3.92</v>
      </c>
      <c r="G30" s="403" t="s">
        <v>21</v>
      </c>
      <c r="H30" s="122">
        <f t="shared" si="0"/>
        <v>1.96</v>
      </c>
      <c r="I30" s="524">
        <v>0</v>
      </c>
      <c r="J30" s="433"/>
      <c r="K30" s="426">
        <v>1.96</v>
      </c>
      <c r="L30" s="449"/>
      <c r="M30" s="433"/>
      <c r="N30" s="443"/>
      <c r="O30" s="407"/>
    </row>
    <row r="31" spans="1:15" ht="13.15" customHeight="1" thickBot="1" x14ac:dyDescent="0.25">
      <c r="A31" s="442"/>
      <c r="B31" s="532"/>
      <c r="C31" s="473"/>
      <c r="D31" s="476" t="s">
        <v>259</v>
      </c>
      <c r="E31" s="474" t="s">
        <v>12</v>
      </c>
      <c r="F31" s="519">
        <v>0.96</v>
      </c>
      <c r="G31" s="475" t="s">
        <v>21</v>
      </c>
      <c r="H31" s="471">
        <f t="shared" si="0"/>
        <v>1.35</v>
      </c>
      <c r="I31" s="525">
        <v>0</v>
      </c>
      <c r="J31" s="433"/>
      <c r="K31" s="426">
        <v>1.35</v>
      </c>
      <c r="L31" s="449"/>
      <c r="M31" s="433"/>
      <c r="N31" s="443"/>
      <c r="O31" s="407"/>
    </row>
    <row r="32" spans="1:15" ht="12" customHeight="1" x14ac:dyDescent="0.2">
      <c r="A32" s="442"/>
      <c r="B32" s="531" t="s">
        <v>182</v>
      </c>
      <c r="C32" s="450" t="s">
        <v>186</v>
      </c>
      <c r="D32" s="455" t="s">
        <v>203</v>
      </c>
      <c r="E32" s="452" t="s">
        <v>4</v>
      </c>
      <c r="F32" s="518">
        <v>44</v>
      </c>
      <c r="G32" s="403" t="s">
        <v>21</v>
      </c>
      <c r="H32" s="122">
        <f t="shared" si="0"/>
        <v>27.5</v>
      </c>
      <c r="I32" s="524">
        <v>0</v>
      </c>
      <c r="J32" s="433"/>
      <c r="K32" s="426">
        <v>27.5</v>
      </c>
      <c r="L32" s="449"/>
      <c r="M32" s="433"/>
      <c r="N32" s="443"/>
      <c r="O32" s="407"/>
    </row>
    <row r="33" spans="1:15" ht="13.15" customHeight="1" x14ac:dyDescent="0.2">
      <c r="A33" s="442"/>
      <c r="B33" s="531"/>
      <c r="C33" s="453" t="s">
        <v>187</v>
      </c>
      <c r="D33" s="455" t="s">
        <v>204</v>
      </c>
      <c r="E33" s="456" t="s">
        <v>12</v>
      </c>
      <c r="F33" s="518">
        <v>0.4</v>
      </c>
      <c r="G33" s="404" t="s">
        <v>22</v>
      </c>
      <c r="H33" s="122">
        <f>K33-(K33*I33)</f>
        <v>0.55000000000000004</v>
      </c>
      <c r="I33" s="524">
        <v>0</v>
      </c>
      <c r="J33" s="433"/>
      <c r="K33" s="426">
        <v>0.55000000000000004</v>
      </c>
      <c r="L33" s="449"/>
      <c r="M33" s="433"/>
      <c r="N33" s="443"/>
      <c r="O33" s="407"/>
    </row>
    <row r="34" spans="1:15" ht="12.6" customHeight="1" x14ac:dyDescent="0.2">
      <c r="A34" s="442"/>
      <c r="B34" s="531"/>
      <c r="C34" s="453" t="s">
        <v>188</v>
      </c>
      <c r="D34" s="455" t="s">
        <v>205</v>
      </c>
      <c r="E34" s="456" t="s">
        <v>12</v>
      </c>
      <c r="F34" s="518">
        <v>1.6</v>
      </c>
      <c r="G34" s="404" t="s">
        <v>22</v>
      </c>
      <c r="H34" s="122">
        <f>K34-(K34*I34)</f>
        <v>1.55</v>
      </c>
      <c r="I34" s="524">
        <v>0</v>
      </c>
      <c r="J34" s="433"/>
      <c r="K34" s="426">
        <v>1.55</v>
      </c>
      <c r="L34" s="449"/>
      <c r="M34" s="433"/>
      <c r="N34" s="443"/>
      <c r="O34" s="407"/>
    </row>
    <row r="35" spans="1:15" ht="12" customHeight="1" x14ac:dyDescent="0.2">
      <c r="A35" s="442"/>
      <c r="B35" s="531"/>
      <c r="C35" s="458" t="s">
        <v>223</v>
      </c>
      <c r="D35" s="451" t="s">
        <v>206</v>
      </c>
      <c r="E35" s="452" t="s">
        <v>5</v>
      </c>
      <c r="F35" s="518">
        <v>8.9999999999999998E-4</v>
      </c>
      <c r="G35" s="403" t="s">
        <v>21</v>
      </c>
      <c r="H35" s="122">
        <f>K35+(K35*I35)</f>
        <v>5.4500000000000009E-3</v>
      </c>
      <c r="I35" s="524">
        <v>0</v>
      </c>
      <c r="J35" s="433"/>
      <c r="K35" s="430">
        <v>5.4500000000000009E-3</v>
      </c>
      <c r="L35" s="449"/>
      <c r="M35" s="433"/>
      <c r="N35" s="443"/>
      <c r="O35" s="407"/>
    </row>
    <row r="36" spans="1:15" ht="13.15" customHeight="1" thickBot="1" x14ac:dyDescent="0.25">
      <c r="A36" s="442"/>
      <c r="B36" s="532"/>
      <c r="C36" s="473"/>
      <c r="D36" s="468" t="s">
        <v>207</v>
      </c>
      <c r="E36" s="474" t="s">
        <v>5</v>
      </c>
      <c r="F36" s="519">
        <v>6.3999999999999997E-5</v>
      </c>
      <c r="G36" s="475" t="s">
        <v>21</v>
      </c>
      <c r="H36" s="471">
        <f>K36+(K36*I36)</f>
        <v>4.8200000000000001E-4</v>
      </c>
      <c r="I36" s="525">
        <v>0</v>
      </c>
      <c r="J36" s="433"/>
      <c r="K36" s="430">
        <v>4.8200000000000001E-4</v>
      </c>
      <c r="L36" s="449"/>
      <c r="M36" s="433"/>
      <c r="N36" s="443"/>
      <c r="O36" s="407"/>
    </row>
    <row r="37" spans="1:15" ht="15" x14ac:dyDescent="0.2">
      <c r="A37" s="442"/>
      <c r="B37" s="531" t="s">
        <v>183</v>
      </c>
      <c r="C37" s="450" t="s">
        <v>189</v>
      </c>
      <c r="D37" s="451" t="s">
        <v>208</v>
      </c>
      <c r="E37" s="452" t="s">
        <v>7</v>
      </c>
      <c r="F37" s="518">
        <v>46</v>
      </c>
      <c r="G37" s="403" t="s">
        <v>21</v>
      </c>
      <c r="H37" s="122">
        <f>K37+(K37*I37)</f>
        <v>54.5</v>
      </c>
      <c r="I37" s="524">
        <v>0</v>
      </c>
      <c r="J37" s="433"/>
      <c r="K37" s="426">
        <v>54.5</v>
      </c>
      <c r="L37" s="449"/>
      <c r="M37" s="433"/>
      <c r="N37" s="443"/>
      <c r="O37" s="407"/>
    </row>
    <row r="38" spans="1:15" ht="15" x14ac:dyDescent="0.2">
      <c r="A38" s="442"/>
      <c r="B38" s="531"/>
      <c r="C38" s="450" t="s">
        <v>190</v>
      </c>
      <c r="D38" s="451" t="s">
        <v>209</v>
      </c>
      <c r="E38" s="452" t="s">
        <v>15</v>
      </c>
      <c r="F38" s="518">
        <v>3.72</v>
      </c>
      <c r="G38" s="403" t="s">
        <v>21</v>
      </c>
      <c r="H38" s="122">
        <f>K38+(K38*I38)</f>
        <v>3.7300000000000004</v>
      </c>
      <c r="I38" s="524">
        <v>0</v>
      </c>
      <c r="J38" s="433"/>
      <c r="K38" s="426">
        <v>3.7300000000000004</v>
      </c>
      <c r="L38" s="449"/>
      <c r="M38" s="433"/>
      <c r="N38" s="443"/>
      <c r="O38" s="407"/>
    </row>
    <row r="39" spans="1:15" ht="15" x14ac:dyDescent="0.2">
      <c r="A39" s="442"/>
      <c r="B39" s="531"/>
      <c r="C39" s="453" t="s">
        <v>191</v>
      </c>
      <c r="D39" s="455" t="s">
        <v>210</v>
      </c>
      <c r="E39" s="459" t="s">
        <v>6</v>
      </c>
      <c r="F39" s="520">
        <v>37.700000000000003</v>
      </c>
      <c r="G39" s="404" t="s">
        <v>22</v>
      </c>
      <c r="H39" s="122">
        <f>K39-(K39*I39)</f>
        <v>34.545000000000002</v>
      </c>
      <c r="I39" s="524">
        <v>0</v>
      </c>
      <c r="J39" s="433"/>
      <c r="K39" s="426">
        <v>34.545000000000002</v>
      </c>
      <c r="L39" s="449"/>
      <c r="M39" s="433"/>
      <c r="N39" s="443"/>
      <c r="O39" s="407"/>
    </row>
    <row r="40" spans="1:15" ht="15" x14ac:dyDescent="0.2">
      <c r="A40" s="442"/>
      <c r="B40" s="531"/>
      <c r="C40" s="450" t="s">
        <v>225</v>
      </c>
      <c r="D40" s="451" t="s">
        <v>211</v>
      </c>
      <c r="E40" s="452" t="s">
        <v>4</v>
      </c>
      <c r="F40" s="518">
        <v>68</v>
      </c>
      <c r="G40" s="403" t="s">
        <v>21</v>
      </c>
      <c r="H40" s="122">
        <f>K40+(K40*I40)</f>
        <v>65.5</v>
      </c>
      <c r="I40" s="524">
        <v>0</v>
      </c>
      <c r="J40" s="433"/>
      <c r="K40" s="426">
        <v>65.5</v>
      </c>
      <c r="L40" s="449"/>
      <c r="M40" s="433"/>
      <c r="N40" s="443"/>
      <c r="O40" s="407"/>
    </row>
    <row r="41" spans="1:15" ht="15" x14ac:dyDescent="0.2">
      <c r="A41" s="442"/>
      <c r="B41" s="531"/>
      <c r="C41" s="460" t="s">
        <v>192</v>
      </c>
      <c r="D41" s="451" t="s">
        <v>212</v>
      </c>
      <c r="E41" s="456" t="s">
        <v>17</v>
      </c>
      <c r="F41" s="521">
        <v>0.13</v>
      </c>
      <c r="G41" s="403" t="s">
        <v>21</v>
      </c>
      <c r="H41" s="122">
        <f>K41+(K41*I41)</f>
        <v>0.21</v>
      </c>
      <c r="I41" s="524">
        <v>0</v>
      </c>
      <c r="J41" s="433"/>
      <c r="K41" s="428">
        <v>0.21</v>
      </c>
      <c r="L41" s="449"/>
      <c r="M41" s="433"/>
      <c r="N41" s="443"/>
      <c r="O41" s="407"/>
    </row>
    <row r="42" spans="1:15" ht="15" x14ac:dyDescent="0.2">
      <c r="A42" s="442"/>
      <c r="B42" s="531"/>
      <c r="C42" s="460" t="s">
        <v>193</v>
      </c>
      <c r="D42" s="451" t="s">
        <v>213</v>
      </c>
      <c r="E42" s="456" t="s">
        <v>8</v>
      </c>
      <c r="F42" s="520">
        <v>168</v>
      </c>
      <c r="G42" s="403" t="s">
        <v>21</v>
      </c>
      <c r="H42" s="122">
        <f>K42+(K42*I42)</f>
        <v>202.5</v>
      </c>
      <c r="I42" s="524">
        <v>0</v>
      </c>
      <c r="J42" s="433"/>
      <c r="K42" s="432">
        <v>202.5</v>
      </c>
      <c r="L42" s="449" t="s">
        <v>278</v>
      </c>
      <c r="M42" s="433"/>
      <c r="N42" s="443"/>
      <c r="O42" s="407"/>
    </row>
    <row r="43" spans="1:15" ht="15" x14ac:dyDescent="0.2">
      <c r="A43" s="442"/>
      <c r="B43" s="531"/>
      <c r="C43" s="451" t="s">
        <v>194</v>
      </c>
      <c r="D43" s="451" t="s">
        <v>214</v>
      </c>
      <c r="E43" s="456" t="s">
        <v>4</v>
      </c>
      <c r="F43" s="518">
        <v>90</v>
      </c>
      <c r="G43" s="404" t="s">
        <v>22</v>
      </c>
      <c r="H43" s="122">
        <f t="shared" ref="H43:H50" si="1">K43-(K43*I43)</f>
        <v>74.5</v>
      </c>
      <c r="I43" s="524">
        <v>0</v>
      </c>
      <c r="J43" s="433"/>
      <c r="K43" s="432">
        <v>74.5</v>
      </c>
      <c r="L43" s="449" t="s">
        <v>278</v>
      </c>
      <c r="M43" s="433"/>
      <c r="N43" s="443"/>
      <c r="O43" s="407"/>
    </row>
    <row r="44" spans="1:15" ht="15" x14ac:dyDescent="0.2">
      <c r="A44" s="442"/>
      <c r="B44" s="531"/>
      <c r="C44" s="461" t="s">
        <v>195</v>
      </c>
      <c r="D44" s="451" t="s">
        <v>215</v>
      </c>
      <c r="E44" s="456" t="s">
        <v>4</v>
      </c>
      <c r="F44" s="516">
        <v>35</v>
      </c>
      <c r="G44" s="404" t="s">
        <v>22</v>
      </c>
      <c r="H44" s="122">
        <f t="shared" si="1"/>
        <v>26</v>
      </c>
      <c r="I44" s="524">
        <v>0</v>
      </c>
      <c r="J44" s="433"/>
      <c r="K44" s="428">
        <v>26</v>
      </c>
      <c r="L44" s="449"/>
      <c r="M44" s="433"/>
      <c r="N44" s="443"/>
      <c r="O44" s="407"/>
    </row>
    <row r="45" spans="1:15" ht="15.75" thickBot="1" x14ac:dyDescent="0.25">
      <c r="A45" s="442"/>
      <c r="B45" s="532"/>
      <c r="C45" s="472"/>
      <c r="D45" s="468" t="s">
        <v>216</v>
      </c>
      <c r="E45" s="469" t="s">
        <v>9</v>
      </c>
      <c r="F45" s="522">
        <v>72</v>
      </c>
      <c r="G45" s="470" t="s">
        <v>22</v>
      </c>
      <c r="H45" s="471">
        <f t="shared" si="1"/>
        <v>57</v>
      </c>
      <c r="I45" s="525">
        <v>0</v>
      </c>
      <c r="J45" s="433"/>
      <c r="K45" s="428">
        <v>57</v>
      </c>
      <c r="L45" s="449"/>
      <c r="M45" s="433"/>
      <c r="N45" s="443"/>
      <c r="O45" s="407"/>
    </row>
    <row r="46" spans="1:15" ht="15" x14ac:dyDescent="0.2">
      <c r="A46" s="442"/>
      <c r="B46" s="531" t="s">
        <v>184</v>
      </c>
      <c r="C46" s="461" t="s">
        <v>196</v>
      </c>
      <c r="D46" s="451" t="s">
        <v>217</v>
      </c>
      <c r="E46" s="456" t="s">
        <v>10</v>
      </c>
      <c r="F46" s="520">
        <v>1498</v>
      </c>
      <c r="G46" s="404" t="s">
        <v>22</v>
      </c>
      <c r="H46" s="122">
        <f t="shared" si="1"/>
        <v>1291</v>
      </c>
      <c r="I46" s="524">
        <v>0</v>
      </c>
      <c r="J46" s="433"/>
      <c r="K46" s="428">
        <v>1291</v>
      </c>
      <c r="L46" s="449"/>
      <c r="M46" s="433"/>
      <c r="N46" s="443"/>
      <c r="O46" s="407"/>
    </row>
    <row r="47" spans="1:15" ht="14.45" customHeight="1" x14ac:dyDescent="0.2">
      <c r="A47" s="442"/>
      <c r="B47" s="531"/>
      <c r="C47" s="461"/>
      <c r="D47" s="451" t="s">
        <v>218</v>
      </c>
      <c r="E47" s="456" t="s">
        <v>18</v>
      </c>
      <c r="F47" s="520">
        <v>1.62</v>
      </c>
      <c r="G47" s="404" t="s">
        <v>22</v>
      </c>
      <c r="H47" s="122">
        <f t="shared" si="1"/>
        <v>1.675</v>
      </c>
      <c r="I47" s="524">
        <v>0</v>
      </c>
      <c r="J47" s="433"/>
      <c r="K47" s="428">
        <v>1.675</v>
      </c>
      <c r="L47" s="449"/>
      <c r="M47" s="433"/>
      <c r="N47" s="443"/>
      <c r="O47" s="407"/>
    </row>
    <row r="48" spans="1:15" ht="15" x14ac:dyDescent="0.2">
      <c r="A48" s="442"/>
      <c r="B48" s="531"/>
      <c r="C48" s="461"/>
      <c r="D48" s="451" t="s">
        <v>219</v>
      </c>
      <c r="E48" s="456" t="s">
        <v>14</v>
      </c>
      <c r="F48" s="520">
        <v>4.5999999999999996</v>
      </c>
      <c r="G48" s="404" t="s">
        <v>22</v>
      </c>
      <c r="H48" s="122">
        <f t="shared" si="1"/>
        <v>5</v>
      </c>
      <c r="I48" s="524">
        <v>0</v>
      </c>
      <c r="J48" s="433"/>
      <c r="K48" s="432">
        <v>5</v>
      </c>
      <c r="L48" s="449" t="s">
        <v>278</v>
      </c>
      <c r="M48" s="433"/>
      <c r="N48" s="443"/>
      <c r="O48" s="407"/>
    </row>
    <row r="49" spans="1:15" ht="15" x14ac:dyDescent="0.2">
      <c r="A49" s="442"/>
      <c r="B49" s="531"/>
      <c r="C49" s="461"/>
      <c r="D49" s="451" t="s">
        <v>220</v>
      </c>
      <c r="E49" s="456" t="s">
        <v>14</v>
      </c>
      <c r="F49" s="520">
        <v>1.2</v>
      </c>
      <c r="G49" s="404" t="s">
        <v>22</v>
      </c>
      <c r="H49" s="122">
        <f t="shared" si="1"/>
        <v>1.125</v>
      </c>
      <c r="I49" s="524">
        <v>0</v>
      </c>
      <c r="J49" s="433"/>
      <c r="K49" s="432">
        <v>1.125</v>
      </c>
      <c r="L49" s="449" t="s">
        <v>278</v>
      </c>
      <c r="M49" s="433"/>
      <c r="N49" s="443"/>
      <c r="O49" s="407"/>
    </row>
    <row r="50" spans="1:15" ht="16.5" customHeight="1" thickBot="1" x14ac:dyDescent="0.25">
      <c r="A50" s="442"/>
      <c r="B50" s="532"/>
      <c r="C50" s="468" t="s">
        <v>197</v>
      </c>
      <c r="D50" s="468" t="s">
        <v>221</v>
      </c>
      <c r="E50" s="469" t="s">
        <v>11</v>
      </c>
      <c r="F50" s="522">
        <v>0.7</v>
      </c>
      <c r="G50" s="470" t="s">
        <v>22</v>
      </c>
      <c r="H50" s="471">
        <f t="shared" si="1"/>
        <v>0.48499999999999999</v>
      </c>
      <c r="I50" s="525">
        <v>0</v>
      </c>
      <c r="J50" s="433"/>
      <c r="K50" s="428">
        <v>0.48499999999999999</v>
      </c>
      <c r="L50" s="433"/>
      <c r="M50" s="433"/>
      <c r="N50" s="443"/>
      <c r="O50" s="407"/>
    </row>
    <row r="51" spans="1:15" ht="15" x14ac:dyDescent="0.2">
      <c r="A51" s="442"/>
      <c r="B51" s="484" t="s">
        <v>185</v>
      </c>
      <c r="C51" s="423" t="s">
        <v>198</v>
      </c>
      <c r="D51" s="423" t="s">
        <v>222</v>
      </c>
      <c r="E51" s="462" t="s">
        <v>10</v>
      </c>
      <c r="F51" s="523">
        <v>210.5</v>
      </c>
      <c r="G51" s="463" t="s">
        <v>21</v>
      </c>
      <c r="H51" s="464">
        <f>K51+(K51*I51)</f>
        <v>184.35</v>
      </c>
      <c r="I51" s="526">
        <v>0</v>
      </c>
      <c r="J51" s="433"/>
      <c r="K51" s="429">
        <v>184.35</v>
      </c>
      <c r="L51" s="433"/>
      <c r="M51" s="433"/>
      <c r="N51" s="443"/>
      <c r="O51" s="407"/>
    </row>
    <row r="52" spans="1:15" x14ac:dyDescent="0.2">
      <c r="A52" s="389"/>
      <c r="B52" s="465"/>
      <c r="C52" s="465"/>
      <c r="D52" s="465"/>
      <c r="E52" s="465"/>
      <c r="F52" s="465"/>
      <c r="G52" s="465"/>
      <c r="H52" s="466"/>
      <c r="I52" s="467">
        <f>SUM(I22:I51)</f>
        <v>0.3</v>
      </c>
      <c r="J52" s="433"/>
      <c r="K52" s="449"/>
      <c r="L52" s="433"/>
      <c r="M52" s="433"/>
      <c r="N52" s="443"/>
      <c r="O52" s="407"/>
    </row>
    <row r="53" spans="1:15" ht="13.5" thickBot="1" x14ac:dyDescent="0.25">
      <c r="A53" s="444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07"/>
    </row>
    <row r="54" spans="1:15" x14ac:dyDescent="0.2">
      <c r="A54" s="407"/>
      <c r="B54" s="407"/>
      <c r="C54" s="407"/>
      <c r="D54" s="407"/>
      <c r="E54" s="407"/>
      <c r="F54" s="407"/>
      <c r="G54" s="407"/>
      <c r="H54" s="407"/>
      <c r="I54" s="407"/>
      <c r="J54" s="407"/>
      <c r="K54" s="407"/>
      <c r="L54" s="407"/>
      <c r="M54" s="407"/>
      <c r="N54" s="407"/>
    </row>
    <row r="55" spans="1:15" x14ac:dyDescent="0.2">
      <c r="A55" s="407"/>
      <c r="B55" s="407"/>
      <c r="C55" s="407"/>
      <c r="D55" s="407"/>
      <c r="E55" s="407"/>
      <c r="F55" s="407"/>
      <c r="G55" s="407"/>
      <c r="H55" s="407"/>
      <c r="I55" s="407"/>
      <c r="J55" s="407"/>
      <c r="K55" s="407"/>
      <c r="L55" s="407"/>
      <c r="M55" s="407"/>
      <c r="N55" s="407"/>
    </row>
    <row r="56" spans="1:15" x14ac:dyDescent="0.2">
      <c r="B56" s="493" t="s">
        <v>284</v>
      </c>
      <c r="C56" s="494" t="s">
        <v>286</v>
      </c>
      <c r="D56" s="491"/>
      <c r="E56" s="491"/>
      <c r="F56" s="491"/>
      <c r="G56" s="491"/>
      <c r="H56" s="407"/>
      <c r="I56" s="407"/>
      <c r="J56" s="407"/>
      <c r="K56" s="407"/>
      <c r="L56" s="407"/>
      <c r="M56" s="407"/>
      <c r="N56" s="407"/>
    </row>
    <row r="57" spans="1:15" x14ac:dyDescent="0.2">
      <c r="A57" s="407"/>
      <c r="B57" s="407"/>
      <c r="C57" s="407"/>
      <c r="D57" s="407"/>
      <c r="E57" s="407"/>
      <c r="F57" s="407"/>
      <c r="G57" s="407"/>
      <c r="H57" s="407"/>
      <c r="I57" s="407"/>
      <c r="J57" s="407"/>
      <c r="K57" s="407"/>
      <c r="L57" s="407"/>
      <c r="M57" s="407"/>
      <c r="N57" s="407"/>
    </row>
    <row r="58" spans="1:15" x14ac:dyDescent="0.2">
      <c r="A58" s="407"/>
      <c r="B58" s="407"/>
      <c r="C58" s="407"/>
      <c r="D58" s="407"/>
      <c r="E58" s="407"/>
      <c r="F58" s="407"/>
      <c r="G58" s="407"/>
      <c r="H58" s="407"/>
      <c r="I58" s="407"/>
      <c r="J58" s="407"/>
      <c r="K58" s="407"/>
      <c r="L58" s="407"/>
      <c r="M58" s="407"/>
      <c r="N58" s="407"/>
    </row>
    <row r="59" spans="1:15" x14ac:dyDescent="0.2">
      <c r="A59" s="407"/>
      <c r="B59" s="407"/>
      <c r="C59" s="407"/>
      <c r="D59" s="407"/>
      <c r="E59" s="407"/>
      <c r="F59" s="407"/>
      <c r="G59" s="407"/>
      <c r="H59" s="407"/>
      <c r="I59" s="407"/>
      <c r="J59" s="407"/>
      <c r="K59" s="407"/>
      <c r="L59" s="407"/>
      <c r="M59" s="407"/>
      <c r="N59" s="407"/>
    </row>
    <row r="60" spans="1:15" x14ac:dyDescent="0.2">
      <c r="A60" s="407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</row>
    <row r="61" spans="1:15" x14ac:dyDescent="0.2">
      <c r="A61" s="407"/>
      <c r="B61" s="407"/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</row>
    <row r="62" spans="1:15" x14ac:dyDescent="0.2">
      <c r="A62" s="407"/>
      <c r="B62" s="407"/>
      <c r="C62" s="407"/>
      <c r="D62" s="407"/>
      <c r="E62" s="407"/>
      <c r="F62" s="407"/>
      <c r="G62" s="407"/>
      <c r="H62" s="407"/>
      <c r="I62" s="407"/>
      <c r="J62" s="407"/>
      <c r="K62" s="407"/>
      <c r="L62" s="407"/>
      <c r="M62" s="407"/>
      <c r="N62" s="407"/>
    </row>
    <row r="63" spans="1:15" ht="22.5" x14ac:dyDescent="0.3">
      <c r="A63" s="407"/>
      <c r="B63" s="425"/>
      <c r="C63" s="407"/>
      <c r="D63" s="407"/>
      <c r="E63" s="407"/>
      <c r="F63" s="407"/>
      <c r="G63" s="407"/>
      <c r="H63" s="407"/>
      <c r="I63" s="407"/>
      <c r="J63" s="407"/>
      <c r="K63" s="407"/>
      <c r="L63" s="407"/>
      <c r="M63" s="407"/>
      <c r="N63" s="407"/>
    </row>
    <row r="64" spans="1:15" x14ac:dyDescent="0.2">
      <c r="A64" s="407"/>
      <c r="B64" s="407"/>
      <c r="C64" s="407"/>
      <c r="D64" s="407"/>
      <c r="E64" s="407"/>
      <c r="F64" s="407"/>
      <c r="G64" s="407"/>
      <c r="H64" s="407"/>
      <c r="I64" s="407"/>
      <c r="J64" s="407"/>
      <c r="K64" s="407"/>
      <c r="L64" s="407"/>
      <c r="M64" s="407"/>
      <c r="N64" s="407"/>
    </row>
    <row r="65" spans="1:14" x14ac:dyDescent="0.2">
      <c r="A65" s="407"/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  <c r="N65" s="407"/>
    </row>
    <row r="66" spans="1:14" x14ac:dyDescent="0.2">
      <c r="A66" s="407"/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</row>
    <row r="67" spans="1:14" x14ac:dyDescent="0.2">
      <c r="A67" s="407"/>
      <c r="B67" s="407"/>
      <c r="C67" s="407"/>
      <c r="D67" s="407"/>
      <c r="E67" s="407"/>
      <c r="F67" s="407"/>
      <c r="G67" s="407"/>
      <c r="H67" s="407"/>
      <c r="I67" s="407"/>
      <c r="J67" s="407"/>
      <c r="K67" s="407"/>
      <c r="L67" s="407"/>
      <c r="M67" s="407"/>
      <c r="N67" s="407"/>
    </row>
    <row r="68" spans="1:14" x14ac:dyDescent="0.2">
      <c r="A68" s="407"/>
      <c r="B68" s="407"/>
      <c r="C68" s="407"/>
      <c r="D68" s="407"/>
      <c r="E68" s="407"/>
      <c r="F68" s="407"/>
      <c r="G68" s="407"/>
      <c r="H68" s="407"/>
      <c r="I68" s="407"/>
      <c r="J68" s="407"/>
      <c r="K68" s="407"/>
      <c r="L68" s="407"/>
      <c r="M68" s="407"/>
      <c r="N68" s="407"/>
    </row>
    <row r="69" spans="1:14" x14ac:dyDescent="0.2">
      <c r="A69" s="407"/>
      <c r="B69" s="407"/>
      <c r="C69" s="407"/>
      <c r="D69" s="407"/>
      <c r="E69" s="407"/>
      <c r="F69" s="407"/>
      <c r="G69" s="407"/>
      <c r="H69" s="407"/>
      <c r="I69" s="407"/>
      <c r="J69" s="407"/>
      <c r="K69" s="407"/>
      <c r="L69" s="407"/>
      <c r="M69" s="407"/>
      <c r="N69" s="407"/>
    </row>
    <row r="70" spans="1:14" x14ac:dyDescent="0.2">
      <c r="A70" s="407"/>
      <c r="B70" s="407"/>
      <c r="C70" s="407"/>
      <c r="D70" s="407"/>
      <c r="E70" s="407"/>
      <c r="F70" s="407"/>
      <c r="G70" s="407"/>
      <c r="H70" s="407"/>
      <c r="I70" s="407"/>
      <c r="J70" s="407"/>
      <c r="K70" s="407"/>
      <c r="L70" s="407"/>
      <c r="M70" s="407"/>
      <c r="N70" s="407"/>
    </row>
    <row r="71" spans="1:14" x14ac:dyDescent="0.2">
      <c r="A71" s="407"/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</row>
    <row r="72" spans="1:14" x14ac:dyDescent="0.2">
      <c r="A72" s="407"/>
      <c r="B72" s="407"/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</row>
    <row r="73" spans="1:14" x14ac:dyDescent="0.2">
      <c r="A73" s="407"/>
      <c r="B73" s="407"/>
      <c r="C73" s="407"/>
      <c r="D73" s="407"/>
      <c r="E73" s="407"/>
      <c r="F73" s="407"/>
      <c r="G73" s="407"/>
      <c r="H73" s="407"/>
      <c r="I73" s="407"/>
      <c r="J73" s="407"/>
      <c r="K73" s="407"/>
      <c r="L73" s="407"/>
      <c r="M73" s="407"/>
      <c r="N73" s="407"/>
    </row>
    <row r="74" spans="1:14" x14ac:dyDescent="0.2">
      <c r="A74" s="407"/>
      <c r="B74" s="407"/>
      <c r="C74" s="407"/>
      <c r="D74" s="407"/>
      <c r="E74" s="407"/>
      <c r="F74" s="407"/>
      <c r="G74" s="407"/>
      <c r="H74" s="407"/>
      <c r="I74" s="407"/>
      <c r="J74" s="407"/>
      <c r="K74" s="407"/>
      <c r="L74" s="407"/>
      <c r="M74" s="407"/>
      <c r="N74" s="407"/>
    </row>
    <row r="75" spans="1:14" x14ac:dyDescent="0.2">
      <c r="A75" s="407"/>
      <c r="B75" s="407"/>
      <c r="C75" s="407"/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</row>
    <row r="76" spans="1:14" x14ac:dyDescent="0.2">
      <c r="A76" s="407"/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</row>
    <row r="77" spans="1:14" x14ac:dyDescent="0.2">
      <c r="A77" s="407"/>
      <c r="B77" s="407"/>
      <c r="C77" s="407"/>
      <c r="D77" s="407"/>
      <c r="E77" s="407"/>
      <c r="F77" s="407"/>
      <c r="G77" s="407"/>
      <c r="H77" s="407"/>
      <c r="I77" s="407"/>
      <c r="J77" s="407"/>
      <c r="K77" s="407"/>
      <c r="L77" s="407"/>
      <c r="M77" s="407"/>
      <c r="N77" s="407"/>
    </row>
    <row r="78" spans="1:14" x14ac:dyDescent="0.2">
      <c r="A78" s="407"/>
      <c r="B78" s="407"/>
      <c r="C78" s="407"/>
      <c r="D78" s="407"/>
      <c r="E78" s="407"/>
      <c r="F78" s="407"/>
      <c r="G78" s="407"/>
      <c r="H78" s="407"/>
      <c r="I78" s="407"/>
      <c r="J78" s="407"/>
      <c r="K78" s="407"/>
      <c r="L78" s="407"/>
      <c r="M78" s="407"/>
      <c r="N78" s="407"/>
    </row>
    <row r="79" spans="1:14" x14ac:dyDescent="0.2">
      <c r="A79" s="407"/>
      <c r="B79" s="407"/>
      <c r="C79" s="407"/>
      <c r="D79" s="407"/>
      <c r="E79" s="407"/>
      <c r="F79" s="407"/>
      <c r="G79" s="407"/>
      <c r="H79" s="407"/>
      <c r="I79" s="407"/>
      <c r="J79" s="407"/>
      <c r="K79" s="407"/>
      <c r="L79" s="407"/>
      <c r="M79" s="407"/>
      <c r="N79" s="407"/>
    </row>
    <row r="80" spans="1:14" x14ac:dyDescent="0.2">
      <c r="A80" s="407"/>
      <c r="B80" s="407"/>
      <c r="C80" s="407"/>
      <c r="D80" s="407"/>
      <c r="E80" s="407"/>
      <c r="F80" s="407"/>
      <c r="G80" s="407"/>
      <c r="H80" s="407"/>
      <c r="I80" s="407"/>
      <c r="J80" s="407"/>
      <c r="K80" s="407"/>
      <c r="L80" s="407"/>
      <c r="M80" s="407"/>
      <c r="N80" s="407"/>
    </row>
    <row r="81" spans="1:14" x14ac:dyDescent="0.2">
      <c r="A81" s="407"/>
      <c r="B81" s="407"/>
      <c r="C81" s="407"/>
      <c r="D81" s="407"/>
      <c r="E81" s="407"/>
      <c r="F81" s="407"/>
      <c r="G81" s="407"/>
      <c r="H81" s="407"/>
      <c r="I81" s="407"/>
      <c r="J81" s="407"/>
      <c r="K81" s="407"/>
      <c r="L81" s="407"/>
      <c r="M81" s="407"/>
      <c r="N81" s="407"/>
    </row>
    <row r="82" spans="1:14" x14ac:dyDescent="0.2">
      <c r="A82" s="407"/>
      <c r="B82" s="407"/>
      <c r="C82" s="407"/>
      <c r="D82" s="407"/>
      <c r="E82" s="407"/>
      <c r="F82" s="407"/>
      <c r="G82" s="407"/>
      <c r="H82" s="407"/>
      <c r="I82" s="407"/>
      <c r="J82" s="407"/>
      <c r="K82" s="407"/>
      <c r="L82" s="407"/>
      <c r="M82" s="407"/>
      <c r="N82" s="407"/>
    </row>
    <row r="83" spans="1:14" x14ac:dyDescent="0.2">
      <c r="A83" s="407"/>
      <c r="B83" s="407"/>
      <c r="C83" s="407"/>
      <c r="D83" s="407"/>
      <c r="E83" s="407"/>
      <c r="F83" s="407"/>
      <c r="G83" s="407"/>
      <c r="H83" s="407"/>
      <c r="I83" s="407"/>
      <c r="J83" s="407"/>
      <c r="K83" s="407"/>
      <c r="L83" s="407"/>
      <c r="M83" s="407"/>
      <c r="N83" s="407"/>
    </row>
    <row r="84" spans="1:14" x14ac:dyDescent="0.2">
      <c r="A84" s="407"/>
      <c r="B84" s="407"/>
      <c r="C84" s="407"/>
      <c r="D84" s="407"/>
      <c r="E84" s="407"/>
      <c r="F84" s="407"/>
      <c r="G84" s="407"/>
      <c r="H84" s="407"/>
      <c r="I84" s="407"/>
      <c r="J84" s="407"/>
      <c r="K84" s="407"/>
      <c r="L84" s="407"/>
      <c r="M84" s="407"/>
      <c r="N84" s="407"/>
    </row>
    <row r="85" spans="1:14" x14ac:dyDescent="0.2">
      <c r="A85" s="407"/>
      <c r="B85" s="407"/>
      <c r="C85" s="407"/>
      <c r="D85" s="407"/>
      <c r="E85" s="407"/>
      <c r="F85" s="407"/>
      <c r="G85" s="407"/>
      <c r="H85" s="407"/>
      <c r="I85" s="407"/>
      <c r="J85" s="407"/>
      <c r="K85" s="407"/>
      <c r="L85" s="407"/>
      <c r="M85" s="407"/>
      <c r="N85" s="407"/>
    </row>
    <row r="86" spans="1:14" x14ac:dyDescent="0.2">
      <c r="A86" s="407"/>
      <c r="B86" s="407"/>
      <c r="C86" s="407"/>
      <c r="D86" s="407"/>
      <c r="E86" s="407"/>
      <c r="F86" s="407"/>
      <c r="G86" s="407"/>
      <c r="H86" s="407"/>
      <c r="I86" s="407"/>
      <c r="J86" s="407"/>
      <c r="K86" s="407"/>
      <c r="L86" s="407"/>
      <c r="M86" s="407"/>
      <c r="N86" s="407"/>
    </row>
    <row r="87" spans="1:14" x14ac:dyDescent="0.2">
      <c r="A87" s="407"/>
      <c r="B87" s="407"/>
      <c r="C87" s="407"/>
      <c r="D87" s="407"/>
      <c r="E87" s="407"/>
      <c r="F87" s="407"/>
      <c r="G87" s="407"/>
      <c r="H87" s="407"/>
      <c r="I87" s="407"/>
      <c r="J87" s="407"/>
      <c r="K87" s="407"/>
      <c r="L87" s="407"/>
      <c r="M87" s="407"/>
      <c r="N87" s="407"/>
    </row>
    <row r="88" spans="1:14" x14ac:dyDescent="0.2">
      <c r="A88" s="407"/>
      <c r="B88" s="407"/>
      <c r="C88" s="407"/>
      <c r="D88" s="407"/>
      <c r="E88" s="407"/>
      <c r="F88" s="407"/>
      <c r="G88" s="407"/>
      <c r="H88" s="407"/>
      <c r="I88" s="407"/>
      <c r="J88" s="407"/>
      <c r="K88" s="407"/>
      <c r="L88" s="407"/>
      <c r="M88" s="407"/>
      <c r="N88" s="407"/>
    </row>
    <row r="89" spans="1:14" x14ac:dyDescent="0.2">
      <c r="A89" s="407"/>
      <c r="B89" s="407"/>
      <c r="C89" s="407"/>
      <c r="D89" s="407"/>
      <c r="E89" s="407"/>
      <c r="F89" s="407"/>
      <c r="G89" s="407"/>
      <c r="H89" s="407"/>
      <c r="I89" s="407"/>
      <c r="J89" s="407"/>
      <c r="K89" s="407"/>
      <c r="L89" s="407"/>
      <c r="M89" s="407"/>
      <c r="N89" s="407"/>
    </row>
    <row r="90" spans="1:14" x14ac:dyDescent="0.2">
      <c r="A90" s="407"/>
      <c r="B90" s="407"/>
      <c r="C90" s="407"/>
      <c r="D90" s="407"/>
      <c r="E90" s="407"/>
      <c r="F90" s="407"/>
      <c r="G90" s="407"/>
      <c r="H90" s="407"/>
      <c r="I90" s="407"/>
      <c r="J90" s="407"/>
      <c r="K90" s="407"/>
      <c r="L90" s="407"/>
      <c r="M90" s="407"/>
      <c r="N90" s="407"/>
    </row>
    <row r="91" spans="1:14" x14ac:dyDescent="0.2">
      <c r="A91" s="407"/>
      <c r="B91" s="407"/>
      <c r="C91" s="407"/>
      <c r="D91" s="407"/>
      <c r="E91" s="407"/>
      <c r="F91" s="407"/>
      <c r="G91" s="407"/>
      <c r="H91" s="407"/>
      <c r="I91" s="407"/>
      <c r="J91" s="407"/>
      <c r="K91" s="407"/>
      <c r="L91" s="407"/>
      <c r="M91" s="407"/>
      <c r="N91" s="407"/>
    </row>
    <row r="92" spans="1:14" x14ac:dyDescent="0.2">
      <c r="A92" s="407"/>
      <c r="B92" s="407"/>
      <c r="C92" s="407"/>
      <c r="D92" s="407"/>
      <c r="E92" s="407"/>
      <c r="F92" s="407"/>
      <c r="G92" s="407"/>
      <c r="H92" s="407"/>
      <c r="I92" s="407"/>
      <c r="J92" s="407"/>
      <c r="K92" s="407"/>
      <c r="L92" s="407"/>
      <c r="M92" s="407"/>
      <c r="N92" s="407"/>
    </row>
    <row r="93" spans="1:14" x14ac:dyDescent="0.2">
      <c r="A93" s="407"/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</row>
    <row r="94" spans="1:14" x14ac:dyDescent="0.2">
      <c r="A94" s="407"/>
      <c r="B94" s="407"/>
      <c r="C94" s="407"/>
      <c r="D94" s="407"/>
      <c r="E94" s="407"/>
      <c r="F94" s="407"/>
      <c r="G94" s="407"/>
      <c r="H94" s="407"/>
      <c r="I94" s="407"/>
      <c r="J94" s="407"/>
      <c r="K94" s="407"/>
      <c r="L94" s="407"/>
      <c r="M94" s="407"/>
      <c r="N94" s="407"/>
    </row>
    <row r="95" spans="1:14" x14ac:dyDescent="0.2">
      <c r="A95" s="407"/>
      <c r="B95" s="407"/>
      <c r="C95" s="407"/>
      <c r="D95" s="407"/>
      <c r="E95" s="407"/>
      <c r="F95" s="407"/>
      <c r="G95" s="407"/>
      <c r="H95" s="407"/>
      <c r="I95" s="407"/>
      <c r="J95" s="407"/>
      <c r="K95" s="407"/>
      <c r="L95" s="407"/>
      <c r="M95" s="407"/>
      <c r="N95" s="407"/>
    </row>
    <row r="96" spans="1:14" x14ac:dyDescent="0.2">
      <c r="A96" s="407"/>
      <c r="B96" s="407"/>
      <c r="C96" s="407"/>
      <c r="D96" s="407"/>
      <c r="E96" s="407"/>
      <c r="F96" s="407"/>
      <c r="G96" s="407"/>
      <c r="H96" s="407"/>
      <c r="I96" s="407"/>
      <c r="J96" s="407"/>
      <c r="K96" s="407"/>
      <c r="L96" s="407"/>
      <c r="M96" s="407"/>
      <c r="N96" s="407"/>
    </row>
    <row r="97" spans="1:14" x14ac:dyDescent="0.2">
      <c r="A97" s="407"/>
      <c r="B97" s="407"/>
      <c r="C97" s="407"/>
      <c r="D97" s="407"/>
      <c r="E97" s="407"/>
      <c r="F97" s="407"/>
      <c r="G97" s="407"/>
      <c r="H97" s="407"/>
      <c r="I97" s="407"/>
      <c r="J97" s="407"/>
      <c r="K97" s="407"/>
      <c r="L97" s="407"/>
      <c r="M97" s="407"/>
      <c r="N97" s="407"/>
    </row>
    <row r="98" spans="1:14" x14ac:dyDescent="0.2">
      <c r="A98" s="407"/>
      <c r="B98" s="407"/>
      <c r="C98" s="407"/>
      <c r="D98" s="407"/>
      <c r="E98" s="407"/>
      <c r="F98" s="407"/>
      <c r="G98" s="407"/>
      <c r="H98" s="407"/>
      <c r="I98" s="407"/>
      <c r="J98" s="407"/>
      <c r="K98" s="407"/>
      <c r="L98" s="407"/>
      <c r="M98" s="407"/>
      <c r="N98" s="407"/>
    </row>
    <row r="99" spans="1:14" x14ac:dyDescent="0.2">
      <c r="A99" s="407"/>
      <c r="B99" s="407"/>
      <c r="C99" s="407"/>
      <c r="D99" s="407"/>
      <c r="E99" s="407"/>
      <c r="F99" s="407"/>
      <c r="G99" s="407"/>
      <c r="H99" s="407"/>
      <c r="I99" s="407"/>
      <c r="J99" s="407"/>
      <c r="K99" s="407"/>
      <c r="L99" s="407"/>
      <c r="M99" s="407"/>
      <c r="N99" s="407"/>
    </row>
    <row r="100" spans="1:14" x14ac:dyDescent="0.2">
      <c r="A100" s="407"/>
      <c r="B100" s="407"/>
      <c r="C100" s="407"/>
      <c r="D100" s="407"/>
      <c r="E100" s="407"/>
      <c r="F100" s="407"/>
      <c r="G100" s="407"/>
      <c r="H100" s="407"/>
      <c r="I100" s="407"/>
      <c r="J100" s="407"/>
      <c r="K100" s="407"/>
      <c r="L100" s="407"/>
      <c r="M100" s="407"/>
      <c r="N100" s="407"/>
    </row>
    <row r="101" spans="1:14" x14ac:dyDescent="0.2">
      <c r="A101" s="407"/>
      <c r="B101" s="407"/>
      <c r="C101" s="407"/>
      <c r="D101" s="407"/>
      <c r="E101" s="407"/>
      <c r="F101" s="407"/>
      <c r="G101" s="407"/>
      <c r="H101" s="407"/>
      <c r="I101" s="407"/>
      <c r="J101" s="407"/>
      <c r="K101" s="407"/>
      <c r="L101" s="407"/>
      <c r="M101" s="407"/>
      <c r="N101" s="407"/>
    </row>
    <row r="102" spans="1:14" x14ac:dyDescent="0.2">
      <c r="A102" s="407"/>
      <c r="B102" s="407"/>
      <c r="C102" s="407"/>
      <c r="D102" s="407"/>
      <c r="E102" s="407"/>
      <c r="F102" s="407"/>
      <c r="G102" s="407"/>
      <c r="H102" s="407"/>
      <c r="I102" s="407"/>
      <c r="J102" s="407"/>
      <c r="K102" s="407"/>
      <c r="L102" s="407"/>
      <c r="M102" s="407"/>
      <c r="N102" s="407"/>
    </row>
    <row r="103" spans="1:14" x14ac:dyDescent="0.2">
      <c r="A103" s="407"/>
      <c r="B103" s="407"/>
      <c r="C103" s="407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  <c r="N103" s="407"/>
    </row>
    <row r="104" spans="1:14" x14ac:dyDescent="0.2">
      <c r="A104" s="407"/>
      <c r="B104" s="407"/>
      <c r="C104" s="407"/>
      <c r="D104" s="407"/>
      <c r="E104" s="407"/>
      <c r="F104" s="407"/>
      <c r="G104" s="407"/>
      <c r="H104" s="407"/>
      <c r="I104" s="407"/>
      <c r="J104" s="407"/>
      <c r="K104" s="407"/>
      <c r="L104" s="407"/>
      <c r="M104" s="407"/>
      <c r="N104" s="407"/>
    </row>
  </sheetData>
  <mergeCells count="9">
    <mergeCell ref="B1:I1"/>
    <mergeCell ref="B2:C2"/>
    <mergeCell ref="I20:I21"/>
    <mergeCell ref="B46:B50"/>
    <mergeCell ref="G20:G21"/>
    <mergeCell ref="B22:B27"/>
    <mergeCell ref="B28:B31"/>
    <mergeCell ref="B32:B36"/>
    <mergeCell ref="B37:B45"/>
  </mergeCells>
  <dataValidations count="1">
    <dataValidation type="list" allowBlank="1" showInputMessage="1" showErrorMessage="1" sqref="I22:I51">
      <formula1>Adjustment_Factor</formula1>
    </dataValidation>
  </dataValidations>
  <hyperlinks>
    <hyperlink ref="C56" r:id="rId1"/>
  </hyperlinks>
  <pageMargins left="0.7" right="0.7" top="0.75" bottom="0.75" header="0.3" footer="0.3"/>
  <pageSetup paperSize="9" orientation="portrait" r:id="rId2"/>
  <ignoredErrors>
    <ignoredError sqref="H23 H26 H39" formula="1"/>
  </ignoredErrors>
  <drawing r:id="rId3"/>
  <legacyDrawing r:id="rId4"/>
  <controls>
    <mc:AlternateContent xmlns:mc="http://schemas.openxmlformats.org/markup-compatibility/2006">
      <mc:Choice Requires="x14">
        <control shapeId="1045" r:id="rId5" name="CommandButton1">
          <controlPr defaultSize="0" autoLine="0" autoPict="0" r:id="rId6">
            <anchor moveWithCells="1">
              <from>
                <xdr:col>2</xdr:col>
                <xdr:colOff>0</xdr:colOff>
                <xdr:row>15</xdr:row>
                <xdr:rowOff>85725</xdr:rowOff>
              </from>
              <to>
                <xdr:col>2</xdr:col>
                <xdr:colOff>2028825</xdr:colOff>
                <xdr:row>17</xdr:row>
                <xdr:rowOff>47625</xdr:rowOff>
              </to>
            </anchor>
          </controlPr>
        </control>
      </mc:Choice>
      <mc:Fallback>
        <control shapeId="1045" r:id="rId5" name="CommandButton1"/>
      </mc:Fallback>
    </mc:AlternateContent>
    <mc:AlternateContent xmlns:mc="http://schemas.openxmlformats.org/markup-compatibility/2006">
      <mc:Choice Requires="x14">
        <control shapeId="1044" r:id="rId7" name="WebBrowser1">
          <controlPr defaultSize="0" autoLine="0" r:id="rId8">
            <anchor moveWithCells="1">
              <from>
                <xdr:col>3</xdr:col>
                <xdr:colOff>0</xdr:colOff>
                <xdr:row>2</xdr:row>
                <xdr:rowOff>114300</xdr:rowOff>
              </from>
              <to>
                <xdr:col>3</xdr:col>
                <xdr:colOff>9525</xdr:colOff>
                <xdr:row>2</xdr:row>
                <xdr:rowOff>123825</xdr:rowOff>
              </to>
            </anchor>
          </controlPr>
        </control>
      </mc:Choice>
      <mc:Fallback>
        <control shapeId="1044" r:id="rId7" name="WebBrows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Z82"/>
  <sheetViews>
    <sheetView showGridLines="0" tabSelected="1" zoomScale="55" zoomScaleNormal="55" workbookViewId="0">
      <selection activeCell="U29" sqref="U29"/>
    </sheetView>
  </sheetViews>
  <sheetFormatPr defaultRowHeight="12.75" x14ac:dyDescent="0.2"/>
  <cols>
    <col min="2" max="2" width="6.125" customWidth="1"/>
    <col min="3" max="3" width="7.875" customWidth="1"/>
    <col min="4" max="4" width="14.625" customWidth="1"/>
    <col min="5" max="5" width="19.5" customWidth="1"/>
    <col min="6" max="6" width="10.125" customWidth="1"/>
    <col min="7" max="7" width="5.375" customWidth="1"/>
    <col min="8" max="8" width="9.875" customWidth="1"/>
    <col min="9" max="9" width="7.5" customWidth="1"/>
    <col min="10" max="10" width="6.5" customWidth="1"/>
    <col min="11" max="11" width="6.875" customWidth="1"/>
    <col min="12" max="12" width="3.5" customWidth="1"/>
    <col min="13" max="13" width="6.75" bestFit="1" customWidth="1"/>
    <col min="14" max="14" width="6" customWidth="1"/>
    <col min="15" max="15" width="5.75" customWidth="1"/>
    <col min="16" max="16" width="5.875" customWidth="1"/>
    <col min="17" max="17" width="6" customWidth="1"/>
    <col min="20" max="25" width="10.375" bestFit="1" customWidth="1"/>
  </cols>
  <sheetData>
    <row r="1" spans="2:21" ht="13.5" thickBot="1" x14ac:dyDescent="0.25"/>
    <row r="2" spans="2:21" ht="26.25" x14ac:dyDescent="0.4">
      <c r="B2" s="387"/>
      <c r="C2" s="535" t="s">
        <v>260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388"/>
    </row>
    <row r="3" spans="2:21" x14ac:dyDescent="0.2">
      <c r="B3" s="389"/>
      <c r="C3" s="117"/>
      <c r="D3" s="117"/>
      <c r="E3" s="117"/>
      <c r="F3" s="117"/>
      <c r="G3" s="117"/>
      <c r="H3" s="117"/>
      <c r="I3" s="117"/>
      <c r="J3" s="117"/>
      <c r="K3" s="117"/>
      <c r="L3" s="18"/>
      <c r="M3" s="18"/>
      <c r="N3" s="18"/>
      <c r="O3" s="18"/>
      <c r="P3" s="18"/>
      <c r="Q3" s="18"/>
      <c r="R3" s="390"/>
    </row>
    <row r="4" spans="2:21" x14ac:dyDescent="0.2">
      <c r="B4" s="389"/>
      <c r="C4" s="117"/>
      <c r="D4" s="117"/>
      <c r="E4" s="117"/>
      <c r="F4" s="117"/>
      <c r="G4" s="117"/>
      <c r="H4" s="117"/>
      <c r="I4" s="117"/>
      <c r="J4" s="378"/>
      <c r="K4" s="378"/>
      <c r="L4" s="378"/>
      <c r="M4" s="378"/>
      <c r="N4" s="378"/>
      <c r="O4" s="378"/>
      <c r="P4" s="18"/>
      <c r="Q4" s="18"/>
      <c r="R4" s="390"/>
      <c r="T4" s="6"/>
      <c r="U4" s="6"/>
    </row>
    <row r="5" spans="2:21" ht="13.5" customHeight="1" x14ac:dyDescent="0.2">
      <c r="B5" s="389"/>
      <c r="C5" s="581" t="s">
        <v>290</v>
      </c>
      <c r="D5" s="582"/>
      <c r="E5" s="583"/>
      <c r="F5" s="117"/>
      <c r="G5" s="117"/>
      <c r="H5" s="117"/>
      <c r="I5" s="117"/>
      <c r="J5" s="378"/>
      <c r="K5" s="378"/>
      <c r="L5" s="378"/>
      <c r="M5" s="378"/>
      <c r="N5" s="378"/>
      <c r="O5" s="378"/>
      <c r="P5" s="18"/>
      <c r="Q5" s="18"/>
      <c r="R5" s="390"/>
      <c r="T5" s="6"/>
      <c r="U5" s="6"/>
    </row>
    <row r="6" spans="2:21" x14ac:dyDescent="0.2">
      <c r="B6" s="389"/>
      <c r="C6" s="584"/>
      <c r="D6" s="580"/>
      <c r="E6" s="585"/>
      <c r="F6" s="117"/>
      <c r="G6" s="117"/>
      <c r="H6" s="379"/>
      <c r="I6" s="379"/>
      <c r="J6" s="378"/>
      <c r="K6" s="378"/>
      <c r="L6" s="378"/>
      <c r="M6" s="378"/>
      <c r="N6" s="378"/>
      <c r="O6" s="378"/>
      <c r="P6" s="18"/>
      <c r="Q6" s="18"/>
      <c r="R6" s="390"/>
    </row>
    <row r="7" spans="2:21" x14ac:dyDescent="0.2">
      <c r="B7" s="389"/>
      <c r="C7" s="586" t="s">
        <v>109</v>
      </c>
      <c r="D7" s="578"/>
      <c r="E7" s="592" t="str">
        <f>User_Input!C4</f>
        <v>Niketan Housing Project</v>
      </c>
      <c r="F7" s="385"/>
      <c r="G7" s="117"/>
      <c r="H7" s="18"/>
      <c r="I7" s="379"/>
      <c r="J7" s="378"/>
      <c r="K7" s="378"/>
      <c r="L7" s="378"/>
      <c r="M7" s="378"/>
      <c r="N7" s="378"/>
      <c r="O7" s="378"/>
      <c r="P7" s="18"/>
      <c r="Q7" s="18"/>
      <c r="R7" s="390"/>
    </row>
    <row r="8" spans="2:21" x14ac:dyDescent="0.2">
      <c r="B8" s="389"/>
      <c r="C8" s="586" t="s">
        <v>110</v>
      </c>
      <c r="D8" s="578"/>
      <c r="E8" s="592">
        <f>User_Input!C5</f>
        <v>6783</v>
      </c>
      <c r="F8" s="385"/>
      <c r="G8" s="117"/>
      <c r="H8" s="379"/>
      <c r="I8" s="379"/>
      <c r="J8" s="378"/>
      <c r="K8" s="378"/>
      <c r="L8" s="378"/>
      <c r="M8" s="378"/>
      <c r="N8" s="378"/>
      <c r="O8" s="378"/>
      <c r="P8" s="18"/>
      <c r="Q8" s="18"/>
      <c r="R8" s="390"/>
      <c r="S8" s="6"/>
      <c r="T8" s="386"/>
    </row>
    <row r="9" spans="2:21" x14ac:dyDescent="0.2">
      <c r="B9" s="389"/>
      <c r="C9" s="586" t="s">
        <v>111</v>
      </c>
      <c r="D9" s="578"/>
      <c r="E9" s="592">
        <f>User_Input!C6</f>
        <v>55.24</v>
      </c>
      <c r="F9" s="385"/>
      <c r="G9" s="117"/>
      <c r="H9" s="379"/>
      <c r="I9" s="379"/>
      <c r="J9" s="378"/>
      <c r="K9" s="378"/>
      <c r="L9" s="378"/>
      <c r="M9" s="378"/>
      <c r="N9" s="378"/>
      <c r="O9" s="378"/>
      <c r="P9" s="18"/>
      <c r="Q9" s="18"/>
      <c r="R9" s="390"/>
    </row>
    <row r="10" spans="2:21" x14ac:dyDescent="0.2">
      <c r="B10" s="389"/>
      <c r="C10" s="586" t="s">
        <v>113</v>
      </c>
      <c r="D10" s="578"/>
      <c r="E10" s="592">
        <f>User_Input!C7</f>
        <v>562</v>
      </c>
      <c r="F10" s="385"/>
      <c r="G10" s="117"/>
      <c r="H10" s="379"/>
      <c r="I10" s="379"/>
      <c r="J10" s="378"/>
      <c r="K10" s="378"/>
      <c r="L10" s="378"/>
      <c r="M10" s="378"/>
      <c r="N10" s="378"/>
      <c r="O10" s="378"/>
      <c r="P10" s="18"/>
      <c r="Q10" s="18"/>
      <c r="R10" s="390"/>
    </row>
    <row r="11" spans="2:21" x14ac:dyDescent="0.2">
      <c r="B11" s="389"/>
      <c r="C11" s="586" t="s">
        <v>112</v>
      </c>
      <c r="D11" s="578"/>
      <c r="E11" s="592" t="str">
        <f>User_Input!C8</f>
        <v>Eastern Housing Ltd.</v>
      </c>
      <c r="F11" s="385"/>
      <c r="G11" s="117"/>
      <c r="H11" s="379"/>
      <c r="I11" s="379"/>
      <c r="J11" s="378"/>
      <c r="K11" s="378"/>
      <c r="L11" s="378"/>
      <c r="M11" s="378"/>
      <c r="N11" s="378"/>
      <c r="O11" s="378"/>
      <c r="P11" s="18"/>
      <c r="Q11" s="18"/>
      <c r="R11" s="390"/>
    </row>
    <row r="12" spans="2:21" x14ac:dyDescent="0.2">
      <c r="B12" s="389"/>
      <c r="C12" s="587" t="s">
        <v>271</v>
      </c>
      <c r="D12" s="119"/>
      <c r="E12" s="585"/>
      <c r="F12" s="117"/>
      <c r="G12" s="117"/>
      <c r="H12" s="379"/>
      <c r="I12" s="379"/>
      <c r="J12" s="378"/>
      <c r="K12" s="378"/>
      <c r="L12" s="378"/>
      <c r="M12" s="378"/>
      <c r="N12" s="378"/>
      <c r="O12" s="378"/>
      <c r="P12" s="18"/>
      <c r="Q12" s="18"/>
      <c r="R12" s="390"/>
    </row>
    <row r="13" spans="2:21" x14ac:dyDescent="0.2">
      <c r="B13" s="389"/>
      <c r="C13" s="588"/>
      <c r="D13" s="579" t="s">
        <v>275</v>
      </c>
      <c r="E13" s="593" t="str">
        <f>User_Input!C11</f>
        <v>Niketan</v>
      </c>
      <c r="F13" s="117"/>
      <c r="G13" s="117"/>
      <c r="H13" s="379"/>
      <c r="I13" s="379"/>
      <c r="J13" s="378"/>
      <c r="K13" s="378"/>
      <c r="L13" s="378"/>
      <c r="M13" s="378"/>
      <c r="N13" s="378"/>
      <c r="O13" s="378"/>
      <c r="P13" s="18"/>
      <c r="Q13" s="18"/>
      <c r="R13" s="390"/>
    </row>
    <row r="14" spans="2:21" x14ac:dyDescent="0.2">
      <c r="B14" s="389"/>
      <c r="C14" s="588"/>
      <c r="D14" s="579" t="s">
        <v>276</v>
      </c>
      <c r="E14" s="593" t="str">
        <f>User_Input!C12</f>
        <v>Dhaka</v>
      </c>
      <c r="F14" s="117"/>
      <c r="G14" s="117"/>
      <c r="H14" s="379"/>
      <c r="I14" s="379"/>
      <c r="J14" s="378"/>
      <c r="K14" s="378"/>
      <c r="L14" s="378"/>
      <c r="M14" s="378"/>
      <c r="N14" s="378"/>
      <c r="O14" s="378"/>
      <c r="P14" s="18"/>
      <c r="Q14" s="18"/>
      <c r="R14" s="390"/>
    </row>
    <row r="15" spans="2:21" x14ac:dyDescent="0.2">
      <c r="B15" s="389"/>
      <c r="C15" s="588"/>
      <c r="D15" s="579" t="s">
        <v>277</v>
      </c>
      <c r="E15" s="593" t="str">
        <f>User_Input!C13</f>
        <v>Bangladesh</v>
      </c>
      <c r="F15" s="117"/>
      <c r="G15" s="117"/>
      <c r="H15" s="379"/>
      <c r="I15" s="379"/>
      <c r="J15" s="378"/>
      <c r="K15" s="378"/>
      <c r="L15" s="378"/>
      <c r="M15" s="378"/>
      <c r="N15" s="378"/>
      <c r="O15" s="378"/>
      <c r="P15" s="18"/>
      <c r="Q15" s="18"/>
      <c r="R15" s="390"/>
    </row>
    <row r="16" spans="2:21" x14ac:dyDescent="0.2">
      <c r="B16" s="389"/>
      <c r="C16" s="589"/>
      <c r="D16" s="590"/>
      <c r="E16" s="591"/>
      <c r="F16" s="117"/>
      <c r="G16" s="117"/>
      <c r="H16" s="379"/>
      <c r="I16" s="379"/>
      <c r="J16" s="378"/>
      <c r="K16" s="378"/>
      <c r="L16" s="378"/>
      <c r="M16" s="378"/>
      <c r="N16" s="378"/>
      <c r="O16" s="378"/>
      <c r="P16" s="18"/>
      <c r="Q16" s="18"/>
      <c r="R16" s="390"/>
    </row>
    <row r="17" spans="2:18" x14ac:dyDescent="0.2">
      <c r="B17" s="389"/>
      <c r="C17" s="117"/>
      <c r="D17" s="117"/>
      <c r="E17" s="117"/>
      <c r="F17" s="117"/>
      <c r="G17" s="117"/>
      <c r="H17" s="379"/>
      <c r="I17" s="379"/>
      <c r="J17" s="378"/>
      <c r="K17" s="378"/>
      <c r="L17" s="378"/>
      <c r="M17" s="378"/>
      <c r="N17" s="378"/>
      <c r="O17" s="378"/>
      <c r="P17" s="18"/>
      <c r="Q17" s="18"/>
      <c r="R17" s="390"/>
    </row>
    <row r="18" spans="2:18" x14ac:dyDescent="0.2">
      <c r="B18" s="389"/>
      <c r="C18" s="117"/>
      <c r="D18" s="117"/>
      <c r="E18" s="117"/>
      <c r="F18" s="117"/>
      <c r="G18" s="117"/>
      <c r="H18" s="379"/>
      <c r="I18" s="379"/>
      <c r="J18" s="378"/>
      <c r="K18" s="378"/>
      <c r="L18" s="378"/>
      <c r="M18" s="378"/>
      <c r="N18" s="378"/>
      <c r="O18" s="378"/>
      <c r="P18" s="18"/>
      <c r="Q18" s="18"/>
      <c r="R18" s="390"/>
    </row>
    <row r="19" spans="2:18" ht="14.45" customHeight="1" x14ac:dyDescent="0.2">
      <c r="B19" s="389"/>
      <c r="C19" s="417" t="s">
        <v>0</v>
      </c>
      <c r="D19" s="418" t="s">
        <v>20</v>
      </c>
      <c r="E19" s="419" t="s">
        <v>1</v>
      </c>
      <c r="F19" s="418" t="s">
        <v>274</v>
      </c>
      <c r="G19" s="38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390"/>
    </row>
    <row r="20" spans="2:18" x14ac:dyDescent="0.2">
      <c r="B20" s="389"/>
      <c r="C20" s="420" t="s">
        <v>131</v>
      </c>
      <c r="D20" s="381" t="s">
        <v>21</v>
      </c>
      <c r="E20" s="413" t="s">
        <v>5</v>
      </c>
      <c r="F20" s="416">
        <f>User_Input!F22-User_Input!H22</f>
        <v>9.1000000000000014</v>
      </c>
      <c r="G20" s="37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390"/>
    </row>
    <row r="21" spans="2:18" x14ac:dyDescent="0.2">
      <c r="B21" s="389"/>
      <c r="C21" s="420" t="s">
        <v>132</v>
      </c>
      <c r="D21" s="382" t="s">
        <v>22</v>
      </c>
      <c r="E21" s="414" t="s">
        <v>2</v>
      </c>
      <c r="F21" s="416">
        <f>User_Input!F23-User_Input!H23</f>
        <v>-1.7000000000000002</v>
      </c>
      <c r="G21" s="372"/>
      <c r="H21" s="540" t="s">
        <v>288</v>
      </c>
      <c r="I21" s="540"/>
      <c r="J21" s="540"/>
      <c r="K21" s="540"/>
      <c r="L21" s="540"/>
      <c r="M21" s="540"/>
      <c r="N21" s="540"/>
      <c r="O21" s="540"/>
      <c r="P21" s="540"/>
      <c r="Q21" s="540"/>
      <c r="R21" s="390"/>
    </row>
    <row r="22" spans="2:18" x14ac:dyDescent="0.2">
      <c r="B22" s="389"/>
      <c r="C22" s="420" t="s">
        <v>133</v>
      </c>
      <c r="D22" s="381" t="s">
        <v>21</v>
      </c>
      <c r="E22" s="413" t="s">
        <v>3</v>
      </c>
      <c r="F22" s="416">
        <f>User_Input!F24-User_Input!H24</f>
        <v>-0.25</v>
      </c>
      <c r="G22" s="37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390"/>
    </row>
    <row r="23" spans="2:18" x14ac:dyDescent="0.2">
      <c r="B23" s="389"/>
      <c r="C23" s="420" t="s">
        <v>134</v>
      </c>
      <c r="D23" s="381" t="s">
        <v>21</v>
      </c>
      <c r="E23" s="413" t="s">
        <v>16</v>
      </c>
      <c r="F23" s="416">
        <f>User_Input!F25-User_Input!H25</f>
        <v>82</v>
      </c>
      <c r="G23" s="371"/>
      <c r="H23" s="536" t="s">
        <v>255</v>
      </c>
      <c r="I23" s="536"/>
      <c r="J23" s="536"/>
      <c r="K23" s="536"/>
      <c r="L23" s="18"/>
      <c r="M23" s="536" t="s">
        <v>256</v>
      </c>
      <c r="N23" s="536"/>
      <c r="O23" s="536"/>
      <c r="P23" s="536"/>
      <c r="Q23" s="536"/>
      <c r="R23" s="390"/>
    </row>
    <row r="24" spans="2:18" x14ac:dyDescent="0.2">
      <c r="B24" s="389"/>
      <c r="C24" s="420" t="s">
        <v>135</v>
      </c>
      <c r="D24" s="382" t="s">
        <v>22</v>
      </c>
      <c r="E24" s="415" t="s">
        <v>4</v>
      </c>
      <c r="F24" s="416">
        <f>User_Input!F26-User_Input!H26</f>
        <v>-2.0750000000000028</v>
      </c>
      <c r="G24" s="3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390"/>
    </row>
    <row r="25" spans="2:18" x14ac:dyDescent="0.2">
      <c r="B25" s="389"/>
      <c r="C25" s="420" t="s">
        <v>136</v>
      </c>
      <c r="D25" s="381" t="s">
        <v>21</v>
      </c>
      <c r="E25" s="413" t="s">
        <v>4</v>
      </c>
      <c r="F25" s="416">
        <f>User_Input!F27-User_Input!H27</f>
        <v>2.0749999999999997</v>
      </c>
      <c r="G25" s="3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390"/>
    </row>
    <row r="26" spans="2:18" x14ac:dyDescent="0.2">
      <c r="B26" s="389"/>
      <c r="C26" s="420" t="s">
        <v>137</v>
      </c>
      <c r="D26" s="382" t="s">
        <v>22</v>
      </c>
      <c r="E26" s="414" t="s">
        <v>4</v>
      </c>
      <c r="F26" s="416">
        <f>User_Input!F28-User_Input!H28</f>
        <v>-2.3499999999999996</v>
      </c>
      <c r="G26" s="3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390"/>
    </row>
    <row r="27" spans="2:18" x14ac:dyDescent="0.2">
      <c r="B27" s="389"/>
      <c r="C27" s="420" t="s">
        <v>138</v>
      </c>
      <c r="D27" s="381" t="s">
        <v>21</v>
      </c>
      <c r="E27" s="413" t="s">
        <v>4</v>
      </c>
      <c r="F27" s="416">
        <f>User_Input!F29-User_Input!H29</f>
        <v>-2.44</v>
      </c>
      <c r="G27" s="371"/>
      <c r="H27" s="379"/>
      <c r="I27" s="379"/>
      <c r="J27" s="379"/>
      <c r="K27" s="370"/>
      <c r="L27" s="371"/>
      <c r="M27" s="367"/>
      <c r="N27" s="371"/>
      <c r="O27" s="18"/>
      <c r="P27" s="18"/>
      <c r="Q27" s="18"/>
      <c r="R27" s="390"/>
    </row>
    <row r="28" spans="2:18" x14ac:dyDescent="0.2">
      <c r="B28" s="389"/>
      <c r="C28" s="420" t="s">
        <v>139</v>
      </c>
      <c r="D28" s="381" t="s">
        <v>21</v>
      </c>
      <c r="E28" s="413" t="s">
        <v>12</v>
      </c>
      <c r="F28" s="416">
        <f>User_Input!F30-User_Input!H30</f>
        <v>1.96</v>
      </c>
      <c r="G28" s="371"/>
      <c r="H28" s="379"/>
      <c r="I28" s="379"/>
      <c r="J28" s="379"/>
      <c r="K28" s="370"/>
      <c r="L28" s="371"/>
      <c r="M28" s="367"/>
      <c r="N28" s="371"/>
      <c r="O28" s="18"/>
      <c r="P28" s="18"/>
      <c r="Q28" s="18"/>
      <c r="R28" s="390"/>
    </row>
    <row r="29" spans="2:18" x14ac:dyDescent="0.2">
      <c r="B29" s="389"/>
      <c r="C29" s="420" t="s">
        <v>140</v>
      </c>
      <c r="D29" s="381" t="s">
        <v>21</v>
      </c>
      <c r="E29" s="413" t="s">
        <v>12</v>
      </c>
      <c r="F29" s="416">
        <f>User_Input!F31-User_Input!H31</f>
        <v>-0.39000000000000012</v>
      </c>
      <c r="G29" s="371"/>
      <c r="H29" s="117"/>
      <c r="I29" s="117"/>
      <c r="J29" s="117"/>
      <c r="K29" s="370"/>
      <c r="L29" s="371"/>
      <c r="M29" s="367"/>
      <c r="N29" s="371"/>
      <c r="O29" s="18"/>
      <c r="P29" s="18"/>
      <c r="Q29" s="18"/>
      <c r="R29" s="390"/>
    </row>
    <row r="30" spans="2:18" x14ac:dyDescent="0.2">
      <c r="B30" s="389"/>
      <c r="C30" s="420" t="s">
        <v>141</v>
      </c>
      <c r="D30" s="381" t="s">
        <v>21</v>
      </c>
      <c r="E30" s="413" t="s">
        <v>4</v>
      </c>
      <c r="F30" s="416">
        <f>User_Input!F32-User_Input!H32</f>
        <v>16.5</v>
      </c>
      <c r="G30" s="371"/>
      <c r="H30" s="117"/>
      <c r="I30" s="117"/>
      <c r="J30" s="117"/>
      <c r="K30" s="370"/>
      <c r="L30" s="372"/>
      <c r="M30" s="369"/>
      <c r="N30" s="372"/>
      <c r="O30" s="18"/>
      <c r="P30" s="18"/>
      <c r="Q30" s="18"/>
      <c r="R30" s="390"/>
    </row>
    <row r="31" spans="2:18" x14ac:dyDescent="0.2">
      <c r="B31" s="389"/>
      <c r="C31" s="420" t="s">
        <v>142</v>
      </c>
      <c r="D31" s="382" t="s">
        <v>22</v>
      </c>
      <c r="E31" s="415" t="s">
        <v>12</v>
      </c>
      <c r="F31" s="416">
        <f>User_Input!F33-User_Input!H33</f>
        <v>-0.15000000000000002</v>
      </c>
      <c r="G31" s="372"/>
      <c r="H31" s="117"/>
      <c r="I31" s="117"/>
      <c r="J31" s="117"/>
      <c r="K31" s="370"/>
      <c r="L31" s="371"/>
      <c r="M31" s="367"/>
      <c r="N31" s="371"/>
      <c r="O31" s="18"/>
      <c r="P31" s="18"/>
      <c r="Q31" s="18"/>
      <c r="R31" s="390"/>
    </row>
    <row r="32" spans="2:18" x14ac:dyDescent="0.2">
      <c r="B32" s="389"/>
      <c r="C32" s="420" t="s">
        <v>143</v>
      </c>
      <c r="D32" s="382" t="s">
        <v>22</v>
      </c>
      <c r="E32" s="415" t="s">
        <v>12</v>
      </c>
      <c r="F32" s="416">
        <f>User_Input!F34-User_Input!H34</f>
        <v>5.0000000000000044E-2</v>
      </c>
      <c r="G32" s="372"/>
      <c r="H32" s="117"/>
      <c r="I32" s="117"/>
      <c r="J32" s="117"/>
      <c r="K32" s="370"/>
      <c r="L32" s="371"/>
      <c r="M32" s="368"/>
      <c r="N32" s="371"/>
      <c r="O32" s="18"/>
      <c r="P32" s="18"/>
      <c r="Q32" s="18"/>
      <c r="R32" s="390"/>
    </row>
    <row r="33" spans="2:26" x14ac:dyDescent="0.2">
      <c r="B33" s="389"/>
      <c r="C33" s="420" t="s">
        <v>144</v>
      </c>
      <c r="D33" s="381" t="s">
        <v>21</v>
      </c>
      <c r="E33" s="413" t="s">
        <v>5</v>
      </c>
      <c r="F33" s="416">
        <f>User_Input!F35-User_Input!H35</f>
        <v>-4.5500000000000011E-3</v>
      </c>
      <c r="G33" s="371"/>
      <c r="H33" s="117"/>
      <c r="I33" s="117"/>
      <c r="J33" s="117"/>
      <c r="K33" s="370"/>
      <c r="L33" s="371"/>
      <c r="M33" s="368"/>
      <c r="N33" s="371"/>
      <c r="O33" s="18"/>
      <c r="P33" s="18"/>
      <c r="Q33" s="18"/>
      <c r="R33" s="390"/>
    </row>
    <row r="34" spans="2:26" x14ac:dyDescent="0.2">
      <c r="B34" s="389"/>
      <c r="C34" s="420" t="s">
        <v>145</v>
      </c>
      <c r="D34" s="381" t="s">
        <v>21</v>
      </c>
      <c r="E34" s="413" t="s">
        <v>5</v>
      </c>
      <c r="F34" s="416">
        <f>User_Input!F36-User_Input!H36</f>
        <v>-4.1800000000000002E-4</v>
      </c>
      <c r="G34" s="371"/>
      <c r="H34" s="117"/>
      <c r="I34" s="117"/>
      <c r="J34" s="117"/>
      <c r="K34" s="370"/>
      <c r="L34" s="372"/>
      <c r="M34" s="368"/>
      <c r="N34" s="372"/>
      <c r="O34" s="18"/>
      <c r="P34" s="18"/>
      <c r="Q34" s="18"/>
      <c r="R34" s="390"/>
    </row>
    <row r="35" spans="2:26" x14ac:dyDescent="0.2">
      <c r="B35" s="389"/>
      <c r="C35" s="420" t="s">
        <v>146</v>
      </c>
      <c r="D35" s="381" t="s">
        <v>21</v>
      </c>
      <c r="E35" s="413" t="s">
        <v>7</v>
      </c>
      <c r="F35" s="416">
        <f>User_Input!F37-User_Input!H37</f>
        <v>-8.5</v>
      </c>
      <c r="G35" s="371"/>
      <c r="H35" s="117"/>
      <c r="I35" s="117"/>
      <c r="J35" s="117"/>
      <c r="K35" s="370"/>
      <c r="L35" s="372"/>
      <c r="M35" s="368"/>
      <c r="N35" s="372"/>
      <c r="O35" s="18"/>
      <c r="P35" s="18"/>
      <c r="Q35" s="18"/>
      <c r="R35" s="390"/>
    </row>
    <row r="36" spans="2:26" x14ac:dyDescent="0.2">
      <c r="B36" s="389"/>
      <c r="C36" s="420" t="s">
        <v>147</v>
      </c>
      <c r="D36" s="381" t="s">
        <v>21</v>
      </c>
      <c r="E36" s="413" t="s">
        <v>15</v>
      </c>
      <c r="F36" s="416">
        <f>User_Input!F38-User_Input!H38</f>
        <v>-1.0000000000000231E-2</v>
      </c>
      <c r="G36" s="371"/>
      <c r="H36" s="117"/>
      <c r="I36" s="117"/>
      <c r="J36" s="117"/>
      <c r="K36" s="370"/>
      <c r="L36" s="372"/>
      <c r="M36" s="368"/>
      <c r="N36" s="372"/>
      <c r="O36" s="18"/>
      <c r="P36" s="18"/>
      <c r="Q36" s="18"/>
      <c r="R36" s="390"/>
    </row>
    <row r="37" spans="2:26" x14ac:dyDescent="0.2">
      <c r="B37" s="389"/>
      <c r="C37" s="420" t="s">
        <v>148</v>
      </c>
      <c r="D37" s="382" t="s">
        <v>22</v>
      </c>
      <c r="E37" s="415" t="s">
        <v>6</v>
      </c>
      <c r="F37" s="416">
        <f>User_Input!F39-User_Input!H39</f>
        <v>3.1550000000000011</v>
      </c>
      <c r="G37" s="372"/>
      <c r="H37" s="536" t="s">
        <v>257</v>
      </c>
      <c r="I37" s="536"/>
      <c r="J37" s="536"/>
      <c r="K37" s="536"/>
      <c r="L37" s="394"/>
      <c r="M37" s="536" t="s">
        <v>254</v>
      </c>
      <c r="N37" s="536"/>
      <c r="O37" s="536"/>
      <c r="P37" s="536"/>
      <c r="Q37" s="536"/>
      <c r="R37" s="390"/>
    </row>
    <row r="38" spans="2:26" x14ac:dyDescent="0.2">
      <c r="B38" s="389"/>
      <c r="C38" s="420" t="s">
        <v>149</v>
      </c>
      <c r="D38" s="381" t="s">
        <v>21</v>
      </c>
      <c r="E38" s="413" t="s">
        <v>4</v>
      </c>
      <c r="F38" s="416">
        <f>User_Input!F40-User_Input!H40</f>
        <v>2.5</v>
      </c>
      <c r="G38" s="371"/>
      <c r="H38" s="117"/>
      <c r="I38" s="117"/>
      <c r="J38" s="117"/>
      <c r="K38" s="370"/>
      <c r="L38" s="372"/>
      <c r="M38" s="368"/>
      <c r="N38" s="372"/>
      <c r="O38" s="18"/>
      <c r="P38" s="18"/>
      <c r="Q38" s="18"/>
      <c r="R38" s="390"/>
      <c r="T38" s="18"/>
      <c r="U38" s="18"/>
      <c r="V38" s="18"/>
      <c r="W38" s="18"/>
      <c r="X38" s="18"/>
      <c r="Y38" s="18"/>
      <c r="Z38" s="18"/>
    </row>
    <row r="39" spans="2:26" x14ac:dyDescent="0.2">
      <c r="B39" s="389"/>
      <c r="C39" s="420" t="s">
        <v>150</v>
      </c>
      <c r="D39" s="381" t="s">
        <v>21</v>
      </c>
      <c r="E39" s="415" t="s">
        <v>17</v>
      </c>
      <c r="F39" s="416">
        <f>User_Input!F41-User_Input!H41</f>
        <v>-7.9999999999999988E-2</v>
      </c>
      <c r="G39" s="371"/>
      <c r="H39" s="117"/>
      <c r="I39" s="117"/>
      <c r="J39" s="117"/>
      <c r="K39" s="370"/>
      <c r="L39" s="372"/>
      <c r="M39" s="368"/>
      <c r="N39" s="372"/>
      <c r="O39" s="18"/>
      <c r="P39" s="18"/>
      <c r="Q39" s="18"/>
      <c r="R39" s="390"/>
      <c r="T39" s="18"/>
      <c r="U39" s="18"/>
      <c r="V39" s="18"/>
      <c r="W39" s="18"/>
      <c r="X39" s="18"/>
      <c r="Y39" s="18"/>
      <c r="Z39" s="18"/>
    </row>
    <row r="40" spans="2:26" x14ac:dyDescent="0.2">
      <c r="B40" s="389"/>
      <c r="C40" s="420" t="s">
        <v>151</v>
      </c>
      <c r="D40" s="381" t="s">
        <v>21</v>
      </c>
      <c r="E40" s="415" t="s">
        <v>8</v>
      </c>
      <c r="F40" s="416">
        <f>User_Input!F42-User_Input!H42</f>
        <v>-34.5</v>
      </c>
      <c r="G40" s="371"/>
      <c r="H40" s="117"/>
      <c r="I40" s="117"/>
      <c r="J40" s="117"/>
      <c r="K40" s="370"/>
      <c r="L40" s="372"/>
      <c r="M40" s="368"/>
      <c r="N40" s="372"/>
      <c r="O40" s="18"/>
      <c r="P40" s="18"/>
      <c r="Q40" s="18"/>
      <c r="R40" s="390"/>
      <c r="T40" s="18"/>
      <c r="U40" s="18"/>
      <c r="V40" s="18"/>
      <c r="W40" s="18"/>
      <c r="X40" s="18"/>
      <c r="Y40" s="18"/>
      <c r="Z40" s="18"/>
    </row>
    <row r="41" spans="2:26" ht="15.75" x14ac:dyDescent="0.25">
      <c r="B41" s="389"/>
      <c r="C41" s="420" t="s">
        <v>152</v>
      </c>
      <c r="D41" s="382" t="s">
        <v>22</v>
      </c>
      <c r="E41" s="415" t="s">
        <v>4</v>
      </c>
      <c r="F41" s="416">
        <f>User_Input!F43-User_Input!H43</f>
        <v>15.5</v>
      </c>
      <c r="G41" s="372"/>
      <c r="H41" s="117"/>
      <c r="I41" s="117"/>
      <c r="J41" s="117"/>
      <c r="K41" s="370"/>
      <c r="L41" s="372"/>
      <c r="M41" s="368"/>
      <c r="N41" s="372"/>
      <c r="O41" s="18"/>
      <c r="P41" s="18"/>
      <c r="Q41" s="18"/>
      <c r="R41" s="390"/>
      <c r="T41" s="399"/>
      <c r="U41" s="400"/>
      <c r="V41" s="399"/>
      <c r="W41" s="400"/>
      <c r="X41" s="399"/>
      <c r="Y41" s="400"/>
      <c r="Z41" s="18"/>
    </row>
    <row r="42" spans="2:26" ht="15.75" x14ac:dyDescent="0.25">
      <c r="B42" s="389"/>
      <c r="C42" s="420" t="s">
        <v>153</v>
      </c>
      <c r="D42" s="382" t="s">
        <v>22</v>
      </c>
      <c r="E42" s="415" t="s">
        <v>4</v>
      </c>
      <c r="F42" s="416">
        <f>User_Input!F44-User_Input!H44</f>
        <v>9</v>
      </c>
      <c r="G42" s="372"/>
      <c r="H42" s="117"/>
      <c r="I42" s="117"/>
      <c r="J42" s="117"/>
      <c r="K42" s="370"/>
      <c r="L42" s="373"/>
      <c r="M42" s="368"/>
      <c r="N42" s="373"/>
      <c r="O42" s="18"/>
      <c r="P42" s="18"/>
      <c r="Q42" s="18"/>
      <c r="R42" s="390"/>
      <c r="T42" s="399"/>
      <c r="U42" s="400"/>
      <c r="V42" s="399"/>
      <c r="W42" s="401"/>
      <c r="X42" s="399"/>
      <c r="Y42" s="401"/>
      <c r="Z42" s="18"/>
    </row>
    <row r="43" spans="2:26" ht="15.75" x14ac:dyDescent="0.25">
      <c r="B43" s="389"/>
      <c r="C43" s="420" t="s">
        <v>154</v>
      </c>
      <c r="D43" s="382" t="s">
        <v>22</v>
      </c>
      <c r="E43" s="415" t="s">
        <v>9</v>
      </c>
      <c r="F43" s="416">
        <f>User_Input!F45-User_Input!H45</f>
        <v>15</v>
      </c>
      <c r="G43" s="372"/>
      <c r="H43" s="117"/>
      <c r="I43" s="117"/>
      <c r="J43" s="117"/>
      <c r="K43" s="117"/>
      <c r="L43" s="18"/>
      <c r="M43" s="18"/>
      <c r="N43" s="18"/>
      <c r="O43" s="18"/>
      <c r="P43" s="18"/>
      <c r="Q43" s="18"/>
      <c r="R43" s="390"/>
      <c r="T43" s="399"/>
      <c r="U43" s="400"/>
      <c r="V43" s="399"/>
      <c r="W43" s="401"/>
      <c r="X43" s="399"/>
      <c r="Y43" s="400"/>
      <c r="Z43" s="18"/>
    </row>
    <row r="44" spans="2:26" x14ac:dyDescent="0.2">
      <c r="B44" s="389"/>
      <c r="C44" s="420" t="s">
        <v>155</v>
      </c>
      <c r="D44" s="382" t="s">
        <v>22</v>
      </c>
      <c r="E44" s="415" t="s">
        <v>10</v>
      </c>
      <c r="F44" s="416">
        <f>User_Input!F46-User_Input!H46</f>
        <v>207</v>
      </c>
      <c r="G44" s="372"/>
      <c r="H44" s="18"/>
      <c r="I44" s="18"/>
      <c r="J44" s="117"/>
      <c r="K44" s="117"/>
      <c r="L44" s="18"/>
      <c r="M44" s="18"/>
      <c r="N44" s="18"/>
      <c r="O44" s="18"/>
      <c r="P44" s="18"/>
      <c r="Q44" s="18"/>
      <c r="R44" s="390"/>
      <c r="T44" s="402"/>
      <c r="U44" s="402"/>
      <c r="V44" s="402"/>
      <c r="W44" s="402"/>
      <c r="X44" s="402"/>
      <c r="Y44" s="402"/>
      <c r="Z44" s="18"/>
    </row>
    <row r="45" spans="2:26" x14ac:dyDescent="0.2">
      <c r="B45" s="389"/>
      <c r="C45" s="420" t="s">
        <v>156</v>
      </c>
      <c r="D45" s="382" t="s">
        <v>22</v>
      </c>
      <c r="E45" s="415" t="s">
        <v>18</v>
      </c>
      <c r="F45" s="416">
        <f>User_Input!F47-User_Input!H47</f>
        <v>-5.4999999999999938E-2</v>
      </c>
      <c r="G45" s="372"/>
      <c r="H45" s="18"/>
      <c r="I45" s="18"/>
      <c r="J45" s="117"/>
      <c r="K45" s="117"/>
      <c r="L45" s="18"/>
      <c r="M45" s="18"/>
      <c r="N45" s="18"/>
      <c r="O45" s="18"/>
      <c r="P45" s="18"/>
      <c r="Q45" s="18"/>
      <c r="R45" s="390"/>
    </row>
    <row r="46" spans="2:26" x14ac:dyDescent="0.2">
      <c r="B46" s="389"/>
      <c r="C46" s="420" t="s">
        <v>157</v>
      </c>
      <c r="D46" s="382" t="s">
        <v>22</v>
      </c>
      <c r="E46" s="415" t="s">
        <v>14</v>
      </c>
      <c r="F46" s="416">
        <f>User_Input!F48-User_Input!H48</f>
        <v>-0.40000000000000036</v>
      </c>
      <c r="G46" s="372"/>
      <c r="H46" s="18"/>
      <c r="I46" s="18"/>
      <c r="J46" s="117"/>
      <c r="K46" s="117"/>
      <c r="L46" s="18"/>
      <c r="M46" s="18"/>
      <c r="N46" s="18"/>
      <c r="O46" s="18"/>
      <c r="P46" s="18"/>
      <c r="Q46" s="18"/>
      <c r="R46" s="390"/>
    </row>
    <row r="47" spans="2:26" x14ac:dyDescent="0.2">
      <c r="B47" s="389"/>
      <c r="C47" s="420" t="s">
        <v>158</v>
      </c>
      <c r="D47" s="382" t="s">
        <v>22</v>
      </c>
      <c r="E47" s="415" t="s">
        <v>14</v>
      </c>
      <c r="F47" s="416">
        <f>User_Input!F49-User_Input!H49</f>
        <v>7.4999999999999956E-2</v>
      </c>
      <c r="G47" s="3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390"/>
    </row>
    <row r="48" spans="2:26" x14ac:dyDescent="0.2">
      <c r="B48" s="389"/>
      <c r="C48" s="420" t="s">
        <v>159</v>
      </c>
      <c r="D48" s="382" t="s">
        <v>22</v>
      </c>
      <c r="E48" s="415" t="s">
        <v>11</v>
      </c>
      <c r="F48" s="416">
        <f>User_Input!F50-User_Input!H50</f>
        <v>0.21499999999999997</v>
      </c>
      <c r="G48" s="3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390"/>
    </row>
    <row r="49" spans="2:18" x14ac:dyDescent="0.2">
      <c r="B49" s="389"/>
      <c r="C49" s="420" t="s">
        <v>160</v>
      </c>
      <c r="D49" s="383" t="s">
        <v>21</v>
      </c>
      <c r="E49" s="415" t="s">
        <v>10</v>
      </c>
      <c r="F49" s="416">
        <f>User_Input!F51-User_Input!H51</f>
        <v>26.150000000000006</v>
      </c>
      <c r="G49" s="373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390"/>
    </row>
    <row r="50" spans="2:18" x14ac:dyDescent="0.2">
      <c r="B50" s="389"/>
      <c r="C50" s="18"/>
      <c r="D50" s="18"/>
      <c r="E50" s="18"/>
      <c r="F50" s="18"/>
      <c r="G50" s="18"/>
      <c r="H50" s="421" t="s">
        <v>287</v>
      </c>
      <c r="I50" s="422"/>
      <c r="J50" s="422"/>
      <c r="K50" s="422"/>
      <c r="L50" s="422"/>
      <c r="M50" s="422"/>
      <c r="N50" s="422"/>
      <c r="O50" s="422"/>
      <c r="P50" s="422"/>
      <c r="Q50" s="422"/>
      <c r="R50" s="390"/>
    </row>
    <row r="51" spans="2:18" x14ac:dyDescent="0.2">
      <c r="B51" s="389"/>
      <c r="C51" s="536" t="s">
        <v>280</v>
      </c>
      <c r="D51" s="536"/>
      <c r="E51" s="536"/>
      <c r="F51" s="5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390"/>
    </row>
    <row r="52" spans="2:18" x14ac:dyDescent="0.2">
      <c r="B52" s="389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390"/>
    </row>
    <row r="53" spans="2:18" ht="13.15" customHeight="1" x14ac:dyDescent="0.2">
      <c r="B53" s="389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R53" s="390"/>
    </row>
    <row r="54" spans="2:18" ht="13.9" customHeight="1" x14ac:dyDescent="0.2">
      <c r="B54" s="389"/>
      <c r="C54" s="18"/>
      <c r="D54" s="18"/>
      <c r="E54" s="18"/>
      <c r="F54" s="18"/>
      <c r="G54" s="18"/>
      <c r="H54" s="18"/>
      <c r="I54" s="18"/>
      <c r="J54" s="18"/>
      <c r="K54" s="18"/>
      <c r="L54" s="18"/>
      <c r="N54" s="541" t="s">
        <v>247</v>
      </c>
      <c r="O54" s="537" t="s">
        <v>248</v>
      </c>
      <c r="P54" s="538"/>
      <c r="Q54" s="539"/>
      <c r="R54" s="390"/>
    </row>
    <row r="55" spans="2:18" x14ac:dyDescent="0.2">
      <c r="B55" s="389"/>
      <c r="C55" s="18"/>
      <c r="D55" s="18"/>
      <c r="E55" s="18"/>
      <c r="F55" s="18"/>
      <c r="G55" s="18"/>
      <c r="H55" s="18"/>
      <c r="I55" s="18"/>
      <c r="J55" s="18"/>
      <c r="K55" s="18"/>
      <c r="L55" s="18"/>
      <c r="N55" s="542"/>
      <c r="O55" s="438" t="s">
        <v>244</v>
      </c>
      <c r="P55" s="438" t="s">
        <v>115</v>
      </c>
      <c r="Q55" s="438" t="s">
        <v>229</v>
      </c>
      <c r="R55" s="390"/>
    </row>
    <row r="56" spans="2:18" x14ac:dyDescent="0.2">
      <c r="B56" s="389"/>
      <c r="C56" s="18"/>
      <c r="D56" s="18"/>
      <c r="E56" s="18"/>
      <c r="F56" s="18"/>
      <c r="G56" s="18"/>
      <c r="H56" s="18"/>
      <c r="I56" s="18"/>
      <c r="J56" s="18"/>
      <c r="K56" s="18"/>
      <c r="L56" s="18"/>
      <c r="N56" s="439" t="s">
        <v>162</v>
      </c>
      <c r="O56" s="395">
        <f>Compilation_Equal!AA59</f>
        <v>50.833333333333329</v>
      </c>
      <c r="P56" s="395">
        <f>Compilation_Expert!AA59</f>
        <v>52.52</v>
      </c>
      <c r="Q56" s="395">
        <f>Compilation_Hybird!AA59</f>
        <v>51.676666666666662</v>
      </c>
      <c r="R56" s="390"/>
    </row>
    <row r="57" spans="2:18" x14ac:dyDescent="0.2">
      <c r="B57" s="389"/>
      <c r="C57" s="18"/>
      <c r="D57" s="18"/>
      <c r="E57" s="18"/>
      <c r="F57" s="18"/>
      <c r="G57" s="18"/>
      <c r="H57" s="18"/>
      <c r="I57" s="18"/>
      <c r="J57" s="18"/>
      <c r="K57" s="18"/>
      <c r="L57" s="18"/>
      <c r="N57" s="439" t="s">
        <v>163</v>
      </c>
      <c r="O57" s="395">
        <f>Compilation_Equal!AA60</f>
        <v>43.478260869565219</v>
      </c>
      <c r="P57" s="395">
        <f>Compilation_Expert!AA60</f>
        <v>38.754554399999989</v>
      </c>
      <c r="Q57" s="395">
        <f>Compilation_Hybird!AA60</f>
        <v>41.121249734782609</v>
      </c>
      <c r="R57" s="390"/>
    </row>
    <row r="58" spans="2:18" x14ac:dyDescent="0.2">
      <c r="B58" s="389"/>
      <c r="C58" s="18"/>
      <c r="D58" s="18"/>
      <c r="E58" s="18"/>
      <c r="F58" s="18"/>
      <c r="G58" s="18"/>
      <c r="H58" s="18"/>
      <c r="I58" s="18"/>
      <c r="J58" s="18"/>
      <c r="K58" s="18"/>
      <c r="L58" s="18"/>
      <c r="N58" s="439" t="s">
        <v>161</v>
      </c>
      <c r="O58" s="395">
        <f>Compilation_Equal!AA61</f>
        <v>43.333333333333321</v>
      </c>
      <c r="P58" s="395">
        <f>Compilation_Expert!AA61</f>
        <v>37.975837900000002</v>
      </c>
      <c r="Q58" s="395">
        <f>Compilation_Hybird!AA61</f>
        <v>43.333333333333321</v>
      </c>
      <c r="R58" s="390"/>
    </row>
    <row r="59" spans="2:18" x14ac:dyDescent="0.2">
      <c r="B59" s="389"/>
      <c r="C59" s="18"/>
      <c r="D59" s="18"/>
      <c r="E59" s="18"/>
      <c r="F59" s="18"/>
      <c r="G59" s="18"/>
      <c r="H59" s="18"/>
      <c r="I59" s="18"/>
      <c r="J59" s="18"/>
      <c r="K59" s="376"/>
      <c r="L59" s="384"/>
      <c r="N59" s="396" t="s">
        <v>246</v>
      </c>
      <c r="O59" s="397">
        <f>AVERAGE(O56:O58)</f>
        <v>45.881642512077292</v>
      </c>
      <c r="P59" s="397">
        <f t="shared" ref="P59:Q59" si="0">AVERAGE(P56:P58)</f>
        <v>43.083464099999993</v>
      </c>
      <c r="Q59" s="397">
        <f t="shared" si="0"/>
        <v>45.377083244927526</v>
      </c>
      <c r="R59" s="390"/>
    </row>
    <row r="60" spans="2:18" ht="15" x14ac:dyDescent="0.2">
      <c r="B60" s="389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377"/>
      <c r="O60" s="435"/>
      <c r="P60" s="436"/>
      <c r="Q60" s="437"/>
      <c r="R60" s="390"/>
    </row>
    <row r="61" spans="2:18" x14ac:dyDescent="0.2">
      <c r="B61" s="389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390"/>
    </row>
    <row r="62" spans="2:18" ht="13.5" thickBot="1" x14ac:dyDescent="0.25">
      <c r="B62" s="391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  <c r="R62" s="393"/>
    </row>
    <row r="63" spans="2:18" x14ac:dyDescent="0.2">
      <c r="H63" s="18"/>
      <c r="I63" s="18"/>
      <c r="J63" s="18"/>
      <c r="P63" s="18"/>
    </row>
    <row r="66" spans="2:11" x14ac:dyDescent="0.2">
      <c r="B66" s="489" t="s">
        <v>284</v>
      </c>
      <c r="C66" s="490"/>
      <c r="D66" s="491"/>
      <c r="E66" s="492"/>
      <c r="F66" s="492"/>
      <c r="G66" s="492"/>
      <c r="H66" s="492"/>
      <c r="I66" s="492"/>
      <c r="J66" s="492"/>
      <c r="K66" s="492"/>
    </row>
    <row r="67" spans="2:11" x14ac:dyDescent="0.2">
      <c r="B67" s="6"/>
    </row>
    <row r="82" spans="5:8" x14ac:dyDescent="0.2">
      <c r="E82" s="536"/>
      <c r="F82" s="536"/>
      <c r="G82" s="536"/>
      <c r="H82" s="536"/>
    </row>
  </sheetData>
  <mergeCells count="15">
    <mergeCell ref="O54:Q54"/>
    <mergeCell ref="H21:Q21"/>
    <mergeCell ref="C51:F51"/>
    <mergeCell ref="E82:H82"/>
    <mergeCell ref="C7:D7"/>
    <mergeCell ref="N54:N55"/>
    <mergeCell ref="C2:Q2"/>
    <mergeCell ref="H23:K23"/>
    <mergeCell ref="M23:Q23"/>
    <mergeCell ref="H37:K37"/>
    <mergeCell ref="M37:Q37"/>
    <mergeCell ref="C11:D11"/>
    <mergeCell ref="C8:D8"/>
    <mergeCell ref="C9:D9"/>
    <mergeCell ref="C10:D10"/>
  </mergeCells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50" r:id="rId4" name="CommandButton1">
          <controlPr defaultSize="0" autoLine="0" autoPict="0" r:id="rId5">
            <anchor moveWithCells="1">
              <from>
                <xdr:col>5</xdr:col>
                <xdr:colOff>123825</xdr:colOff>
                <xdr:row>6</xdr:row>
                <xdr:rowOff>190500</xdr:rowOff>
              </from>
              <to>
                <xdr:col>6</xdr:col>
                <xdr:colOff>57150</xdr:colOff>
                <xdr:row>9</xdr:row>
                <xdr:rowOff>9525</xdr:rowOff>
              </to>
            </anchor>
          </controlPr>
        </control>
      </mc:Choice>
      <mc:Fallback>
        <control shapeId="2050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A179"/>
  <sheetViews>
    <sheetView topLeftCell="A154" workbookViewId="0">
      <selection activeCell="C145" sqref="C145"/>
    </sheetView>
  </sheetViews>
  <sheetFormatPr defaultRowHeight="12.75" x14ac:dyDescent="0.2"/>
  <cols>
    <col min="1" max="1" width="29.5" customWidth="1"/>
    <col min="2" max="2" width="10.25" customWidth="1"/>
    <col min="3" max="3" width="31.75" customWidth="1"/>
    <col min="4" max="4" width="8.875" bestFit="1" customWidth="1"/>
    <col min="5" max="5" width="43.375" customWidth="1"/>
    <col min="6" max="6" width="9.75" bestFit="1" customWidth="1"/>
    <col min="7" max="7" width="10.25" customWidth="1"/>
    <col min="8" max="8" width="12.25" bestFit="1" customWidth="1"/>
    <col min="9" max="9" width="14.375" bestFit="1" customWidth="1"/>
    <col min="10" max="10" width="12.25" bestFit="1" customWidth="1"/>
    <col min="11" max="11" width="11.75" customWidth="1"/>
    <col min="12" max="12" width="11.875" bestFit="1" customWidth="1"/>
    <col min="13" max="13" width="9.75" bestFit="1" customWidth="1"/>
    <col min="14" max="14" width="7.625" customWidth="1"/>
    <col min="15" max="17" width="9.5" bestFit="1" customWidth="1"/>
    <col min="18" max="19" width="8.875" customWidth="1"/>
    <col min="20" max="20" width="10.125" customWidth="1"/>
    <col min="21" max="21" width="8.875" style="119" customWidth="1"/>
    <col min="22" max="23" width="8.75" style="119"/>
    <col min="24" max="24" width="11.5" style="119" customWidth="1"/>
    <col min="25" max="28" width="8.75" style="119"/>
    <col min="29" max="33" width="11.375" style="119" customWidth="1"/>
    <col min="34" max="34" width="12.25" style="119" bestFit="1" customWidth="1"/>
    <col min="35" max="36" width="8.75" style="119"/>
    <col min="37" max="37" width="6.125" style="119" customWidth="1"/>
    <col min="38" max="38" width="14.375" style="119" bestFit="1" customWidth="1"/>
    <col min="39" max="39" width="11.5" style="119" customWidth="1"/>
    <col min="40" max="40" width="8.875" style="119" bestFit="1" customWidth="1"/>
    <col min="41" max="105" width="8.75" style="119"/>
  </cols>
  <sheetData>
    <row r="1" spans="1:105" x14ac:dyDescent="0.2">
      <c r="C1" s="6"/>
    </row>
    <row r="2" spans="1:105" x14ac:dyDescent="0.2">
      <c r="A2" s="90" t="s">
        <v>118</v>
      </c>
      <c r="B2" s="118">
        <v>6</v>
      </c>
    </row>
    <row r="3" spans="1:105" x14ac:dyDescent="0.2">
      <c r="A3" s="90" t="s">
        <v>116</v>
      </c>
      <c r="B3" s="4">
        <v>23</v>
      </c>
    </row>
    <row r="4" spans="1:105" ht="15" x14ac:dyDescent="0.2">
      <c r="A4" s="90" t="s">
        <v>117</v>
      </c>
      <c r="B4" s="4">
        <v>30</v>
      </c>
      <c r="AA4" s="273"/>
      <c r="AB4" s="274"/>
      <c r="AC4" s="272"/>
      <c r="AD4" s="272"/>
      <c r="AE4" s="272"/>
      <c r="AF4" s="272"/>
      <c r="AG4" s="272"/>
    </row>
    <row r="5" spans="1:105" ht="15" x14ac:dyDescent="0.2">
      <c r="X5" s="4" t="s">
        <v>13</v>
      </c>
      <c r="AB5" s="275"/>
      <c r="AC5" s="136"/>
      <c r="AD5" s="136"/>
      <c r="AE5" s="136"/>
      <c r="AF5" s="136"/>
      <c r="AG5" s="136"/>
    </row>
    <row r="6" spans="1:105" ht="15" x14ac:dyDescent="0.2">
      <c r="AB6" s="123"/>
      <c r="AC6" s="136"/>
      <c r="AD6" s="136"/>
      <c r="AE6" s="136"/>
      <c r="AF6" s="136"/>
      <c r="AG6" s="136"/>
    </row>
    <row r="7" spans="1:105" ht="15" x14ac:dyDescent="0.2">
      <c r="AB7" s="275"/>
      <c r="AC7" s="136"/>
      <c r="AD7" s="136"/>
      <c r="AE7" s="136"/>
      <c r="AF7" s="136"/>
      <c r="AG7" s="136"/>
    </row>
    <row r="8" spans="1:105" ht="15.75" thickBot="1" x14ac:dyDescent="0.25">
      <c r="A8" s="137" t="s">
        <v>122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X8" s="133"/>
      <c r="AB8" s="275"/>
      <c r="AC8" s="136"/>
      <c r="AD8" s="136"/>
      <c r="AE8" s="136"/>
      <c r="AF8" s="136"/>
      <c r="AG8" s="136"/>
    </row>
    <row r="9" spans="1:105" ht="16.5" thickTop="1" thickBot="1" x14ac:dyDescent="0.3">
      <c r="A9" s="138"/>
      <c r="B9" s="138"/>
      <c r="C9" s="138"/>
      <c r="D9" s="138"/>
      <c r="E9" s="138"/>
      <c r="F9" s="138"/>
      <c r="G9" s="138"/>
      <c r="H9" s="138"/>
      <c r="I9" s="241" t="s">
        <v>33</v>
      </c>
      <c r="J9" s="174"/>
      <c r="K9" s="174"/>
      <c r="L9" s="174"/>
      <c r="M9" s="174"/>
      <c r="N9" s="174"/>
      <c r="O9" s="242"/>
      <c r="P9" s="174"/>
      <c r="Q9" s="174"/>
      <c r="X9" s="4" t="s">
        <v>280</v>
      </c>
      <c r="AB9" s="123"/>
      <c r="AC9" s="136"/>
      <c r="AD9" s="136"/>
      <c r="AE9" s="136"/>
      <c r="AF9" s="136"/>
      <c r="AG9" s="136"/>
    </row>
    <row r="10" spans="1:105" s="4" customFormat="1" ht="16.5" thickTop="1" thickBot="1" x14ac:dyDescent="0.25">
      <c r="A10" s="139" t="s">
        <v>100</v>
      </c>
      <c r="B10" s="139" t="s">
        <v>19</v>
      </c>
      <c r="C10" s="139" t="s">
        <v>176</v>
      </c>
      <c r="D10" s="139" t="s">
        <v>19</v>
      </c>
      <c r="E10" s="139" t="s">
        <v>0</v>
      </c>
      <c r="F10" s="140" t="s">
        <v>19</v>
      </c>
      <c r="G10" s="141" t="s">
        <v>1</v>
      </c>
      <c r="H10" s="140" t="s">
        <v>94</v>
      </c>
      <c r="I10" s="142" t="s">
        <v>31</v>
      </c>
      <c r="J10" s="142" t="s">
        <v>20</v>
      </c>
      <c r="K10" s="548" t="s">
        <v>239</v>
      </c>
      <c r="L10" s="548"/>
      <c r="M10" s="548"/>
      <c r="N10" s="548"/>
      <c r="O10" s="142" t="s">
        <v>119</v>
      </c>
      <c r="P10" s="142" t="s">
        <v>120</v>
      </c>
      <c r="Q10" s="141" t="s">
        <v>121</v>
      </c>
      <c r="R10"/>
      <c r="S10" s="418" t="s">
        <v>274</v>
      </c>
      <c r="T10" s="424"/>
      <c r="U10" s="120"/>
      <c r="V10" s="10"/>
      <c r="W10" s="10"/>
      <c r="Y10"/>
      <c r="Z10"/>
      <c r="AA10" s="119"/>
      <c r="AB10" s="275"/>
      <c r="AC10" s="136"/>
      <c r="AE10" s="136"/>
      <c r="AF10" s="136"/>
      <c r="AG10" s="136"/>
      <c r="AH10" s="308" t="s">
        <v>238</v>
      </c>
      <c r="AI10" s="308"/>
      <c r="AJ10" s="308"/>
      <c r="AK10" s="308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</row>
    <row r="11" spans="1:105" ht="15.75" thickBot="1" x14ac:dyDescent="0.25">
      <c r="A11" s="144" t="s">
        <v>102</v>
      </c>
      <c r="B11" s="144" t="s">
        <v>103</v>
      </c>
      <c r="C11" s="144" t="s">
        <v>23</v>
      </c>
      <c r="D11" s="144" t="s">
        <v>24</v>
      </c>
      <c r="E11" s="145" t="s">
        <v>25</v>
      </c>
      <c r="F11" s="146" t="s">
        <v>29</v>
      </c>
      <c r="G11" s="146" t="s">
        <v>26</v>
      </c>
      <c r="H11" s="146" t="s">
        <v>27</v>
      </c>
      <c r="I11" s="146" t="s">
        <v>32</v>
      </c>
      <c r="J11" s="146" t="s">
        <v>28</v>
      </c>
      <c r="K11" s="147" t="s">
        <v>93</v>
      </c>
      <c r="L11" s="147" t="s">
        <v>95</v>
      </c>
      <c r="M11" s="147" t="s">
        <v>96</v>
      </c>
      <c r="N11" s="147" t="s">
        <v>104</v>
      </c>
      <c r="O11" s="146" t="s">
        <v>34</v>
      </c>
      <c r="P11" s="146" t="s">
        <v>35</v>
      </c>
      <c r="Q11" s="146" t="s">
        <v>105</v>
      </c>
      <c r="T11" s="406"/>
      <c r="U11" s="121"/>
      <c r="X11" s="9"/>
      <c r="Y11" s="247"/>
      <c r="Z11"/>
      <c r="AB11" s="290" t="s">
        <v>0</v>
      </c>
      <c r="AC11" s="288" t="s">
        <v>20</v>
      </c>
      <c r="AD11" s="287" t="s">
        <v>1</v>
      </c>
      <c r="AE11" s="289" t="s">
        <v>128</v>
      </c>
      <c r="AF11" s="274"/>
      <c r="AG11" s="274"/>
      <c r="AH11" s="309" t="s">
        <v>99</v>
      </c>
      <c r="AI11" s="309" t="s">
        <v>162</v>
      </c>
      <c r="AJ11" s="310" t="s">
        <v>163</v>
      </c>
      <c r="AK11" s="310" t="s">
        <v>161</v>
      </c>
      <c r="AR11" s="154">
        <v>60</v>
      </c>
    </row>
    <row r="12" spans="1:105" s="38" customFormat="1" ht="15" customHeight="1" thickTop="1" thickBot="1" x14ac:dyDescent="0.3">
      <c r="A12" s="549" t="s">
        <v>180</v>
      </c>
      <c r="B12" s="148">
        <f>1/B$2</f>
        <v>0.16666666666666666</v>
      </c>
      <c r="C12" s="149" t="s">
        <v>165</v>
      </c>
      <c r="D12" s="150">
        <f>1/B$3</f>
        <v>4.3478260869565216E-2</v>
      </c>
      <c r="E12" s="151" t="s">
        <v>170</v>
      </c>
      <c r="F12" s="152">
        <f>1/B$4</f>
        <v>3.3333333333333333E-2</v>
      </c>
      <c r="G12" s="153" t="s">
        <v>5</v>
      </c>
      <c r="H12" s="398">
        <f>User_Input!F22</f>
        <v>28.5</v>
      </c>
      <c r="I12" s="155">
        <f>User_Input!H22</f>
        <v>19.399999999999999</v>
      </c>
      <c r="J12" s="156" t="s">
        <v>21</v>
      </c>
      <c r="K12" s="156">
        <f>IF(H12&gt;I12,1,0)</f>
        <v>1</v>
      </c>
      <c r="L12" s="155">
        <f>IF(H12=I12,0.5,0)</f>
        <v>0</v>
      </c>
      <c r="M12" s="155"/>
      <c r="N12" s="157">
        <f>SUM(K12:M12)</f>
        <v>1</v>
      </c>
      <c r="O12" s="158">
        <f>N12*F12</f>
        <v>3.3333333333333333E-2</v>
      </c>
      <c r="P12" s="159">
        <f>O$46*D12</f>
        <v>1.8840579710144925E-2</v>
      </c>
      <c r="Q12" s="160">
        <f>P$47*B12</f>
        <v>7.2222222222222174E-2</v>
      </c>
      <c r="R12"/>
      <c r="S12" s="271">
        <f>H12-I12</f>
        <v>9.1000000000000014</v>
      </c>
      <c r="T12" s="406"/>
      <c r="U12" s="122"/>
      <c r="V12" s="119"/>
      <c r="W12" s="119"/>
      <c r="X12"/>
      <c r="Y12"/>
      <c r="Z12"/>
      <c r="AA12" s="119"/>
      <c r="AB12" s="291" t="s">
        <v>131</v>
      </c>
      <c r="AC12" s="292" t="s">
        <v>21</v>
      </c>
      <c r="AD12" s="293" t="s">
        <v>5</v>
      </c>
      <c r="AE12" s="294">
        <v>9.1000000000000014</v>
      </c>
      <c r="AF12" s="275"/>
      <c r="AG12" s="275"/>
      <c r="AH12" s="291">
        <f t="shared" ref="AH12:AH41" si="0">N12</f>
        <v>1</v>
      </c>
      <c r="AI12" s="311">
        <f t="shared" ref="AI12:AI41" si="1">O55</f>
        <v>3.3333333333333333E-2</v>
      </c>
      <c r="AJ12" s="311">
        <f t="shared" ref="AJ12:AJ41" si="2">O100</f>
        <v>4.3478260869565216E-2</v>
      </c>
      <c r="AK12" s="311">
        <f t="shared" ref="AK12:AK41" si="3">O143</f>
        <v>3.3333333333333333E-2</v>
      </c>
      <c r="AL12" s="119"/>
      <c r="AM12" s="119"/>
      <c r="AN12" s="119"/>
      <c r="AO12" s="119"/>
      <c r="AP12" s="119"/>
      <c r="AQ12" s="119"/>
      <c r="AR12" s="248">
        <v>4.9000000000000004</v>
      </c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</row>
    <row r="13" spans="1:105" s="42" customFormat="1" ht="13.9" customHeight="1" thickTop="1" thickBot="1" x14ac:dyDescent="0.3">
      <c r="A13" s="550"/>
      <c r="B13" s="161"/>
      <c r="C13" s="162" t="s">
        <v>166</v>
      </c>
      <c r="D13" s="150">
        <f>1/B$3</f>
        <v>4.3478260869565216E-2</v>
      </c>
      <c r="E13" s="163" t="s">
        <v>171</v>
      </c>
      <c r="F13" s="152">
        <f t="shared" ref="F13:F41" si="4">1/B$4</f>
        <v>3.3333333333333333E-2</v>
      </c>
      <c r="G13" s="164" t="s">
        <v>2</v>
      </c>
      <c r="H13" s="398">
        <f>User_Input!F23</f>
        <v>4.9000000000000004</v>
      </c>
      <c r="I13" s="155">
        <f>User_Input!H23</f>
        <v>6.6000000000000005</v>
      </c>
      <c r="J13" s="165" t="s">
        <v>22</v>
      </c>
      <c r="K13" s="166"/>
      <c r="L13" s="166">
        <f t="shared" ref="L13:L41" si="5">IF(H13=I13,0.5,0)</f>
        <v>0</v>
      </c>
      <c r="M13" s="262">
        <f>IF(H13&lt;I13,1,0)</f>
        <v>1</v>
      </c>
      <c r="N13" s="167">
        <f t="shared" ref="N13:N41" si="6">SUM(K13:M13)</f>
        <v>1</v>
      </c>
      <c r="O13" s="168">
        <f t="shared" ref="O13:O41" si="7">N13*F13</f>
        <v>3.3333333333333333E-2</v>
      </c>
      <c r="P13" s="159">
        <f>O$46*D13</f>
        <v>1.8840579710144925E-2</v>
      </c>
      <c r="Q13" s="169"/>
      <c r="R13"/>
      <c r="S13" s="271">
        <f t="shared" ref="S13:S41" si="8">H13-I13</f>
        <v>-1.7000000000000002</v>
      </c>
      <c r="T13" s="406"/>
      <c r="U13" s="123"/>
      <c r="V13" s="124"/>
      <c r="W13" s="124"/>
      <c r="X13"/>
      <c r="Y13"/>
      <c r="Z13"/>
      <c r="AA13" s="119"/>
      <c r="AB13" s="291" t="s">
        <v>132</v>
      </c>
      <c r="AC13" s="295" t="s">
        <v>22</v>
      </c>
      <c r="AD13" s="296" t="s">
        <v>2</v>
      </c>
      <c r="AE13" s="297">
        <v>-1.7000000000000002</v>
      </c>
      <c r="AF13" s="123"/>
      <c r="AG13" s="123"/>
      <c r="AH13" s="291">
        <f t="shared" si="0"/>
        <v>1</v>
      </c>
      <c r="AI13" s="311">
        <f t="shared" si="1"/>
        <v>3.3333333333333333E-2</v>
      </c>
      <c r="AJ13" s="311">
        <f t="shared" si="2"/>
        <v>4.3478260869565216E-2</v>
      </c>
      <c r="AK13" s="311">
        <f t="shared" si="3"/>
        <v>3.3333333333333333E-2</v>
      </c>
      <c r="AL13" s="124"/>
      <c r="AM13" s="124"/>
      <c r="AN13" s="124"/>
      <c r="AO13" s="124"/>
      <c r="AP13" s="124"/>
      <c r="AQ13" s="124"/>
      <c r="AR13" s="172">
        <v>10</v>
      </c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/>
    </row>
    <row r="14" spans="1:105" s="18" customFormat="1" ht="12.6" customHeight="1" thickTop="1" thickBot="1" x14ac:dyDescent="0.3">
      <c r="A14" s="550"/>
      <c r="B14" s="161"/>
      <c r="C14" s="170" t="s">
        <v>167</v>
      </c>
      <c r="D14" s="150">
        <f>1/B$3</f>
        <v>4.3478260869565216E-2</v>
      </c>
      <c r="E14" s="163" t="s">
        <v>172</v>
      </c>
      <c r="F14" s="152">
        <f t="shared" si="4"/>
        <v>3.3333333333333333E-2</v>
      </c>
      <c r="G14" s="171" t="s">
        <v>3</v>
      </c>
      <c r="H14" s="398">
        <f>User_Input!F24</f>
        <v>3</v>
      </c>
      <c r="I14" s="155">
        <f>User_Input!H24</f>
        <v>3.25</v>
      </c>
      <c r="J14" s="255" t="s">
        <v>21</v>
      </c>
      <c r="K14" s="173">
        <f t="shared" ref="K14:K41" si="9">IF(H14&gt;I14,1,0)</f>
        <v>0</v>
      </c>
      <c r="L14" s="166">
        <f t="shared" si="5"/>
        <v>0</v>
      </c>
      <c r="M14" s="263"/>
      <c r="N14" s="167">
        <f t="shared" si="6"/>
        <v>0</v>
      </c>
      <c r="O14" s="168">
        <f t="shared" si="7"/>
        <v>0</v>
      </c>
      <c r="P14" s="159">
        <f>O$46*D14</f>
        <v>1.8840579710144925E-2</v>
      </c>
      <c r="Q14" s="169"/>
      <c r="R14"/>
      <c r="S14" s="271">
        <f t="shared" si="8"/>
        <v>-0.25</v>
      </c>
      <c r="T14" s="406"/>
      <c r="U14" s="122"/>
      <c r="V14" s="119"/>
      <c r="W14" s="119"/>
      <c r="X14"/>
      <c r="Y14"/>
      <c r="Z14"/>
      <c r="AA14" s="119"/>
      <c r="AB14" s="291" t="s">
        <v>133</v>
      </c>
      <c r="AC14" s="292" t="s">
        <v>21</v>
      </c>
      <c r="AD14" s="298" t="s">
        <v>3</v>
      </c>
      <c r="AE14" s="294">
        <v>0.5</v>
      </c>
      <c r="AF14" s="275"/>
      <c r="AG14" s="275"/>
      <c r="AH14" s="291">
        <f t="shared" si="0"/>
        <v>0</v>
      </c>
      <c r="AI14" s="311">
        <f t="shared" si="1"/>
        <v>0</v>
      </c>
      <c r="AJ14" s="311">
        <f t="shared" si="2"/>
        <v>0</v>
      </c>
      <c r="AK14" s="311">
        <f t="shared" si="3"/>
        <v>0</v>
      </c>
      <c r="AL14" s="119"/>
      <c r="AM14" s="119"/>
      <c r="AN14" s="119"/>
      <c r="AO14" s="119"/>
      <c r="AP14" s="119"/>
      <c r="AQ14" s="119"/>
      <c r="AR14" s="172">
        <v>500</v>
      </c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</row>
    <row r="15" spans="1:105" s="18" customFormat="1" ht="13.9" customHeight="1" thickTop="1" thickBot="1" x14ac:dyDescent="0.3">
      <c r="A15" s="550"/>
      <c r="B15" s="161"/>
      <c r="C15" s="170" t="s">
        <v>168</v>
      </c>
      <c r="D15" s="150">
        <f>1/B$3</f>
        <v>4.3478260869565216E-2</v>
      </c>
      <c r="E15" s="163" t="s">
        <v>173</v>
      </c>
      <c r="F15" s="152">
        <f t="shared" si="4"/>
        <v>3.3333333333333333E-2</v>
      </c>
      <c r="G15" s="171" t="s">
        <v>16</v>
      </c>
      <c r="H15" s="398">
        <f>User_Input!F25</f>
        <v>844</v>
      </c>
      <c r="I15" s="155">
        <f>User_Input!H25</f>
        <v>762</v>
      </c>
      <c r="J15" s="255" t="s">
        <v>21</v>
      </c>
      <c r="K15" s="173">
        <f t="shared" si="9"/>
        <v>1</v>
      </c>
      <c r="L15" s="166">
        <f t="shared" si="5"/>
        <v>0</v>
      </c>
      <c r="M15" s="263"/>
      <c r="N15" s="167">
        <f t="shared" si="6"/>
        <v>1</v>
      </c>
      <c r="O15" s="168">
        <f t="shared" si="7"/>
        <v>3.3333333333333333E-2</v>
      </c>
      <c r="P15" s="159">
        <f>O$46*D15</f>
        <v>1.8840579710144925E-2</v>
      </c>
      <c r="Q15" s="169"/>
      <c r="R15"/>
      <c r="S15" s="271">
        <f t="shared" si="8"/>
        <v>82</v>
      </c>
      <c r="T15" s="406"/>
      <c r="U15" s="122"/>
      <c r="V15" s="119"/>
      <c r="W15" s="119"/>
      <c r="Y15"/>
      <c r="Z15"/>
      <c r="AA15" s="119"/>
      <c r="AB15" s="291" t="s">
        <v>134</v>
      </c>
      <c r="AC15" s="292" t="s">
        <v>21</v>
      </c>
      <c r="AD15" s="298" t="s">
        <v>16</v>
      </c>
      <c r="AE15" s="294">
        <v>82</v>
      </c>
      <c r="AF15" s="275"/>
      <c r="AG15" s="275"/>
      <c r="AH15" s="291">
        <f t="shared" si="0"/>
        <v>1</v>
      </c>
      <c r="AI15" s="311">
        <f t="shared" si="1"/>
        <v>3.3333333333333333E-2</v>
      </c>
      <c r="AJ15" s="311">
        <f t="shared" si="2"/>
        <v>4.3478260869565216E-2</v>
      </c>
      <c r="AK15" s="311">
        <f t="shared" si="3"/>
        <v>3.3333333333333333E-2</v>
      </c>
      <c r="AL15" s="119"/>
      <c r="AM15" s="119"/>
      <c r="AN15" s="119"/>
      <c r="AO15" s="119"/>
      <c r="AP15" s="119"/>
      <c r="AQ15" s="119"/>
      <c r="AR15" s="249">
        <v>93.94</v>
      </c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</row>
    <row r="16" spans="1:105" s="42" customFormat="1" ht="13.9" customHeight="1" thickTop="1" thickBot="1" x14ac:dyDescent="0.3">
      <c r="A16" s="550"/>
      <c r="B16" s="161"/>
      <c r="C16" s="326" t="s">
        <v>169</v>
      </c>
      <c r="D16" s="150">
        <f>1/B$3</f>
        <v>4.3478260869565216E-2</v>
      </c>
      <c r="E16" s="175" t="s">
        <v>174</v>
      </c>
      <c r="F16" s="152">
        <f t="shared" si="4"/>
        <v>3.3333333333333333E-2</v>
      </c>
      <c r="G16" s="176" t="s">
        <v>4</v>
      </c>
      <c r="H16" s="398">
        <f>User_Input!F26</f>
        <v>93.94</v>
      </c>
      <c r="I16" s="155">
        <f>User_Input!H26</f>
        <v>96.015000000000001</v>
      </c>
      <c r="J16" s="165" t="s">
        <v>22</v>
      </c>
      <c r="K16" s="166"/>
      <c r="L16" s="166">
        <f t="shared" si="5"/>
        <v>0</v>
      </c>
      <c r="M16" s="262">
        <f>IF(H16&lt;I16,1,0)</f>
        <v>1</v>
      </c>
      <c r="N16" s="167">
        <f t="shared" si="6"/>
        <v>1</v>
      </c>
      <c r="O16" s="168">
        <f t="shared" si="7"/>
        <v>3.3333333333333333E-2</v>
      </c>
      <c r="P16" s="159">
        <f>O$46*D16</f>
        <v>1.8840579710144925E-2</v>
      </c>
      <c r="Q16" s="169"/>
      <c r="R16"/>
      <c r="S16" s="271">
        <f t="shared" si="8"/>
        <v>-2.0750000000000028</v>
      </c>
      <c r="T16" s="406"/>
      <c r="U16" s="123"/>
      <c r="V16" s="124"/>
      <c r="W16" s="124"/>
      <c r="X16"/>
      <c r="Y16"/>
      <c r="Z16"/>
      <c r="AA16" s="119"/>
      <c r="AB16" s="291" t="s">
        <v>135</v>
      </c>
      <c r="AC16" s="295" t="s">
        <v>22</v>
      </c>
      <c r="AD16" s="299" t="s">
        <v>4</v>
      </c>
      <c r="AE16" s="297">
        <v>-2.0750000000000028</v>
      </c>
      <c r="AF16" s="123"/>
      <c r="AG16" s="123"/>
      <c r="AH16" s="291">
        <f t="shared" si="0"/>
        <v>1</v>
      </c>
      <c r="AI16" s="311">
        <f t="shared" si="1"/>
        <v>1.6666666666666666E-2</v>
      </c>
      <c r="AJ16" s="311">
        <f t="shared" si="2"/>
        <v>2.1739130434782608E-2</v>
      </c>
      <c r="AK16" s="311">
        <f t="shared" si="3"/>
        <v>3.3333333333333333E-2</v>
      </c>
      <c r="AL16" s="124"/>
      <c r="AM16" s="124"/>
      <c r="AN16" s="124"/>
      <c r="AO16" s="124"/>
      <c r="AP16" s="124"/>
      <c r="AQ16" s="124"/>
      <c r="AR16" s="181">
        <v>6.06</v>
      </c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  <c r="CR16" s="124"/>
      <c r="CS16" s="124"/>
      <c r="CT16" s="124"/>
      <c r="CU16" s="124"/>
      <c r="CV16" s="124"/>
      <c r="CW16" s="124"/>
      <c r="CX16" s="124"/>
      <c r="CY16" s="124"/>
      <c r="CZ16" s="124"/>
      <c r="DA16" s="124"/>
    </row>
    <row r="17" spans="1:105" s="18" customFormat="1" ht="13.15" customHeight="1" thickTop="1" thickBot="1" x14ac:dyDescent="0.3">
      <c r="A17" s="551"/>
      <c r="B17" s="177"/>
      <c r="C17" s="327"/>
      <c r="D17" s="178"/>
      <c r="E17" s="179" t="s">
        <v>175</v>
      </c>
      <c r="F17" s="152">
        <f t="shared" si="4"/>
        <v>3.3333333333333333E-2</v>
      </c>
      <c r="G17" s="180" t="s">
        <v>4</v>
      </c>
      <c r="H17" s="398">
        <f>User_Input!F27</f>
        <v>6.06</v>
      </c>
      <c r="I17" s="155">
        <f>User_Input!H27</f>
        <v>3.9849999999999999</v>
      </c>
      <c r="J17" s="256" t="s">
        <v>21</v>
      </c>
      <c r="K17" s="183">
        <f t="shared" si="9"/>
        <v>1</v>
      </c>
      <c r="L17" s="182">
        <f t="shared" si="5"/>
        <v>0</v>
      </c>
      <c r="M17" s="264"/>
      <c r="N17" s="167">
        <f t="shared" si="6"/>
        <v>1</v>
      </c>
      <c r="O17" s="184">
        <f t="shared" si="7"/>
        <v>3.3333333333333333E-2</v>
      </c>
      <c r="P17" s="159"/>
      <c r="Q17" s="185"/>
      <c r="R17"/>
      <c r="S17" s="271">
        <f t="shared" si="8"/>
        <v>2.0749999999999997</v>
      </c>
      <c r="T17" s="406"/>
      <c r="U17" s="122"/>
      <c r="V17" s="119"/>
      <c r="W17" s="119"/>
      <c r="X17" s="4"/>
      <c r="Y17"/>
      <c r="Z17"/>
      <c r="AA17" s="119"/>
      <c r="AB17" s="291" t="s">
        <v>136</v>
      </c>
      <c r="AC17" s="292" t="s">
        <v>21</v>
      </c>
      <c r="AD17" s="300" t="s">
        <v>4</v>
      </c>
      <c r="AE17" s="294">
        <v>2.0749999999999997</v>
      </c>
      <c r="AF17" s="275"/>
      <c r="AG17" s="275"/>
      <c r="AH17" s="291">
        <f t="shared" si="0"/>
        <v>1</v>
      </c>
      <c r="AI17" s="311">
        <f t="shared" si="1"/>
        <v>1.6666666666666666E-2</v>
      </c>
      <c r="AJ17" s="311">
        <f t="shared" si="2"/>
        <v>2.1739130434782608E-2</v>
      </c>
      <c r="AK17" s="311">
        <f t="shared" si="3"/>
        <v>3.3333333333333333E-2</v>
      </c>
      <c r="AL17" s="119"/>
      <c r="AM17" s="119"/>
      <c r="AN17" s="119"/>
      <c r="AO17" s="119"/>
      <c r="AP17" s="119"/>
      <c r="AQ17" s="119"/>
      <c r="AR17" s="250">
        <v>10.36</v>
      </c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</row>
    <row r="18" spans="1:105" s="48" customFormat="1" ht="13.15" customHeight="1" thickBot="1" x14ac:dyDescent="0.3">
      <c r="A18" s="549" t="s">
        <v>181</v>
      </c>
      <c r="B18" s="148">
        <f>1/B$2</f>
        <v>0.16666666666666666</v>
      </c>
      <c r="C18" s="186" t="s">
        <v>177</v>
      </c>
      <c r="D18" s="150">
        <f>1/B$3</f>
        <v>4.3478260869565216E-2</v>
      </c>
      <c r="E18" s="187" t="s">
        <v>199</v>
      </c>
      <c r="F18" s="152">
        <f t="shared" si="4"/>
        <v>3.3333333333333333E-2</v>
      </c>
      <c r="G18" s="188" t="s">
        <v>4</v>
      </c>
      <c r="H18" s="398">
        <f>User_Input!F28</f>
        <v>12.36</v>
      </c>
      <c r="I18" s="155">
        <f>User_Input!H28</f>
        <v>14.709999999999999</v>
      </c>
      <c r="J18" s="189" t="s">
        <v>22</v>
      </c>
      <c r="K18" s="155"/>
      <c r="L18" s="155">
        <f t="shared" si="5"/>
        <v>0</v>
      </c>
      <c r="M18" s="265">
        <f t="shared" ref="M18:M40" si="10">IF(H18&lt;I18,1,0)</f>
        <v>1</v>
      </c>
      <c r="N18" s="157">
        <f t="shared" si="6"/>
        <v>1</v>
      </c>
      <c r="O18" s="190">
        <f t="shared" si="7"/>
        <v>3.3333333333333333E-2</v>
      </c>
      <c r="P18" s="159">
        <f>O$46*D18</f>
        <v>1.8840579710144925E-2</v>
      </c>
      <c r="Q18" s="160">
        <f>P$47*B18</f>
        <v>7.2222222222222174E-2</v>
      </c>
      <c r="R18"/>
      <c r="S18" s="271">
        <f t="shared" si="8"/>
        <v>-2.3499999999999996</v>
      </c>
      <c r="T18" s="406"/>
      <c r="U18" s="123"/>
      <c r="V18" s="124"/>
      <c r="W18" s="124"/>
      <c r="X18"/>
      <c r="Y18"/>
      <c r="Z18"/>
      <c r="AA18" s="119"/>
      <c r="AB18" s="291" t="s">
        <v>137</v>
      </c>
      <c r="AC18" s="295" t="s">
        <v>22</v>
      </c>
      <c r="AD18" s="301" t="s">
        <v>4</v>
      </c>
      <c r="AE18" s="297">
        <v>-2.3499999999999996</v>
      </c>
      <c r="AF18" s="123"/>
      <c r="AG18" s="123"/>
      <c r="AH18" s="291">
        <f t="shared" si="0"/>
        <v>1</v>
      </c>
      <c r="AI18" s="311">
        <f t="shared" si="1"/>
        <v>5.5555555555555552E-2</v>
      </c>
      <c r="AJ18" s="311">
        <f t="shared" si="2"/>
        <v>4.3478260869565216E-2</v>
      </c>
      <c r="AK18" s="311">
        <f t="shared" si="3"/>
        <v>3.3333333333333333E-2</v>
      </c>
      <c r="AL18" s="124"/>
      <c r="AM18" s="124"/>
      <c r="AN18" s="124"/>
      <c r="AO18" s="124"/>
      <c r="AP18" s="132"/>
      <c r="AQ18" s="132"/>
      <c r="AR18" s="193">
        <v>0</v>
      </c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4"/>
      <c r="CW18" s="124"/>
      <c r="CX18" s="124"/>
      <c r="CY18" s="124"/>
      <c r="CZ18" s="124"/>
      <c r="DA18" s="124"/>
    </row>
    <row r="19" spans="1:105" s="18" customFormat="1" ht="13.9" customHeight="1" thickTop="1" thickBot="1" x14ac:dyDescent="0.3">
      <c r="A19" s="550"/>
      <c r="B19" s="161"/>
      <c r="C19" s="191" t="s">
        <v>178</v>
      </c>
      <c r="D19" s="150">
        <f>1/B$3</f>
        <v>4.3478260869565216E-2</v>
      </c>
      <c r="E19" s="192" t="s">
        <v>200</v>
      </c>
      <c r="F19" s="152">
        <f t="shared" si="4"/>
        <v>3.3333333333333333E-2</v>
      </c>
      <c r="G19" s="171" t="s">
        <v>4</v>
      </c>
      <c r="H19" s="398">
        <f>User_Input!F29</f>
        <v>0</v>
      </c>
      <c r="I19" s="155">
        <f>User_Input!H29</f>
        <v>2.44</v>
      </c>
      <c r="J19" s="255" t="s">
        <v>21</v>
      </c>
      <c r="K19" s="173">
        <f t="shared" si="9"/>
        <v>0</v>
      </c>
      <c r="L19" s="166">
        <f t="shared" si="5"/>
        <v>0</v>
      </c>
      <c r="M19" s="263"/>
      <c r="N19" s="167">
        <f t="shared" si="6"/>
        <v>0</v>
      </c>
      <c r="O19" s="194">
        <f t="shared" si="7"/>
        <v>0</v>
      </c>
      <c r="P19" s="159">
        <f>O$46*D19</f>
        <v>1.8840579710144925E-2</v>
      </c>
      <c r="Q19" s="169"/>
      <c r="R19"/>
      <c r="S19" s="271">
        <f t="shared" si="8"/>
        <v>-2.44</v>
      </c>
      <c r="T19" s="406"/>
      <c r="U19" s="122"/>
      <c r="V19" s="119"/>
      <c r="W19" s="119"/>
      <c r="X19"/>
      <c r="Y19"/>
      <c r="Z19"/>
      <c r="AA19" s="119"/>
      <c r="AB19" s="291" t="s">
        <v>138</v>
      </c>
      <c r="AC19" s="292" t="s">
        <v>21</v>
      </c>
      <c r="AD19" s="298" t="s">
        <v>4</v>
      </c>
      <c r="AE19" s="294">
        <v>-2.44</v>
      </c>
      <c r="AF19" s="275"/>
      <c r="AG19" s="275"/>
      <c r="AH19" s="291">
        <f t="shared" si="0"/>
        <v>0</v>
      </c>
      <c r="AI19" s="311">
        <f t="shared" si="1"/>
        <v>0</v>
      </c>
      <c r="AJ19" s="311">
        <f t="shared" si="2"/>
        <v>0</v>
      </c>
      <c r="AK19" s="311">
        <f t="shared" si="3"/>
        <v>0</v>
      </c>
      <c r="AL19" s="119"/>
      <c r="AM19" s="119"/>
      <c r="AN19" s="119"/>
      <c r="AO19" s="119"/>
      <c r="AP19" s="133"/>
      <c r="AQ19" s="133"/>
      <c r="AR19" s="195">
        <v>3.92</v>
      </c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</row>
    <row r="20" spans="1:105" s="18" customFormat="1" ht="13.15" customHeight="1" thickBot="1" x14ac:dyDescent="0.3">
      <c r="A20" s="550"/>
      <c r="B20" s="161"/>
      <c r="C20" s="328" t="s">
        <v>179</v>
      </c>
      <c r="D20" s="150">
        <f>1/B$3</f>
        <v>4.3478260869565216E-2</v>
      </c>
      <c r="E20" s="192" t="s">
        <v>201</v>
      </c>
      <c r="F20" s="152">
        <f t="shared" si="4"/>
        <v>3.3333333333333333E-2</v>
      </c>
      <c r="G20" s="171" t="s">
        <v>12</v>
      </c>
      <c r="H20" s="398">
        <f>User_Input!F30</f>
        <v>3.92</v>
      </c>
      <c r="I20" s="155">
        <f>User_Input!H30</f>
        <v>1.96</v>
      </c>
      <c r="J20" s="255" t="s">
        <v>21</v>
      </c>
      <c r="K20" s="173">
        <f t="shared" si="9"/>
        <v>1</v>
      </c>
      <c r="L20" s="166">
        <f t="shared" si="5"/>
        <v>0</v>
      </c>
      <c r="M20" s="263"/>
      <c r="N20" s="167">
        <f t="shared" si="6"/>
        <v>1</v>
      </c>
      <c r="O20" s="194">
        <f t="shared" si="7"/>
        <v>3.3333333333333333E-2</v>
      </c>
      <c r="P20" s="159">
        <f>O$46*D20</f>
        <v>1.8840579710144925E-2</v>
      </c>
      <c r="Q20" s="169"/>
      <c r="R20"/>
      <c r="S20" s="271">
        <f t="shared" si="8"/>
        <v>1.96</v>
      </c>
      <c r="T20" s="406"/>
      <c r="U20" s="122"/>
      <c r="V20" s="119"/>
      <c r="W20" s="119"/>
      <c r="X20"/>
      <c r="Y20"/>
      <c r="Z20"/>
      <c r="AA20" s="119"/>
      <c r="AB20" s="291" t="s">
        <v>139</v>
      </c>
      <c r="AC20" s="292" t="s">
        <v>21</v>
      </c>
      <c r="AD20" s="298" t="s">
        <v>12</v>
      </c>
      <c r="AE20" s="294">
        <v>1.96</v>
      </c>
      <c r="AF20" s="275"/>
      <c r="AG20" s="275"/>
      <c r="AH20" s="291">
        <f t="shared" si="0"/>
        <v>1</v>
      </c>
      <c r="AI20" s="311">
        <f t="shared" si="1"/>
        <v>2.7777777777777776E-2</v>
      </c>
      <c r="AJ20" s="311">
        <f t="shared" si="2"/>
        <v>2.1739130434782608E-2</v>
      </c>
      <c r="AK20" s="311">
        <f t="shared" si="3"/>
        <v>3.3333333333333333E-2</v>
      </c>
      <c r="AL20" s="119"/>
      <c r="AM20" s="119"/>
      <c r="AN20" s="119"/>
      <c r="AO20" s="119"/>
      <c r="AP20" s="133"/>
      <c r="AQ20" s="133"/>
      <c r="AR20" s="198">
        <v>0.96</v>
      </c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</row>
    <row r="21" spans="1:105" s="18" customFormat="1" ht="12.6" customHeight="1" thickBot="1" x14ac:dyDescent="0.3">
      <c r="A21" s="551"/>
      <c r="B21" s="177"/>
      <c r="C21" s="329"/>
      <c r="D21" s="196"/>
      <c r="E21" s="197" t="s">
        <v>202</v>
      </c>
      <c r="F21" s="152">
        <f t="shared" si="4"/>
        <v>3.3333333333333333E-2</v>
      </c>
      <c r="G21" s="180" t="s">
        <v>12</v>
      </c>
      <c r="H21" s="398">
        <f>User_Input!F31</f>
        <v>0.96</v>
      </c>
      <c r="I21" s="155">
        <f>User_Input!H31</f>
        <v>1.35</v>
      </c>
      <c r="J21" s="256" t="s">
        <v>21</v>
      </c>
      <c r="K21" s="183">
        <f t="shared" si="9"/>
        <v>0</v>
      </c>
      <c r="L21" s="182">
        <f t="shared" si="5"/>
        <v>0</v>
      </c>
      <c r="M21" s="264"/>
      <c r="N21" s="167">
        <f t="shared" si="6"/>
        <v>0</v>
      </c>
      <c r="O21" s="199">
        <f t="shared" si="7"/>
        <v>0</v>
      </c>
      <c r="P21" s="159"/>
      <c r="Q21" s="185"/>
      <c r="R21"/>
      <c r="S21" s="271">
        <f t="shared" si="8"/>
        <v>-0.39000000000000012</v>
      </c>
      <c r="T21" s="406"/>
      <c r="U21" s="122"/>
      <c r="V21" s="119"/>
      <c r="W21" s="119"/>
      <c r="X21"/>
      <c r="Y21"/>
      <c r="Z21"/>
      <c r="AA21" s="119"/>
      <c r="AB21" s="291" t="s">
        <v>140</v>
      </c>
      <c r="AC21" s="292" t="s">
        <v>21</v>
      </c>
      <c r="AD21" s="300" t="s">
        <v>12</v>
      </c>
      <c r="AE21" s="294">
        <v>-0.39000000000000012</v>
      </c>
      <c r="AF21" s="275"/>
      <c r="AG21" s="275"/>
      <c r="AH21" s="291">
        <f t="shared" si="0"/>
        <v>0</v>
      </c>
      <c r="AI21" s="311">
        <f t="shared" si="1"/>
        <v>0</v>
      </c>
      <c r="AJ21" s="311">
        <f t="shared" si="2"/>
        <v>0</v>
      </c>
      <c r="AK21" s="311">
        <f t="shared" si="3"/>
        <v>0</v>
      </c>
      <c r="AL21" s="119"/>
      <c r="AM21" s="119"/>
      <c r="AN21" s="119"/>
      <c r="AO21" s="119"/>
      <c r="AP21" s="133"/>
      <c r="AQ21" s="133"/>
      <c r="AR21" s="206">
        <v>44</v>
      </c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</row>
    <row r="22" spans="1:105" s="38" customFormat="1" ht="13.15" customHeight="1" thickTop="1" thickBot="1" x14ac:dyDescent="0.3">
      <c r="A22" s="549" t="s">
        <v>182</v>
      </c>
      <c r="B22" s="148">
        <f>1/B$2</f>
        <v>0.16666666666666666</v>
      </c>
      <c r="C22" s="200" t="s">
        <v>186</v>
      </c>
      <c r="D22" s="150">
        <f>1/B$3</f>
        <v>4.3478260869565216E-2</v>
      </c>
      <c r="E22" s="201" t="s">
        <v>203</v>
      </c>
      <c r="F22" s="152">
        <f t="shared" si="4"/>
        <v>3.3333333333333333E-2</v>
      </c>
      <c r="G22" s="153" t="s">
        <v>4</v>
      </c>
      <c r="H22" s="398">
        <f>User_Input!F32</f>
        <v>44</v>
      </c>
      <c r="I22" s="155">
        <f>User_Input!H32</f>
        <v>27.5</v>
      </c>
      <c r="J22" s="257" t="s">
        <v>21</v>
      </c>
      <c r="K22" s="156">
        <f t="shared" si="9"/>
        <v>1</v>
      </c>
      <c r="L22" s="155">
        <f t="shared" si="5"/>
        <v>0</v>
      </c>
      <c r="M22" s="266"/>
      <c r="N22" s="157">
        <f t="shared" si="6"/>
        <v>1</v>
      </c>
      <c r="O22" s="190">
        <f t="shared" si="7"/>
        <v>3.3333333333333333E-2</v>
      </c>
      <c r="P22" s="159">
        <f>O$46*D22</f>
        <v>1.8840579710144925E-2</v>
      </c>
      <c r="Q22" s="160">
        <f>P$47*B22</f>
        <v>7.2222222222222174E-2</v>
      </c>
      <c r="R22"/>
      <c r="S22" s="271">
        <f t="shared" si="8"/>
        <v>16.5</v>
      </c>
      <c r="T22" s="406"/>
      <c r="U22" s="122"/>
      <c r="V22" s="119"/>
      <c r="W22" s="119"/>
      <c r="X22"/>
      <c r="Y22"/>
      <c r="Z22"/>
      <c r="AA22" s="119"/>
      <c r="AB22" s="291" t="s">
        <v>141</v>
      </c>
      <c r="AC22" s="292" t="s">
        <v>21</v>
      </c>
      <c r="AD22" s="293" t="s">
        <v>4</v>
      </c>
      <c r="AE22" s="294">
        <v>16.5</v>
      </c>
      <c r="AF22" s="275"/>
      <c r="AG22" s="275"/>
      <c r="AH22" s="291">
        <f t="shared" si="0"/>
        <v>1</v>
      </c>
      <c r="AI22" s="311">
        <f t="shared" si="1"/>
        <v>4.1666666666666664E-2</v>
      </c>
      <c r="AJ22" s="311">
        <f t="shared" si="2"/>
        <v>4.3478260869565216E-2</v>
      </c>
      <c r="AK22" s="311">
        <f t="shared" si="3"/>
        <v>3.3333333333333333E-2</v>
      </c>
      <c r="AL22" s="119"/>
      <c r="AM22" s="119"/>
      <c r="AN22" s="119"/>
      <c r="AO22" s="119"/>
      <c r="AP22" s="133"/>
      <c r="AQ22" s="133"/>
      <c r="AR22" s="165">
        <v>0.4</v>
      </c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</row>
    <row r="23" spans="1:105" s="42" customFormat="1" ht="12.6" customHeight="1" thickTop="1" thickBot="1" x14ac:dyDescent="0.3">
      <c r="A23" s="550"/>
      <c r="B23" s="161"/>
      <c r="C23" s="202" t="s">
        <v>187</v>
      </c>
      <c r="D23" s="150">
        <f>1/B$3</f>
        <v>4.3478260869565216E-2</v>
      </c>
      <c r="E23" s="192" t="s">
        <v>204</v>
      </c>
      <c r="F23" s="152">
        <f t="shared" si="4"/>
        <v>3.3333333333333333E-2</v>
      </c>
      <c r="G23" s="176" t="s">
        <v>12</v>
      </c>
      <c r="H23" s="398">
        <f>User_Input!F33</f>
        <v>0.4</v>
      </c>
      <c r="I23" s="155">
        <f>User_Input!H33</f>
        <v>0.55000000000000004</v>
      </c>
      <c r="J23" s="165" t="s">
        <v>22</v>
      </c>
      <c r="K23" s="166"/>
      <c r="L23" s="166">
        <f t="shared" si="5"/>
        <v>0</v>
      </c>
      <c r="M23" s="262">
        <f t="shared" si="10"/>
        <v>1</v>
      </c>
      <c r="N23" s="167">
        <f t="shared" si="6"/>
        <v>1</v>
      </c>
      <c r="O23" s="194">
        <f t="shared" si="7"/>
        <v>3.3333333333333333E-2</v>
      </c>
      <c r="P23" s="159">
        <f>O$46*D23</f>
        <v>1.8840579710144925E-2</v>
      </c>
      <c r="Q23" s="169"/>
      <c r="R23"/>
      <c r="S23" s="271">
        <f t="shared" si="8"/>
        <v>-0.15000000000000002</v>
      </c>
      <c r="T23" s="406"/>
      <c r="U23" s="123"/>
      <c r="V23" s="124"/>
      <c r="W23" s="124"/>
      <c r="X23" s="6" t="s">
        <v>231</v>
      </c>
      <c r="Y23"/>
      <c r="Z23"/>
      <c r="AA23" s="119"/>
      <c r="AB23" s="291" t="s">
        <v>142</v>
      </c>
      <c r="AC23" s="295" t="s">
        <v>22</v>
      </c>
      <c r="AD23" s="299" t="s">
        <v>12</v>
      </c>
      <c r="AE23" s="297">
        <v>-0.15000000000000002</v>
      </c>
      <c r="AF23" s="123"/>
      <c r="AG23" s="123"/>
      <c r="AH23" s="291">
        <f t="shared" si="0"/>
        <v>1</v>
      </c>
      <c r="AI23" s="311">
        <f t="shared" si="1"/>
        <v>4.1666666666666664E-2</v>
      </c>
      <c r="AJ23" s="311">
        <f t="shared" si="2"/>
        <v>4.3478260869565216E-2</v>
      </c>
      <c r="AK23" s="311">
        <f t="shared" si="3"/>
        <v>3.3333333333333333E-2</v>
      </c>
      <c r="AL23" s="124"/>
      <c r="AM23" s="124"/>
      <c r="AN23" s="124"/>
      <c r="AO23" s="124"/>
      <c r="AP23" s="132"/>
      <c r="AQ23" s="132"/>
      <c r="AR23" s="165">
        <v>1.6</v>
      </c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</row>
    <row r="24" spans="1:105" s="42" customFormat="1" ht="13.9" customHeight="1" thickTop="1" thickBot="1" x14ac:dyDescent="0.3">
      <c r="A24" s="550"/>
      <c r="B24" s="161"/>
      <c r="C24" s="202" t="s">
        <v>188</v>
      </c>
      <c r="D24" s="150">
        <f>1/B$3</f>
        <v>4.3478260869565216E-2</v>
      </c>
      <c r="E24" s="192" t="s">
        <v>205</v>
      </c>
      <c r="F24" s="152">
        <f t="shared" si="4"/>
        <v>3.3333333333333333E-2</v>
      </c>
      <c r="G24" s="176" t="s">
        <v>12</v>
      </c>
      <c r="H24" s="398">
        <f>User_Input!F34</f>
        <v>1.6</v>
      </c>
      <c r="I24" s="155">
        <f>User_Input!H34</f>
        <v>1.55</v>
      </c>
      <c r="J24" s="165" t="s">
        <v>22</v>
      </c>
      <c r="K24" s="166"/>
      <c r="L24" s="166">
        <f t="shared" si="5"/>
        <v>0</v>
      </c>
      <c r="M24" s="267">
        <f t="shared" si="10"/>
        <v>0</v>
      </c>
      <c r="N24" s="167">
        <f t="shared" si="6"/>
        <v>0</v>
      </c>
      <c r="O24" s="194">
        <f t="shared" si="7"/>
        <v>0</v>
      </c>
      <c r="P24" s="159">
        <f>O$46*D24</f>
        <v>1.8840579710144925E-2</v>
      </c>
      <c r="Q24" s="169"/>
      <c r="R24"/>
      <c r="S24" s="271">
        <f t="shared" si="8"/>
        <v>5.0000000000000044E-2</v>
      </c>
      <c r="T24" s="406"/>
      <c r="U24" s="123"/>
      <c r="V24" s="124"/>
      <c r="W24" s="124"/>
      <c r="X24"/>
      <c r="Y24"/>
      <c r="Z24"/>
      <c r="AA24" s="119"/>
      <c r="AB24" s="291" t="s">
        <v>143</v>
      </c>
      <c r="AC24" s="295" t="s">
        <v>22</v>
      </c>
      <c r="AD24" s="299" t="s">
        <v>12</v>
      </c>
      <c r="AE24" s="297">
        <v>5.0000000000000044E-2</v>
      </c>
      <c r="AF24" s="123"/>
      <c r="AG24" s="123"/>
      <c r="AH24" s="291">
        <f t="shared" si="0"/>
        <v>0</v>
      </c>
      <c r="AI24" s="311">
        <f t="shared" si="1"/>
        <v>0</v>
      </c>
      <c r="AJ24" s="311">
        <f t="shared" si="2"/>
        <v>0</v>
      </c>
      <c r="AK24" s="311">
        <f t="shared" si="3"/>
        <v>0</v>
      </c>
      <c r="AL24" s="124"/>
      <c r="AM24" s="124"/>
      <c r="AN24" s="124"/>
      <c r="AO24" s="124"/>
      <c r="AP24" s="132"/>
      <c r="AQ24" s="132"/>
      <c r="AR24" s="195">
        <f>-0.03*-0.03</f>
        <v>8.9999999999999998E-4</v>
      </c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</row>
    <row r="25" spans="1:105" s="18" customFormat="1" ht="13.9" customHeight="1" thickTop="1" thickBot="1" x14ac:dyDescent="0.3">
      <c r="A25" s="550"/>
      <c r="B25" s="161"/>
      <c r="C25" s="328" t="s">
        <v>223</v>
      </c>
      <c r="D25" s="150">
        <f>1/B$3</f>
        <v>4.3478260869565216E-2</v>
      </c>
      <c r="E25" s="203" t="s">
        <v>206</v>
      </c>
      <c r="F25" s="152">
        <f t="shared" si="4"/>
        <v>3.3333333333333333E-2</v>
      </c>
      <c r="G25" s="171" t="s">
        <v>5</v>
      </c>
      <c r="H25" s="398">
        <f>User_Input!F35</f>
        <v>8.9999999999999998E-4</v>
      </c>
      <c r="I25" s="155">
        <f>User_Input!H35</f>
        <v>5.4500000000000009E-3</v>
      </c>
      <c r="J25" s="255" t="s">
        <v>21</v>
      </c>
      <c r="K25" s="173">
        <f t="shared" si="9"/>
        <v>0</v>
      </c>
      <c r="L25" s="166">
        <f t="shared" si="5"/>
        <v>0</v>
      </c>
      <c r="M25" s="263"/>
      <c r="N25" s="167">
        <f t="shared" si="6"/>
        <v>0</v>
      </c>
      <c r="O25" s="194">
        <f t="shared" si="7"/>
        <v>0</v>
      </c>
      <c r="P25" s="159">
        <f>O$46*D25</f>
        <v>1.8840579710144925E-2</v>
      </c>
      <c r="Q25" s="169"/>
      <c r="R25"/>
      <c r="S25" s="271">
        <f t="shared" si="8"/>
        <v>-4.5500000000000011E-3</v>
      </c>
      <c r="T25" s="406"/>
      <c r="U25" s="122"/>
      <c r="V25" s="119"/>
      <c r="W25" s="119"/>
      <c r="X25"/>
      <c r="Y25"/>
      <c r="Z25"/>
      <c r="AA25" s="119"/>
      <c r="AB25" s="291" t="s">
        <v>144</v>
      </c>
      <c r="AC25" s="292" t="s">
        <v>21</v>
      </c>
      <c r="AD25" s="298" t="s">
        <v>5</v>
      </c>
      <c r="AE25" s="294">
        <v>-4.5500000000000011E-3</v>
      </c>
      <c r="AF25" s="275"/>
      <c r="AG25" s="275"/>
      <c r="AH25" s="291">
        <f t="shared" si="0"/>
        <v>0</v>
      </c>
      <c r="AI25" s="311">
        <f t="shared" si="1"/>
        <v>0</v>
      </c>
      <c r="AJ25" s="311">
        <f t="shared" si="2"/>
        <v>0</v>
      </c>
      <c r="AK25" s="311">
        <f t="shared" si="3"/>
        <v>0</v>
      </c>
      <c r="AL25" s="119"/>
      <c r="AM25" s="119"/>
      <c r="AN25" s="119"/>
      <c r="AO25" s="119"/>
      <c r="AP25" s="133"/>
      <c r="AQ25" s="133"/>
      <c r="AR25" s="198">
        <f>-0.008*-0.008</f>
        <v>6.3999999999999997E-5</v>
      </c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</row>
    <row r="26" spans="1:105" s="18" customFormat="1" ht="13.9" customHeight="1" thickBot="1" x14ac:dyDescent="0.3">
      <c r="A26" s="551"/>
      <c r="B26" s="177"/>
      <c r="C26" s="329"/>
      <c r="D26" s="196"/>
      <c r="E26" s="204" t="s">
        <v>207</v>
      </c>
      <c r="F26" s="152">
        <f t="shared" si="4"/>
        <v>3.3333333333333333E-2</v>
      </c>
      <c r="G26" s="180" t="s">
        <v>5</v>
      </c>
      <c r="H26" s="398">
        <f>User_Input!F36</f>
        <v>6.3999999999999997E-5</v>
      </c>
      <c r="I26" s="155">
        <f>User_Input!H36</f>
        <v>4.8200000000000001E-4</v>
      </c>
      <c r="J26" s="256" t="s">
        <v>21</v>
      </c>
      <c r="K26" s="183">
        <f t="shared" si="9"/>
        <v>0</v>
      </c>
      <c r="L26" s="182">
        <f t="shared" si="5"/>
        <v>0</v>
      </c>
      <c r="M26" s="264"/>
      <c r="N26" s="167">
        <f t="shared" si="6"/>
        <v>0</v>
      </c>
      <c r="O26" s="199">
        <f t="shared" si="7"/>
        <v>0</v>
      </c>
      <c r="P26" s="159"/>
      <c r="Q26" s="185"/>
      <c r="R26"/>
      <c r="S26" s="271">
        <f t="shared" si="8"/>
        <v>-4.1800000000000002E-4</v>
      </c>
      <c r="T26" s="406"/>
      <c r="U26" s="122"/>
      <c r="V26" s="119"/>
      <c r="W26" s="119"/>
      <c r="X26"/>
      <c r="Y26"/>
      <c r="Z26"/>
      <c r="AA26" s="119"/>
      <c r="AB26" s="291" t="s">
        <v>145</v>
      </c>
      <c r="AC26" s="292" t="s">
        <v>21</v>
      </c>
      <c r="AD26" s="300" t="s">
        <v>5</v>
      </c>
      <c r="AE26" s="294">
        <v>-4.1800000000000002E-4</v>
      </c>
      <c r="AF26" s="275"/>
      <c r="AG26" s="275"/>
      <c r="AH26" s="291">
        <f t="shared" si="0"/>
        <v>0</v>
      </c>
      <c r="AI26" s="311">
        <f t="shared" si="1"/>
        <v>0</v>
      </c>
      <c r="AJ26" s="311">
        <f t="shared" si="2"/>
        <v>0</v>
      </c>
      <c r="AK26" s="311">
        <f t="shared" si="3"/>
        <v>0</v>
      </c>
      <c r="AL26" s="119"/>
      <c r="AM26" s="119"/>
      <c r="AN26" s="119"/>
      <c r="AO26" s="119"/>
      <c r="AP26" s="133"/>
      <c r="AQ26" s="133"/>
      <c r="AR26" s="206">
        <v>60</v>
      </c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</row>
    <row r="27" spans="1:105" s="38" customFormat="1" ht="16.149999999999999" customHeight="1" thickBot="1" x14ac:dyDescent="0.3">
      <c r="A27" s="549" t="s">
        <v>183</v>
      </c>
      <c r="B27" s="148">
        <f>1/B$2</f>
        <v>0.16666666666666666</v>
      </c>
      <c r="C27" s="200" t="s">
        <v>189</v>
      </c>
      <c r="D27" s="150">
        <f>1/B$3</f>
        <v>4.3478260869565216E-2</v>
      </c>
      <c r="E27" s="205" t="s">
        <v>208</v>
      </c>
      <c r="F27" s="152">
        <f t="shared" si="4"/>
        <v>3.3333333333333333E-2</v>
      </c>
      <c r="G27" s="153" t="s">
        <v>7</v>
      </c>
      <c r="H27" s="398">
        <f>User_Input!F37</f>
        <v>46</v>
      </c>
      <c r="I27" s="155">
        <f>User_Input!H37</f>
        <v>54.5</v>
      </c>
      <c r="J27" s="257" t="s">
        <v>21</v>
      </c>
      <c r="K27" s="156">
        <f t="shared" si="9"/>
        <v>0</v>
      </c>
      <c r="L27" s="155">
        <f t="shared" si="5"/>
        <v>0</v>
      </c>
      <c r="M27" s="266"/>
      <c r="N27" s="157">
        <f t="shared" si="6"/>
        <v>0</v>
      </c>
      <c r="O27" s="190">
        <f t="shared" si="7"/>
        <v>0</v>
      </c>
      <c r="P27" s="159">
        <f t="shared" ref="P27:P34" si="11">O$46*D27</f>
        <v>1.8840579710144925E-2</v>
      </c>
      <c r="Q27" s="160">
        <f>P$47*B27</f>
        <v>7.2222222222222174E-2</v>
      </c>
      <c r="R27"/>
      <c r="S27" s="271">
        <f t="shared" si="8"/>
        <v>-8.5</v>
      </c>
      <c r="T27" s="406"/>
      <c r="U27" s="122"/>
      <c r="V27" s="119"/>
      <c r="W27" s="119"/>
      <c r="X27"/>
      <c r="Y27"/>
      <c r="Z27"/>
      <c r="AA27" s="119"/>
      <c r="AB27" s="291" t="s">
        <v>146</v>
      </c>
      <c r="AC27" s="292" t="s">
        <v>21</v>
      </c>
      <c r="AD27" s="293" t="s">
        <v>7</v>
      </c>
      <c r="AE27" s="294">
        <v>-8.5</v>
      </c>
      <c r="AF27" s="275"/>
      <c r="AG27" s="275"/>
      <c r="AH27" s="291">
        <f t="shared" si="0"/>
        <v>0</v>
      </c>
      <c r="AI27" s="311">
        <f t="shared" si="1"/>
        <v>0</v>
      </c>
      <c r="AJ27" s="311">
        <f t="shared" si="2"/>
        <v>0</v>
      </c>
      <c r="AK27" s="311">
        <f t="shared" si="3"/>
        <v>0</v>
      </c>
      <c r="AL27" s="119"/>
      <c r="AM27" s="119"/>
      <c r="AN27" s="119"/>
      <c r="AO27" s="119"/>
      <c r="AP27" s="133"/>
      <c r="AQ27" s="133"/>
      <c r="AR27" s="195">
        <v>4.72</v>
      </c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</row>
    <row r="28" spans="1:105" s="18" customFormat="1" ht="16.5" thickTop="1" thickBot="1" x14ac:dyDescent="0.3">
      <c r="A28" s="550"/>
      <c r="B28" s="161"/>
      <c r="C28" s="191" t="s">
        <v>190</v>
      </c>
      <c r="D28" s="150">
        <f t="shared" ref="D28:D34" si="12">1/B$3</f>
        <v>4.3478260869565216E-2</v>
      </c>
      <c r="E28" s="203" t="s">
        <v>209</v>
      </c>
      <c r="F28" s="152">
        <f t="shared" si="4"/>
        <v>3.3333333333333333E-2</v>
      </c>
      <c r="G28" s="171" t="s">
        <v>15</v>
      </c>
      <c r="H28" s="398">
        <f>User_Input!F38</f>
        <v>3.72</v>
      </c>
      <c r="I28" s="155">
        <f>User_Input!H38</f>
        <v>3.7300000000000004</v>
      </c>
      <c r="J28" s="255" t="s">
        <v>21</v>
      </c>
      <c r="K28" s="173">
        <f t="shared" si="9"/>
        <v>0</v>
      </c>
      <c r="L28" s="166">
        <f t="shared" si="5"/>
        <v>0</v>
      </c>
      <c r="M28" s="263"/>
      <c r="N28" s="167">
        <f t="shared" si="6"/>
        <v>0</v>
      </c>
      <c r="O28" s="194">
        <f t="shared" si="7"/>
        <v>0</v>
      </c>
      <c r="P28" s="159">
        <f t="shared" si="11"/>
        <v>1.8840579710144925E-2</v>
      </c>
      <c r="Q28" s="169"/>
      <c r="R28"/>
      <c r="S28" s="271">
        <f t="shared" si="8"/>
        <v>-1.0000000000000231E-2</v>
      </c>
      <c r="T28" s="406"/>
      <c r="U28" s="122"/>
      <c r="V28" s="119"/>
      <c r="W28" s="119"/>
      <c r="X28"/>
      <c r="Y28"/>
      <c r="Z28"/>
      <c r="AA28" s="119"/>
      <c r="AB28" s="291" t="s">
        <v>147</v>
      </c>
      <c r="AC28" s="292" t="s">
        <v>21</v>
      </c>
      <c r="AD28" s="298" t="s">
        <v>15</v>
      </c>
      <c r="AE28" s="294">
        <v>-1.0000000000000231E-2</v>
      </c>
      <c r="AF28" s="275"/>
      <c r="AG28" s="275"/>
      <c r="AH28" s="291">
        <f t="shared" si="0"/>
        <v>0</v>
      </c>
      <c r="AI28" s="311">
        <f t="shared" si="1"/>
        <v>0</v>
      </c>
      <c r="AJ28" s="311">
        <f t="shared" si="2"/>
        <v>0</v>
      </c>
      <c r="AK28" s="311">
        <f t="shared" si="3"/>
        <v>0</v>
      </c>
      <c r="AL28" s="119"/>
      <c r="AM28" s="119"/>
      <c r="AN28" s="119"/>
      <c r="AO28" s="119"/>
      <c r="AP28" s="133"/>
      <c r="AQ28" s="133"/>
      <c r="AR28" s="251">
        <v>37.700000000000003</v>
      </c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</row>
    <row r="29" spans="1:105" s="42" customFormat="1" ht="13.15" customHeight="1" thickTop="1" thickBot="1" x14ac:dyDescent="0.3">
      <c r="A29" s="550"/>
      <c r="B29" s="161"/>
      <c r="C29" s="202" t="s">
        <v>191</v>
      </c>
      <c r="D29" s="150">
        <f t="shared" si="12"/>
        <v>4.3478260869565216E-2</v>
      </c>
      <c r="E29" s="192" t="s">
        <v>210</v>
      </c>
      <c r="F29" s="152">
        <f t="shared" si="4"/>
        <v>3.3333333333333333E-2</v>
      </c>
      <c r="G29" s="207" t="s">
        <v>6</v>
      </c>
      <c r="H29" s="398">
        <f>User_Input!F39</f>
        <v>37.700000000000003</v>
      </c>
      <c r="I29" s="155">
        <f>User_Input!H39</f>
        <v>34.545000000000002</v>
      </c>
      <c r="J29" s="165" t="s">
        <v>22</v>
      </c>
      <c r="K29" s="166"/>
      <c r="L29" s="166">
        <f t="shared" si="5"/>
        <v>0</v>
      </c>
      <c r="M29" s="268">
        <f t="shared" si="10"/>
        <v>0</v>
      </c>
      <c r="N29" s="167">
        <f t="shared" si="6"/>
        <v>0</v>
      </c>
      <c r="O29" s="194">
        <f t="shared" si="7"/>
        <v>0</v>
      </c>
      <c r="P29" s="159">
        <f t="shared" si="11"/>
        <v>1.8840579710144925E-2</v>
      </c>
      <c r="Q29" s="169"/>
      <c r="R29"/>
      <c r="S29" s="271">
        <f t="shared" si="8"/>
        <v>3.1550000000000011</v>
      </c>
      <c r="T29" s="406"/>
      <c r="U29" s="123"/>
      <c r="V29" s="124"/>
      <c r="W29" s="124"/>
      <c r="X29"/>
      <c r="Y29"/>
      <c r="Z29"/>
      <c r="AA29" s="119"/>
      <c r="AB29" s="291" t="s">
        <v>148</v>
      </c>
      <c r="AC29" s="295" t="s">
        <v>22</v>
      </c>
      <c r="AD29" s="302" t="s">
        <v>6</v>
      </c>
      <c r="AE29" s="297">
        <v>3.1550000000000011</v>
      </c>
      <c r="AF29" s="123"/>
      <c r="AG29" s="123"/>
      <c r="AH29" s="291">
        <f t="shared" si="0"/>
        <v>0</v>
      </c>
      <c r="AI29" s="311">
        <f t="shared" si="1"/>
        <v>0</v>
      </c>
      <c r="AJ29" s="311">
        <f t="shared" si="2"/>
        <v>0</v>
      </c>
      <c r="AK29" s="311">
        <f t="shared" si="3"/>
        <v>0</v>
      </c>
      <c r="AL29" s="124"/>
      <c r="AM29" s="124"/>
      <c r="AN29" s="124"/>
      <c r="AO29" s="124"/>
      <c r="AP29" s="132"/>
      <c r="AQ29" s="132"/>
      <c r="AR29" s="195">
        <v>80</v>
      </c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124"/>
      <c r="CL29" s="124"/>
      <c r="CM29" s="124"/>
      <c r="CN29" s="124"/>
      <c r="CO29" s="124"/>
      <c r="CP29" s="124"/>
      <c r="CQ29" s="124"/>
      <c r="CR29" s="124"/>
      <c r="CS29" s="124"/>
      <c r="CT29" s="124"/>
      <c r="CU29" s="124"/>
      <c r="CV29" s="124"/>
      <c r="CW29" s="124"/>
      <c r="CX29" s="124"/>
      <c r="CY29" s="124"/>
      <c r="CZ29" s="124"/>
      <c r="DA29" s="124"/>
    </row>
    <row r="30" spans="1:105" s="18" customFormat="1" ht="16.5" thickTop="1" thickBot="1" x14ac:dyDescent="0.3">
      <c r="A30" s="550"/>
      <c r="B30" s="161"/>
      <c r="C30" s="191" t="s">
        <v>225</v>
      </c>
      <c r="D30" s="150">
        <f t="shared" si="12"/>
        <v>4.3478260869565216E-2</v>
      </c>
      <c r="E30" s="203" t="s">
        <v>211</v>
      </c>
      <c r="F30" s="152">
        <f t="shared" si="4"/>
        <v>3.3333333333333333E-2</v>
      </c>
      <c r="G30" s="171" t="s">
        <v>4</v>
      </c>
      <c r="H30" s="398">
        <f>User_Input!F40</f>
        <v>68</v>
      </c>
      <c r="I30" s="155">
        <f>User_Input!H40</f>
        <v>65.5</v>
      </c>
      <c r="J30" s="255" t="s">
        <v>21</v>
      </c>
      <c r="K30" s="173">
        <f t="shared" si="9"/>
        <v>1</v>
      </c>
      <c r="L30" s="166">
        <f t="shared" si="5"/>
        <v>0</v>
      </c>
      <c r="M30" s="263"/>
      <c r="N30" s="167">
        <f t="shared" si="6"/>
        <v>1</v>
      </c>
      <c r="O30" s="194">
        <f t="shared" si="7"/>
        <v>3.3333333333333333E-2</v>
      </c>
      <c r="P30" s="159">
        <f t="shared" si="11"/>
        <v>1.8840579710144925E-2</v>
      </c>
      <c r="Q30" s="169"/>
      <c r="R30"/>
      <c r="S30" s="271">
        <f t="shared" si="8"/>
        <v>2.5</v>
      </c>
      <c r="T30" s="406"/>
      <c r="U30" s="122"/>
      <c r="V30" s="119"/>
      <c r="W30" s="119"/>
      <c r="X30"/>
      <c r="Y30"/>
      <c r="Z30"/>
      <c r="AA30" s="119"/>
      <c r="AB30" s="291" t="s">
        <v>149</v>
      </c>
      <c r="AC30" s="292" t="s">
        <v>21</v>
      </c>
      <c r="AD30" s="298" t="s">
        <v>4</v>
      </c>
      <c r="AE30" s="294">
        <v>2.5</v>
      </c>
      <c r="AF30" s="275"/>
      <c r="AG30" s="275"/>
      <c r="AH30" s="291">
        <f t="shared" si="0"/>
        <v>1</v>
      </c>
      <c r="AI30" s="311">
        <f t="shared" si="1"/>
        <v>2.0833333333333332E-2</v>
      </c>
      <c r="AJ30" s="311">
        <f t="shared" si="2"/>
        <v>4.3478260869565216E-2</v>
      </c>
      <c r="AK30" s="311">
        <f t="shared" si="3"/>
        <v>3.3333333333333333E-2</v>
      </c>
      <c r="AL30" s="119"/>
      <c r="AM30" s="119"/>
      <c r="AN30" s="119"/>
      <c r="AO30" s="119"/>
      <c r="AP30" s="133"/>
      <c r="AQ30" s="133"/>
      <c r="AR30" s="252">
        <v>0.13</v>
      </c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</row>
    <row r="31" spans="1:105" s="18" customFormat="1" ht="15.75" thickBot="1" x14ac:dyDescent="0.3">
      <c r="A31" s="550"/>
      <c r="B31" s="161"/>
      <c r="C31" s="208" t="s">
        <v>192</v>
      </c>
      <c r="D31" s="150">
        <f t="shared" si="12"/>
        <v>4.3478260869565216E-2</v>
      </c>
      <c r="E31" s="203" t="s">
        <v>212</v>
      </c>
      <c r="F31" s="152">
        <f t="shared" si="4"/>
        <v>3.3333333333333333E-2</v>
      </c>
      <c r="G31" s="176" t="s">
        <v>17</v>
      </c>
      <c r="H31" s="398">
        <f>User_Input!F41</f>
        <v>0.13</v>
      </c>
      <c r="I31" s="155">
        <f>User_Input!H41</f>
        <v>0.21</v>
      </c>
      <c r="J31" s="255" t="s">
        <v>21</v>
      </c>
      <c r="K31" s="173">
        <f t="shared" si="9"/>
        <v>0</v>
      </c>
      <c r="L31" s="166">
        <f t="shared" si="5"/>
        <v>0</v>
      </c>
      <c r="M31" s="263"/>
      <c r="N31" s="167">
        <f t="shared" si="6"/>
        <v>0</v>
      </c>
      <c r="O31" s="194">
        <f t="shared" si="7"/>
        <v>0</v>
      </c>
      <c r="P31" s="159">
        <f t="shared" si="11"/>
        <v>1.8840579710144925E-2</v>
      </c>
      <c r="Q31" s="169"/>
      <c r="R31"/>
      <c r="S31" s="271">
        <f t="shared" si="8"/>
        <v>-7.9999999999999988E-2</v>
      </c>
      <c r="T31" s="406"/>
      <c r="U31" s="122"/>
      <c r="V31" s="119"/>
      <c r="W31" s="119"/>
      <c r="X31"/>
      <c r="Y31"/>
      <c r="Z31"/>
      <c r="AA31" s="119"/>
      <c r="AB31" s="291" t="s">
        <v>150</v>
      </c>
      <c r="AC31" s="292" t="s">
        <v>21</v>
      </c>
      <c r="AD31" s="299" t="s">
        <v>17</v>
      </c>
      <c r="AE31" s="294">
        <v>-7.9999999999999988E-2</v>
      </c>
      <c r="AF31" s="275"/>
      <c r="AG31" s="275"/>
      <c r="AH31" s="291">
        <f t="shared" si="0"/>
        <v>0</v>
      </c>
      <c r="AI31" s="311">
        <f t="shared" si="1"/>
        <v>0</v>
      </c>
      <c r="AJ31" s="311">
        <f t="shared" si="2"/>
        <v>0</v>
      </c>
      <c r="AK31" s="311">
        <f t="shared" si="3"/>
        <v>0</v>
      </c>
      <c r="AL31" s="119"/>
      <c r="AM31" s="119"/>
      <c r="AN31" s="119"/>
      <c r="AO31" s="119"/>
      <c r="AP31" s="133"/>
      <c r="AQ31" s="133"/>
      <c r="AR31" s="209">
        <v>400</v>
      </c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</row>
    <row r="32" spans="1:105" s="18" customFormat="1" ht="16.5" thickTop="1" thickBot="1" x14ac:dyDescent="0.3">
      <c r="A32" s="550"/>
      <c r="B32" s="161"/>
      <c r="C32" s="208" t="s">
        <v>193</v>
      </c>
      <c r="D32" s="150">
        <f t="shared" si="12"/>
        <v>4.3478260869565216E-2</v>
      </c>
      <c r="E32" s="203" t="s">
        <v>213</v>
      </c>
      <c r="F32" s="152">
        <f t="shared" si="4"/>
        <v>3.3333333333333333E-2</v>
      </c>
      <c r="G32" s="176" t="s">
        <v>8</v>
      </c>
      <c r="H32" s="398">
        <f>User_Input!F42</f>
        <v>168</v>
      </c>
      <c r="I32" s="155">
        <f>User_Input!H42</f>
        <v>202.5</v>
      </c>
      <c r="J32" s="258" t="s">
        <v>21</v>
      </c>
      <c r="K32" s="173">
        <f t="shared" si="9"/>
        <v>0</v>
      </c>
      <c r="L32" s="166">
        <f t="shared" si="5"/>
        <v>0</v>
      </c>
      <c r="M32" s="263"/>
      <c r="N32" s="167">
        <f t="shared" si="6"/>
        <v>0</v>
      </c>
      <c r="O32" s="194">
        <f t="shared" si="7"/>
        <v>0</v>
      </c>
      <c r="P32" s="159">
        <f t="shared" si="11"/>
        <v>1.8840579710144925E-2</v>
      </c>
      <c r="Q32" s="169"/>
      <c r="R32"/>
      <c r="S32" s="271">
        <f t="shared" si="8"/>
        <v>-34.5</v>
      </c>
      <c r="T32" s="406"/>
      <c r="U32" s="122"/>
      <c r="V32" s="119"/>
      <c r="W32" s="119"/>
      <c r="X32"/>
      <c r="Y32"/>
      <c r="Z32"/>
      <c r="AA32" s="119"/>
      <c r="AB32" s="291" t="s">
        <v>151</v>
      </c>
      <c r="AC32" s="292" t="s">
        <v>21</v>
      </c>
      <c r="AD32" s="299" t="s">
        <v>8</v>
      </c>
      <c r="AE32" s="294">
        <v>-34.5</v>
      </c>
      <c r="AF32" s="275"/>
      <c r="AG32" s="275"/>
      <c r="AH32" s="291">
        <f t="shared" si="0"/>
        <v>0</v>
      </c>
      <c r="AI32" s="311">
        <f t="shared" si="1"/>
        <v>0</v>
      </c>
      <c r="AJ32" s="311">
        <f t="shared" si="2"/>
        <v>0</v>
      </c>
      <c r="AK32" s="311">
        <f t="shared" si="3"/>
        <v>0</v>
      </c>
      <c r="AL32" s="119"/>
      <c r="AM32" s="119"/>
      <c r="AN32" s="119"/>
      <c r="AO32" s="119"/>
      <c r="AP32" s="133"/>
      <c r="AQ32" s="133"/>
      <c r="AR32" s="165">
        <v>90</v>
      </c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</row>
    <row r="33" spans="1:105" s="42" customFormat="1" ht="16.5" thickTop="1" thickBot="1" x14ac:dyDescent="0.3">
      <c r="A33" s="550"/>
      <c r="B33" s="161"/>
      <c r="C33" s="210" t="s">
        <v>194</v>
      </c>
      <c r="D33" s="150">
        <f t="shared" si="12"/>
        <v>4.3478260869565216E-2</v>
      </c>
      <c r="E33" s="203" t="s">
        <v>214</v>
      </c>
      <c r="F33" s="152">
        <f t="shared" si="4"/>
        <v>3.3333333333333333E-2</v>
      </c>
      <c r="G33" s="176" t="s">
        <v>4</v>
      </c>
      <c r="H33" s="398">
        <f>User_Input!F43</f>
        <v>90</v>
      </c>
      <c r="I33" s="155">
        <f>User_Input!H43</f>
        <v>74.5</v>
      </c>
      <c r="J33" s="164" t="s">
        <v>22</v>
      </c>
      <c r="K33" s="166"/>
      <c r="L33" s="166">
        <f t="shared" si="5"/>
        <v>0</v>
      </c>
      <c r="M33" s="269">
        <f t="shared" si="10"/>
        <v>0</v>
      </c>
      <c r="N33" s="167">
        <f t="shared" si="6"/>
        <v>0</v>
      </c>
      <c r="O33" s="194">
        <f t="shared" si="7"/>
        <v>0</v>
      </c>
      <c r="P33" s="159">
        <f t="shared" si="11"/>
        <v>1.8840579710144925E-2</v>
      </c>
      <c r="Q33" s="169"/>
      <c r="R33"/>
      <c r="S33" s="271">
        <f t="shared" si="8"/>
        <v>15.5</v>
      </c>
      <c r="T33" s="406"/>
      <c r="U33" s="123"/>
      <c r="V33" s="124"/>
      <c r="W33" s="124"/>
      <c r="X33" s="6" t="s">
        <v>233</v>
      </c>
      <c r="Y33"/>
      <c r="Z33"/>
      <c r="AA33" s="119"/>
      <c r="AB33" s="291" t="s">
        <v>152</v>
      </c>
      <c r="AC33" s="295" t="s">
        <v>22</v>
      </c>
      <c r="AD33" s="299" t="s">
        <v>4</v>
      </c>
      <c r="AE33" s="297">
        <v>15.5</v>
      </c>
      <c r="AF33" s="123"/>
      <c r="AG33" s="123"/>
      <c r="AH33" s="291">
        <f t="shared" si="0"/>
        <v>0</v>
      </c>
      <c r="AI33" s="311">
        <f t="shared" si="1"/>
        <v>0</v>
      </c>
      <c r="AJ33" s="311">
        <f t="shared" si="2"/>
        <v>0</v>
      </c>
      <c r="AK33" s="311">
        <f t="shared" si="3"/>
        <v>0</v>
      </c>
      <c r="AL33" s="124"/>
      <c r="AM33" s="124"/>
      <c r="AN33" s="124"/>
      <c r="AO33" s="124"/>
      <c r="AP33" s="132"/>
      <c r="AQ33" s="132"/>
      <c r="AR33" s="249">
        <v>39</v>
      </c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124"/>
      <c r="CL33" s="124"/>
      <c r="CM33" s="124"/>
      <c r="CN33" s="124"/>
      <c r="CO33" s="124"/>
      <c r="CP33" s="124"/>
      <c r="CQ33" s="124"/>
      <c r="CR33" s="124"/>
      <c r="CS33" s="124"/>
      <c r="CT33" s="124"/>
      <c r="CU33" s="124"/>
      <c r="CV33" s="124"/>
      <c r="CW33" s="124"/>
      <c r="CX33" s="124"/>
      <c r="CY33" s="124"/>
      <c r="CZ33" s="124"/>
      <c r="DA33" s="124"/>
    </row>
    <row r="34" spans="1:105" s="42" customFormat="1" ht="13.15" customHeight="1" thickTop="1" thickBot="1" x14ac:dyDescent="0.3">
      <c r="A34" s="550"/>
      <c r="B34" s="161"/>
      <c r="C34" s="330" t="s">
        <v>195</v>
      </c>
      <c r="D34" s="150">
        <f t="shared" si="12"/>
        <v>4.3478260869565216E-2</v>
      </c>
      <c r="E34" s="203" t="s">
        <v>215</v>
      </c>
      <c r="F34" s="152">
        <f t="shared" si="4"/>
        <v>3.3333333333333333E-2</v>
      </c>
      <c r="G34" s="176" t="s">
        <v>4</v>
      </c>
      <c r="H34" s="398">
        <f>User_Input!F44</f>
        <v>35</v>
      </c>
      <c r="I34" s="155">
        <f>User_Input!H44</f>
        <v>26</v>
      </c>
      <c r="J34" s="164" t="s">
        <v>22</v>
      </c>
      <c r="K34" s="166"/>
      <c r="L34" s="166">
        <f t="shared" si="5"/>
        <v>0</v>
      </c>
      <c r="M34" s="262">
        <f t="shared" si="10"/>
        <v>0</v>
      </c>
      <c r="N34" s="167">
        <f t="shared" si="6"/>
        <v>0</v>
      </c>
      <c r="O34" s="194">
        <f t="shared" si="7"/>
        <v>0</v>
      </c>
      <c r="P34" s="159">
        <f t="shared" si="11"/>
        <v>1.8840579710144925E-2</v>
      </c>
      <c r="Q34" s="169"/>
      <c r="R34"/>
      <c r="S34" s="271">
        <f t="shared" si="8"/>
        <v>9</v>
      </c>
      <c r="T34" s="406"/>
      <c r="U34" s="123"/>
      <c r="V34" s="124"/>
      <c r="W34" s="124"/>
      <c r="X34" s="18"/>
      <c r="Y34" s="18"/>
      <c r="Z34" s="18"/>
      <c r="AA34" s="119"/>
      <c r="AB34" s="291" t="s">
        <v>153</v>
      </c>
      <c r="AC34" s="295" t="s">
        <v>22</v>
      </c>
      <c r="AD34" s="299" t="s">
        <v>4</v>
      </c>
      <c r="AE34" s="297">
        <v>9</v>
      </c>
      <c r="AF34" s="123"/>
      <c r="AG34" s="123"/>
      <c r="AH34" s="291">
        <f t="shared" si="0"/>
        <v>0</v>
      </c>
      <c r="AI34" s="311">
        <f t="shared" si="1"/>
        <v>0</v>
      </c>
      <c r="AJ34" s="311">
        <f t="shared" si="2"/>
        <v>0</v>
      </c>
      <c r="AK34" s="311">
        <f t="shared" si="3"/>
        <v>0</v>
      </c>
      <c r="AL34" s="124"/>
      <c r="AM34" s="124"/>
      <c r="AN34" s="124"/>
      <c r="AO34" s="124"/>
      <c r="AP34" s="132"/>
      <c r="AQ34" s="132"/>
      <c r="AR34" s="253">
        <v>72</v>
      </c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124"/>
      <c r="CL34" s="124"/>
      <c r="CM34" s="124"/>
      <c r="CN34" s="124"/>
      <c r="CO34" s="124"/>
      <c r="CP34" s="124"/>
      <c r="CQ34" s="124"/>
      <c r="CR34" s="124"/>
      <c r="CS34" s="124"/>
      <c r="CT34" s="124"/>
      <c r="CU34" s="124"/>
      <c r="CV34" s="124"/>
      <c r="CW34" s="124"/>
      <c r="CX34" s="124"/>
      <c r="CY34" s="124"/>
      <c r="CZ34" s="124"/>
      <c r="DA34" s="124"/>
    </row>
    <row r="35" spans="1:105" s="51" customFormat="1" ht="15" customHeight="1" thickTop="1" thickBot="1" x14ac:dyDescent="0.3">
      <c r="A35" s="551"/>
      <c r="B35" s="177"/>
      <c r="C35" s="331"/>
      <c r="D35" s="150"/>
      <c r="E35" s="204" t="s">
        <v>216</v>
      </c>
      <c r="F35" s="152">
        <f t="shared" si="4"/>
        <v>3.3333333333333333E-2</v>
      </c>
      <c r="G35" s="211" t="s">
        <v>9</v>
      </c>
      <c r="H35" s="398">
        <f>User_Input!F45</f>
        <v>72</v>
      </c>
      <c r="I35" s="155">
        <f>User_Input!H45</f>
        <v>57</v>
      </c>
      <c r="J35" s="259" t="s">
        <v>22</v>
      </c>
      <c r="K35" s="182"/>
      <c r="L35" s="182">
        <f t="shared" si="5"/>
        <v>0</v>
      </c>
      <c r="M35" s="267">
        <f t="shared" si="10"/>
        <v>0</v>
      </c>
      <c r="N35" s="167">
        <f t="shared" si="6"/>
        <v>0</v>
      </c>
      <c r="O35" s="199">
        <f t="shared" si="7"/>
        <v>0</v>
      </c>
      <c r="P35" s="159"/>
      <c r="Q35" s="185"/>
      <c r="R35"/>
      <c r="S35" s="271">
        <f t="shared" si="8"/>
        <v>15</v>
      </c>
      <c r="T35" s="406"/>
      <c r="U35" s="123"/>
      <c r="V35" s="124"/>
      <c r="W35" s="124"/>
      <c r="X35" s="124"/>
      <c r="Y35" s="18"/>
      <c r="Z35" s="18"/>
      <c r="AA35"/>
      <c r="AB35" s="291" t="s">
        <v>154</v>
      </c>
      <c r="AC35" s="295" t="s">
        <v>22</v>
      </c>
      <c r="AD35" s="303" t="s">
        <v>9</v>
      </c>
      <c r="AE35" s="297">
        <v>15</v>
      </c>
      <c r="AF35" s="123"/>
      <c r="AG35" s="123"/>
      <c r="AH35" s="291">
        <f t="shared" si="0"/>
        <v>0</v>
      </c>
      <c r="AI35" s="311">
        <f t="shared" si="1"/>
        <v>0</v>
      </c>
      <c r="AJ35" s="311">
        <f t="shared" si="2"/>
        <v>0</v>
      </c>
      <c r="AK35" s="311">
        <f t="shared" si="3"/>
        <v>0</v>
      </c>
      <c r="AL35" s="124"/>
      <c r="AM35" s="124"/>
      <c r="AN35" s="124"/>
      <c r="AO35" s="124"/>
      <c r="AP35" s="132"/>
      <c r="AQ35" s="132"/>
      <c r="AR35" s="254">
        <v>2000</v>
      </c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4"/>
      <c r="CE35" s="124"/>
      <c r="CF35" s="124"/>
      <c r="CG35" s="124"/>
      <c r="CH35" s="124"/>
      <c r="CI35" s="124"/>
      <c r="CJ35" s="124"/>
      <c r="CK35" s="124"/>
      <c r="CL35" s="124"/>
      <c r="CM35" s="124"/>
      <c r="CN35" s="124"/>
      <c r="CO35" s="124"/>
      <c r="CP35" s="124"/>
      <c r="CQ35" s="124"/>
      <c r="CR35" s="124"/>
      <c r="CS35" s="124"/>
      <c r="CT35" s="124"/>
      <c r="CU35" s="124"/>
      <c r="CV35" s="124"/>
      <c r="CW35" s="124"/>
      <c r="CX35" s="124"/>
      <c r="CY35" s="124"/>
      <c r="CZ35" s="124"/>
      <c r="DA35" s="124"/>
    </row>
    <row r="36" spans="1:105" s="48" customFormat="1" ht="13.9" customHeight="1" thickTop="1" thickBot="1" x14ac:dyDescent="0.3">
      <c r="A36" s="549" t="s">
        <v>184</v>
      </c>
      <c r="B36" s="148">
        <f>1/B$2</f>
        <v>0.16666666666666666</v>
      </c>
      <c r="C36" s="332" t="s">
        <v>196</v>
      </c>
      <c r="D36" s="150">
        <f>1/B$3</f>
        <v>4.3478260869565216E-2</v>
      </c>
      <c r="E36" s="151" t="s">
        <v>217</v>
      </c>
      <c r="F36" s="152">
        <f t="shared" si="4"/>
        <v>3.3333333333333333E-2</v>
      </c>
      <c r="G36" s="212" t="s">
        <v>10</v>
      </c>
      <c r="H36" s="398">
        <f>User_Input!F46</f>
        <v>1498</v>
      </c>
      <c r="I36" s="155">
        <f>User_Input!H46</f>
        <v>1291</v>
      </c>
      <c r="J36" s="188" t="s">
        <v>22</v>
      </c>
      <c r="K36" s="155"/>
      <c r="L36" s="155">
        <f t="shared" si="5"/>
        <v>0</v>
      </c>
      <c r="M36" s="265">
        <f t="shared" si="10"/>
        <v>0</v>
      </c>
      <c r="N36" s="157">
        <f t="shared" si="6"/>
        <v>0</v>
      </c>
      <c r="O36" s="190">
        <f t="shared" si="7"/>
        <v>0</v>
      </c>
      <c r="P36" s="159">
        <f>O$46*D36</f>
        <v>1.8840579710144925E-2</v>
      </c>
      <c r="Q36" s="160">
        <f>P$47*B36</f>
        <v>7.2222222222222174E-2</v>
      </c>
      <c r="R36"/>
      <c r="S36" s="271">
        <f t="shared" si="8"/>
        <v>207</v>
      </c>
      <c r="T36" s="406"/>
      <c r="U36" s="123"/>
      <c r="V36" s="124"/>
      <c r="W36" s="124"/>
      <c r="X36"/>
      <c r="Y36"/>
      <c r="Z36"/>
      <c r="AA36"/>
      <c r="AB36" s="291" t="s">
        <v>155</v>
      </c>
      <c r="AC36" s="295" t="s">
        <v>22</v>
      </c>
      <c r="AD36" s="304" t="s">
        <v>10</v>
      </c>
      <c r="AE36" s="297">
        <v>207</v>
      </c>
      <c r="AF36" s="123"/>
      <c r="AG36" s="123"/>
      <c r="AH36" s="291">
        <f t="shared" si="0"/>
        <v>0</v>
      </c>
      <c r="AI36" s="311">
        <f t="shared" si="1"/>
        <v>0</v>
      </c>
      <c r="AJ36" s="311">
        <f t="shared" si="2"/>
        <v>0</v>
      </c>
      <c r="AK36" s="311">
        <f t="shared" si="3"/>
        <v>0</v>
      </c>
      <c r="AL36" s="124"/>
      <c r="AM36" s="124"/>
      <c r="AN36" s="124"/>
      <c r="AO36" s="124"/>
      <c r="AP36" s="132"/>
      <c r="AQ36" s="132"/>
      <c r="AR36" s="251">
        <v>1.62</v>
      </c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4"/>
      <c r="CW36" s="124"/>
      <c r="CX36" s="124"/>
      <c r="CY36" s="124"/>
      <c r="CZ36" s="124"/>
      <c r="DA36" s="124"/>
    </row>
    <row r="37" spans="1:105" s="42" customFormat="1" ht="12.6" customHeight="1" thickTop="1" thickBot="1" x14ac:dyDescent="0.3">
      <c r="A37" s="550"/>
      <c r="B37" s="161"/>
      <c r="C37" s="333"/>
      <c r="D37" s="150"/>
      <c r="E37" s="163" t="s">
        <v>218</v>
      </c>
      <c r="F37" s="152">
        <f t="shared" si="4"/>
        <v>3.3333333333333333E-2</v>
      </c>
      <c r="G37" s="176" t="s">
        <v>18</v>
      </c>
      <c r="H37" s="398">
        <f>User_Input!F47</f>
        <v>1.62</v>
      </c>
      <c r="I37" s="155">
        <f>User_Input!H47</f>
        <v>1.675</v>
      </c>
      <c r="J37" s="164" t="s">
        <v>22</v>
      </c>
      <c r="K37" s="166"/>
      <c r="L37" s="166">
        <f t="shared" si="5"/>
        <v>0</v>
      </c>
      <c r="M37" s="262">
        <f t="shared" si="10"/>
        <v>1</v>
      </c>
      <c r="N37" s="167">
        <f t="shared" si="6"/>
        <v>1</v>
      </c>
      <c r="O37" s="194">
        <f t="shared" si="7"/>
        <v>3.3333333333333333E-2</v>
      </c>
      <c r="P37" s="159"/>
      <c r="Q37" s="169"/>
      <c r="R37"/>
      <c r="S37" s="271">
        <f t="shared" si="8"/>
        <v>-5.4999999999999938E-2</v>
      </c>
      <c r="T37" s="406"/>
      <c r="U37" s="123"/>
      <c r="V37" s="124"/>
      <c r="W37" s="124"/>
      <c r="X37"/>
      <c r="Y37"/>
      <c r="Z37"/>
      <c r="AA37"/>
      <c r="AB37" s="291" t="s">
        <v>156</v>
      </c>
      <c r="AC37" s="295" t="s">
        <v>22</v>
      </c>
      <c r="AD37" s="299" t="s">
        <v>18</v>
      </c>
      <c r="AE37" s="297">
        <v>-5.4999999999999938E-2</v>
      </c>
      <c r="AF37" s="123"/>
      <c r="AG37" s="123"/>
      <c r="AH37" s="291">
        <f t="shared" si="0"/>
        <v>1</v>
      </c>
      <c r="AI37" s="311">
        <f t="shared" si="1"/>
        <v>1.0416666666666666E-2</v>
      </c>
      <c r="AJ37" s="311">
        <f t="shared" si="2"/>
        <v>1.0869565217391304E-2</v>
      </c>
      <c r="AK37" s="311">
        <f t="shared" si="3"/>
        <v>3.3333333333333333E-2</v>
      </c>
      <c r="AL37" s="124"/>
      <c r="AM37" s="124"/>
      <c r="AN37" s="124"/>
      <c r="AO37" s="124"/>
      <c r="AP37" s="132"/>
      <c r="AQ37" s="132"/>
      <c r="AR37" s="251">
        <v>4.5999999999999996</v>
      </c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  <c r="CR37" s="124"/>
      <c r="CS37" s="124"/>
      <c r="CT37" s="124"/>
      <c r="CU37" s="124"/>
      <c r="CV37" s="124"/>
      <c r="CW37" s="124"/>
      <c r="CX37" s="124"/>
      <c r="CY37" s="124"/>
      <c r="CZ37" s="124"/>
      <c r="DA37" s="124"/>
    </row>
    <row r="38" spans="1:105" s="42" customFormat="1" ht="12.6" customHeight="1" thickTop="1" thickBot="1" x14ac:dyDescent="0.3">
      <c r="A38" s="550"/>
      <c r="B38" s="161"/>
      <c r="C38" s="333"/>
      <c r="D38" s="150"/>
      <c r="E38" s="163" t="s">
        <v>219</v>
      </c>
      <c r="F38" s="152">
        <f t="shared" si="4"/>
        <v>3.3333333333333333E-2</v>
      </c>
      <c r="G38" s="176" t="s">
        <v>14</v>
      </c>
      <c r="H38" s="398">
        <f>User_Input!F48</f>
        <v>4.5999999999999996</v>
      </c>
      <c r="I38" s="155">
        <f>User_Input!H48</f>
        <v>5</v>
      </c>
      <c r="J38" s="164" t="s">
        <v>22</v>
      </c>
      <c r="K38" s="166"/>
      <c r="L38" s="166">
        <f t="shared" si="5"/>
        <v>0</v>
      </c>
      <c r="M38" s="262">
        <f t="shared" si="10"/>
        <v>1</v>
      </c>
      <c r="N38" s="167">
        <f t="shared" si="6"/>
        <v>1</v>
      </c>
      <c r="O38" s="194">
        <f t="shared" si="7"/>
        <v>3.3333333333333333E-2</v>
      </c>
      <c r="P38" s="159"/>
      <c r="Q38" s="169"/>
      <c r="R38"/>
      <c r="S38" s="271">
        <f t="shared" si="8"/>
        <v>-0.40000000000000036</v>
      </c>
      <c r="T38" s="406"/>
      <c r="U38" s="123"/>
      <c r="V38" s="124"/>
      <c r="W38" s="124"/>
      <c r="X38"/>
      <c r="Y38"/>
      <c r="Z38"/>
      <c r="AA38"/>
      <c r="AB38" s="291" t="s">
        <v>157</v>
      </c>
      <c r="AC38" s="295" t="s">
        <v>22</v>
      </c>
      <c r="AD38" s="299" t="s">
        <v>14</v>
      </c>
      <c r="AE38" s="297">
        <v>-0.40000000000000036</v>
      </c>
      <c r="AF38" s="123"/>
      <c r="AG38" s="123"/>
      <c r="AH38" s="291">
        <f t="shared" si="0"/>
        <v>1</v>
      </c>
      <c r="AI38" s="311">
        <f t="shared" si="1"/>
        <v>1.0416666666666666E-2</v>
      </c>
      <c r="AJ38" s="311">
        <f t="shared" si="2"/>
        <v>1.0869565217391304E-2</v>
      </c>
      <c r="AK38" s="311">
        <f t="shared" si="3"/>
        <v>3.3333333333333333E-2</v>
      </c>
      <c r="AL38" s="124"/>
      <c r="AM38" s="124"/>
      <c r="AN38" s="124"/>
      <c r="AO38" s="124"/>
      <c r="AP38" s="132"/>
      <c r="AQ38" s="132"/>
      <c r="AR38" s="251">
        <v>1.2</v>
      </c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  <c r="CR38" s="124"/>
      <c r="CS38" s="124"/>
      <c r="CT38" s="124"/>
      <c r="CU38" s="124"/>
      <c r="CV38" s="124"/>
      <c r="CW38" s="124"/>
      <c r="CX38" s="124"/>
      <c r="CY38" s="124"/>
      <c r="CZ38" s="124"/>
      <c r="DA38" s="124"/>
    </row>
    <row r="39" spans="1:105" s="42" customFormat="1" ht="12.6" customHeight="1" thickTop="1" thickBot="1" x14ac:dyDescent="0.3">
      <c r="A39" s="550"/>
      <c r="B39" s="161"/>
      <c r="C39" s="334"/>
      <c r="D39" s="150"/>
      <c r="E39" s="163" t="s">
        <v>220</v>
      </c>
      <c r="F39" s="152">
        <f t="shared" si="4"/>
        <v>3.3333333333333333E-2</v>
      </c>
      <c r="G39" s="176" t="s">
        <v>14</v>
      </c>
      <c r="H39" s="398">
        <f>User_Input!F49</f>
        <v>1.2</v>
      </c>
      <c r="I39" s="155">
        <f>User_Input!H49</f>
        <v>1.125</v>
      </c>
      <c r="J39" s="259" t="s">
        <v>22</v>
      </c>
      <c r="K39" s="182"/>
      <c r="L39" s="166">
        <f t="shared" si="5"/>
        <v>0</v>
      </c>
      <c r="M39" s="262">
        <f t="shared" si="10"/>
        <v>0</v>
      </c>
      <c r="N39" s="167">
        <f t="shared" si="6"/>
        <v>0</v>
      </c>
      <c r="O39" s="199">
        <f t="shared" si="7"/>
        <v>0</v>
      </c>
      <c r="P39" s="159"/>
      <c r="Q39" s="169"/>
      <c r="R39"/>
      <c r="S39" s="271">
        <f t="shared" si="8"/>
        <v>7.4999999999999956E-2</v>
      </c>
      <c r="T39" s="406"/>
      <c r="U39" s="123"/>
      <c r="V39" s="124"/>
      <c r="W39" s="124"/>
      <c r="X39"/>
      <c r="Y39"/>
      <c r="Z39"/>
      <c r="AA39"/>
      <c r="AB39" s="291" t="s">
        <v>158</v>
      </c>
      <c r="AC39" s="295" t="s">
        <v>22</v>
      </c>
      <c r="AD39" s="299" t="s">
        <v>14</v>
      </c>
      <c r="AE39" s="297">
        <v>7.4999999999999956E-2</v>
      </c>
      <c r="AF39" s="123"/>
      <c r="AG39" s="123"/>
      <c r="AH39" s="291">
        <f t="shared" si="0"/>
        <v>0</v>
      </c>
      <c r="AI39" s="311">
        <f t="shared" si="1"/>
        <v>0</v>
      </c>
      <c r="AJ39" s="311">
        <f t="shared" si="2"/>
        <v>0</v>
      </c>
      <c r="AK39" s="311">
        <f t="shared" si="3"/>
        <v>0</v>
      </c>
      <c r="AL39" s="124"/>
      <c r="AM39" s="124"/>
      <c r="AN39" s="124"/>
      <c r="AO39" s="124"/>
      <c r="AP39" s="132"/>
      <c r="AQ39" s="132"/>
      <c r="AR39" s="253">
        <v>0.7</v>
      </c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  <c r="CR39" s="124"/>
      <c r="CS39" s="124"/>
      <c r="CT39" s="124"/>
      <c r="CU39" s="124"/>
      <c r="CV39" s="124"/>
      <c r="CW39" s="124"/>
      <c r="CX39" s="124"/>
      <c r="CY39" s="124"/>
      <c r="CZ39" s="124"/>
      <c r="DA39" s="124"/>
    </row>
    <row r="40" spans="1:105" s="51" customFormat="1" ht="13.15" customHeight="1" thickTop="1" thickBot="1" x14ac:dyDescent="0.3">
      <c r="A40" s="551"/>
      <c r="B40" s="177"/>
      <c r="C40" s="213" t="s">
        <v>197</v>
      </c>
      <c r="D40" s="150">
        <f>1/B$3</f>
        <v>4.3478260869565216E-2</v>
      </c>
      <c r="E40" s="204" t="s">
        <v>221</v>
      </c>
      <c r="F40" s="152">
        <f t="shared" si="4"/>
        <v>3.3333333333333333E-2</v>
      </c>
      <c r="G40" s="211" t="s">
        <v>11</v>
      </c>
      <c r="H40" s="398">
        <f>User_Input!F50</f>
        <v>0.7</v>
      </c>
      <c r="I40" s="155">
        <f>User_Input!H50</f>
        <v>0.48499999999999999</v>
      </c>
      <c r="J40" s="260" t="s">
        <v>22</v>
      </c>
      <c r="K40" s="182"/>
      <c r="L40" s="182">
        <f t="shared" si="5"/>
        <v>0</v>
      </c>
      <c r="M40" s="267">
        <f t="shared" si="10"/>
        <v>0</v>
      </c>
      <c r="N40" s="214">
        <f t="shared" si="6"/>
        <v>0</v>
      </c>
      <c r="O40" s="199">
        <f t="shared" si="7"/>
        <v>0</v>
      </c>
      <c r="P40" s="159">
        <f>O$46*D40</f>
        <v>1.8840579710144925E-2</v>
      </c>
      <c r="Q40" s="185"/>
      <c r="R40"/>
      <c r="S40" s="271">
        <f t="shared" si="8"/>
        <v>0.21499999999999997</v>
      </c>
      <c r="T40" s="406"/>
      <c r="U40" s="123"/>
      <c r="V40" s="124"/>
      <c r="W40" s="124"/>
      <c r="X40"/>
      <c r="Y40"/>
      <c r="Z40"/>
      <c r="AA40"/>
      <c r="AB40" s="291" t="s">
        <v>159</v>
      </c>
      <c r="AC40" s="295" t="s">
        <v>22</v>
      </c>
      <c r="AD40" s="303" t="s">
        <v>11</v>
      </c>
      <c r="AE40" s="297">
        <v>0.21499999999999997</v>
      </c>
      <c r="AF40" s="123"/>
      <c r="AG40" s="123"/>
      <c r="AH40" s="291">
        <f t="shared" si="0"/>
        <v>0</v>
      </c>
      <c r="AI40" s="311">
        <f t="shared" si="1"/>
        <v>0</v>
      </c>
      <c r="AJ40" s="311">
        <f t="shared" si="2"/>
        <v>0</v>
      </c>
      <c r="AK40" s="311">
        <f t="shared" si="3"/>
        <v>0</v>
      </c>
      <c r="AL40" s="124"/>
      <c r="AM40" s="124"/>
      <c r="AN40" s="124"/>
      <c r="AO40" s="124"/>
      <c r="AP40" s="132"/>
      <c r="AQ40" s="132"/>
      <c r="AR40" s="219">
        <v>310.5</v>
      </c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</row>
    <row r="41" spans="1:105" s="59" customFormat="1" ht="30.75" thickBot="1" x14ac:dyDescent="0.3">
      <c r="A41" s="215" t="s">
        <v>185</v>
      </c>
      <c r="B41" s="216">
        <f>1/B$2</f>
        <v>0.16666666666666666</v>
      </c>
      <c r="C41" s="217" t="s">
        <v>198</v>
      </c>
      <c r="D41" s="150">
        <f>1/B$3</f>
        <v>4.3478260869565216E-2</v>
      </c>
      <c r="E41" s="217" t="s">
        <v>222</v>
      </c>
      <c r="F41" s="152">
        <f t="shared" si="4"/>
        <v>3.3333333333333333E-2</v>
      </c>
      <c r="G41" s="218" t="s">
        <v>10</v>
      </c>
      <c r="H41" s="398">
        <f>User_Input!F51</f>
        <v>210.5</v>
      </c>
      <c r="I41" s="155">
        <f>User_Input!H51</f>
        <v>184.35</v>
      </c>
      <c r="J41" s="261" t="s">
        <v>21</v>
      </c>
      <c r="K41" s="220">
        <f t="shared" si="9"/>
        <v>1</v>
      </c>
      <c r="L41" s="221">
        <f t="shared" si="5"/>
        <v>0</v>
      </c>
      <c r="M41" s="219"/>
      <c r="N41" s="222">
        <f t="shared" si="6"/>
        <v>1</v>
      </c>
      <c r="O41" s="223">
        <f t="shared" si="7"/>
        <v>3.3333333333333333E-2</v>
      </c>
      <c r="P41" s="224">
        <f>O$46*D41</f>
        <v>1.8840579710144925E-2</v>
      </c>
      <c r="Q41" s="224">
        <f>P$47*B41</f>
        <v>7.2222222222222174E-2</v>
      </c>
      <c r="R41"/>
      <c r="S41" s="271">
        <f t="shared" si="8"/>
        <v>26.150000000000006</v>
      </c>
      <c r="T41" s="406"/>
      <c r="U41" s="125"/>
      <c r="V41" s="119"/>
      <c r="W41" s="119"/>
      <c r="X41"/>
      <c r="Y41"/>
      <c r="Z41"/>
      <c r="AA41"/>
      <c r="AB41" s="291" t="s">
        <v>160</v>
      </c>
      <c r="AC41" s="305" t="s">
        <v>21</v>
      </c>
      <c r="AD41" s="306" t="s">
        <v>10</v>
      </c>
      <c r="AE41" s="307">
        <v>26.150000000000006</v>
      </c>
      <c r="AF41" s="276"/>
      <c r="AG41" s="276"/>
      <c r="AH41" s="291">
        <f t="shared" si="0"/>
        <v>1</v>
      </c>
      <c r="AI41" s="311">
        <f t="shared" si="1"/>
        <v>0.16666666666666666</v>
      </c>
      <c r="AJ41" s="311">
        <f t="shared" si="2"/>
        <v>4.3478260869565216E-2</v>
      </c>
      <c r="AK41" s="311">
        <f t="shared" si="3"/>
        <v>3.3333333333333333E-2</v>
      </c>
      <c r="AL41" s="119"/>
      <c r="AM41" s="119"/>
      <c r="AN41" s="119"/>
      <c r="AO41" s="119"/>
      <c r="AP41" s="133"/>
      <c r="AQ41" s="133"/>
      <c r="AR41" s="133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</row>
    <row r="42" spans="1:105" s="18" customFormat="1" ht="15.75" thickBot="1" x14ac:dyDescent="0.25">
      <c r="A42" s="225"/>
      <c r="B42" s="225"/>
      <c r="C42" s="225"/>
      <c r="D42" s="225"/>
      <c r="E42" s="226"/>
      <c r="F42" s="226"/>
      <c r="G42" s="227"/>
      <c r="H42" s="226"/>
      <c r="I42" s="227"/>
      <c r="J42" s="227"/>
      <c r="K42" s="227"/>
      <c r="L42" s="227"/>
      <c r="M42" s="227"/>
      <c r="N42" s="228"/>
      <c r="O42" s="228"/>
      <c r="P42" s="228"/>
      <c r="Q42" s="228"/>
      <c r="R42"/>
      <c r="S42"/>
      <c r="T42"/>
      <c r="U42" s="125"/>
      <c r="V42" s="119"/>
      <c r="W42" s="119"/>
      <c r="X42"/>
      <c r="Y42"/>
      <c r="Z42"/>
      <c r="AA42"/>
      <c r="AB42"/>
      <c r="AC42" s="119"/>
      <c r="AD42" s="119"/>
      <c r="AE42" s="119"/>
      <c r="AF42" s="119"/>
      <c r="AG42" s="119"/>
      <c r="AH42" s="312" t="s">
        <v>129</v>
      </c>
      <c r="AI42" s="346">
        <f>SUM(AI13,AI16,AI18,AI23:AI24,AI29,AI33:AI40)</f>
        <v>0.16805555555555554</v>
      </c>
      <c r="AJ42" s="346">
        <f>SUM(AJ13,AJ16,AJ18,AJ23:AJ24,AJ29,AJ33:AJ40)</f>
        <v>0.17391304347826086</v>
      </c>
      <c r="AK42" s="347">
        <f>SUM(AK13,AK16,AK18,AK23:AK24,AK29,AK33:AK40)</f>
        <v>0.19999999999999998</v>
      </c>
      <c r="AL42" s="119"/>
      <c r="AM42" s="119"/>
      <c r="AN42" s="119"/>
      <c r="AO42" s="119"/>
      <c r="AP42" s="133"/>
      <c r="AQ42" s="133"/>
      <c r="AR42" s="133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</row>
    <row r="43" spans="1:105" s="18" customFormat="1" ht="13.9" customHeight="1" x14ac:dyDescent="0.2">
      <c r="A43" s="229"/>
      <c r="B43" s="230">
        <f>SUM(B12:B41)</f>
        <v>0.99999999999999989</v>
      </c>
      <c r="C43" s="229"/>
      <c r="D43" s="231">
        <f>SUM(D12:D41)</f>
        <v>0.99999999999999956</v>
      </c>
      <c r="E43" s="228"/>
      <c r="F43" s="232">
        <f>SUM(F12:F42)</f>
        <v>0.99999999999999989</v>
      </c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/>
      <c r="S43"/>
      <c r="T43"/>
      <c r="U43" s="119"/>
      <c r="V43" s="119"/>
      <c r="W43" s="119"/>
      <c r="X43"/>
      <c r="Y43"/>
      <c r="Z43"/>
      <c r="AA43"/>
      <c r="AB43"/>
      <c r="AC43" s="119"/>
      <c r="AD43" s="119"/>
      <c r="AE43" s="119"/>
      <c r="AF43" s="119"/>
      <c r="AG43" s="119"/>
      <c r="AH43" s="313" t="s">
        <v>130</v>
      </c>
      <c r="AI43" s="348">
        <f>SUM(AI12,AI14:AI15,AI17,AI19:AI22,AI25:AI28,AI30:AI32,AI41)</f>
        <v>0.34027777777777779</v>
      </c>
      <c r="AJ43" s="348">
        <f>SUM(AJ12,AJ14:AJ15,AJ17,AJ19:AJ22,AJ25:AJ28,AJ30:AJ32,AJ41)</f>
        <v>0.2608695652173913</v>
      </c>
      <c r="AK43" s="349">
        <f>SUM(AK12,AK14:AK15,AK17,AK19:AK22,AK25:AK28,AK30:AK32,AK41)</f>
        <v>0.23333333333333331</v>
      </c>
      <c r="AL43" s="119"/>
      <c r="AM43" s="119"/>
      <c r="AN43" s="119"/>
      <c r="AO43" s="119"/>
      <c r="AP43" s="133"/>
      <c r="AQ43" s="133"/>
      <c r="AR43" s="133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</row>
    <row r="44" spans="1:105" s="18" customFormat="1" x14ac:dyDescent="0.2">
      <c r="A44" s="228"/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/>
      <c r="S44"/>
      <c r="T44"/>
      <c r="U44" s="119"/>
      <c r="V44" s="119"/>
      <c r="W44" s="119"/>
      <c r="X44"/>
      <c r="Y44"/>
      <c r="Z44"/>
      <c r="AA44"/>
      <c r="AB44"/>
      <c r="AC44"/>
      <c r="AD44"/>
      <c r="AE44"/>
      <c r="AF44"/>
      <c r="AG44"/>
      <c r="AL44" s="119"/>
      <c r="AM44" s="119"/>
      <c r="AN44" s="119"/>
      <c r="AO44" s="119"/>
      <c r="AP44" s="133"/>
      <c r="AQ44" s="133"/>
      <c r="AR44" s="133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</row>
    <row r="45" spans="1:105" ht="14.25" x14ac:dyDescent="0.2">
      <c r="A45" s="138"/>
      <c r="B45" s="138"/>
      <c r="C45" s="233"/>
      <c r="D45" s="233"/>
      <c r="E45" s="233"/>
      <c r="F45" s="233"/>
      <c r="G45" s="234"/>
      <c r="H45" s="233"/>
      <c r="I45" s="234"/>
      <c r="J45" s="234"/>
      <c r="K45" s="234"/>
      <c r="L45" s="234"/>
      <c r="M45" s="234"/>
      <c r="N45" s="234"/>
      <c r="O45" s="234"/>
      <c r="P45" s="235"/>
      <c r="Q45" s="138"/>
      <c r="U45" s="121"/>
      <c r="X45" s="4" t="s">
        <v>164</v>
      </c>
      <c r="AH45" s="291" t="s">
        <v>242</v>
      </c>
      <c r="AI45" s="311">
        <f>AI43-AI42</f>
        <v>0.17222222222222225</v>
      </c>
      <c r="AJ45" s="311">
        <f t="shared" ref="AJ45:AK45" si="13">AJ43-AJ42</f>
        <v>8.6956521739130432E-2</v>
      </c>
      <c r="AK45" s="311">
        <f t="shared" si="13"/>
        <v>3.3333333333333326E-2</v>
      </c>
      <c r="AP45" s="133"/>
      <c r="AQ45" s="133"/>
      <c r="AR45" s="133"/>
    </row>
    <row r="46" spans="1:105" ht="1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237" t="s">
        <v>106</v>
      </c>
      <c r="O46" s="237">
        <f>SUM(O12:O41)</f>
        <v>0.43333333333333329</v>
      </c>
      <c r="P46" s="228"/>
      <c r="Q46" s="227"/>
      <c r="AH46" s="18"/>
      <c r="AP46" s="133"/>
      <c r="AQ46" s="133"/>
      <c r="AR46" s="133"/>
    </row>
    <row r="47" spans="1:105" ht="15" x14ac:dyDescent="0.2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228"/>
      <c r="O47" s="236" t="s">
        <v>126</v>
      </c>
      <c r="P47" s="238">
        <f>SUM(P12:P41)</f>
        <v>0.43333333333333307</v>
      </c>
      <c r="Q47" s="228"/>
      <c r="AH47" s="18"/>
      <c r="AP47" s="133"/>
      <c r="AQ47" s="133"/>
      <c r="AR47" s="133"/>
    </row>
    <row r="48" spans="1:105" ht="15" x14ac:dyDescent="0.25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228"/>
      <c r="O48" s="228"/>
      <c r="P48" s="239" t="s">
        <v>108</v>
      </c>
      <c r="Q48" s="240">
        <f>SUM(Q12:Q41)</f>
        <v>0.43333333333333307</v>
      </c>
      <c r="X48"/>
      <c r="Y48"/>
      <c r="Z48"/>
      <c r="AA48"/>
      <c r="AB48"/>
      <c r="AC48"/>
      <c r="AD48"/>
      <c r="AE48"/>
      <c r="AF48"/>
      <c r="AG48"/>
      <c r="AH48"/>
    </row>
    <row r="49" spans="1:37" ht="15" x14ac:dyDescent="0.25">
      <c r="A49" s="4"/>
      <c r="N49" s="18"/>
      <c r="O49" s="18"/>
      <c r="P49" s="127"/>
      <c r="Q49" s="128"/>
      <c r="X49"/>
      <c r="Y49"/>
      <c r="Z49"/>
      <c r="AA49"/>
      <c r="AB49"/>
      <c r="AC49"/>
      <c r="AD49"/>
      <c r="AE49"/>
      <c r="AF49"/>
      <c r="AG49"/>
      <c r="AH49"/>
    </row>
    <row r="50" spans="1:37" ht="15" x14ac:dyDescent="0.25">
      <c r="A50" s="4" t="s">
        <v>123</v>
      </c>
      <c r="N50" s="18"/>
      <c r="O50" s="18"/>
      <c r="P50" s="127"/>
      <c r="Q50" s="128"/>
      <c r="X50"/>
      <c r="Y50"/>
      <c r="Z50"/>
      <c r="AA50"/>
      <c r="AB50"/>
      <c r="AC50"/>
      <c r="AD50"/>
      <c r="AE50"/>
      <c r="AF50"/>
      <c r="AG50"/>
      <c r="AH50"/>
      <c r="AI50"/>
      <c r="AJ50" s="90"/>
      <c r="AK50"/>
    </row>
    <row r="51" spans="1:37" ht="15" x14ac:dyDescent="0.25">
      <c r="A51" s="4"/>
      <c r="N51" s="18"/>
      <c r="O51" s="18"/>
      <c r="P51" s="127"/>
      <c r="Q51" s="128"/>
      <c r="X51"/>
      <c r="Y51"/>
      <c r="Z51"/>
      <c r="AA51"/>
      <c r="AB51"/>
      <c r="AC51"/>
      <c r="AD51"/>
      <c r="AE51"/>
      <c r="AF51"/>
      <c r="AG51"/>
      <c r="AH51"/>
      <c r="AI51"/>
      <c r="AJ51" s="90"/>
      <c r="AK51"/>
    </row>
    <row r="52" spans="1:37" x14ac:dyDescent="0.2">
      <c r="X52"/>
      <c r="Y52"/>
      <c r="Z52"/>
      <c r="AA52"/>
      <c r="AB52"/>
      <c r="AC52"/>
      <c r="AD52"/>
      <c r="AE52"/>
      <c r="AF52"/>
      <c r="AG52"/>
      <c r="AH52"/>
      <c r="AI52"/>
    </row>
    <row r="53" spans="1:37" ht="15" x14ac:dyDescent="0.2">
      <c r="A53" s="3" t="s">
        <v>100</v>
      </c>
      <c r="B53" s="3" t="s">
        <v>19</v>
      </c>
      <c r="C53" s="3" t="s">
        <v>176</v>
      </c>
      <c r="D53" s="3" t="s">
        <v>19</v>
      </c>
      <c r="E53" s="3" t="s">
        <v>0</v>
      </c>
      <c r="F53" s="8" t="s">
        <v>19</v>
      </c>
      <c r="G53" s="115" t="s">
        <v>1</v>
      </c>
      <c r="H53" s="8" t="s">
        <v>94</v>
      </c>
      <c r="I53" s="12" t="s">
        <v>31</v>
      </c>
      <c r="J53" s="12" t="s">
        <v>20</v>
      </c>
      <c r="K53" s="546" t="s">
        <v>224</v>
      </c>
      <c r="L53" s="546"/>
      <c r="M53" s="546"/>
      <c r="N53" s="546"/>
      <c r="O53" s="12" t="s">
        <v>119</v>
      </c>
      <c r="P53" s="12" t="s">
        <v>120</v>
      </c>
      <c r="Q53" s="12" t="s">
        <v>121</v>
      </c>
      <c r="X53"/>
      <c r="Y53"/>
      <c r="Z53"/>
      <c r="AA53"/>
      <c r="AB53"/>
      <c r="AC53"/>
      <c r="AD53"/>
      <c r="AE53"/>
      <c r="AF53"/>
      <c r="AG53"/>
      <c r="AH53"/>
      <c r="AI53"/>
    </row>
    <row r="54" spans="1:37" ht="15" thickBot="1" x14ac:dyDescent="0.25">
      <c r="A54" s="26" t="s">
        <v>102</v>
      </c>
      <c r="B54" s="26" t="s">
        <v>103</v>
      </c>
      <c r="C54" s="26" t="s">
        <v>23</v>
      </c>
      <c r="D54" s="26" t="s">
        <v>24</v>
      </c>
      <c r="E54" s="31" t="s">
        <v>25</v>
      </c>
      <c r="F54" s="32" t="s">
        <v>29</v>
      </c>
      <c r="G54" s="32" t="s">
        <v>26</v>
      </c>
      <c r="H54" s="32" t="s">
        <v>27</v>
      </c>
      <c r="I54" s="32" t="s">
        <v>32</v>
      </c>
      <c r="J54" s="32" t="s">
        <v>28</v>
      </c>
      <c r="K54" s="33" t="s">
        <v>93</v>
      </c>
      <c r="L54" s="33" t="s">
        <v>95</v>
      </c>
      <c r="M54" s="33" t="s">
        <v>96</v>
      </c>
      <c r="N54" s="33" t="s">
        <v>104</v>
      </c>
      <c r="O54" s="32" t="s">
        <v>34</v>
      </c>
      <c r="P54" s="32" t="s">
        <v>35</v>
      </c>
      <c r="Q54" s="32" t="s">
        <v>105</v>
      </c>
    </row>
    <row r="55" spans="1:37" ht="15.75" thickBot="1" x14ac:dyDescent="0.3">
      <c r="A55" s="543" t="s">
        <v>180</v>
      </c>
      <c r="B55" s="70">
        <f>B12</f>
        <v>0.16666666666666666</v>
      </c>
      <c r="C55" s="63" t="s">
        <v>165</v>
      </c>
      <c r="D55" s="67">
        <f>B$12/5</f>
        <v>3.3333333333333333E-2</v>
      </c>
      <c r="E55" s="96" t="s">
        <v>170</v>
      </c>
      <c r="F55" s="112">
        <f>D55</f>
        <v>3.3333333333333333E-2</v>
      </c>
      <c r="G55" s="91" t="s">
        <v>5</v>
      </c>
      <c r="H55" s="39">
        <f>H12</f>
        <v>28.5</v>
      </c>
      <c r="I55" s="35">
        <f>User_Input!H22</f>
        <v>19.399999999999999</v>
      </c>
      <c r="J55" s="36" t="s">
        <v>21</v>
      </c>
      <c r="K55" s="36">
        <f>IF(H55&gt;I55,1,0)</f>
        <v>1</v>
      </c>
      <c r="L55" s="35">
        <f>IF(H55=I55,0.5,0)</f>
        <v>0</v>
      </c>
      <c r="M55" s="35"/>
      <c r="N55" s="37">
        <f>SUM(K55:M55)</f>
        <v>1</v>
      </c>
      <c r="O55" s="74">
        <f t="shared" ref="O55:O84" si="14">N55*F55</f>
        <v>3.3333333333333333E-2</v>
      </c>
      <c r="P55" s="75">
        <f>O$89*D55</f>
        <v>1.6944444444444446E-2</v>
      </c>
      <c r="Q55" s="116">
        <f>P$90*B55</f>
        <v>8.4722222222222213E-2</v>
      </c>
    </row>
    <row r="56" spans="1:37" ht="16.5" thickTop="1" thickBot="1" x14ac:dyDescent="0.3">
      <c r="A56" s="544"/>
      <c r="B56" s="71"/>
      <c r="C56" s="64" t="s">
        <v>166</v>
      </c>
      <c r="D56" s="67">
        <f>B$12/5</f>
        <v>3.3333333333333333E-2</v>
      </c>
      <c r="E56" s="97" t="s">
        <v>171</v>
      </c>
      <c r="F56" s="113">
        <f>D56</f>
        <v>3.3333333333333333E-2</v>
      </c>
      <c r="G56" s="92" t="s">
        <v>2</v>
      </c>
      <c r="H56" s="39">
        <f t="shared" ref="H56:H84" si="15">H13</f>
        <v>4.9000000000000004</v>
      </c>
      <c r="I56" s="35">
        <f>User_Input!H23</f>
        <v>6.6000000000000005</v>
      </c>
      <c r="J56" s="40" t="s">
        <v>22</v>
      </c>
      <c r="K56" s="5"/>
      <c r="L56" s="5">
        <f t="shared" ref="L56:L84" si="16">IF(H56=I56,0.5,0)</f>
        <v>0</v>
      </c>
      <c r="M56" s="41">
        <f>IF(H56&lt;I56,1,0)</f>
        <v>1</v>
      </c>
      <c r="N56" s="19">
        <f t="shared" ref="N56:N84" si="17">SUM(K56:M56)</f>
        <v>1</v>
      </c>
      <c r="O56" s="76">
        <f t="shared" si="14"/>
        <v>3.3333333333333333E-2</v>
      </c>
      <c r="P56" s="75">
        <f t="shared" ref="P56:P84" si="18">O$89*D56</f>
        <v>1.6944444444444446E-2</v>
      </c>
      <c r="Q56" s="126"/>
    </row>
    <row r="57" spans="1:37" ht="31.5" thickTop="1" thickBot="1" x14ac:dyDescent="0.3">
      <c r="A57" s="544"/>
      <c r="B57" s="71"/>
      <c r="C57" s="65" t="s">
        <v>167</v>
      </c>
      <c r="D57" s="67">
        <f>B$12/5</f>
        <v>3.3333333333333333E-2</v>
      </c>
      <c r="E57" s="97" t="s">
        <v>172</v>
      </c>
      <c r="F57" s="113">
        <f>D57</f>
        <v>3.3333333333333333E-2</v>
      </c>
      <c r="G57" s="93" t="s">
        <v>3</v>
      </c>
      <c r="H57" s="39">
        <f t="shared" si="15"/>
        <v>3</v>
      </c>
      <c r="I57" s="35">
        <f>User_Input!H24</f>
        <v>3.25</v>
      </c>
      <c r="J57" s="27" t="s">
        <v>21</v>
      </c>
      <c r="K57" s="27">
        <f>IF(H57&gt;I57,1,0)</f>
        <v>0</v>
      </c>
      <c r="L57" s="5">
        <f t="shared" si="16"/>
        <v>0</v>
      </c>
      <c r="M57" s="1"/>
      <c r="N57" s="19">
        <f t="shared" si="17"/>
        <v>0</v>
      </c>
      <c r="O57" s="76">
        <f t="shared" si="14"/>
        <v>0</v>
      </c>
      <c r="P57" s="75">
        <f t="shared" si="18"/>
        <v>1.6944444444444446E-2</v>
      </c>
      <c r="Q57" s="126"/>
    </row>
    <row r="58" spans="1:37" ht="15.75" thickBot="1" x14ac:dyDescent="0.3">
      <c r="A58" s="544"/>
      <c r="B58" s="71"/>
      <c r="C58" s="65" t="s">
        <v>168</v>
      </c>
      <c r="D58" s="67">
        <f>B$12/5</f>
        <v>3.3333333333333333E-2</v>
      </c>
      <c r="E58" s="97" t="s">
        <v>173</v>
      </c>
      <c r="F58" s="113">
        <f>D58</f>
        <v>3.3333333333333333E-2</v>
      </c>
      <c r="G58" s="93" t="s">
        <v>16</v>
      </c>
      <c r="H58" s="39">
        <f t="shared" si="15"/>
        <v>844</v>
      </c>
      <c r="I58" s="35">
        <f>User_Input!H25</f>
        <v>762</v>
      </c>
      <c r="J58" s="27" t="s">
        <v>21</v>
      </c>
      <c r="K58" s="27">
        <f>IF(H58&gt;I58,1,0)</f>
        <v>1</v>
      </c>
      <c r="L58" s="5">
        <f t="shared" si="16"/>
        <v>0</v>
      </c>
      <c r="M58" s="1"/>
      <c r="N58" s="19">
        <f t="shared" si="17"/>
        <v>1</v>
      </c>
      <c r="O58" s="76">
        <f t="shared" si="14"/>
        <v>3.3333333333333333E-2</v>
      </c>
      <c r="P58" s="75">
        <f t="shared" si="18"/>
        <v>1.6944444444444446E-2</v>
      </c>
      <c r="Q58" s="126"/>
      <c r="X58" s="10" t="s">
        <v>234</v>
      </c>
    </row>
    <row r="59" spans="1:37" ht="16.5" thickTop="1" thickBot="1" x14ac:dyDescent="0.3">
      <c r="A59" s="544"/>
      <c r="B59" s="71"/>
      <c r="C59" s="322" t="s">
        <v>169</v>
      </c>
      <c r="D59" s="67">
        <f>B$12/5</f>
        <v>3.3333333333333333E-2</v>
      </c>
      <c r="E59" s="98" t="s">
        <v>174</v>
      </c>
      <c r="F59" s="113">
        <f>D$59/2</f>
        <v>1.6666666666666666E-2</v>
      </c>
      <c r="G59" s="94" t="s">
        <v>4</v>
      </c>
      <c r="H59" s="39">
        <f t="shared" si="15"/>
        <v>93.94</v>
      </c>
      <c r="I59" s="35">
        <f>User_Input!H26</f>
        <v>96.015000000000001</v>
      </c>
      <c r="J59" s="40" t="s">
        <v>22</v>
      </c>
      <c r="K59" s="5"/>
      <c r="L59" s="5">
        <f t="shared" si="16"/>
        <v>0</v>
      </c>
      <c r="M59" s="41">
        <f>IF(H59&lt;I59,1,0)</f>
        <v>1</v>
      </c>
      <c r="N59" s="19">
        <f t="shared" si="17"/>
        <v>1</v>
      </c>
      <c r="O59" s="76">
        <f t="shared" si="14"/>
        <v>1.6666666666666666E-2</v>
      </c>
      <c r="P59" s="75">
        <f t="shared" si="18"/>
        <v>1.6944444444444446E-2</v>
      </c>
      <c r="Q59" s="126"/>
      <c r="Y59" s="547" t="s">
        <v>235</v>
      </c>
      <c r="Z59" s="547"/>
      <c r="AA59" s="342">
        <f>Q91*100</f>
        <v>50.833333333333329</v>
      </c>
      <c r="AB59" s="119" t="s">
        <v>4</v>
      </c>
    </row>
    <row r="60" spans="1:37" ht="16.5" thickTop="1" thickBot="1" x14ac:dyDescent="0.3">
      <c r="A60" s="545"/>
      <c r="B60" s="72"/>
      <c r="C60" s="323"/>
      <c r="D60" s="68"/>
      <c r="E60" s="99" t="s">
        <v>175</v>
      </c>
      <c r="F60" s="113">
        <f>D$59/2</f>
        <v>1.6666666666666666E-2</v>
      </c>
      <c r="G60" s="95" t="s">
        <v>4</v>
      </c>
      <c r="H60" s="39">
        <f t="shared" si="15"/>
        <v>6.06</v>
      </c>
      <c r="I60" s="35">
        <f>User_Input!H27</f>
        <v>3.9849999999999999</v>
      </c>
      <c r="J60" s="43" t="s">
        <v>21</v>
      </c>
      <c r="K60" s="43">
        <f>IF(H60&gt;I60,1,0)</f>
        <v>1</v>
      </c>
      <c r="L60" s="14">
        <f t="shared" si="16"/>
        <v>0</v>
      </c>
      <c r="M60" s="44"/>
      <c r="N60" s="19">
        <f t="shared" si="17"/>
        <v>1</v>
      </c>
      <c r="O60" s="77">
        <f t="shared" si="14"/>
        <v>1.6666666666666666E-2</v>
      </c>
      <c r="P60" s="75">
        <f t="shared" si="18"/>
        <v>0</v>
      </c>
      <c r="Q60" s="126"/>
      <c r="Y60" s="547" t="s">
        <v>236</v>
      </c>
      <c r="Z60" s="547"/>
      <c r="AA60" s="342">
        <f>Q136*100</f>
        <v>43.478260869565219</v>
      </c>
      <c r="AB60" s="119" t="s">
        <v>4</v>
      </c>
    </row>
    <row r="61" spans="1:37" ht="15.75" thickBot="1" x14ac:dyDescent="0.3">
      <c r="A61" s="543" t="s">
        <v>181</v>
      </c>
      <c r="B61" s="70">
        <f>B18</f>
        <v>0.16666666666666666</v>
      </c>
      <c r="C61" s="45" t="s">
        <v>177</v>
      </c>
      <c r="D61" s="67">
        <f>B$18/3</f>
        <v>5.5555555555555552E-2</v>
      </c>
      <c r="E61" s="100" t="s">
        <v>199</v>
      </c>
      <c r="F61" s="112">
        <f>D61</f>
        <v>5.5555555555555552E-2</v>
      </c>
      <c r="G61" s="103" t="s">
        <v>4</v>
      </c>
      <c r="H61" s="39">
        <f t="shared" si="15"/>
        <v>12.36</v>
      </c>
      <c r="I61" s="35">
        <f>User_Input!H28</f>
        <v>14.709999999999999</v>
      </c>
      <c r="J61" s="46" t="s">
        <v>22</v>
      </c>
      <c r="K61" s="35"/>
      <c r="L61" s="35">
        <f t="shared" si="16"/>
        <v>0</v>
      </c>
      <c r="M61" s="47">
        <f>IF(H61&lt;I61,1,0)</f>
        <v>1</v>
      </c>
      <c r="N61" s="37">
        <f t="shared" si="17"/>
        <v>1</v>
      </c>
      <c r="O61" s="78">
        <f t="shared" si="14"/>
        <v>5.5555555555555552E-2</v>
      </c>
      <c r="P61" s="75">
        <f t="shared" si="18"/>
        <v>2.8240740740740743E-2</v>
      </c>
      <c r="Q61" s="126">
        <f>P$90*B61</f>
        <v>8.4722222222222213E-2</v>
      </c>
      <c r="Y61" s="547" t="s">
        <v>237</v>
      </c>
      <c r="Z61" s="547"/>
      <c r="AA61" s="342">
        <f>Q179*100</f>
        <v>43.333333333333321</v>
      </c>
      <c r="AB61" s="119" t="s">
        <v>4</v>
      </c>
    </row>
    <row r="62" spans="1:37" ht="16.5" thickTop="1" thickBot="1" x14ac:dyDescent="0.3">
      <c r="A62" s="544"/>
      <c r="B62" s="71"/>
      <c r="C62" s="29" t="s">
        <v>178</v>
      </c>
      <c r="D62" s="67">
        <f>B$18/3</f>
        <v>5.5555555555555552E-2</v>
      </c>
      <c r="E62" s="101" t="s">
        <v>200</v>
      </c>
      <c r="F62" s="113">
        <f>D62</f>
        <v>5.5555555555555552E-2</v>
      </c>
      <c r="G62" s="93" t="s">
        <v>4</v>
      </c>
      <c r="H62" s="39">
        <f t="shared" si="15"/>
        <v>0</v>
      </c>
      <c r="I62" s="35">
        <f>User_Input!H29</f>
        <v>2.44</v>
      </c>
      <c r="J62" s="27" t="s">
        <v>21</v>
      </c>
      <c r="K62" s="27">
        <f>IF(H62&gt;I62,1,0)</f>
        <v>0</v>
      </c>
      <c r="L62" s="5">
        <f t="shared" si="16"/>
        <v>0</v>
      </c>
      <c r="M62" s="1"/>
      <c r="N62" s="19">
        <f t="shared" si="17"/>
        <v>0</v>
      </c>
      <c r="O62" s="79">
        <f t="shared" si="14"/>
        <v>0</v>
      </c>
      <c r="P62" s="75">
        <f t="shared" si="18"/>
        <v>2.8240740740740743E-2</v>
      </c>
      <c r="Q62" s="126"/>
    </row>
    <row r="63" spans="1:37" ht="15.75" thickBot="1" x14ac:dyDescent="0.3">
      <c r="A63" s="544"/>
      <c r="B63" s="71"/>
      <c r="C63" s="314" t="s">
        <v>179</v>
      </c>
      <c r="D63" s="67">
        <f>B$18/3</f>
        <v>5.5555555555555552E-2</v>
      </c>
      <c r="E63" s="101" t="s">
        <v>201</v>
      </c>
      <c r="F63" s="113">
        <f>D$63/2</f>
        <v>2.7777777777777776E-2</v>
      </c>
      <c r="G63" s="93" t="s">
        <v>12</v>
      </c>
      <c r="H63" s="39">
        <f t="shared" si="15"/>
        <v>3.92</v>
      </c>
      <c r="I63" s="35">
        <f>User_Input!H30</f>
        <v>1.96</v>
      </c>
      <c r="J63" s="27" t="s">
        <v>21</v>
      </c>
      <c r="K63" s="27">
        <f>IF(H63&gt;I63,1,0)</f>
        <v>1</v>
      </c>
      <c r="L63" s="5">
        <f t="shared" si="16"/>
        <v>0</v>
      </c>
      <c r="M63" s="1"/>
      <c r="N63" s="19">
        <f t="shared" si="17"/>
        <v>1</v>
      </c>
      <c r="O63" s="79">
        <f t="shared" si="14"/>
        <v>2.7777777777777776E-2</v>
      </c>
      <c r="P63" s="75">
        <f t="shared" si="18"/>
        <v>2.8240740740740743E-2</v>
      </c>
      <c r="Q63" s="126"/>
    </row>
    <row r="64" spans="1:37" ht="15.75" thickBot="1" x14ac:dyDescent="0.3">
      <c r="A64" s="545"/>
      <c r="B64" s="72"/>
      <c r="C64" s="315"/>
      <c r="D64" s="66"/>
      <c r="E64" s="102" t="s">
        <v>202</v>
      </c>
      <c r="F64" s="113">
        <f>D$63/2</f>
        <v>2.7777777777777776E-2</v>
      </c>
      <c r="G64" s="95" t="s">
        <v>12</v>
      </c>
      <c r="H64" s="39">
        <f t="shared" si="15"/>
        <v>0.96</v>
      </c>
      <c r="I64" s="35">
        <f>User_Input!H31</f>
        <v>1.35</v>
      </c>
      <c r="J64" s="43" t="s">
        <v>21</v>
      </c>
      <c r="K64" s="43">
        <f>IF(H64&gt;I64,1,0)</f>
        <v>0</v>
      </c>
      <c r="L64" s="14">
        <f t="shared" si="16"/>
        <v>0</v>
      </c>
      <c r="M64" s="44"/>
      <c r="N64" s="19">
        <f t="shared" si="17"/>
        <v>0</v>
      </c>
      <c r="O64" s="80">
        <f t="shared" si="14"/>
        <v>0</v>
      </c>
      <c r="P64" s="75">
        <f t="shared" si="18"/>
        <v>0</v>
      </c>
      <c r="Q64" s="126"/>
    </row>
    <row r="65" spans="1:38" ht="30.75" thickBot="1" x14ac:dyDescent="0.3">
      <c r="A65" s="543" t="s">
        <v>182</v>
      </c>
      <c r="B65" s="70">
        <f>B22</f>
        <v>0.16666666666666666</v>
      </c>
      <c r="C65" s="34" t="s">
        <v>186</v>
      </c>
      <c r="D65" s="67">
        <f>B$22/4</f>
        <v>4.1666666666666664E-2</v>
      </c>
      <c r="E65" s="104" t="s">
        <v>203</v>
      </c>
      <c r="F65" s="112">
        <f>D65</f>
        <v>4.1666666666666664E-2</v>
      </c>
      <c r="G65" s="91" t="s">
        <v>4</v>
      </c>
      <c r="H65" s="39">
        <f t="shared" si="15"/>
        <v>44</v>
      </c>
      <c r="I65" s="35">
        <f>User_Input!H32</f>
        <v>27.5</v>
      </c>
      <c r="J65" s="36" t="s">
        <v>21</v>
      </c>
      <c r="K65" s="36">
        <f>IF(H65&gt;I65,1,0)</f>
        <v>1</v>
      </c>
      <c r="L65" s="35">
        <f t="shared" si="16"/>
        <v>0</v>
      </c>
      <c r="M65" s="49"/>
      <c r="N65" s="37">
        <f t="shared" si="17"/>
        <v>1</v>
      </c>
      <c r="O65" s="78">
        <f t="shared" si="14"/>
        <v>4.1666666666666664E-2</v>
      </c>
      <c r="P65" s="75">
        <f t="shared" si="18"/>
        <v>2.1180555555555557E-2</v>
      </c>
      <c r="Q65" s="126">
        <f>P$90*B65</f>
        <v>8.4722222222222213E-2</v>
      </c>
    </row>
    <row r="66" spans="1:38" ht="31.5" thickTop="1" thickBot="1" x14ac:dyDescent="0.3">
      <c r="A66" s="544"/>
      <c r="B66" s="71"/>
      <c r="C66" s="30" t="s">
        <v>187</v>
      </c>
      <c r="D66" s="67">
        <f>B$22/4</f>
        <v>4.1666666666666664E-2</v>
      </c>
      <c r="E66" s="101" t="s">
        <v>204</v>
      </c>
      <c r="F66" s="113">
        <f>D66</f>
        <v>4.1666666666666664E-2</v>
      </c>
      <c r="G66" s="94" t="s">
        <v>12</v>
      </c>
      <c r="H66" s="39">
        <f t="shared" si="15"/>
        <v>0.4</v>
      </c>
      <c r="I66" s="35">
        <f>User_Input!H33</f>
        <v>0.55000000000000004</v>
      </c>
      <c r="J66" s="40" t="s">
        <v>22</v>
      </c>
      <c r="K66" s="5"/>
      <c r="L66" s="5">
        <f t="shared" si="16"/>
        <v>0</v>
      </c>
      <c r="M66" s="41">
        <f>IF(H66&lt;I66,1,0)</f>
        <v>1</v>
      </c>
      <c r="N66" s="19">
        <f t="shared" si="17"/>
        <v>1</v>
      </c>
      <c r="O66" s="79">
        <f t="shared" si="14"/>
        <v>4.1666666666666664E-2</v>
      </c>
      <c r="P66" s="75">
        <f t="shared" si="18"/>
        <v>2.1180555555555557E-2</v>
      </c>
      <c r="Q66" s="126"/>
    </row>
    <row r="67" spans="1:38" ht="31.5" thickTop="1" thickBot="1" x14ac:dyDescent="0.3">
      <c r="A67" s="544"/>
      <c r="B67" s="71"/>
      <c r="C67" s="30" t="s">
        <v>188</v>
      </c>
      <c r="D67" s="67">
        <f>B$22/4</f>
        <v>4.1666666666666664E-2</v>
      </c>
      <c r="E67" s="101" t="s">
        <v>205</v>
      </c>
      <c r="F67" s="113">
        <f>D67</f>
        <v>4.1666666666666664E-2</v>
      </c>
      <c r="G67" s="94" t="s">
        <v>12</v>
      </c>
      <c r="H67" s="39">
        <f t="shared" si="15"/>
        <v>1.6</v>
      </c>
      <c r="I67" s="35">
        <f>User_Input!H34</f>
        <v>1.55</v>
      </c>
      <c r="J67" s="40" t="s">
        <v>22</v>
      </c>
      <c r="K67" s="5"/>
      <c r="L67" s="5">
        <f t="shared" si="16"/>
        <v>0</v>
      </c>
      <c r="M67" s="22">
        <f>IF(H67&lt;I67,1,0)</f>
        <v>0</v>
      </c>
      <c r="N67" s="19">
        <f t="shared" si="17"/>
        <v>0</v>
      </c>
      <c r="O67" s="79">
        <f t="shared" si="14"/>
        <v>0</v>
      </c>
      <c r="P67" s="75">
        <f t="shared" si="18"/>
        <v>2.1180555555555557E-2</v>
      </c>
      <c r="Q67" s="126"/>
      <c r="X67" s="10"/>
      <c r="AB67" s="275"/>
      <c r="AC67" s="136"/>
      <c r="AD67" s="136"/>
      <c r="AE67" s="136"/>
      <c r="AF67" s="136"/>
      <c r="AG67" s="136"/>
    </row>
    <row r="68" spans="1:38" ht="16.5" thickTop="1" thickBot="1" x14ac:dyDescent="0.3">
      <c r="A68" s="544"/>
      <c r="B68" s="71"/>
      <c r="C68" s="314" t="s">
        <v>223</v>
      </c>
      <c r="D68" s="67">
        <f>B$22/4</f>
        <v>4.1666666666666664E-2</v>
      </c>
      <c r="E68" s="105" t="s">
        <v>206</v>
      </c>
      <c r="F68" s="113">
        <f>D$68/2</f>
        <v>2.0833333333333332E-2</v>
      </c>
      <c r="G68" s="93" t="s">
        <v>5</v>
      </c>
      <c r="H68" s="39">
        <f t="shared" si="15"/>
        <v>8.9999999999999998E-4</v>
      </c>
      <c r="I68" s="35">
        <f>User_Input!H35</f>
        <v>5.4500000000000009E-3</v>
      </c>
      <c r="J68" s="27" t="s">
        <v>21</v>
      </c>
      <c r="K68" s="27">
        <f>IF(H68&gt;I68,1,0)</f>
        <v>0</v>
      </c>
      <c r="L68" s="5">
        <f t="shared" si="16"/>
        <v>0</v>
      </c>
      <c r="M68" s="1"/>
      <c r="N68" s="19">
        <f t="shared" si="17"/>
        <v>0</v>
      </c>
      <c r="O68" s="79">
        <f t="shared" si="14"/>
        <v>0</v>
      </c>
      <c r="P68" s="75">
        <f t="shared" si="18"/>
        <v>2.1180555555555557E-2</v>
      </c>
      <c r="Q68" s="126"/>
      <c r="AB68" s="123"/>
      <c r="AC68" s="136"/>
      <c r="AD68" s="136"/>
      <c r="AE68" s="136"/>
      <c r="AF68" s="136"/>
      <c r="AG68" s="136"/>
    </row>
    <row r="69" spans="1:38" ht="15.75" thickBot="1" x14ac:dyDescent="0.3">
      <c r="A69" s="545"/>
      <c r="B69" s="72"/>
      <c r="C69" s="315"/>
      <c r="D69" s="66"/>
      <c r="E69" s="106" t="s">
        <v>207</v>
      </c>
      <c r="F69" s="113">
        <f>D$68/2</f>
        <v>2.0833333333333332E-2</v>
      </c>
      <c r="G69" s="95" t="s">
        <v>5</v>
      </c>
      <c r="H69" s="39">
        <f t="shared" si="15"/>
        <v>6.3999999999999997E-5</v>
      </c>
      <c r="I69" s="35">
        <f>User_Input!H36</f>
        <v>4.8200000000000001E-4</v>
      </c>
      <c r="J69" s="43" t="s">
        <v>21</v>
      </c>
      <c r="K69" s="43">
        <f>IF(H69&gt;I69,1,0)</f>
        <v>0</v>
      </c>
      <c r="L69" s="14">
        <f t="shared" si="16"/>
        <v>0</v>
      </c>
      <c r="M69" s="44"/>
      <c r="N69" s="19">
        <f t="shared" si="17"/>
        <v>0</v>
      </c>
      <c r="O69" s="80">
        <f t="shared" si="14"/>
        <v>0</v>
      </c>
      <c r="P69" s="75">
        <f t="shared" si="18"/>
        <v>0</v>
      </c>
      <c r="Q69" s="126"/>
      <c r="AB69" s="275"/>
      <c r="AC69" s="136"/>
      <c r="AD69" s="136"/>
      <c r="AE69" s="136"/>
      <c r="AF69" s="136"/>
      <c r="AG69" s="136"/>
    </row>
    <row r="70" spans="1:38" ht="15.75" thickBot="1" x14ac:dyDescent="0.3">
      <c r="A70" s="543" t="s">
        <v>183</v>
      </c>
      <c r="B70" s="70">
        <f>B27</f>
        <v>0.16666666666666666</v>
      </c>
      <c r="C70" s="34" t="s">
        <v>189</v>
      </c>
      <c r="D70" s="67">
        <f t="shared" ref="D70:D77" si="19">B$27/8</f>
        <v>2.0833333333333332E-2</v>
      </c>
      <c r="E70" s="107" t="s">
        <v>208</v>
      </c>
      <c r="F70" s="112">
        <f>D70</f>
        <v>2.0833333333333332E-2</v>
      </c>
      <c r="G70" s="91" t="s">
        <v>7</v>
      </c>
      <c r="H70" s="39">
        <f t="shared" si="15"/>
        <v>46</v>
      </c>
      <c r="I70" s="35">
        <f>User_Input!H37</f>
        <v>54.5</v>
      </c>
      <c r="J70" s="36" t="s">
        <v>21</v>
      </c>
      <c r="K70" s="36">
        <f>IF(H70&gt;I70,1,0)</f>
        <v>0</v>
      </c>
      <c r="L70" s="35">
        <f t="shared" si="16"/>
        <v>0</v>
      </c>
      <c r="M70" s="49"/>
      <c r="N70" s="37">
        <f t="shared" si="17"/>
        <v>0</v>
      </c>
      <c r="O70" s="78">
        <f t="shared" si="14"/>
        <v>0</v>
      </c>
      <c r="P70" s="75">
        <f t="shared" si="18"/>
        <v>1.0590277777777778E-2</v>
      </c>
      <c r="Q70" s="126">
        <f>P$90*B70</f>
        <v>8.4722222222222213E-2</v>
      </c>
      <c r="X70" s="133"/>
      <c r="AB70" s="275"/>
      <c r="AC70" s="136"/>
      <c r="AD70" s="136"/>
      <c r="AE70" s="136"/>
      <c r="AF70" s="136"/>
      <c r="AG70" s="136"/>
    </row>
    <row r="71" spans="1:38" ht="15.75" thickBot="1" x14ac:dyDescent="0.3">
      <c r="A71" s="544"/>
      <c r="B71" s="71"/>
      <c r="C71" s="29" t="s">
        <v>190</v>
      </c>
      <c r="D71" s="67">
        <f t="shared" si="19"/>
        <v>2.0833333333333332E-2</v>
      </c>
      <c r="E71" s="105" t="s">
        <v>209</v>
      </c>
      <c r="F71" s="113">
        <f t="shared" ref="F71:F76" si="20">D71</f>
        <v>2.0833333333333332E-2</v>
      </c>
      <c r="G71" s="93" t="s">
        <v>15</v>
      </c>
      <c r="H71" s="39">
        <f t="shared" si="15"/>
        <v>3.72</v>
      </c>
      <c r="I71" s="35">
        <f>User_Input!H38</f>
        <v>3.7300000000000004</v>
      </c>
      <c r="J71" s="27" t="s">
        <v>21</v>
      </c>
      <c r="K71" s="27">
        <f>IF(H71&gt;I71,1,0)</f>
        <v>0</v>
      </c>
      <c r="L71" s="5">
        <f t="shared" si="16"/>
        <v>0</v>
      </c>
      <c r="M71" s="1"/>
      <c r="N71" s="19">
        <f t="shared" si="17"/>
        <v>0</v>
      </c>
      <c r="O71" s="79">
        <f t="shared" si="14"/>
        <v>0</v>
      </c>
      <c r="P71" s="75">
        <f t="shared" si="18"/>
        <v>1.0590277777777778E-2</v>
      </c>
      <c r="Q71" s="126"/>
      <c r="X71" s="10"/>
      <c r="AB71" s="123"/>
      <c r="AC71" s="136"/>
      <c r="AD71" s="136"/>
      <c r="AE71" s="136"/>
      <c r="AF71" s="136"/>
      <c r="AG71" s="136"/>
    </row>
    <row r="72" spans="1:38" ht="31.5" thickTop="1" thickBot="1" x14ac:dyDescent="0.3">
      <c r="A72" s="544"/>
      <c r="B72" s="71"/>
      <c r="C72" s="30" t="s">
        <v>191</v>
      </c>
      <c r="D72" s="67">
        <f t="shared" si="19"/>
        <v>2.0833333333333332E-2</v>
      </c>
      <c r="E72" s="101" t="s">
        <v>210</v>
      </c>
      <c r="F72" s="113">
        <f t="shared" si="20"/>
        <v>2.0833333333333332E-2</v>
      </c>
      <c r="G72" s="108" t="s">
        <v>6</v>
      </c>
      <c r="H72" s="39">
        <f t="shared" si="15"/>
        <v>37.700000000000003</v>
      </c>
      <c r="I72" s="35">
        <f>User_Input!H39</f>
        <v>34.545000000000002</v>
      </c>
      <c r="J72" s="40" t="s">
        <v>22</v>
      </c>
      <c r="K72" s="5"/>
      <c r="L72" s="5">
        <f t="shared" si="16"/>
        <v>0</v>
      </c>
      <c r="M72" s="24">
        <f>IF(H72&lt;I72,1,0)</f>
        <v>0</v>
      </c>
      <c r="N72" s="19">
        <f t="shared" si="17"/>
        <v>0</v>
      </c>
      <c r="O72" s="79">
        <f t="shared" si="14"/>
        <v>0</v>
      </c>
      <c r="P72" s="75">
        <f t="shared" si="18"/>
        <v>1.0590277777777778E-2</v>
      </c>
      <c r="Q72" s="126"/>
      <c r="X72" s="10"/>
      <c r="AB72" s="275"/>
      <c r="AC72" s="136"/>
      <c r="AD72" s="10"/>
      <c r="AE72" s="136"/>
      <c r="AF72" s="136"/>
      <c r="AG72" s="136"/>
      <c r="AH72" s="10"/>
      <c r="AI72" s="10"/>
      <c r="AJ72" s="10"/>
      <c r="AK72" s="10"/>
      <c r="AL72" s="10"/>
    </row>
    <row r="73" spans="1:38" ht="16.5" thickTop="1" thickBot="1" x14ac:dyDescent="0.3">
      <c r="A73" s="544"/>
      <c r="B73" s="71"/>
      <c r="C73" s="29" t="s">
        <v>225</v>
      </c>
      <c r="D73" s="67">
        <f t="shared" si="19"/>
        <v>2.0833333333333332E-2</v>
      </c>
      <c r="E73" s="105" t="s">
        <v>211</v>
      </c>
      <c r="F73" s="113">
        <f t="shared" si="20"/>
        <v>2.0833333333333332E-2</v>
      </c>
      <c r="G73" s="93" t="s">
        <v>4</v>
      </c>
      <c r="H73" s="39">
        <f t="shared" si="15"/>
        <v>68</v>
      </c>
      <c r="I73" s="35">
        <f>User_Input!H40</f>
        <v>65.5</v>
      </c>
      <c r="J73" s="27" t="s">
        <v>21</v>
      </c>
      <c r="K73" s="27">
        <f>IF(H73&gt;I73,1,0)</f>
        <v>1</v>
      </c>
      <c r="L73" s="5">
        <f t="shared" si="16"/>
        <v>0</v>
      </c>
      <c r="M73" s="1"/>
      <c r="N73" s="19">
        <f t="shared" si="17"/>
        <v>1</v>
      </c>
      <c r="O73" s="79">
        <f t="shared" si="14"/>
        <v>2.0833333333333332E-2</v>
      </c>
      <c r="P73" s="75">
        <f t="shared" si="18"/>
        <v>1.0590277777777778E-2</v>
      </c>
      <c r="Q73" s="126"/>
      <c r="X73" s="281"/>
      <c r="Y73" s="277"/>
      <c r="AB73" s="273"/>
      <c r="AC73" s="274"/>
      <c r="AD73" s="120"/>
      <c r="AE73" s="274"/>
      <c r="AF73" s="274"/>
      <c r="AG73" s="274"/>
      <c r="AH73" s="10"/>
      <c r="AI73" s="10"/>
      <c r="AJ73" s="10"/>
      <c r="AK73" s="10"/>
    </row>
    <row r="74" spans="1:38" ht="15.75" thickBot="1" x14ac:dyDescent="0.3">
      <c r="A74" s="544"/>
      <c r="B74" s="71"/>
      <c r="C74" s="2" t="s">
        <v>192</v>
      </c>
      <c r="D74" s="67">
        <f t="shared" si="19"/>
        <v>2.0833333333333332E-2</v>
      </c>
      <c r="E74" s="105" t="s">
        <v>212</v>
      </c>
      <c r="F74" s="113">
        <f t="shared" si="20"/>
        <v>2.0833333333333332E-2</v>
      </c>
      <c r="G74" s="94" t="s">
        <v>17</v>
      </c>
      <c r="H74" s="39">
        <f t="shared" si="15"/>
        <v>0.13</v>
      </c>
      <c r="I74" s="35">
        <f>User_Input!H41</f>
        <v>0.21</v>
      </c>
      <c r="J74" s="27" t="s">
        <v>21</v>
      </c>
      <c r="K74" s="27">
        <f>IF(H74&gt;I74,1,0)</f>
        <v>0</v>
      </c>
      <c r="L74" s="5">
        <f t="shared" si="16"/>
        <v>0</v>
      </c>
      <c r="M74" s="1"/>
      <c r="N74" s="19">
        <f t="shared" si="17"/>
        <v>0</v>
      </c>
      <c r="O74" s="79">
        <f t="shared" si="14"/>
        <v>0</v>
      </c>
      <c r="P74" s="75">
        <f t="shared" si="18"/>
        <v>1.0590277777777778E-2</v>
      </c>
      <c r="Q74" s="126"/>
      <c r="AC74" s="275"/>
      <c r="AD74" s="122"/>
      <c r="AE74" s="275"/>
      <c r="AF74" s="275"/>
      <c r="AG74" s="275"/>
      <c r="AI74" s="131"/>
      <c r="AJ74" s="131"/>
      <c r="AK74" s="131"/>
    </row>
    <row r="75" spans="1:38" ht="15.75" thickBot="1" x14ac:dyDescent="0.3">
      <c r="A75" s="544"/>
      <c r="B75" s="71"/>
      <c r="C75" s="2" t="s">
        <v>193</v>
      </c>
      <c r="D75" s="67">
        <f t="shared" si="19"/>
        <v>2.0833333333333332E-2</v>
      </c>
      <c r="E75" s="105" t="s">
        <v>213</v>
      </c>
      <c r="F75" s="113">
        <f t="shared" si="20"/>
        <v>2.0833333333333332E-2</v>
      </c>
      <c r="G75" s="94" t="s">
        <v>8</v>
      </c>
      <c r="H75" s="39">
        <f t="shared" si="15"/>
        <v>168</v>
      </c>
      <c r="I75" s="35">
        <f>User_Input!H42</f>
        <v>202.5</v>
      </c>
      <c r="J75" s="28" t="s">
        <v>21</v>
      </c>
      <c r="K75" s="27">
        <f>IF(H75&gt;I75,1,0)</f>
        <v>0</v>
      </c>
      <c r="L75" s="5">
        <f t="shared" si="16"/>
        <v>0</v>
      </c>
      <c r="M75" s="1"/>
      <c r="N75" s="19">
        <f t="shared" si="17"/>
        <v>0</v>
      </c>
      <c r="O75" s="79">
        <f t="shared" si="14"/>
        <v>0</v>
      </c>
      <c r="P75" s="75">
        <f t="shared" si="18"/>
        <v>1.0590277777777778E-2</v>
      </c>
      <c r="Q75" s="126"/>
      <c r="AC75" s="123"/>
      <c r="AD75" s="278"/>
      <c r="AE75" s="123"/>
      <c r="AF75" s="123"/>
      <c r="AG75" s="123"/>
      <c r="AI75" s="131"/>
      <c r="AJ75" s="131"/>
      <c r="AK75" s="131"/>
      <c r="AL75" s="124"/>
    </row>
    <row r="76" spans="1:38" ht="16.5" thickTop="1" thickBot="1" x14ac:dyDescent="0.3">
      <c r="A76" s="544"/>
      <c r="B76" s="71"/>
      <c r="C76" s="25" t="s">
        <v>194</v>
      </c>
      <c r="D76" s="67">
        <f t="shared" si="19"/>
        <v>2.0833333333333332E-2</v>
      </c>
      <c r="E76" s="105" t="s">
        <v>214</v>
      </c>
      <c r="F76" s="113">
        <f t="shared" si="20"/>
        <v>2.0833333333333332E-2</v>
      </c>
      <c r="G76" s="94" t="s">
        <v>4</v>
      </c>
      <c r="H76" s="39">
        <f t="shared" si="15"/>
        <v>90</v>
      </c>
      <c r="I76" s="35">
        <f>User_Input!H43</f>
        <v>74.5</v>
      </c>
      <c r="J76" s="20" t="s">
        <v>22</v>
      </c>
      <c r="K76" s="5"/>
      <c r="L76" s="5">
        <f t="shared" si="16"/>
        <v>0</v>
      </c>
      <c r="M76" s="23">
        <f t="shared" ref="M76:M83" si="21">IF(H76&lt;I76,1,0)</f>
        <v>0</v>
      </c>
      <c r="N76" s="19">
        <f t="shared" si="17"/>
        <v>0</v>
      </c>
      <c r="O76" s="79">
        <f t="shared" si="14"/>
        <v>0</v>
      </c>
      <c r="P76" s="75">
        <f t="shared" si="18"/>
        <v>1.0590277777777778E-2</v>
      </c>
      <c r="Q76" s="126"/>
      <c r="AC76" s="275"/>
      <c r="AD76" s="122"/>
      <c r="AE76" s="275"/>
      <c r="AF76" s="275"/>
      <c r="AG76" s="275"/>
      <c r="AI76" s="131"/>
      <c r="AJ76" s="131"/>
      <c r="AK76" s="131"/>
    </row>
    <row r="77" spans="1:38" ht="16.5" thickTop="1" thickBot="1" x14ac:dyDescent="0.3">
      <c r="A77" s="544"/>
      <c r="B77" s="71"/>
      <c r="C77" s="324" t="s">
        <v>195</v>
      </c>
      <c r="D77" s="67">
        <f t="shared" si="19"/>
        <v>2.0833333333333332E-2</v>
      </c>
      <c r="E77" s="105" t="s">
        <v>215</v>
      </c>
      <c r="F77" s="113">
        <f t="shared" ref="F77:F82" si="22">D$77/2</f>
        <v>1.0416666666666666E-2</v>
      </c>
      <c r="G77" s="94" t="s">
        <v>4</v>
      </c>
      <c r="H77" s="39">
        <f t="shared" si="15"/>
        <v>35</v>
      </c>
      <c r="I77" s="35">
        <f>User_Input!H44</f>
        <v>26</v>
      </c>
      <c r="J77" s="20" t="s">
        <v>22</v>
      </c>
      <c r="K77" s="5"/>
      <c r="L77" s="5">
        <f t="shared" si="16"/>
        <v>0</v>
      </c>
      <c r="M77" s="41">
        <f t="shared" si="21"/>
        <v>0</v>
      </c>
      <c r="N77" s="19">
        <f t="shared" si="17"/>
        <v>0</v>
      </c>
      <c r="O77" s="79">
        <f t="shared" si="14"/>
        <v>0</v>
      </c>
      <c r="P77" s="75">
        <f t="shared" si="18"/>
        <v>1.0590277777777778E-2</v>
      </c>
      <c r="Q77" s="126"/>
      <c r="AC77" s="275"/>
      <c r="AD77" s="122"/>
      <c r="AE77" s="275"/>
      <c r="AF77" s="275"/>
      <c r="AG77" s="275"/>
      <c r="AI77" s="131"/>
      <c r="AJ77" s="131"/>
      <c r="AK77" s="131"/>
    </row>
    <row r="78" spans="1:38" ht="31.5" thickTop="1" thickBot="1" x14ac:dyDescent="0.3">
      <c r="A78" s="545"/>
      <c r="B78" s="72"/>
      <c r="C78" s="325"/>
      <c r="D78" s="67"/>
      <c r="E78" s="106" t="s">
        <v>216</v>
      </c>
      <c r="F78" s="113">
        <f t="shared" si="22"/>
        <v>1.0416666666666666E-2</v>
      </c>
      <c r="G78" s="109" t="s">
        <v>9</v>
      </c>
      <c r="H78" s="39">
        <f t="shared" si="15"/>
        <v>72</v>
      </c>
      <c r="I78" s="35">
        <f>User_Input!H45</f>
        <v>57</v>
      </c>
      <c r="J78" s="21" t="s">
        <v>22</v>
      </c>
      <c r="K78" s="14"/>
      <c r="L78" s="14">
        <f t="shared" si="16"/>
        <v>0</v>
      </c>
      <c r="M78" s="22">
        <f t="shared" si="21"/>
        <v>0</v>
      </c>
      <c r="N78" s="19">
        <f t="shared" si="17"/>
        <v>0</v>
      </c>
      <c r="O78" s="80">
        <f t="shared" si="14"/>
        <v>0</v>
      </c>
      <c r="P78" s="75">
        <f t="shared" si="18"/>
        <v>0</v>
      </c>
      <c r="Q78" s="126"/>
      <c r="AC78" s="123"/>
      <c r="AD78" s="279"/>
      <c r="AE78" s="123"/>
      <c r="AF78" s="123"/>
      <c r="AG78" s="123"/>
      <c r="AI78" s="131"/>
      <c r="AJ78" s="131"/>
      <c r="AK78" s="131"/>
      <c r="AL78" s="124"/>
    </row>
    <row r="79" spans="1:38" ht="30.75" thickBot="1" x14ac:dyDescent="0.3">
      <c r="A79" s="543" t="s">
        <v>184</v>
      </c>
      <c r="B79" s="70">
        <f>B36</f>
        <v>0.16666666666666666</v>
      </c>
      <c r="C79" s="316" t="s">
        <v>196</v>
      </c>
      <c r="D79" s="67">
        <f>B$36/2</f>
        <v>8.3333333333333329E-2</v>
      </c>
      <c r="E79" s="96" t="s">
        <v>217</v>
      </c>
      <c r="F79" s="113">
        <f t="shared" si="22"/>
        <v>1.0416666666666666E-2</v>
      </c>
      <c r="G79" s="110" t="s">
        <v>10</v>
      </c>
      <c r="H79" s="39">
        <f t="shared" si="15"/>
        <v>1498</v>
      </c>
      <c r="I79" s="35">
        <f>User_Input!H46</f>
        <v>1291</v>
      </c>
      <c r="J79" s="52" t="s">
        <v>22</v>
      </c>
      <c r="K79" s="35"/>
      <c r="L79" s="35">
        <f t="shared" si="16"/>
        <v>0</v>
      </c>
      <c r="M79" s="47">
        <f t="shared" si="21"/>
        <v>0</v>
      </c>
      <c r="N79" s="37">
        <f t="shared" si="17"/>
        <v>0</v>
      </c>
      <c r="O79" s="78">
        <f t="shared" si="14"/>
        <v>0</v>
      </c>
      <c r="P79" s="75">
        <f t="shared" si="18"/>
        <v>4.2361111111111113E-2</v>
      </c>
      <c r="Q79" s="126">
        <f>P$90*B79</f>
        <v>8.4722222222222213E-2</v>
      </c>
      <c r="X79" s="10"/>
      <c r="AC79" s="275"/>
      <c r="AD79" s="122"/>
      <c r="AE79" s="275"/>
      <c r="AF79" s="275"/>
      <c r="AG79" s="275"/>
      <c r="AI79" s="131"/>
      <c r="AJ79" s="131"/>
      <c r="AK79" s="131"/>
    </row>
    <row r="80" spans="1:38" ht="15" customHeight="1" thickTop="1" thickBot="1" x14ac:dyDescent="0.3">
      <c r="A80" s="544"/>
      <c r="B80" s="71"/>
      <c r="C80" s="317"/>
      <c r="D80" s="67"/>
      <c r="E80" s="97" t="s">
        <v>218</v>
      </c>
      <c r="F80" s="113">
        <f t="shared" si="22"/>
        <v>1.0416666666666666E-2</v>
      </c>
      <c r="G80" s="94" t="s">
        <v>18</v>
      </c>
      <c r="H80" s="39">
        <f t="shared" si="15"/>
        <v>1.62</v>
      </c>
      <c r="I80" s="35">
        <f>User_Input!H47</f>
        <v>1.675</v>
      </c>
      <c r="J80" s="20" t="s">
        <v>22</v>
      </c>
      <c r="K80" s="5"/>
      <c r="L80" s="5">
        <f t="shared" si="16"/>
        <v>0</v>
      </c>
      <c r="M80" s="41">
        <f t="shared" si="21"/>
        <v>1</v>
      </c>
      <c r="N80" s="19">
        <f t="shared" si="17"/>
        <v>1</v>
      </c>
      <c r="O80" s="79">
        <f t="shared" si="14"/>
        <v>1.0416666666666666E-2</v>
      </c>
      <c r="P80" s="75">
        <f t="shared" si="18"/>
        <v>0</v>
      </c>
      <c r="Q80" s="126"/>
      <c r="AC80" s="123"/>
      <c r="AD80" s="278"/>
      <c r="AE80" s="123"/>
      <c r="AF80" s="123"/>
      <c r="AG80" s="123"/>
      <c r="AI80" s="131"/>
      <c r="AJ80" s="131"/>
      <c r="AK80" s="131"/>
      <c r="AL80" s="124"/>
    </row>
    <row r="81" spans="1:38" ht="16.5" thickTop="1" thickBot="1" x14ac:dyDescent="0.3">
      <c r="A81" s="544"/>
      <c r="B81" s="71"/>
      <c r="C81" s="317"/>
      <c r="D81" s="67"/>
      <c r="E81" s="97" t="s">
        <v>219</v>
      </c>
      <c r="F81" s="113">
        <f t="shared" si="22"/>
        <v>1.0416666666666666E-2</v>
      </c>
      <c r="G81" s="94" t="s">
        <v>14</v>
      </c>
      <c r="H81" s="39">
        <f t="shared" si="15"/>
        <v>4.5999999999999996</v>
      </c>
      <c r="I81" s="35">
        <f>User_Input!H48</f>
        <v>5</v>
      </c>
      <c r="J81" s="20" t="s">
        <v>22</v>
      </c>
      <c r="K81" s="5"/>
      <c r="L81" s="5">
        <f t="shared" si="16"/>
        <v>0</v>
      </c>
      <c r="M81" s="41">
        <f t="shared" si="21"/>
        <v>1</v>
      </c>
      <c r="N81" s="19">
        <f t="shared" si="17"/>
        <v>1</v>
      </c>
      <c r="O81" s="79">
        <f t="shared" si="14"/>
        <v>1.0416666666666666E-2</v>
      </c>
      <c r="P81" s="75">
        <f t="shared" si="18"/>
        <v>0</v>
      </c>
      <c r="Q81" s="126"/>
      <c r="AC81" s="275"/>
      <c r="AD81" s="122"/>
      <c r="AE81" s="275"/>
      <c r="AF81" s="275"/>
      <c r="AG81" s="275"/>
      <c r="AI81" s="131"/>
      <c r="AJ81" s="131"/>
      <c r="AK81" s="131"/>
    </row>
    <row r="82" spans="1:38" ht="16.5" thickTop="1" thickBot="1" x14ac:dyDescent="0.3">
      <c r="A82" s="544"/>
      <c r="B82" s="71"/>
      <c r="C82" s="318"/>
      <c r="D82" s="67"/>
      <c r="E82" s="97" t="s">
        <v>220</v>
      </c>
      <c r="F82" s="113">
        <f t="shared" si="22"/>
        <v>1.0416666666666666E-2</v>
      </c>
      <c r="G82" s="94" t="s">
        <v>14</v>
      </c>
      <c r="H82" s="39">
        <f>H39</f>
        <v>1.2</v>
      </c>
      <c r="I82" s="35">
        <f>User_Input!H49</f>
        <v>1.125</v>
      </c>
      <c r="J82" s="21" t="s">
        <v>22</v>
      </c>
      <c r="K82" s="14"/>
      <c r="L82" s="5">
        <f t="shared" si="16"/>
        <v>0</v>
      </c>
      <c r="M82" s="41">
        <f t="shared" si="21"/>
        <v>0</v>
      </c>
      <c r="N82" s="19">
        <f t="shared" si="17"/>
        <v>0</v>
      </c>
      <c r="O82" s="80">
        <f t="shared" si="14"/>
        <v>0</v>
      </c>
      <c r="P82" s="75">
        <f t="shared" si="18"/>
        <v>0</v>
      </c>
      <c r="Q82" s="126"/>
      <c r="AC82" s="275"/>
      <c r="AD82" s="122"/>
      <c r="AE82" s="275"/>
      <c r="AF82" s="275"/>
      <c r="AG82" s="275"/>
      <c r="AI82" s="131"/>
      <c r="AJ82" s="131"/>
      <c r="AK82" s="131"/>
    </row>
    <row r="83" spans="1:38" ht="17.45" customHeight="1" thickTop="1" thickBot="1" x14ac:dyDescent="0.3">
      <c r="A83" s="545"/>
      <c r="B83" s="72"/>
      <c r="C83" s="50" t="s">
        <v>197</v>
      </c>
      <c r="D83" s="87">
        <f>B$36/2</f>
        <v>8.3333333333333329E-2</v>
      </c>
      <c r="E83" s="106" t="s">
        <v>221</v>
      </c>
      <c r="F83" s="113">
        <f>D83</f>
        <v>8.3333333333333329E-2</v>
      </c>
      <c r="G83" s="109" t="s">
        <v>11</v>
      </c>
      <c r="H83" s="39">
        <f t="shared" si="15"/>
        <v>0.7</v>
      </c>
      <c r="I83" s="35">
        <f>User_Input!H50</f>
        <v>0.48499999999999999</v>
      </c>
      <c r="J83" s="53" t="s">
        <v>22</v>
      </c>
      <c r="K83" s="14"/>
      <c r="L83" s="14">
        <f t="shared" si="16"/>
        <v>0</v>
      </c>
      <c r="M83" s="22">
        <f t="shared" si="21"/>
        <v>0</v>
      </c>
      <c r="N83" s="54">
        <f t="shared" si="17"/>
        <v>0</v>
      </c>
      <c r="O83" s="80">
        <f t="shared" si="14"/>
        <v>0</v>
      </c>
      <c r="P83" s="75">
        <f t="shared" si="18"/>
        <v>4.2361111111111113E-2</v>
      </c>
      <c r="Q83" s="126"/>
      <c r="AC83" s="275"/>
      <c r="AD83" s="122"/>
      <c r="AE83" s="275"/>
      <c r="AF83" s="275"/>
      <c r="AG83" s="275"/>
      <c r="AI83" s="131"/>
      <c r="AJ83" s="131"/>
      <c r="AK83" s="131"/>
    </row>
    <row r="84" spans="1:38" ht="30.75" thickBot="1" x14ac:dyDescent="0.3">
      <c r="A84" s="84" t="s">
        <v>185</v>
      </c>
      <c r="B84" s="85">
        <f>B41</f>
        <v>0.16666666666666666</v>
      </c>
      <c r="C84" s="86" t="s">
        <v>198</v>
      </c>
      <c r="D84" s="88">
        <f>B84</f>
        <v>0.16666666666666666</v>
      </c>
      <c r="E84" s="86" t="s">
        <v>222</v>
      </c>
      <c r="F84" s="114">
        <f>D84</f>
        <v>0.16666666666666666</v>
      </c>
      <c r="G84" s="111" t="s">
        <v>10</v>
      </c>
      <c r="H84" s="39">
        <f t="shared" si="15"/>
        <v>210.5</v>
      </c>
      <c r="I84" s="35">
        <f>User_Input!H51</f>
        <v>184.35</v>
      </c>
      <c r="J84" s="56" t="s">
        <v>21</v>
      </c>
      <c r="K84" s="57">
        <f>IF(H84&gt;I84,1,0)</f>
        <v>1</v>
      </c>
      <c r="L84" s="58">
        <f t="shared" si="16"/>
        <v>0</v>
      </c>
      <c r="M84" s="55"/>
      <c r="N84" s="89">
        <f t="shared" si="17"/>
        <v>1</v>
      </c>
      <c r="O84" s="81">
        <f t="shared" si="14"/>
        <v>0.16666666666666666</v>
      </c>
      <c r="P84" s="75">
        <f t="shared" si="18"/>
        <v>8.4722222222222227E-2</v>
      </c>
      <c r="Q84" s="126">
        <f>P$90*B84</f>
        <v>8.4722222222222213E-2</v>
      </c>
      <c r="AC84" s="275"/>
      <c r="AD84" s="122"/>
      <c r="AE84" s="275"/>
      <c r="AF84" s="275"/>
      <c r="AG84" s="275"/>
      <c r="AI84" s="131"/>
      <c r="AJ84" s="131"/>
      <c r="AK84" s="131"/>
    </row>
    <row r="85" spans="1:38" ht="15" x14ac:dyDescent="0.25">
      <c r="A85" s="13"/>
      <c r="B85" s="13"/>
      <c r="C85" s="13"/>
      <c r="D85" s="13"/>
      <c r="E85" s="16"/>
      <c r="F85" s="355">
        <f>MAX(F55:F84)</f>
        <v>0.16666666666666666</v>
      </c>
      <c r="G85" s="17"/>
      <c r="H85" s="16"/>
      <c r="I85" s="17"/>
      <c r="J85" s="17"/>
      <c r="K85" s="17"/>
      <c r="L85" s="17"/>
      <c r="M85" s="17"/>
      <c r="N85" s="18"/>
      <c r="O85" s="362"/>
      <c r="P85" s="18"/>
      <c r="Q85" s="18"/>
      <c r="AC85" s="123"/>
      <c r="AD85" s="279"/>
      <c r="AE85" s="123"/>
      <c r="AF85" s="123"/>
      <c r="AG85" s="123"/>
      <c r="AI85" s="131"/>
      <c r="AJ85" s="131"/>
      <c r="AK85" s="131"/>
      <c r="AL85" s="124"/>
    </row>
    <row r="86" spans="1:38" ht="15" x14ac:dyDescent="0.25">
      <c r="A86" s="15"/>
      <c r="B86" s="69"/>
      <c r="C86" s="15"/>
      <c r="D86" s="15"/>
      <c r="E86" s="18"/>
      <c r="F86" s="73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AC86" s="123"/>
      <c r="AD86" s="279"/>
      <c r="AE86" s="123"/>
      <c r="AF86" s="123"/>
      <c r="AG86" s="123"/>
      <c r="AI86" s="131"/>
      <c r="AJ86" s="131"/>
      <c r="AK86" s="131"/>
      <c r="AL86" s="124"/>
    </row>
    <row r="87" spans="1:38" ht="15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AC87" s="275"/>
      <c r="AD87" s="122"/>
      <c r="AE87" s="275"/>
      <c r="AF87" s="275"/>
      <c r="AG87" s="275"/>
      <c r="AI87" s="131"/>
      <c r="AJ87" s="131"/>
      <c r="AK87" s="131"/>
    </row>
    <row r="88" spans="1:38" ht="15" x14ac:dyDescent="0.25">
      <c r="C88" s="11"/>
      <c r="D88" s="11"/>
      <c r="E88" s="11"/>
      <c r="F88" s="11"/>
      <c r="G88" s="7"/>
      <c r="H88" s="11"/>
      <c r="I88" s="7"/>
      <c r="J88" s="7"/>
      <c r="K88" s="7"/>
      <c r="L88" s="7"/>
      <c r="M88" s="7"/>
      <c r="N88" s="7"/>
      <c r="O88" s="7"/>
      <c r="P88" s="6"/>
      <c r="AC88" s="275"/>
      <c r="AD88" s="122"/>
      <c r="AE88" s="275"/>
      <c r="AF88" s="275"/>
      <c r="AG88" s="275"/>
      <c r="AI88" s="131"/>
      <c r="AJ88" s="131"/>
      <c r="AK88" s="131"/>
    </row>
    <row r="89" spans="1:38" ht="15" x14ac:dyDescent="0.25">
      <c r="N89" s="60" t="s">
        <v>106</v>
      </c>
      <c r="O89" s="129">
        <f>SUM(O55:O85)</f>
        <v>0.50833333333333341</v>
      </c>
      <c r="P89" s="18"/>
      <c r="Q89" s="17"/>
      <c r="AC89" s="275"/>
      <c r="AD89" s="122"/>
      <c r="AE89" s="275"/>
      <c r="AF89" s="275"/>
      <c r="AG89" s="275"/>
      <c r="AI89" s="131"/>
      <c r="AJ89" s="131"/>
      <c r="AK89" s="131"/>
    </row>
    <row r="90" spans="1:38" ht="15" x14ac:dyDescent="0.25">
      <c r="N90" s="18"/>
      <c r="O90" s="61" t="s">
        <v>107</v>
      </c>
      <c r="P90" s="61">
        <f>SUM(P55:P84)</f>
        <v>0.5083333333333333</v>
      </c>
      <c r="Q90" s="18"/>
      <c r="AC90" s="275"/>
      <c r="AD90" s="122"/>
      <c r="AE90" s="275"/>
      <c r="AF90" s="275"/>
      <c r="AG90" s="275"/>
      <c r="AI90" s="131"/>
      <c r="AJ90" s="131"/>
      <c r="AK90" s="131"/>
    </row>
    <row r="91" spans="1:38" ht="15" x14ac:dyDescent="0.25">
      <c r="N91" s="18"/>
      <c r="O91" s="18"/>
      <c r="P91" s="62" t="s">
        <v>108</v>
      </c>
      <c r="Q91" s="83">
        <f>SUM(Q55:Q84)</f>
        <v>0.5083333333333333</v>
      </c>
      <c r="AC91" s="123"/>
      <c r="AD91" s="280"/>
      <c r="AE91" s="123"/>
      <c r="AF91" s="123"/>
      <c r="AG91" s="123"/>
      <c r="AI91" s="131"/>
      <c r="AJ91" s="131"/>
      <c r="AK91" s="131"/>
      <c r="AL91" s="124"/>
    </row>
    <row r="92" spans="1:38" ht="15" x14ac:dyDescent="0.25">
      <c r="AC92" s="275"/>
      <c r="AD92" s="122"/>
      <c r="AE92" s="275"/>
      <c r="AF92" s="275"/>
      <c r="AG92" s="275"/>
      <c r="AI92" s="131"/>
      <c r="AJ92" s="131"/>
      <c r="AK92" s="131"/>
    </row>
    <row r="93" spans="1:38" ht="15" x14ac:dyDescent="0.25">
      <c r="N93" s="18"/>
      <c r="O93" s="18"/>
      <c r="P93" s="127"/>
      <c r="Q93" s="128"/>
      <c r="AC93" s="275"/>
      <c r="AD93" s="279"/>
      <c r="AE93" s="275"/>
      <c r="AF93" s="275"/>
      <c r="AG93" s="275"/>
      <c r="AI93" s="131"/>
      <c r="AJ93" s="131"/>
      <c r="AK93" s="131"/>
    </row>
    <row r="94" spans="1:38" ht="15" x14ac:dyDescent="0.25">
      <c r="N94" s="18"/>
      <c r="O94" s="18"/>
      <c r="P94" s="127"/>
      <c r="Q94" s="128"/>
      <c r="AC94" s="275"/>
      <c r="AD94" s="279"/>
      <c r="AE94" s="275"/>
      <c r="AF94" s="275"/>
      <c r="AG94" s="275"/>
      <c r="AI94" s="131"/>
      <c r="AJ94" s="131"/>
      <c r="AK94" s="131"/>
    </row>
    <row r="95" spans="1:38" ht="15" x14ac:dyDescent="0.25">
      <c r="A95" s="4"/>
      <c r="N95" s="18"/>
      <c r="O95" s="18"/>
      <c r="P95" s="127"/>
      <c r="Q95" s="128"/>
      <c r="AC95" s="123"/>
      <c r="AD95" s="279"/>
      <c r="AE95" s="123"/>
      <c r="AF95" s="123"/>
      <c r="AG95" s="123"/>
      <c r="AI95" s="131"/>
      <c r="AJ95" s="131"/>
      <c r="AK95" s="131"/>
      <c r="AL95" s="124"/>
    </row>
    <row r="96" spans="1:38" ht="15" x14ac:dyDescent="0.25">
      <c r="A96" s="4" t="s">
        <v>124</v>
      </c>
      <c r="N96" s="18"/>
      <c r="O96" s="18"/>
      <c r="P96" s="127"/>
      <c r="Q96" s="128"/>
      <c r="AC96" s="123"/>
      <c r="AD96" s="279"/>
      <c r="AE96" s="123"/>
      <c r="AF96" s="123"/>
      <c r="AG96" s="123"/>
      <c r="AI96" s="131"/>
      <c r="AJ96" s="131"/>
      <c r="AK96" s="131"/>
      <c r="AL96" s="124"/>
    </row>
    <row r="97" spans="1:38" ht="15" x14ac:dyDescent="0.25">
      <c r="X97" s="124"/>
      <c r="AC97" s="123"/>
      <c r="AD97" s="279"/>
      <c r="AE97" s="123"/>
      <c r="AF97" s="123"/>
      <c r="AG97" s="123"/>
      <c r="AI97" s="131"/>
      <c r="AJ97" s="131"/>
      <c r="AK97" s="131"/>
      <c r="AL97" s="124"/>
    </row>
    <row r="98" spans="1:38" ht="15" x14ac:dyDescent="0.25">
      <c r="A98" s="3" t="s">
        <v>100</v>
      </c>
      <c r="B98" s="3" t="s">
        <v>19</v>
      </c>
      <c r="C98" s="3" t="s">
        <v>176</v>
      </c>
      <c r="D98" s="3" t="s">
        <v>19</v>
      </c>
      <c r="E98" s="3" t="s">
        <v>0</v>
      </c>
      <c r="F98" s="8" t="s">
        <v>19</v>
      </c>
      <c r="G98" s="115" t="s">
        <v>1</v>
      </c>
      <c r="H98" s="8" t="s">
        <v>94</v>
      </c>
      <c r="I98" s="12" t="s">
        <v>31</v>
      </c>
      <c r="J98" s="12" t="s">
        <v>20</v>
      </c>
      <c r="K98" s="546" t="s">
        <v>224</v>
      </c>
      <c r="L98" s="546"/>
      <c r="M98" s="546"/>
      <c r="N98" s="546"/>
      <c r="O98" s="12" t="s">
        <v>119</v>
      </c>
      <c r="P98" s="12" t="s">
        <v>120</v>
      </c>
      <c r="Q98" s="12" t="s">
        <v>121</v>
      </c>
      <c r="AC98" s="123"/>
      <c r="AD98" s="279"/>
      <c r="AE98" s="123"/>
      <c r="AF98" s="123"/>
      <c r="AG98" s="123"/>
      <c r="AI98" s="131"/>
      <c r="AJ98" s="131"/>
      <c r="AK98" s="131"/>
      <c r="AL98" s="124"/>
    </row>
    <row r="99" spans="1:38" ht="15.75" thickBot="1" x14ac:dyDescent="0.3">
      <c r="A99" s="26" t="s">
        <v>102</v>
      </c>
      <c r="B99" s="26" t="s">
        <v>103</v>
      </c>
      <c r="C99" s="26" t="s">
        <v>23</v>
      </c>
      <c r="D99" s="26" t="s">
        <v>24</v>
      </c>
      <c r="E99" s="31" t="s">
        <v>25</v>
      </c>
      <c r="F99" s="32" t="s">
        <v>29</v>
      </c>
      <c r="G99" s="32" t="s">
        <v>26</v>
      </c>
      <c r="H99" s="32" t="s">
        <v>27</v>
      </c>
      <c r="I99" s="32" t="s">
        <v>32</v>
      </c>
      <c r="J99" s="32" t="s">
        <v>28</v>
      </c>
      <c r="K99" s="33" t="s">
        <v>93</v>
      </c>
      <c r="L99" s="33" t="s">
        <v>95</v>
      </c>
      <c r="M99" s="33" t="s">
        <v>96</v>
      </c>
      <c r="N99" s="33" t="s">
        <v>104</v>
      </c>
      <c r="O99" s="32" t="s">
        <v>34</v>
      </c>
      <c r="P99" s="32" t="s">
        <v>35</v>
      </c>
      <c r="Q99" s="32" t="s">
        <v>105</v>
      </c>
      <c r="AC99" s="123"/>
      <c r="AD99" s="279"/>
      <c r="AE99" s="123"/>
      <c r="AF99" s="123"/>
      <c r="AG99" s="123"/>
      <c r="AI99" s="131"/>
      <c r="AJ99" s="131"/>
      <c r="AK99" s="131"/>
      <c r="AL99" s="124"/>
    </row>
    <row r="100" spans="1:38" ht="15.75" thickBot="1" x14ac:dyDescent="0.3">
      <c r="A100" s="319" t="s">
        <v>180</v>
      </c>
      <c r="B100" s="70">
        <f>SUM(D100:D104)</f>
        <v>0.21739130434782608</v>
      </c>
      <c r="C100" s="63" t="s">
        <v>165</v>
      </c>
      <c r="D100" s="67">
        <f>1/B$3</f>
        <v>4.3478260869565216E-2</v>
      </c>
      <c r="E100" s="96" t="s">
        <v>170</v>
      </c>
      <c r="F100" s="112">
        <f>D100</f>
        <v>4.3478260869565216E-2</v>
      </c>
      <c r="G100" s="91" t="s">
        <v>5</v>
      </c>
      <c r="H100" s="39">
        <f>H12</f>
        <v>28.5</v>
      </c>
      <c r="I100" s="35">
        <f>User_Input!H22</f>
        <v>19.399999999999999</v>
      </c>
      <c r="J100" s="36" t="s">
        <v>21</v>
      </c>
      <c r="K100" s="36">
        <f>IF(H100&gt;I100,1,0)</f>
        <v>1</v>
      </c>
      <c r="L100" s="35">
        <f>IF(H100=I100,0.5,0)</f>
        <v>0</v>
      </c>
      <c r="M100" s="35"/>
      <c r="N100" s="37">
        <f>SUM(K100:M100)</f>
        <v>1</v>
      </c>
      <c r="O100" s="74">
        <f t="shared" ref="O100:O129" si="23">N100*F100</f>
        <v>4.3478260869565216E-2</v>
      </c>
      <c r="P100" s="75">
        <f>O$134*D100</f>
        <v>1.8903591682419656E-2</v>
      </c>
      <c r="Q100" s="116">
        <f>P$135*B100</f>
        <v>9.4517958412098299E-2</v>
      </c>
      <c r="AC100" s="123"/>
      <c r="AD100" s="279"/>
      <c r="AE100" s="123"/>
      <c r="AF100" s="123"/>
      <c r="AG100" s="123"/>
      <c r="AI100" s="131"/>
      <c r="AJ100" s="131"/>
      <c r="AK100" s="131"/>
      <c r="AL100" s="124"/>
    </row>
    <row r="101" spans="1:38" ht="16.5" thickTop="1" thickBot="1" x14ac:dyDescent="0.3">
      <c r="A101" s="320"/>
      <c r="B101" s="71"/>
      <c r="C101" s="64" t="s">
        <v>166</v>
      </c>
      <c r="D101" s="67">
        <f>1/B$3</f>
        <v>4.3478260869565216E-2</v>
      </c>
      <c r="E101" s="97" t="s">
        <v>171</v>
      </c>
      <c r="F101" s="113">
        <f>D101</f>
        <v>4.3478260869565216E-2</v>
      </c>
      <c r="G101" s="92" t="s">
        <v>2</v>
      </c>
      <c r="H101" s="39">
        <f t="shared" ref="H101:H129" si="24">H13</f>
        <v>4.9000000000000004</v>
      </c>
      <c r="I101" s="35">
        <f>User_Input!H23</f>
        <v>6.6000000000000005</v>
      </c>
      <c r="J101" s="40" t="s">
        <v>22</v>
      </c>
      <c r="K101" s="5"/>
      <c r="L101" s="5">
        <f t="shared" ref="L101:L129" si="25">IF(H101=I101,0.5,0)</f>
        <v>0</v>
      </c>
      <c r="M101" s="41">
        <f>IF(H101&lt;I101,1,0)</f>
        <v>1</v>
      </c>
      <c r="N101" s="19">
        <f t="shared" ref="N101:N129" si="26">SUM(K101:M101)</f>
        <v>1</v>
      </c>
      <c r="O101" s="76">
        <f t="shared" si="23"/>
        <v>4.3478260869565216E-2</v>
      </c>
      <c r="P101" s="75">
        <f t="shared" ref="P101:P129" si="27">O$134*D101</f>
        <v>1.8903591682419656E-2</v>
      </c>
      <c r="Q101" s="126">
        <f t="shared" ref="Q101:Q129" si="28">P$135*B101</f>
        <v>0</v>
      </c>
      <c r="AC101" s="123"/>
      <c r="AD101" s="279"/>
      <c r="AE101" s="123"/>
      <c r="AF101" s="123"/>
      <c r="AG101" s="123"/>
      <c r="AI101" s="131"/>
      <c r="AJ101" s="131"/>
      <c r="AK101" s="131"/>
      <c r="AL101" s="124"/>
    </row>
    <row r="102" spans="1:38" ht="15" customHeight="1" thickTop="1" thickBot="1" x14ac:dyDescent="0.3">
      <c r="A102" s="320"/>
      <c r="B102" s="71"/>
      <c r="C102" s="65" t="s">
        <v>167</v>
      </c>
      <c r="D102" s="67">
        <f>1/B$3</f>
        <v>4.3478260869565216E-2</v>
      </c>
      <c r="E102" s="97" t="s">
        <v>172</v>
      </c>
      <c r="F102" s="113">
        <f>D102</f>
        <v>4.3478260869565216E-2</v>
      </c>
      <c r="G102" s="93" t="s">
        <v>3</v>
      </c>
      <c r="H102" s="39">
        <f t="shared" si="24"/>
        <v>3</v>
      </c>
      <c r="I102" s="35">
        <f>User_Input!H24</f>
        <v>3.25</v>
      </c>
      <c r="J102" s="27" t="s">
        <v>21</v>
      </c>
      <c r="K102" s="27">
        <f>IF(H102&gt;I102,1,0)</f>
        <v>0</v>
      </c>
      <c r="L102" s="5">
        <f t="shared" si="25"/>
        <v>0</v>
      </c>
      <c r="M102" s="1"/>
      <c r="N102" s="19">
        <f t="shared" si="26"/>
        <v>0</v>
      </c>
      <c r="O102" s="76">
        <f t="shared" si="23"/>
        <v>0</v>
      </c>
      <c r="P102" s="75">
        <f t="shared" si="27"/>
        <v>1.8903591682419656E-2</v>
      </c>
      <c r="Q102" s="126">
        <f t="shared" si="28"/>
        <v>0</v>
      </c>
      <c r="AC102" s="123"/>
      <c r="AD102" s="279"/>
      <c r="AE102" s="123"/>
      <c r="AF102" s="123"/>
      <c r="AG102" s="123"/>
      <c r="AI102" s="131"/>
      <c r="AJ102" s="131"/>
      <c r="AK102" s="131"/>
      <c r="AL102" s="124"/>
    </row>
    <row r="103" spans="1:38" ht="18" customHeight="1" thickBot="1" x14ac:dyDescent="0.3">
      <c r="A103" s="320"/>
      <c r="B103" s="71"/>
      <c r="C103" s="65" t="s">
        <v>168</v>
      </c>
      <c r="D103" s="67">
        <f>1/B$3</f>
        <v>4.3478260869565216E-2</v>
      </c>
      <c r="E103" s="97" t="s">
        <v>173</v>
      </c>
      <c r="F103" s="113">
        <f>D103</f>
        <v>4.3478260869565216E-2</v>
      </c>
      <c r="G103" s="93" t="s">
        <v>16</v>
      </c>
      <c r="H103" s="39">
        <f t="shared" si="24"/>
        <v>844</v>
      </c>
      <c r="I103" s="35">
        <f>User_Input!H25</f>
        <v>762</v>
      </c>
      <c r="J103" s="27" t="s">
        <v>21</v>
      </c>
      <c r="K103" s="27">
        <f>IF(H103&gt;I103,1,0)</f>
        <v>1</v>
      </c>
      <c r="L103" s="5">
        <f t="shared" si="25"/>
        <v>0</v>
      </c>
      <c r="M103" s="1"/>
      <c r="N103" s="19">
        <f t="shared" si="26"/>
        <v>1</v>
      </c>
      <c r="O103" s="76">
        <f t="shared" si="23"/>
        <v>4.3478260869565216E-2</v>
      </c>
      <c r="P103" s="75">
        <f t="shared" si="27"/>
        <v>1.8903591682419656E-2</v>
      </c>
      <c r="Q103" s="126">
        <f t="shared" si="28"/>
        <v>0</v>
      </c>
      <c r="AC103" s="276"/>
      <c r="AD103" s="125"/>
      <c r="AE103" s="276"/>
      <c r="AF103" s="276"/>
      <c r="AG103" s="276"/>
      <c r="AI103" s="131"/>
      <c r="AJ103" s="131"/>
      <c r="AK103" s="131"/>
    </row>
    <row r="104" spans="1:38" ht="16.5" thickTop="1" thickBot="1" x14ac:dyDescent="0.3">
      <c r="A104" s="320"/>
      <c r="B104" s="71"/>
      <c r="C104" s="322" t="s">
        <v>169</v>
      </c>
      <c r="D104" s="67">
        <f>1/B$3</f>
        <v>4.3478260869565216E-2</v>
      </c>
      <c r="E104" s="98" t="s">
        <v>174</v>
      </c>
      <c r="F104" s="113">
        <f>D$104/2</f>
        <v>2.1739130434782608E-2</v>
      </c>
      <c r="G104" s="94" t="s">
        <v>4</v>
      </c>
      <c r="H104" s="39">
        <f t="shared" si="24"/>
        <v>93.94</v>
      </c>
      <c r="I104" s="35">
        <f>User_Input!H26</f>
        <v>96.015000000000001</v>
      </c>
      <c r="J104" s="40" t="s">
        <v>22</v>
      </c>
      <c r="K104" s="5"/>
      <c r="L104" s="5">
        <f t="shared" si="25"/>
        <v>0</v>
      </c>
      <c r="M104" s="41">
        <f>IF(H104&lt;I104,1,0)</f>
        <v>1</v>
      </c>
      <c r="N104" s="19">
        <f t="shared" si="26"/>
        <v>1</v>
      </c>
      <c r="O104" s="76">
        <f t="shared" si="23"/>
        <v>2.1739130434782608E-2</v>
      </c>
      <c r="P104" s="75">
        <f t="shared" si="27"/>
        <v>1.8903591682419656E-2</v>
      </c>
      <c r="Q104" s="126">
        <f t="shared" si="28"/>
        <v>0</v>
      </c>
      <c r="AH104" s="282"/>
      <c r="AI104" s="283"/>
      <c r="AJ104" s="283"/>
      <c r="AK104" s="283"/>
    </row>
    <row r="105" spans="1:38" ht="16.5" thickTop="1" thickBot="1" x14ac:dyDescent="0.3">
      <c r="A105" s="321"/>
      <c r="B105" s="72"/>
      <c r="C105" s="323"/>
      <c r="D105" s="68"/>
      <c r="E105" s="99" t="s">
        <v>175</v>
      </c>
      <c r="F105" s="113">
        <f>D$104/2</f>
        <v>2.1739130434782608E-2</v>
      </c>
      <c r="G105" s="95" t="s">
        <v>4</v>
      </c>
      <c r="H105" s="39">
        <f t="shared" si="24"/>
        <v>6.06</v>
      </c>
      <c r="I105" s="35">
        <f>User_Input!H27</f>
        <v>3.9849999999999999</v>
      </c>
      <c r="J105" s="43" t="s">
        <v>21</v>
      </c>
      <c r="K105" s="43">
        <f>IF(H105&gt;I105,1,0)</f>
        <v>1</v>
      </c>
      <c r="L105" s="14">
        <f t="shared" si="25"/>
        <v>0</v>
      </c>
      <c r="M105" s="44"/>
      <c r="N105" s="19">
        <f t="shared" si="26"/>
        <v>1</v>
      </c>
      <c r="O105" s="77">
        <f t="shared" si="23"/>
        <v>2.1739130434782608E-2</v>
      </c>
      <c r="P105" s="75">
        <f t="shared" si="27"/>
        <v>0</v>
      </c>
      <c r="Q105" s="126">
        <f t="shared" si="28"/>
        <v>0</v>
      </c>
      <c r="AH105" s="284"/>
      <c r="AI105" s="285"/>
      <c r="AJ105" s="285"/>
      <c r="AK105" s="285"/>
    </row>
    <row r="106" spans="1:38" ht="15.75" thickBot="1" x14ac:dyDescent="0.3">
      <c r="A106" s="319" t="s">
        <v>181</v>
      </c>
      <c r="B106" s="70">
        <f>SUM(D106:D108)</f>
        <v>0.13043478260869565</v>
      </c>
      <c r="C106" s="45" t="s">
        <v>177</v>
      </c>
      <c r="D106" s="67">
        <f>1/B$3</f>
        <v>4.3478260869565216E-2</v>
      </c>
      <c r="E106" s="100" t="s">
        <v>199</v>
      </c>
      <c r="F106" s="112">
        <f>D106</f>
        <v>4.3478260869565216E-2</v>
      </c>
      <c r="G106" s="103" t="s">
        <v>4</v>
      </c>
      <c r="H106" s="39">
        <f t="shared" si="24"/>
        <v>12.36</v>
      </c>
      <c r="I106" s="35">
        <f>User_Input!H28</f>
        <v>14.709999999999999</v>
      </c>
      <c r="J106" s="46" t="s">
        <v>22</v>
      </c>
      <c r="K106" s="35"/>
      <c r="L106" s="35">
        <f t="shared" si="25"/>
        <v>0</v>
      </c>
      <c r="M106" s="47">
        <f>IF(H106&lt;I106,1,0)</f>
        <v>1</v>
      </c>
      <c r="N106" s="37">
        <f t="shared" si="26"/>
        <v>1</v>
      </c>
      <c r="O106" s="78">
        <f t="shared" si="23"/>
        <v>4.3478260869565216E-2</v>
      </c>
      <c r="P106" s="75">
        <f t="shared" si="27"/>
        <v>1.8903591682419656E-2</v>
      </c>
      <c r="Q106" s="126">
        <f t="shared" si="28"/>
        <v>5.6710775047258986E-2</v>
      </c>
    </row>
    <row r="107" spans="1:38" ht="16.5" thickTop="1" thickBot="1" x14ac:dyDescent="0.3">
      <c r="A107" s="320"/>
      <c r="B107" s="71"/>
      <c r="C107" s="29" t="s">
        <v>178</v>
      </c>
      <c r="D107" s="67">
        <f>1/B$3</f>
        <v>4.3478260869565216E-2</v>
      </c>
      <c r="E107" s="101" t="s">
        <v>200</v>
      </c>
      <c r="F107" s="113">
        <f>D107</f>
        <v>4.3478260869565216E-2</v>
      </c>
      <c r="G107" s="93" t="s">
        <v>4</v>
      </c>
      <c r="H107" s="39">
        <f t="shared" si="24"/>
        <v>0</v>
      </c>
      <c r="I107" s="35">
        <f>User_Input!H29</f>
        <v>2.44</v>
      </c>
      <c r="J107" s="27" t="s">
        <v>21</v>
      </c>
      <c r="K107" s="27">
        <f>IF(H107&gt;I107,1,0)</f>
        <v>0</v>
      </c>
      <c r="L107" s="5">
        <f t="shared" si="25"/>
        <v>0</v>
      </c>
      <c r="M107" s="1"/>
      <c r="N107" s="19">
        <f t="shared" si="26"/>
        <v>0</v>
      </c>
      <c r="O107" s="79">
        <f t="shared" si="23"/>
        <v>0</v>
      </c>
      <c r="P107" s="75">
        <f t="shared" si="27"/>
        <v>1.8903591682419656E-2</v>
      </c>
      <c r="Q107" s="126">
        <f t="shared" si="28"/>
        <v>0</v>
      </c>
      <c r="X107" s="10"/>
    </row>
    <row r="108" spans="1:38" ht="15.75" thickBot="1" x14ac:dyDescent="0.3">
      <c r="A108" s="320"/>
      <c r="B108" s="71"/>
      <c r="C108" s="314" t="s">
        <v>179</v>
      </c>
      <c r="D108" s="67">
        <f>1/B$3</f>
        <v>4.3478260869565216E-2</v>
      </c>
      <c r="E108" s="101" t="s">
        <v>201</v>
      </c>
      <c r="F108" s="113">
        <f>D$108/2</f>
        <v>2.1739130434782608E-2</v>
      </c>
      <c r="G108" s="93" t="s">
        <v>12</v>
      </c>
      <c r="H108" s="39">
        <f t="shared" si="24"/>
        <v>3.92</v>
      </c>
      <c r="I108" s="35">
        <f>User_Input!H30</f>
        <v>1.96</v>
      </c>
      <c r="J108" s="27" t="s">
        <v>21</v>
      </c>
      <c r="K108" s="27">
        <f>IF(H108&gt;I108,1,0)</f>
        <v>1</v>
      </c>
      <c r="L108" s="5">
        <f t="shared" si="25"/>
        <v>0</v>
      </c>
      <c r="M108" s="1"/>
      <c r="N108" s="19">
        <f t="shared" si="26"/>
        <v>1</v>
      </c>
      <c r="O108" s="79">
        <f t="shared" si="23"/>
        <v>2.1739130434782608E-2</v>
      </c>
      <c r="P108" s="75">
        <f t="shared" si="27"/>
        <v>1.8903591682419656E-2</v>
      </c>
      <c r="Q108" s="126">
        <f t="shared" si="28"/>
        <v>0</v>
      </c>
    </row>
    <row r="109" spans="1:38" ht="15.75" thickBot="1" x14ac:dyDescent="0.3">
      <c r="A109" s="321"/>
      <c r="B109" s="72"/>
      <c r="C109" s="315"/>
      <c r="D109" s="66"/>
      <c r="E109" s="102" t="s">
        <v>202</v>
      </c>
      <c r="F109" s="113">
        <f>D$108/2</f>
        <v>2.1739130434782608E-2</v>
      </c>
      <c r="G109" s="95" t="s">
        <v>12</v>
      </c>
      <c r="H109" s="39">
        <f t="shared" si="24"/>
        <v>0.96</v>
      </c>
      <c r="I109" s="35">
        <f>User_Input!H31</f>
        <v>1.35</v>
      </c>
      <c r="J109" s="43" t="s">
        <v>21</v>
      </c>
      <c r="K109" s="43">
        <f>IF(H109&gt;I109,1,0)</f>
        <v>0</v>
      </c>
      <c r="L109" s="14">
        <f t="shared" si="25"/>
        <v>0</v>
      </c>
      <c r="M109" s="44"/>
      <c r="N109" s="19">
        <f t="shared" si="26"/>
        <v>0</v>
      </c>
      <c r="O109" s="80">
        <f t="shared" si="23"/>
        <v>0</v>
      </c>
      <c r="P109" s="75">
        <f t="shared" si="27"/>
        <v>0</v>
      </c>
      <c r="Q109" s="126">
        <f t="shared" si="28"/>
        <v>0</v>
      </c>
    </row>
    <row r="110" spans="1:38" ht="30.75" thickBot="1" x14ac:dyDescent="0.3">
      <c r="A110" s="319" t="s">
        <v>182</v>
      </c>
      <c r="B110" s="70">
        <f>SUM(D110:D113)</f>
        <v>0.17391304347826086</v>
      </c>
      <c r="C110" s="34" t="s">
        <v>186</v>
      </c>
      <c r="D110" s="67">
        <f>1/B$3</f>
        <v>4.3478260869565216E-2</v>
      </c>
      <c r="E110" s="104" t="s">
        <v>203</v>
      </c>
      <c r="F110" s="112">
        <f>D110</f>
        <v>4.3478260869565216E-2</v>
      </c>
      <c r="G110" s="91" t="s">
        <v>4</v>
      </c>
      <c r="H110" s="39">
        <f t="shared" si="24"/>
        <v>44</v>
      </c>
      <c r="I110" s="35">
        <f>User_Input!H32</f>
        <v>27.5</v>
      </c>
      <c r="J110" s="36" t="s">
        <v>21</v>
      </c>
      <c r="K110" s="36">
        <f>IF(H110&gt;I110,1,0)</f>
        <v>1</v>
      </c>
      <c r="L110" s="35">
        <f t="shared" si="25"/>
        <v>0</v>
      </c>
      <c r="M110" s="49"/>
      <c r="N110" s="37">
        <f t="shared" si="26"/>
        <v>1</v>
      </c>
      <c r="O110" s="78">
        <f t="shared" si="23"/>
        <v>4.3478260869565216E-2</v>
      </c>
      <c r="P110" s="75">
        <f t="shared" si="27"/>
        <v>1.8903591682419656E-2</v>
      </c>
      <c r="Q110" s="126">
        <f t="shared" si="28"/>
        <v>7.5614366729678639E-2</v>
      </c>
    </row>
    <row r="111" spans="1:38" ht="31.5" thickTop="1" thickBot="1" x14ac:dyDescent="0.3">
      <c r="A111" s="320"/>
      <c r="B111" s="71"/>
      <c r="C111" s="30" t="s">
        <v>187</v>
      </c>
      <c r="D111" s="67">
        <f>1/B$3</f>
        <v>4.3478260869565216E-2</v>
      </c>
      <c r="E111" s="101" t="s">
        <v>204</v>
      </c>
      <c r="F111" s="113">
        <f>D111</f>
        <v>4.3478260869565216E-2</v>
      </c>
      <c r="G111" s="94" t="s">
        <v>12</v>
      </c>
      <c r="H111" s="39">
        <f t="shared" si="24"/>
        <v>0.4</v>
      </c>
      <c r="I111" s="35">
        <f>User_Input!H33</f>
        <v>0.55000000000000004</v>
      </c>
      <c r="J111" s="40" t="s">
        <v>22</v>
      </c>
      <c r="K111" s="5"/>
      <c r="L111" s="5">
        <f t="shared" si="25"/>
        <v>0</v>
      </c>
      <c r="M111" s="41">
        <f>IF(H111&lt;I111,1,0)</f>
        <v>1</v>
      </c>
      <c r="N111" s="19">
        <f t="shared" si="26"/>
        <v>1</v>
      </c>
      <c r="O111" s="79">
        <f t="shared" si="23"/>
        <v>4.3478260869565216E-2</v>
      </c>
      <c r="P111" s="75">
        <f t="shared" si="27"/>
        <v>1.8903591682419656E-2</v>
      </c>
      <c r="Q111" s="126">
        <f t="shared" si="28"/>
        <v>0</v>
      </c>
    </row>
    <row r="112" spans="1:38" ht="31.5" thickTop="1" thickBot="1" x14ac:dyDescent="0.3">
      <c r="A112" s="320"/>
      <c r="B112" s="71"/>
      <c r="C112" s="30" t="s">
        <v>188</v>
      </c>
      <c r="D112" s="67">
        <f>1/B$3</f>
        <v>4.3478260869565216E-2</v>
      </c>
      <c r="E112" s="101" t="s">
        <v>205</v>
      </c>
      <c r="F112" s="113">
        <f>D112</f>
        <v>4.3478260869565216E-2</v>
      </c>
      <c r="G112" s="94" t="s">
        <v>12</v>
      </c>
      <c r="H112" s="39">
        <f t="shared" si="24"/>
        <v>1.6</v>
      </c>
      <c r="I112" s="35">
        <f>User_Input!H34</f>
        <v>1.55</v>
      </c>
      <c r="J112" s="40" t="s">
        <v>22</v>
      </c>
      <c r="K112" s="5"/>
      <c r="L112" s="5">
        <f t="shared" si="25"/>
        <v>0</v>
      </c>
      <c r="M112" s="22">
        <f>IF(H112&lt;I112,1,0)</f>
        <v>0</v>
      </c>
      <c r="N112" s="19">
        <f t="shared" si="26"/>
        <v>0</v>
      </c>
      <c r="O112" s="79">
        <f t="shared" si="23"/>
        <v>0</v>
      </c>
      <c r="P112" s="75">
        <f t="shared" si="27"/>
        <v>1.8903591682419656E-2</v>
      </c>
      <c r="Q112" s="126">
        <f t="shared" si="28"/>
        <v>0</v>
      </c>
      <c r="AJ112" s="286"/>
    </row>
    <row r="113" spans="1:36" ht="16.5" thickTop="1" thickBot="1" x14ac:dyDescent="0.3">
      <c r="A113" s="320"/>
      <c r="B113" s="71"/>
      <c r="C113" s="314" t="s">
        <v>223</v>
      </c>
      <c r="D113" s="67">
        <f>1/B$3</f>
        <v>4.3478260869565216E-2</v>
      </c>
      <c r="E113" s="105" t="s">
        <v>206</v>
      </c>
      <c r="F113" s="113">
        <f>D$113/2</f>
        <v>2.1739130434782608E-2</v>
      </c>
      <c r="G113" s="93" t="s">
        <v>5</v>
      </c>
      <c r="H113" s="39">
        <f t="shared" si="24"/>
        <v>8.9999999999999998E-4</v>
      </c>
      <c r="I113" s="35">
        <f>User_Input!H35</f>
        <v>5.4500000000000009E-3</v>
      </c>
      <c r="J113" s="27" t="s">
        <v>21</v>
      </c>
      <c r="K113" s="27">
        <f>IF(H113&gt;I113,1,0)</f>
        <v>0</v>
      </c>
      <c r="L113" s="5">
        <f t="shared" si="25"/>
        <v>0</v>
      </c>
      <c r="M113" s="1"/>
      <c r="N113" s="19">
        <f t="shared" si="26"/>
        <v>0</v>
      </c>
      <c r="O113" s="79">
        <f t="shared" si="23"/>
        <v>0</v>
      </c>
      <c r="P113" s="75">
        <f t="shared" si="27"/>
        <v>1.8903591682419656E-2</v>
      </c>
      <c r="Q113" s="126">
        <f t="shared" si="28"/>
        <v>0</v>
      </c>
      <c r="AJ113" s="286"/>
    </row>
    <row r="114" spans="1:36" ht="15.75" thickBot="1" x14ac:dyDescent="0.3">
      <c r="A114" s="321"/>
      <c r="B114" s="72"/>
      <c r="C114" s="315"/>
      <c r="D114" s="66"/>
      <c r="E114" s="106" t="s">
        <v>207</v>
      </c>
      <c r="F114" s="113">
        <f>D$113/2</f>
        <v>2.1739130434782608E-2</v>
      </c>
      <c r="G114" s="95" t="s">
        <v>5</v>
      </c>
      <c r="H114" s="39">
        <f t="shared" si="24"/>
        <v>6.3999999999999997E-5</v>
      </c>
      <c r="I114" s="35">
        <f>User_Input!H36</f>
        <v>4.8200000000000001E-4</v>
      </c>
      <c r="J114" s="43" t="s">
        <v>21</v>
      </c>
      <c r="K114" s="43">
        <f>IF(H114&gt;I114,1,0)</f>
        <v>0</v>
      </c>
      <c r="L114" s="14">
        <f t="shared" si="25"/>
        <v>0</v>
      </c>
      <c r="M114" s="44"/>
      <c r="N114" s="19">
        <f t="shared" si="26"/>
        <v>0</v>
      </c>
      <c r="O114" s="80">
        <f t="shared" si="23"/>
        <v>0</v>
      </c>
      <c r="P114" s="75">
        <f t="shared" si="27"/>
        <v>0</v>
      </c>
      <c r="Q114" s="126">
        <f t="shared" si="28"/>
        <v>0</v>
      </c>
    </row>
    <row r="115" spans="1:36" ht="15.75" thickBot="1" x14ac:dyDescent="0.3">
      <c r="A115" s="319" t="s">
        <v>183</v>
      </c>
      <c r="B115" s="70">
        <f>SUM(D115:D122)</f>
        <v>0.34782608695652173</v>
      </c>
      <c r="C115" s="34" t="s">
        <v>189</v>
      </c>
      <c r="D115" s="67">
        <f>1/B$3</f>
        <v>4.3478260869565216E-2</v>
      </c>
      <c r="E115" s="107" t="s">
        <v>208</v>
      </c>
      <c r="F115" s="112">
        <f>D115</f>
        <v>4.3478260869565216E-2</v>
      </c>
      <c r="G115" s="91" t="s">
        <v>7</v>
      </c>
      <c r="H115" s="39">
        <f t="shared" si="24"/>
        <v>46</v>
      </c>
      <c r="I115" s="35">
        <f>User_Input!H37</f>
        <v>54.5</v>
      </c>
      <c r="J115" s="36" t="s">
        <v>21</v>
      </c>
      <c r="K115" s="36">
        <f>IF(H115&gt;I115,1,0)</f>
        <v>0</v>
      </c>
      <c r="L115" s="35">
        <f t="shared" si="25"/>
        <v>0</v>
      </c>
      <c r="M115" s="49"/>
      <c r="N115" s="37">
        <f t="shared" si="26"/>
        <v>0</v>
      </c>
      <c r="O115" s="78">
        <f t="shared" si="23"/>
        <v>0</v>
      </c>
      <c r="P115" s="75">
        <f t="shared" si="27"/>
        <v>1.8903591682419656E-2</v>
      </c>
      <c r="Q115" s="126">
        <f t="shared" si="28"/>
        <v>0.15122873345935728</v>
      </c>
    </row>
    <row r="116" spans="1:36" ht="15.75" thickBot="1" x14ac:dyDescent="0.3">
      <c r="A116" s="320"/>
      <c r="B116" s="71"/>
      <c r="C116" s="29" t="s">
        <v>190</v>
      </c>
      <c r="D116" s="67">
        <f t="shared" ref="D116:D122" si="29">1/B$3</f>
        <v>4.3478260869565216E-2</v>
      </c>
      <c r="E116" s="105" t="s">
        <v>209</v>
      </c>
      <c r="F116" s="113">
        <f t="shared" ref="F116:F121" si="30">D116</f>
        <v>4.3478260869565216E-2</v>
      </c>
      <c r="G116" s="93" t="s">
        <v>15</v>
      </c>
      <c r="H116" s="39">
        <f t="shared" si="24"/>
        <v>3.72</v>
      </c>
      <c r="I116" s="35">
        <f>User_Input!H38</f>
        <v>3.7300000000000004</v>
      </c>
      <c r="J116" s="27" t="s">
        <v>21</v>
      </c>
      <c r="K116" s="27">
        <f>IF(H116&gt;I116,1,0)</f>
        <v>0</v>
      </c>
      <c r="L116" s="5">
        <f t="shared" si="25"/>
        <v>0</v>
      </c>
      <c r="M116" s="1"/>
      <c r="N116" s="19">
        <f t="shared" si="26"/>
        <v>0</v>
      </c>
      <c r="O116" s="79">
        <f t="shared" si="23"/>
        <v>0</v>
      </c>
      <c r="P116" s="75">
        <f t="shared" si="27"/>
        <v>1.8903591682419656E-2</v>
      </c>
      <c r="Q116" s="126">
        <f t="shared" si="28"/>
        <v>0</v>
      </c>
    </row>
    <row r="117" spans="1:36" ht="31.5" thickTop="1" thickBot="1" x14ac:dyDescent="0.3">
      <c r="A117" s="320"/>
      <c r="B117" s="71"/>
      <c r="C117" s="30" t="s">
        <v>191</v>
      </c>
      <c r="D117" s="67">
        <f t="shared" si="29"/>
        <v>4.3478260869565216E-2</v>
      </c>
      <c r="E117" s="101" t="s">
        <v>210</v>
      </c>
      <c r="F117" s="113">
        <f t="shared" si="30"/>
        <v>4.3478260869565216E-2</v>
      </c>
      <c r="G117" s="108" t="s">
        <v>6</v>
      </c>
      <c r="H117" s="39">
        <f t="shared" si="24"/>
        <v>37.700000000000003</v>
      </c>
      <c r="I117" s="35">
        <f>User_Input!H39</f>
        <v>34.545000000000002</v>
      </c>
      <c r="J117" s="40" t="s">
        <v>22</v>
      </c>
      <c r="K117" s="5"/>
      <c r="L117" s="5">
        <f t="shared" si="25"/>
        <v>0</v>
      </c>
      <c r="M117" s="24">
        <f>IF(H117&lt;I117,1,0)</f>
        <v>0</v>
      </c>
      <c r="N117" s="19">
        <f t="shared" si="26"/>
        <v>0</v>
      </c>
      <c r="O117" s="79">
        <f t="shared" si="23"/>
        <v>0</v>
      </c>
      <c r="P117" s="75">
        <f t="shared" si="27"/>
        <v>1.8903591682419656E-2</v>
      </c>
      <c r="Q117" s="126">
        <f t="shared" si="28"/>
        <v>0</v>
      </c>
    </row>
    <row r="118" spans="1:36" ht="16.5" thickTop="1" thickBot="1" x14ac:dyDescent="0.3">
      <c r="A118" s="320"/>
      <c r="B118" s="71"/>
      <c r="C118" s="29" t="s">
        <v>225</v>
      </c>
      <c r="D118" s="67">
        <f t="shared" si="29"/>
        <v>4.3478260869565216E-2</v>
      </c>
      <c r="E118" s="105" t="s">
        <v>211</v>
      </c>
      <c r="F118" s="113">
        <f t="shared" si="30"/>
        <v>4.3478260869565216E-2</v>
      </c>
      <c r="G118" s="93" t="s">
        <v>4</v>
      </c>
      <c r="H118" s="39">
        <f t="shared" si="24"/>
        <v>68</v>
      </c>
      <c r="I118" s="35">
        <f>User_Input!H40</f>
        <v>65.5</v>
      </c>
      <c r="J118" s="27" t="s">
        <v>21</v>
      </c>
      <c r="K118" s="27">
        <f>IF(H118&gt;I118,1,0)</f>
        <v>1</v>
      </c>
      <c r="L118" s="5">
        <f t="shared" si="25"/>
        <v>0</v>
      </c>
      <c r="M118" s="1"/>
      <c r="N118" s="19">
        <f t="shared" si="26"/>
        <v>1</v>
      </c>
      <c r="O118" s="79">
        <f t="shared" si="23"/>
        <v>4.3478260869565216E-2</v>
      </c>
      <c r="P118" s="75">
        <f t="shared" si="27"/>
        <v>1.8903591682419656E-2</v>
      </c>
      <c r="Q118" s="126">
        <f t="shared" si="28"/>
        <v>0</v>
      </c>
    </row>
    <row r="119" spans="1:36" ht="15.75" thickBot="1" x14ac:dyDescent="0.3">
      <c r="A119" s="320"/>
      <c r="B119" s="71"/>
      <c r="C119" s="2" t="s">
        <v>192</v>
      </c>
      <c r="D119" s="67">
        <f t="shared" si="29"/>
        <v>4.3478260869565216E-2</v>
      </c>
      <c r="E119" s="105" t="s">
        <v>212</v>
      </c>
      <c r="F119" s="113">
        <f t="shared" si="30"/>
        <v>4.3478260869565216E-2</v>
      </c>
      <c r="G119" s="94" t="s">
        <v>17</v>
      </c>
      <c r="H119" s="39">
        <f t="shared" si="24"/>
        <v>0.13</v>
      </c>
      <c r="I119" s="35">
        <f>User_Input!H41</f>
        <v>0.21</v>
      </c>
      <c r="J119" s="27" t="s">
        <v>21</v>
      </c>
      <c r="K119" s="27">
        <f>IF(H119&gt;I119,1,0)</f>
        <v>0</v>
      </c>
      <c r="L119" s="5">
        <f t="shared" si="25"/>
        <v>0</v>
      </c>
      <c r="M119" s="1"/>
      <c r="N119" s="19">
        <f t="shared" si="26"/>
        <v>0</v>
      </c>
      <c r="O119" s="79">
        <f t="shared" si="23"/>
        <v>0</v>
      </c>
      <c r="P119" s="75">
        <f t="shared" si="27"/>
        <v>1.8903591682419656E-2</v>
      </c>
      <c r="Q119" s="126">
        <f t="shared" si="28"/>
        <v>0</v>
      </c>
    </row>
    <row r="120" spans="1:36" ht="15.75" thickBot="1" x14ac:dyDescent="0.3">
      <c r="A120" s="320"/>
      <c r="B120" s="71"/>
      <c r="C120" s="2" t="s">
        <v>193</v>
      </c>
      <c r="D120" s="67">
        <f t="shared" si="29"/>
        <v>4.3478260869565216E-2</v>
      </c>
      <c r="E120" s="105" t="s">
        <v>213</v>
      </c>
      <c r="F120" s="113">
        <f t="shared" si="30"/>
        <v>4.3478260869565216E-2</v>
      </c>
      <c r="G120" s="94" t="s">
        <v>8</v>
      </c>
      <c r="H120" s="39">
        <f t="shared" si="24"/>
        <v>168</v>
      </c>
      <c r="I120" s="35">
        <f>User_Input!H42</f>
        <v>202.5</v>
      </c>
      <c r="J120" s="28" t="s">
        <v>21</v>
      </c>
      <c r="K120" s="27">
        <f>IF(H120&gt;I120,1,0)</f>
        <v>0</v>
      </c>
      <c r="L120" s="5">
        <f t="shared" si="25"/>
        <v>0</v>
      </c>
      <c r="M120" s="1"/>
      <c r="N120" s="19">
        <f t="shared" si="26"/>
        <v>0</v>
      </c>
      <c r="O120" s="79">
        <f t="shared" si="23"/>
        <v>0</v>
      </c>
      <c r="P120" s="75">
        <f t="shared" si="27"/>
        <v>1.8903591682419656E-2</v>
      </c>
      <c r="Q120" s="126">
        <f t="shared" si="28"/>
        <v>0</v>
      </c>
    </row>
    <row r="121" spans="1:36" ht="16.5" thickTop="1" thickBot="1" x14ac:dyDescent="0.3">
      <c r="A121" s="320"/>
      <c r="B121" s="71"/>
      <c r="C121" s="25" t="s">
        <v>194</v>
      </c>
      <c r="D121" s="67">
        <f t="shared" si="29"/>
        <v>4.3478260869565216E-2</v>
      </c>
      <c r="E121" s="105" t="s">
        <v>214</v>
      </c>
      <c r="F121" s="113">
        <f t="shared" si="30"/>
        <v>4.3478260869565216E-2</v>
      </c>
      <c r="G121" s="94" t="s">
        <v>4</v>
      </c>
      <c r="H121" s="39">
        <f t="shared" si="24"/>
        <v>90</v>
      </c>
      <c r="I121" s="35">
        <f>User_Input!H43</f>
        <v>74.5</v>
      </c>
      <c r="J121" s="20" t="s">
        <v>22</v>
      </c>
      <c r="K121" s="5"/>
      <c r="L121" s="5">
        <f t="shared" si="25"/>
        <v>0</v>
      </c>
      <c r="M121" s="23">
        <f t="shared" ref="M121:M128" si="31">IF(H121&lt;I121,1,0)</f>
        <v>0</v>
      </c>
      <c r="N121" s="19">
        <f t="shared" si="26"/>
        <v>0</v>
      </c>
      <c r="O121" s="79">
        <f t="shared" si="23"/>
        <v>0</v>
      </c>
      <c r="P121" s="75">
        <f t="shared" si="27"/>
        <v>1.8903591682419656E-2</v>
      </c>
      <c r="Q121" s="126">
        <f t="shared" si="28"/>
        <v>0</v>
      </c>
    </row>
    <row r="122" spans="1:36" ht="16.5" thickTop="1" thickBot="1" x14ac:dyDescent="0.3">
      <c r="A122" s="320"/>
      <c r="B122" s="71"/>
      <c r="C122" s="324" t="s">
        <v>195</v>
      </c>
      <c r="D122" s="67">
        <f t="shared" si="29"/>
        <v>4.3478260869565216E-2</v>
      </c>
      <c r="E122" s="105" t="s">
        <v>215</v>
      </c>
      <c r="F122" s="113">
        <f>D$122/2</f>
        <v>2.1739130434782608E-2</v>
      </c>
      <c r="G122" s="94" t="s">
        <v>4</v>
      </c>
      <c r="H122" s="39">
        <f t="shared" si="24"/>
        <v>35</v>
      </c>
      <c r="I122" s="35">
        <f>User_Input!H44</f>
        <v>26</v>
      </c>
      <c r="J122" s="20" t="s">
        <v>22</v>
      </c>
      <c r="K122" s="5"/>
      <c r="L122" s="5">
        <f t="shared" si="25"/>
        <v>0</v>
      </c>
      <c r="M122" s="41">
        <f t="shared" si="31"/>
        <v>0</v>
      </c>
      <c r="N122" s="19">
        <f t="shared" si="26"/>
        <v>0</v>
      </c>
      <c r="O122" s="79">
        <f t="shared" si="23"/>
        <v>0</v>
      </c>
      <c r="P122" s="75">
        <f t="shared" si="27"/>
        <v>1.8903591682419656E-2</v>
      </c>
      <c r="Q122" s="126">
        <f t="shared" si="28"/>
        <v>0</v>
      </c>
    </row>
    <row r="123" spans="1:36" ht="31.5" thickTop="1" thickBot="1" x14ac:dyDescent="0.3">
      <c r="A123" s="321"/>
      <c r="B123" s="72"/>
      <c r="C123" s="325"/>
      <c r="D123" s="67"/>
      <c r="E123" s="106" t="s">
        <v>216</v>
      </c>
      <c r="F123" s="113">
        <f>D$122/2</f>
        <v>2.1739130434782608E-2</v>
      </c>
      <c r="G123" s="109" t="s">
        <v>9</v>
      </c>
      <c r="H123" s="39">
        <f t="shared" si="24"/>
        <v>72</v>
      </c>
      <c r="I123" s="35">
        <f>User_Input!H45</f>
        <v>57</v>
      </c>
      <c r="J123" s="21" t="s">
        <v>22</v>
      </c>
      <c r="K123" s="14"/>
      <c r="L123" s="14">
        <f t="shared" si="25"/>
        <v>0</v>
      </c>
      <c r="M123" s="22">
        <f t="shared" si="31"/>
        <v>0</v>
      </c>
      <c r="N123" s="19">
        <f t="shared" si="26"/>
        <v>0</v>
      </c>
      <c r="O123" s="80">
        <f t="shared" si="23"/>
        <v>0</v>
      </c>
      <c r="P123" s="75">
        <f t="shared" si="27"/>
        <v>0</v>
      </c>
      <c r="Q123" s="126">
        <f t="shared" si="28"/>
        <v>0</v>
      </c>
    </row>
    <row r="124" spans="1:36" ht="30.75" thickBot="1" x14ac:dyDescent="0.3">
      <c r="A124" s="319" t="s">
        <v>184</v>
      </c>
      <c r="B124" s="70">
        <f>SUM(D124,D128)</f>
        <v>8.6956521739130432E-2</v>
      </c>
      <c r="C124" s="316" t="s">
        <v>196</v>
      </c>
      <c r="D124" s="67">
        <f>1/B$3</f>
        <v>4.3478260869565216E-2</v>
      </c>
      <c r="E124" s="96" t="s">
        <v>217</v>
      </c>
      <c r="F124" s="112">
        <f>D$124/4</f>
        <v>1.0869565217391304E-2</v>
      </c>
      <c r="G124" s="110" t="s">
        <v>10</v>
      </c>
      <c r="H124" s="39">
        <f t="shared" si="24"/>
        <v>1498</v>
      </c>
      <c r="I124" s="35">
        <f>User_Input!H46</f>
        <v>1291</v>
      </c>
      <c r="J124" s="52" t="s">
        <v>22</v>
      </c>
      <c r="K124" s="35"/>
      <c r="L124" s="35">
        <f t="shared" si="25"/>
        <v>0</v>
      </c>
      <c r="M124" s="47">
        <f t="shared" si="31"/>
        <v>0</v>
      </c>
      <c r="N124" s="37">
        <f t="shared" si="26"/>
        <v>0</v>
      </c>
      <c r="O124" s="78">
        <f t="shared" si="23"/>
        <v>0</v>
      </c>
      <c r="P124" s="75">
        <f>O$134*D124</f>
        <v>1.8903591682419656E-2</v>
      </c>
      <c r="Q124" s="126">
        <f t="shared" si="28"/>
        <v>3.780718336483932E-2</v>
      </c>
    </row>
    <row r="125" spans="1:36" ht="16.899999999999999" customHeight="1" thickTop="1" thickBot="1" x14ac:dyDescent="0.3">
      <c r="A125" s="320"/>
      <c r="B125" s="71"/>
      <c r="C125" s="317"/>
      <c r="D125" s="67"/>
      <c r="E125" s="97" t="s">
        <v>218</v>
      </c>
      <c r="F125" s="112">
        <f>D$124/4</f>
        <v>1.0869565217391304E-2</v>
      </c>
      <c r="G125" s="94" t="s">
        <v>18</v>
      </c>
      <c r="H125" s="39">
        <f t="shared" si="24"/>
        <v>1.62</v>
      </c>
      <c r="I125" s="35">
        <f>User_Input!H47</f>
        <v>1.675</v>
      </c>
      <c r="J125" s="20" t="s">
        <v>22</v>
      </c>
      <c r="K125" s="5"/>
      <c r="L125" s="5">
        <f t="shared" si="25"/>
        <v>0</v>
      </c>
      <c r="M125" s="41">
        <f t="shared" si="31"/>
        <v>1</v>
      </c>
      <c r="N125" s="19">
        <f t="shared" si="26"/>
        <v>1</v>
      </c>
      <c r="O125" s="79">
        <f t="shared" si="23"/>
        <v>1.0869565217391304E-2</v>
      </c>
      <c r="P125" s="75">
        <f t="shared" si="27"/>
        <v>0</v>
      </c>
      <c r="Q125" s="126">
        <f t="shared" si="28"/>
        <v>0</v>
      </c>
    </row>
    <row r="126" spans="1:36" ht="16.5" thickTop="1" thickBot="1" x14ac:dyDescent="0.3">
      <c r="A126" s="320"/>
      <c r="B126" s="71"/>
      <c r="C126" s="317"/>
      <c r="D126" s="67"/>
      <c r="E126" s="97" t="s">
        <v>219</v>
      </c>
      <c r="F126" s="112">
        <f>D$124/4</f>
        <v>1.0869565217391304E-2</v>
      </c>
      <c r="G126" s="94" t="s">
        <v>14</v>
      </c>
      <c r="H126" s="39">
        <f t="shared" si="24"/>
        <v>4.5999999999999996</v>
      </c>
      <c r="I126" s="35">
        <f>User_Input!H48</f>
        <v>5</v>
      </c>
      <c r="J126" s="20" t="s">
        <v>22</v>
      </c>
      <c r="K126" s="5"/>
      <c r="L126" s="5">
        <f t="shared" si="25"/>
        <v>0</v>
      </c>
      <c r="M126" s="41">
        <f t="shared" si="31"/>
        <v>1</v>
      </c>
      <c r="N126" s="19">
        <f t="shared" si="26"/>
        <v>1</v>
      </c>
      <c r="O126" s="79">
        <f t="shared" si="23"/>
        <v>1.0869565217391304E-2</v>
      </c>
      <c r="P126" s="75">
        <f t="shared" si="27"/>
        <v>0</v>
      </c>
      <c r="Q126" s="126">
        <f t="shared" si="28"/>
        <v>0</v>
      </c>
    </row>
    <row r="127" spans="1:36" ht="16.5" thickTop="1" thickBot="1" x14ac:dyDescent="0.3">
      <c r="A127" s="320"/>
      <c r="B127" s="71"/>
      <c r="C127" s="318"/>
      <c r="D127" s="67"/>
      <c r="E127" s="97" t="s">
        <v>220</v>
      </c>
      <c r="F127" s="112">
        <f>D$124/4</f>
        <v>1.0869565217391304E-2</v>
      </c>
      <c r="G127" s="94" t="s">
        <v>14</v>
      </c>
      <c r="H127" s="39">
        <f t="shared" si="24"/>
        <v>1.2</v>
      </c>
      <c r="I127" s="35">
        <f>User_Input!H49</f>
        <v>1.125</v>
      </c>
      <c r="J127" s="21" t="s">
        <v>22</v>
      </c>
      <c r="K127" s="14"/>
      <c r="L127" s="5">
        <f t="shared" si="25"/>
        <v>0</v>
      </c>
      <c r="M127" s="41">
        <f t="shared" si="31"/>
        <v>0</v>
      </c>
      <c r="N127" s="19">
        <f t="shared" si="26"/>
        <v>0</v>
      </c>
      <c r="O127" s="80">
        <f t="shared" si="23"/>
        <v>0</v>
      </c>
      <c r="P127" s="75">
        <f t="shared" si="27"/>
        <v>0</v>
      </c>
      <c r="Q127" s="126">
        <f t="shared" si="28"/>
        <v>0</v>
      </c>
    </row>
    <row r="128" spans="1:36" ht="17.45" customHeight="1" thickTop="1" thickBot="1" x14ac:dyDescent="0.3">
      <c r="A128" s="321"/>
      <c r="B128" s="72"/>
      <c r="C128" s="50" t="s">
        <v>197</v>
      </c>
      <c r="D128" s="67">
        <f>1/B$3</f>
        <v>4.3478260869565216E-2</v>
      </c>
      <c r="E128" s="106" t="s">
        <v>221</v>
      </c>
      <c r="F128" s="113">
        <f>D128</f>
        <v>4.3478260869565216E-2</v>
      </c>
      <c r="G128" s="109" t="s">
        <v>11</v>
      </c>
      <c r="H128" s="39">
        <f t="shared" si="24"/>
        <v>0.7</v>
      </c>
      <c r="I128" s="35">
        <f>User_Input!H50</f>
        <v>0.48499999999999999</v>
      </c>
      <c r="J128" s="53" t="s">
        <v>22</v>
      </c>
      <c r="K128" s="14"/>
      <c r="L128" s="14">
        <f t="shared" si="25"/>
        <v>0</v>
      </c>
      <c r="M128" s="22">
        <f t="shared" si="31"/>
        <v>0</v>
      </c>
      <c r="N128" s="54">
        <f t="shared" si="26"/>
        <v>0</v>
      </c>
      <c r="O128" s="80">
        <f t="shared" si="23"/>
        <v>0</v>
      </c>
      <c r="P128" s="75">
        <f t="shared" si="27"/>
        <v>1.8903591682419656E-2</v>
      </c>
      <c r="Q128" s="126">
        <f t="shared" si="28"/>
        <v>0</v>
      </c>
    </row>
    <row r="129" spans="1:17" ht="30.75" thickBot="1" x14ac:dyDescent="0.3">
      <c r="A129" s="84" t="s">
        <v>185</v>
      </c>
      <c r="B129" s="85">
        <f>SUM(D129)</f>
        <v>4.3478260869565216E-2</v>
      </c>
      <c r="C129" s="86" t="s">
        <v>198</v>
      </c>
      <c r="D129" s="67">
        <f>1/B$3</f>
        <v>4.3478260869565216E-2</v>
      </c>
      <c r="E129" s="86" t="s">
        <v>222</v>
      </c>
      <c r="F129" s="114">
        <f>D129</f>
        <v>4.3478260869565216E-2</v>
      </c>
      <c r="G129" s="111" t="s">
        <v>10</v>
      </c>
      <c r="H129" s="39">
        <f t="shared" si="24"/>
        <v>210.5</v>
      </c>
      <c r="I129" s="35">
        <f>User_Input!H51</f>
        <v>184.35</v>
      </c>
      <c r="J129" s="56" t="s">
        <v>21</v>
      </c>
      <c r="K129" s="57">
        <f>IF(H129&gt;I129,1,0)</f>
        <v>1</v>
      </c>
      <c r="L129" s="58">
        <f t="shared" si="25"/>
        <v>0</v>
      </c>
      <c r="M129" s="55"/>
      <c r="N129" s="89">
        <f t="shared" si="26"/>
        <v>1</v>
      </c>
      <c r="O129" s="81">
        <f t="shared" si="23"/>
        <v>4.3478260869565216E-2</v>
      </c>
      <c r="P129" s="82">
        <f t="shared" si="27"/>
        <v>1.8903591682419656E-2</v>
      </c>
      <c r="Q129" s="126">
        <f t="shared" si="28"/>
        <v>1.890359168241966E-2</v>
      </c>
    </row>
    <row r="130" spans="1:17" ht="15" x14ac:dyDescent="0.2">
      <c r="A130" s="13"/>
      <c r="B130" s="13"/>
      <c r="C130" s="13"/>
      <c r="D130" s="13"/>
      <c r="E130" s="16"/>
      <c r="F130" s="16"/>
      <c r="G130" s="17"/>
      <c r="H130" s="16"/>
      <c r="I130" s="17"/>
      <c r="J130" s="17"/>
      <c r="K130" s="17"/>
      <c r="L130" s="17"/>
      <c r="M130" s="17"/>
      <c r="N130" s="18"/>
      <c r="O130" s="363"/>
      <c r="P130" s="18"/>
      <c r="Q130" s="18"/>
    </row>
    <row r="131" spans="1:17" ht="15" x14ac:dyDescent="0.2">
      <c r="A131" s="15"/>
      <c r="B131" s="69"/>
      <c r="C131" s="15"/>
      <c r="D131" s="15"/>
      <c r="E131" s="18"/>
      <c r="F131" s="73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7" ht="14.25" x14ac:dyDescent="0.2">
      <c r="C133" s="11"/>
      <c r="D133" s="11"/>
      <c r="E133" s="11"/>
      <c r="F133" s="11"/>
      <c r="G133" s="7"/>
      <c r="H133" s="11"/>
      <c r="I133" s="7"/>
      <c r="J133" s="7"/>
      <c r="K133" s="7"/>
      <c r="L133" s="7"/>
      <c r="M133" s="7"/>
      <c r="N133" s="7"/>
      <c r="O133" s="7"/>
      <c r="P133" s="6"/>
    </row>
    <row r="134" spans="1:17" ht="15" x14ac:dyDescent="0.2">
      <c r="N134" s="60" t="s">
        <v>106</v>
      </c>
      <c r="O134" s="60">
        <f>SUM(O100:O130)</f>
        <v>0.43478260869565211</v>
      </c>
      <c r="P134" s="18"/>
      <c r="Q134" s="17"/>
    </row>
    <row r="135" spans="1:17" ht="15" x14ac:dyDescent="0.2">
      <c r="N135" s="18"/>
      <c r="O135" s="61" t="s">
        <v>107</v>
      </c>
      <c r="P135" s="61">
        <f>SUM(P100:P129)</f>
        <v>0.43478260869565222</v>
      </c>
      <c r="Q135" s="18"/>
    </row>
    <row r="136" spans="1:17" ht="15" x14ac:dyDescent="0.25">
      <c r="N136" s="18"/>
      <c r="O136" s="18"/>
      <c r="P136" s="62" t="s">
        <v>108</v>
      </c>
      <c r="Q136" s="83">
        <f>SUM(Q100:Q129)</f>
        <v>0.43478260869565216</v>
      </c>
    </row>
    <row r="139" spans="1:17" ht="15" x14ac:dyDescent="0.25">
      <c r="A139" s="4" t="s">
        <v>125</v>
      </c>
      <c r="N139" s="18"/>
      <c r="O139" s="18"/>
      <c r="P139" s="134"/>
      <c r="Q139" s="135"/>
    </row>
    <row r="141" spans="1:17" ht="15" x14ac:dyDescent="0.2">
      <c r="A141" s="3" t="s">
        <v>100</v>
      </c>
      <c r="B141" s="3" t="s">
        <v>19</v>
      </c>
      <c r="C141" s="3" t="s">
        <v>176</v>
      </c>
      <c r="D141" s="3" t="s">
        <v>19</v>
      </c>
      <c r="E141" s="3" t="s">
        <v>0</v>
      </c>
      <c r="F141" s="8" t="s">
        <v>19</v>
      </c>
      <c r="G141" s="115" t="s">
        <v>1</v>
      </c>
      <c r="H141" s="8" t="s">
        <v>94</v>
      </c>
      <c r="I141" s="12" t="s">
        <v>31</v>
      </c>
      <c r="J141" s="12" t="s">
        <v>20</v>
      </c>
      <c r="K141" s="546" t="s">
        <v>224</v>
      </c>
      <c r="L141" s="546"/>
      <c r="M141" s="546"/>
      <c r="N141" s="546"/>
      <c r="O141" s="12" t="s">
        <v>119</v>
      </c>
      <c r="P141" s="12" t="s">
        <v>120</v>
      </c>
      <c r="Q141" s="12" t="s">
        <v>121</v>
      </c>
    </row>
    <row r="142" spans="1:17" ht="15" thickBot="1" x14ac:dyDescent="0.25">
      <c r="A142" s="26" t="s">
        <v>102</v>
      </c>
      <c r="B142" s="26" t="s">
        <v>103</v>
      </c>
      <c r="C142" s="26" t="s">
        <v>23</v>
      </c>
      <c r="D142" s="26" t="s">
        <v>24</v>
      </c>
      <c r="E142" s="31" t="s">
        <v>25</v>
      </c>
      <c r="F142" s="32" t="s">
        <v>29</v>
      </c>
      <c r="G142" s="32" t="s">
        <v>26</v>
      </c>
      <c r="H142" s="32" t="s">
        <v>27</v>
      </c>
      <c r="I142" s="32" t="s">
        <v>32</v>
      </c>
      <c r="J142" s="32" t="s">
        <v>28</v>
      </c>
      <c r="K142" s="33" t="s">
        <v>93</v>
      </c>
      <c r="L142" s="33" t="s">
        <v>95</v>
      </c>
      <c r="M142" s="33" t="s">
        <v>96</v>
      </c>
      <c r="N142" s="33" t="s">
        <v>104</v>
      </c>
      <c r="O142" s="32" t="s">
        <v>34</v>
      </c>
      <c r="P142" s="32" t="s">
        <v>35</v>
      </c>
      <c r="Q142" s="32" t="s">
        <v>105</v>
      </c>
    </row>
    <row r="143" spans="1:17" ht="15.75" thickBot="1" x14ac:dyDescent="0.3">
      <c r="A143" s="543" t="s">
        <v>180</v>
      </c>
      <c r="B143" s="70">
        <f>SUM(D143:D147)</f>
        <v>0.2</v>
      </c>
      <c r="C143" s="63" t="s">
        <v>165</v>
      </c>
      <c r="D143" s="67">
        <f>F143</f>
        <v>3.3333333333333333E-2</v>
      </c>
      <c r="E143" s="96" t="s">
        <v>170</v>
      </c>
      <c r="F143" s="112">
        <f>1/B$4</f>
        <v>3.3333333333333333E-2</v>
      </c>
      <c r="G143" s="91" t="s">
        <v>5</v>
      </c>
      <c r="H143" s="39">
        <f>H12</f>
        <v>28.5</v>
      </c>
      <c r="I143" s="35">
        <f>User_Input!H22</f>
        <v>19.399999999999999</v>
      </c>
      <c r="J143" s="36" t="s">
        <v>21</v>
      </c>
      <c r="K143" s="36">
        <f>IF(H143&gt;I143,1,0)</f>
        <v>1</v>
      </c>
      <c r="L143" s="35">
        <f>IF(H143=I143,0.5,0)</f>
        <v>0</v>
      </c>
      <c r="M143" s="35"/>
      <c r="N143" s="37">
        <f>SUM(K143:M143)</f>
        <v>1</v>
      </c>
      <c r="O143" s="74">
        <f t="shared" ref="O143:O172" si="32">N143*F143</f>
        <v>3.3333333333333333E-2</v>
      </c>
      <c r="P143" s="75">
        <f>O$177*D143</f>
        <v>1.4444444444444442E-2</v>
      </c>
      <c r="Q143" s="116">
        <f>P$178*B143</f>
        <v>8.6666666666666656E-2</v>
      </c>
    </row>
    <row r="144" spans="1:17" ht="16.5" thickTop="1" thickBot="1" x14ac:dyDescent="0.3">
      <c r="A144" s="544"/>
      <c r="B144" s="71"/>
      <c r="C144" s="64" t="s">
        <v>166</v>
      </c>
      <c r="D144" s="67">
        <f>F144</f>
        <v>3.3333333333333333E-2</v>
      </c>
      <c r="E144" s="97" t="s">
        <v>171</v>
      </c>
      <c r="F144" s="112">
        <f t="shared" ref="F144:F172" si="33">1/B$4</f>
        <v>3.3333333333333333E-2</v>
      </c>
      <c r="G144" s="92" t="s">
        <v>2</v>
      </c>
      <c r="H144" s="39">
        <f t="shared" ref="H144:H172" si="34">H13</f>
        <v>4.9000000000000004</v>
      </c>
      <c r="I144" s="35">
        <f>User_Input!H23</f>
        <v>6.6000000000000005</v>
      </c>
      <c r="J144" s="40" t="s">
        <v>22</v>
      </c>
      <c r="K144" s="5"/>
      <c r="L144" s="5">
        <f t="shared" ref="L144:L172" si="35">IF(H144=I144,0.5,0)</f>
        <v>0</v>
      </c>
      <c r="M144" s="41">
        <f>IF(H144&lt;I144,1,0)</f>
        <v>1</v>
      </c>
      <c r="N144" s="19">
        <f t="shared" ref="N144:N172" si="36">SUM(K144:M144)</f>
        <v>1</v>
      </c>
      <c r="O144" s="76">
        <f t="shared" si="32"/>
        <v>3.3333333333333333E-2</v>
      </c>
      <c r="P144" s="75">
        <f t="shared" ref="P144:P172" si="37">O$177*D144</f>
        <v>1.4444444444444442E-2</v>
      </c>
      <c r="Q144" s="126">
        <f t="shared" ref="Q144:Q172" si="38">P$178*B144</f>
        <v>0</v>
      </c>
    </row>
    <row r="145" spans="1:17" ht="31.5" thickTop="1" thickBot="1" x14ac:dyDescent="0.3">
      <c r="A145" s="544"/>
      <c r="B145" s="71"/>
      <c r="C145" s="65" t="s">
        <v>167</v>
      </c>
      <c r="D145" s="67">
        <f>F145</f>
        <v>3.3333333333333333E-2</v>
      </c>
      <c r="E145" s="97" t="s">
        <v>172</v>
      </c>
      <c r="F145" s="112">
        <f t="shared" si="33"/>
        <v>3.3333333333333333E-2</v>
      </c>
      <c r="G145" s="93" t="s">
        <v>3</v>
      </c>
      <c r="H145" s="39">
        <f t="shared" si="34"/>
        <v>3</v>
      </c>
      <c r="I145" s="35">
        <f>User_Input!H24</f>
        <v>3.25</v>
      </c>
      <c r="J145" s="27" t="s">
        <v>21</v>
      </c>
      <c r="K145" s="27">
        <f>IF(H145&gt;I145,1,0)</f>
        <v>0</v>
      </c>
      <c r="L145" s="5">
        <f t="shared" si="35"/>
        <v>0</v>
      </c>
      <c r="M145" s="1"/>
      <c r="N145" s="19">
        <f t="shared" si="36"/>
        <v>0</v>
      </c>
      <c r="O145" s="76">
        <f t="shared" si="32"/>
        <v>0</v>
      </c>
      <c r="P145" s="75">
        <f t="shared" si="37"/>
        <v>1.4444444444444442E-2</v>
      </c>
      <c r="Q145" s="126">
        <f t="shared" si="38"/>
        <v>0</v>
      </c>
    </row>
    <row r="146" spans="1:17" ht="15.75" thickBot="1" x14ac:dyDescent="0.3">
      <c r="A146" s="544"/>
      <c r="B146" s="71"/>
      <c r="C146" s="65" t="s">
        <v>168</v>
      </c>
      <c r="D146" s="67">
        <f>F146</f>
        <v>3.3333333333333333E-2</v>
      </c>
      <c r="E146" s="97" t="s">
        <v>173</v>
      </c>
      <c r="F146" s="112">
        <f t="shared" si="33"/>
        <v>3.3333333333333333E-2</v>
      </c>
      <c r="G146" s="93" t="s">
        <v>16</v>
      </c>
      <c r="H146" s="39">
        <f t="shared" si="34"/>
        <v>844</v>
      </c>
      <c r="I146" s="35">
        <f>User_Input!H25</f>
        <v>762</v>
      </c>
      <c r="J146" s="27" t="s">
        <v>21</v>
      </c>
      <c r="K146" s="27">
        <f>IF(H146&gt;I146,1,0)</f>
        <v>1</v>
      </c>
      <c r="L146" s="5">
        <f t="shared" si="35"/>
        <v>0</v>
      </c>
      <c r="M146" s="1"/>
      <c r="N146" s="19">
        <f t="shared" si="36"/>
        <v>1</v>
      </c>
      <c r="O146" s="76">
        <f t="shared" si="32"/>
        <v>3.3333333333333333E-2</v>
      </c>
      <c r="P146" s="75">
        <f t="shared" si="37"/>
        <v>1.4444444444444442E-2</v>
      </c>
      <c r="Q146" s="126">
        <f t="shared" si="38"/>
        <v>0</v>
      </c>
    </row>
    <row r="147" spans="1:17" ht="16.5" thickTop="1" thickBot="1" x14ac:dyDescent="0.3">
      <c r="A147" s="544"/>
      <c r="B147" s="71"/>
      <c r="C147" s="322" t="s">
        <v>169</v>
      </c>
      <c r="D147" s="67">
        <f>SUM(F147:F148)</f>
        <v>6.6666666666666666E-2</v>
      </c>
      <c r="E147" s="98" t="s">
        <v>174</v>
      </c>
      <c r="F147" s="112">
        <f t="shared" si="33"/>
        <v>3.3333333333333333E-2</v>
      </c>
      <c r="G147" s="94" t="s">
        <v>4</v>
      </c>
      <c r="H147" s="39">
        <f t="shared" si="34"/>
        <v>93.94</v>
      </c>
      <c r="I147" s="35">
        <f>User_Input!H26</f>
        <v>96.015000000000001</v>
      </c>
      <c r="J147" s="40" t="s">
        <v>22</v>
      </c>
      <c r="K147" s="5"/>
      <c r="L147" s="5">
        <f t="shared" si="35"/>
        <v>0</v>
      </c>
      <c r="M147" s="41">
        <f>IF(H147&lt;I147,1,0)</f>
        <v>1</v>
      </c>
      <c r="N147" s="19">
        <f t="shared" si="36"/>
        <v>1</v>
      </c>
      <c r="O147" s="76">
        <f t="shared" si="32"/>
        <v>3.3333333333333333E-2</v>
      </c>
      <c r="P147" s="75">
        <f t="shared" si="37"/>
        <v>2.8888888888888884E-2</v>
      </c>
      <c r="Q147" s="126">
        <f t="shared" si="38"/>
        <v>0</v>
      </c>
    </row>
    <row r="148" spans="1:17" ht="16.5" thickTop="1" thickBot="1" x14ac:dyDescent="0.3">
      <c r="A148" s="545"/>
      <c r="B148" s="72"/>
      <c r="C148" s="323"/>
      <c r="D148" s="68"/>
      <c r="E148" s="99" t="s">
        <v>175</v>
      </c>
      <c r="F148" s="112">
        <f t="shared" si="33"/>
        <v>3.3333333333333333E-2</v>
      </c>
      <c r="G148" s="95" t="s">
        <v>4</v>
      </c>
      <c r="H148" s="39">
        <f t="shared" si="34"/>
        <v>6.06</v>
      </c>
      <c r="I148" s="35">
        <f>User_Input!H27</f>
        <v>3.9849999999999999</v>
      </c>
      <c r="J148" s="43" t="s">
        <v>21</v>
      </c>
      <c r="K148" s="43">
        <f>IF(H148&gt;I148,1,0)</f>
        <v>1</v>
      </c>
      <c r="L148" s="14">
        <f t="shared" si="35"/>
        <v>0</v>
      </c>
      <c r="M148" s="44"/>
      <c r="N148" s="19">
        <f t="shared" si="36"/>
        <v>1</v>
      </c>
      <c r="O148" s="77">
        <f t="shared" si="32"/>
        <v>3.3333333333333333E-2</v>
      </c>
      <c r="P148" s="75">
        <f t="shared" si="37"/>
        <v>0</v>
      </c>
      <c r="Q148" s="126">
        <f t="shared" si="38"/>
        <v>0</v>
      </c>
    </row>
    <row r="149" spans="1:17" ht="15.75" thickBot="1" x14ac:dyDescent="0.3">
      <c r="A149" s="543" t="s">
        <v>181</v>
      </c>
      <c r="B149" s="70">
        <f>SUM(D149:D151)</f>
        <v>0.13333333333333333</v>
      </c>
      <c r="C149" s="45" t="s">
        <v>177</v>
      </c>
      <c r="D149" s="67">
        <f>F149</f>
        <v>3.3333333333333333E-2</v>
      </c>
      <c r="E149" s="100" t="s">
        <v>199</v>
      </c>
      <c r="F149" s="112">
        <f t="shared" si="33"/>
        <v>3.3333333333333333E-2</v>
      </c>
      <c r="G149" s="103" t="s">
        <v>4</v>
      </c>
      <c r="H149" s="39">
        <f t="shared" si="34"/>
        <v>12.36</v>
      </c>
      <c r="I149" s="35">
        <f>User_Input!H28</f>
        <v>14.709999999999999</v>
      </c>
      <c r="J149" s="46" t="s">
        <v>22</v>
      </c>
      <c r="K149" s="35"/>
      <c r="L149" s="35">
        <f t="shared" si="35"/>
        <v>0</v>
      </c>
      <c r="M149" s="47">
        <f>IF(H149&lt;I149,1,0)</f>
        <v>1</v>
      </c>
      <c r="N149" s="37">
        <f t="shared" si="36"/>
        <v>1</v>
      </c>
      <c r="O149" s="78">
        <f t="shared" si="32"/>
        <v>3.3333333333333333E-2</v>
      </c>
      <c r="P149" s="75">
        <f t="shared" si="37"/>
        <v>1.4444444444444442E-2</v>
      </c>
      <c r="Q149" s="126">
        <f t="shared" si="38"/>
        <v>5.7777777777777761E-2</v>
      </c>
    </row>
    <row r="150" spans="1:17" ht="16.5" thickTop="1" thickBot="1" x14ac:dyDescent="0.3">
      <c r="A150" s="544"/>
      <c r="B150" s="71"/>
      <c r="C150" s="29" t="s">
        <v>178</v>
      </c>
      <c r="D150" s="67">
        <f>F150</f>
        <v>3.3333333333333333E-2</v>
      </c>
      <c r="E150" s="101" t="s">
        <v>200</v>
      </c>
      <c r="F150" s="112">
        <f t="shared" si="33"/>
        <v>3.3333333333333333E-2</v>
      </c>
      <c r="G150" s="93" t="s">
        <v>4</v>
      </c>
      <c r="H150" s="39">
        <f t="shared" si="34"/>
        <v>0</v>
      </c>
      <c r="I150" s="35">
        <f>User_Input!H29</f>
        <v>2.44</v>
      </c>
      <c r="J150" s="27" t="s">
        <v>21</v>
      </c>
      <c r="K150" s="27">
        <f>IF(H150&gt;I150,1,0)</f>
        <v>0</v>
      </c>
      <c r="L150" s="5">
        <f t="shared" si="35"/>
        <v>0</v>
      </c>
      <c r="M150" s="1"/>
      <c r="N150" s="19">
        <f t="shared" si="36"/>
        <v>0</v>
      </c>
      <c r="O150" s="79">
        <f t="shared" si="32"/>
        <v>0</v>
      </c>
      <c r="P150" s="75">
        <f t="shared" si="37"/>
        <v>1.4444444444444442E-2</v>
      </c>
      <c r="Q150" s="126">
        <f t="shared" si="38"/>
        <v>0</v>
      </c>
    </row>
    <row r="151" spans="1:17" ht="15.75" thickBot="1" x14ac:dyDescent="0.3">
      <c r="A151" s="544"/>
      <c r="B151" s="71"/>
      <c r="C151" s="314" t="s">
        <v>179</v>
      </c>
      <c r="D151" s="67">
        <f>SUM(F151:F152)</f>
        <v>6.6666666666666666E-2</v>
      </c>
      <c r="E151" s="101" t="s">
        <v>201</v>
      </c>
      <c r="F151" s="112">
        <f t="shared" si="33"/>
        <v>3.3333333333333333E-2</v>
      </c>
      <c r="G151" s="93" t="s">
        <v>12</v>
      </c>
      <c r="H151" s="39">
        <f t="shared" si="34"/>
        <v>3.92</v>
      </c>
      <c r="I151" s="35">
        <f>User_Input!H30</f>
        <v>1.96</v>
      </c>
      <c r="J151" s="27" t="s">
        <v>21</v>
      </c>
      <c r="K151" s="27">
        <f>IF(H151&gt;I151,1,0)</f>
        <v>1</v>
      </c>
      <c r="L151" s="5">
        <f t="shared" si="35"/>
        <v>0</v>
      </c>
      <c r="M151" s="1"/>
      <c r="N151" s="19">
        <f t="shared" si="36"/>
        <v>1</v>
      </c>
      <c r="O151" s="79">
        <f t="shared" si="32"/>
        <v>3.3333333333333333E-2</v>
      </c>
      <c r="P151" s="75">
        <f t="shared" si="37"/>
        <v>2.8888888888888884E-2</v>
      </c>
      <c r="Q151" s="126">
        <f t="shared" si="38"/>
        <v>0</v>
      </c>
    </row>
    <row r="152" spans="1:17" ht="15.75" thickBot="1" x14ac:dyDescent="0.3">
      <c r="A152" s="545"/>
      <c r="B152" s="72"/>
      <c r="C152" s="315"/>
      <c r="D152" s="66"/>
      <c r="E152" s="102" t="s">
        <v>202</v>
      </c>
      <c r="F152" s="112">
        <f t="shared" si="33"/>
        <v>3.3333333333333333E-2</v>
      </c>
      <c r="G152" s="95" t="s">
        <v>12</v>
      </c>
      <c r="H152" s="39">
        <f t="shared" si="34"/>
        <v>0.96</v>
      </c>
      <c r="I152" s="35">
        <f>User_Input!H31</f>
        <v>1.35</v>
      </c>
      <c r="J152" s="43" t="s">
        <v>21</v>
      </c>
      <c r="K152" s="43">
        <f>IF(H152&gt;I152,1,0)</f>
        <v>0</v>
      </c>
      <c r="L152" s="14">
        <f t="shared" si="35"/>
        <v>0</v>
      </c>
      <c r="M152" s="44"/>
      <c r="N152" s="19">
        <f t="shared" si="36"/>
        <v>0</v>
      </c>
      <c r="O152" s="80">
        <f t="shared" si="32"/>
        <v>0</v>
      </c>
      <c r="P152" s="75">
        <f t="shared" si="37"/>
        <v>0</v>
      </c>
      <c r="Q152" s="126">
        <f t="shared" si="38"/>
        <v>0</v>
      </c>
    </row>
    <row r="153" spans="1:17" ht="30.75" thickBot="1" x14ac:dyDescent="0.3">
      <c r="A153" s="543" t="s">
        <v>182</v>
      </c>
      <c r="B153" s="70">
        <f>SUM(D153:D156)</f>
        <v>0.16666666666666669</v>
      </c>
      <c r="C153" s="34" t="s">
        <v>186</v>
      </c>
      <c r="D153" s="67">
        <f>F153</f>
        <v>3.3333333333333333E-2</v>
      </c>
      <c r="E153" s="104" t="s">
        <v>203</v>
      </c>
      <c r="F153" s="112">
        <f t="shared" si="33"/>
        <v>3.3333333333333333E-2</v>
      </c>
      <c r="G153" s="91" t="s">
        <v>4</v>
      </c>
      <c r="H153" s="39">
        <f t="shared" si="34"/>
        <v>44</v>
      </c>
      <c r="I153" s="35">
        <f>User_Input!H32</f>
        <v>27.5</v>
      </c>
      <c r="J153" s="36" t="s">
        <v>21</v>
      </c>
      <c r="K153" s="36">
        <f>IF(H153&gt;I153,1,0)</f>
        <v>1</v>
      </c>
      <c r="L153" s="35">
        <f t="shared" si="35"/>
        <v>0</v>
      </c>
      <c r="M153" s="49"/>
      <c r="N153" s="37">
        <f t="shared" si="36"/>
        <v>1</v>
      </c>
      <c r="O153" s="78">
        <f t="shared" si="32"/>
        <v>3.3333333333333333E-2</v>
      </c>
      <c r="P153" s="75">
        <f t="shared" si="37"/>
        <v>1.4444444444444442E-2</v>
      </c>
      <c r="Q153" s="126">
        <f t="shared" si="38"/>
        <v>7.2222222222222215E-2</v>
      </c>
    </row>
    <row r="154" spans="1:17" ht="31.5" thickTop="1" thickBot="1" x14ac:dyDescent="0.3">
      <c r="A154" s="544"/>
      <c r="B154" s="71"/>
      <c r="C154" s="30" t="s">
        <v>187</v>
      </c>
      <c r="D154" s="67">
        <f>F154</f>
        <v>3.3333333333333333E-2</v>
      </c>
      <c r="E154" s="101" t="s">
        <v>204</v>
      </c>
      <c r="F154" s="112">
        <f t="shared" si="33"/>
        <v>3.3333333333333333E-2</v>
      </c>
      <c r="G154" s="94" t="s">
        <v>12</v>
      </c>
      <c r="H154" s="39">
        <f t="shared" si="34"/>
        <v>0.4</v>
      </c>
      <c r="I154" s="35">
        <f>User_Input!H33</f>
        <v>0.55000000000000004</v>
      </c>
      <c r="J154" s="40" t="s">
        <v>22</v>
      </c>
      <c r="K154" s="5"/>
      <c r="L154" s="5">
        <f t="shared" si="35"/>
        <v>0</v>
      </c>
      <c r="M154" s="41">
        <f>IF(H154&lt;I154,1,0)</f>
        <v>1</v>
      </c>
      <c r="N154" s="19">
        <f t="shared" si="36"/>
        <v>1</v>
      </c>
      <c r="O154" s="79">
        <f t="shared" si="32"/>
        <v>3.3333333333333333E-2</v>
      </c>
      <c r="P154" s="75">
        <f t="shared" si="37"/>
        <v>1.4444444444444442E-2</v>
      </c>
      <c r="Q154" s="126">
        <f t="shared" si="38"/>
        <v>0</v>
      </c>
    </row>
    <row r="155" spans="1:17" ht="31.5" thickTop="1" thickBot="1" x14ac:dyDescent="0.3">
      <c r="A155" s="544"/>
      <c r="B155" s="71"/>
      <c r="C155" s="30" t="s">
        <v>188</v>
      </c>
      <c r="D155" s="67">
        <f>F155</f>
        <v>3.3333333333333333E-2</v>
      </c>
      <c r="E155" s="101" t="s">
        <v>205</v>
      </c>
      <c r="F155" s="112">
        <f t="shared" si="33"/>
        <v>3.3333333333333333E-2</v>
      </c>
      <c r="G155" s="94" t="s">
        <v>12</v>
      </c>
      <c r="H155" s="39">
        <f t="shared" si="34"/>
        <v>1.6</v>
      </c>
      <c r="I155" s="35">
        <f>User_Input!H34</f>
        <v>1.55</v>
      </c>
      <c r="J155" s="40" t="s">
        <v>22</v>
      </c>
      <c r="K155" s="5"/>
      <c r="L155" s="5">
        <f t="shared" si="35"/>
        <v>0</v>
      </c>
      <c r="M155" s="22">
        <f>IF(H155&lt;I155,1,0)</f>
        <v>0</v>
      </c>
      <c r="N155" s="19">
        <f t="shared" si="36"/>
        <v>0</v>
      </c>
      <c r="O155" s="79">
        <f t="shared" si="32"/>
        <v>0</v>
      </c>
      <c r="P155" s="75">
        <f t="shared" si="37"/>
        <v>1.4444444444444442E-2</v>
      </c>
      <c r="Q155" s="126">
        <f t="shared" si="38"/>
        <v>0</v>
      </c>
    </row>
    <row r="156" spans="1:17" ht="16.5" thickTop="1" thickBot="1" x14ac:dyDescent="0.3">
      <c r="A156" s="544"/>
      <c r="B156" s="71"/>
      <c r="C156" s="314" t="s">
        <v>223</v>
      </c>
      <c r="D156" s="67">
        <f>SUM(F156:F157)</f>
        <v>6.6666666666666666E-2</v>
      </c>
      <c r="E156" s="105" t="s">
        <v>206</v>
      </c>
      <c r="F156" s="112">
        <f t="shared" si="33"/>
        <v>3.3333333333333333E-2</v>
      </c>
      <c r="G156" s="93" t="s">
        <v>5</v>
      </c>
      <c r="H156" s="39">
        <f t="shared" si="34"/>
        <v>8.9999999999999998E-4</v>
      </c>
      <c r="I156" s="35">
        <f>User_Input!H35</f>
        <v>5.4500000000000009E-3</v>
      </c>
      <c r="J156" s="27" t="s">
        <v>21</v>
      </c>
      <c r="K156" s="27">
        <f>IF(H156&gt;I156,1,0)</f>
        <v>0</v>
      </c>
      <c r="L156" s="5">
        <f t="shared" si="35"/>
        <v>0</v>
      </c>
      <c r="M156" s="1"/>
      <c r="N156" s="19">
        <f t="shared" si="36"/>
        <v>0</v>
      </c>
      <c r="O156" s="79">
        <f t="shared" si="32"/>
        <v>0</v>
      </c>
      <c r="P156" s="75">
        <f t="shared" si="37"/>
        <v>2.8888888888888884E-2</v>
      </c>
      <c r="Q156" s="126">
        <f t="shared" si="38"/>
        <v>0</v>
      </c>
    </row>
    <row r="157" spans="1:17" ht="15.75" thickBot="1" x14ac:dyDescent="0.3">
      <c r="A157" s="545"/>
      <c r="B157" s="72"/>
      <c r="C157" s="315"/>
      <c r="D157" s="66"/>
      <c r="E157" s="106" t="s">
        <v>207</v>
      </c>
      <c r="F157" s="112">
        <f t="shared" si="33"/>
        <v>3.3333333333333333E-2</v>
      </c>
      <c r="G157" s="95" t="s">
        <v>5</v>
      </c>
      <c r="H157" s="39">
        <f t="shared" si="34"/>
        <v>6.3999999999999997E-5</v>
      </c>
      <c r="I157" s="35">
        <f>User_Input!H36</f>
        <v>4.8200000000000001E-4</v>
      </c>
      <c r="J157" s="43" t="s">
        <v>21</v>
      </c>
      <c r="K157" s="43">
        <f>IF(H157&gt;I157,1,0)</f>
        <v>0</v>
      </c>
      <c r="L157" s="14">
        <f t="shared" si="35"/>
        <v>0</v>
      </c>
      <c r="M157" s="44"/>
      <c r="N157" s="19">
        <f t="shared" si="36"/>
        <v>0</v>
      </c>
      <c r="O157" s="80">
        <f t="shared" si="32"/>
        <v>0</v>
      </c>
      <c r="P157" s="75">
        <f t="shared" si="37"/>
        <v>0</v>
      </c>
      <c r="Q157" s="126">
        <f t="shared" si="38"/>
        <v>0</v>
      </c>
    </row>
    <row r="158" spans="1:17" ht="15.75" thickBot="1" x14ac:dyDescent="0.3">
      <c r="A158" s="543" t="s">
        <v>183</v>
      </c>
      <c r="B158" s="70">
        <f>SUM(D158:D165)</f>
        <v>0.3</v>
      </c>
      <c r="C158" s="34" t="s">
        <v>189</v>
      </c>
      <c r="D158" s="67">
        <f>F158</f>
        <v>3.3333333333333333E-2</v>
      </c>
      <c r="E158" s="107" t="s">
        <v>208</v>
      </c>
      <c r="F158" s="112">
        <f t="shared" si="33"/>
        <v>3.3333333333333333E-2</v>
      </c>
      <c r="G158" s="91" t="s">
        <v>7</v>
      </c>
      <c r="H158" s="39">
        <f t="shared" si="34"/>
        <v>46</v>
      </c>
      <c r="I158" s="35">
        <f>User_Input!H37</f>
        <v>54.5</v>
      </c>
      <c r="J158" s="36" t="s">
        <v>21</v>
      </c>
      <c r="K158" s="36">
        <f>IF(H158&gt;I158,1,0)</f>
        <v>0</v>
      </c>
      <c r="L158" s="35">
        <f t="shared" si="35"/>
        <v>0</v>
      </c>
      <c r="M158" s="49"/>
      <c r="N158" s="37">
        <f t="shared" si="36"/>
        <v>0</v>
      </c>
      <c r="O158" s="78">
        <f t="shared" si="32"/>
        <v>0</v>
      </c>
      <c r="P158" s="75">
        <f t="shared" si="37"/>
        <v>1.4444444444444442E-2</v>
      </c>
      <c r="Q158" s="126">
        <f t="shared" si="38"/>
        <v>0.12999999999999998</v>
      </c>
    </row>
    <row r="159" spans="1:17" ht="15.75" thickBot="1" x14ac:dyDescent="0.3">
      <c r="A159" s="544"/>
      <c r="B159" s="71"/>
      <c r="C159" s="29" t="s">
        <v>190</v>
      </c>
      <c r="D159" s="67">
        <f t="shared" ref="D159:D164" si="39">F159</f>
        <v>3.3333333333333333E-2</v>
      </c>
      <c r="E159" s="105" t="s">
        <v>209</v>
      </c>
      <c r="F159" s="112">
        <f t="shared" si="33"/>
        <v>3.3333333333333333E-2</v>
      </c>
      <c r="G159" s="93" t="s">
        <v>15</v>
      </c>
      <c r="H159" s="39">
        <f t="shared" si="34"/>
        <v>3.72</v>
      </c>
      <c r="I159" s="35">
        <f>User_Input!H38</f>
        <v>3.7300000000000004</v>
      </c>
      <c r="J159" s="27" t="s">
        <v>21</v>
      </c>
      <c r="K159" s="27">
        <f>IF(H159&gt;I159,1,0)</f>
        <v>0</v>
      </c>
      <c r="L159" s="5">
        <f t="shared" si="35"/>
        <v>0</v>
      </c>
      <c r="M159" s="1"/>
      <c r="N159" s="19">
        <f t="shared" si="36"/>
        <v>0</v>
      </c>
      <c r="O159" s="79">
        <f t="shared" si="32"/>
        <v>0</v>
      </c>
      <c r="P159" s="75">
        <f t="shared" si="37"/>
        <v>1.4444444444444442E-2</v>
      </c>
      <c r="Q159" s="126">
        <f t="shared" si="38"/>
        <v>0</v>
      </c>
    </row>
    <row r="160" spans="1:17" ht="31.5" thickTop="1" thickBot="1" x14ac:dyDescent="0.3">
      <c r="A160" s="544"/>
      <c r="B160" s="71"/>
      <c r="C160" s="30" t="s">
        <v>191</v>
      </c>
      <c r="D160" s="67">
        <f t="shared" si="39"/>
        <v>3.3333333333333333E-2</v>
      </c>
      <c r="E160" s="101" t="s">
        <v>210</v>
      </c>
      <c r="F160" s="112">
        <f t="shared" si="33"/>
        <v>3.3333333333333333E-2</v>
      </c>
      <c r="G160" s="108" t="s">
        <v>6</v>
      </c>
      <c r="H160" s="39">
        <f t="shared" si="34"/>
        <v>37.700000000000003</v>
      </c>
      <c r="I160" s="35">
        <f>User_Input!H39</f>
        <v>34.545000000000002</v>
      </c>
      <c r="J160" s="40" t="s">
        <v>22</v>
      </c>
      <c r="K160" s="5"/>
      <c r="L160" s="5">
        <f t="shared" si="35"/>
        <v>0</v>
      </c>
      <c r="M160" s="24">
        <f>IF(H160&lt;I160,1,0)</f>
        <v>0</v>
      </c>
      <c r="N160" s="19">
        <f t="shared" si="36"/>
        <v>0</v>
      </c>
      <c r="O160" s="79">
        <f t="shared" si="32"/>
        <v>0</v>
      </c>
      <c r="P160" s="75">
        <f t="shared" si="37"/>
        <v>1.4444444444444442E-2</v>
      </c>
      <c r="Q160" s="126">
        <f t="shared" si="38"/>
        <v>0</v>
      </c>
    </row>
    <row r="161" spans="1:17" ht="16.5" thickTop="1" thickBot="1" x14ac:dyDescent="0.3">
      <c r="A161" s="544"/>
      <c r="B161" s="71"/>
      <c r="C161" s="29" t="s">
        <v>225</v>
      </c>
      <c r="D161" s="67">
        <f t="shared" si="39"/>
        <v>3.3333333333333333E-2</v>
      </c>
      <c r="E161" s="105" t="s">
        <v>211</v>
      </c>
      <c r="F161" s="112">
        <f t="shared" si="33"/>
        <v>3.3333333333333333E-2</v>
      </c>
      <c r="G161" s="93" t="s">
        <v>4</v>
      </c>
      <c r="H161" s="39">
        <f t="shared" si="34"/>
        <v>68</v>
      </c>
      <c r="I161" s="35">
        <f>User_Input!H40</f>
        <v>65.5</v>
      </c>
      <c r="J161" s="27" t="s">
        <v>21</v>
      </c>
      <c r="K161" s="27">
        <f>IF(H161&gt;I161,1,0)</f>
        <v>1</v>
      </c>
      <c r="L161" s="5">
        <f t="shared" si="35"/>
        <v>0</v>
      </c>
      <c r="M161" s="1"/>
      <c r="N161" s="19">
        <f t="shared" si="36"/>
        <v>1</v>
      </c>
      <c r="O161" s="79">
        <f t="shared" si="32"/>
        <v>3.3333333333333333E-2</v>
      </c>
      <c r="P161" s="75">
        <f t="shared" si="37"/>
        <v>1.4444444444444442E-2</v>
      </c>
      <c r="Q161" s="126">
        <f t="shared" si="38"/>
        <v>0</v>
      </c>
    </row>
    <row r="162" spans="1:17" ht="15.75" thickBot="1" x14ac:dyDescent="0.3">
      <c r="A162" s="544"/>
      <c r="B162" s="71"/>
      <c r="C162" s="2" t="s">
        <v>192</v>
      </c>
      <c r="D162" s="67">
        <f t="shared" si="39"/>
        <v>3.3333333333333333E-2</v>
      </c>
      <c r="E162" s="105" t="s">
        <v>212</v>
      </c>
      <c r="F162" s="112">
        <f t="shared" si="33"/>
        <v>3.3333333333333333E-2</v>
      </c>
      <c r="G162" s="94" t="s">
        <v>17</v>
      </c>
      <c r="H162" s="39">
        <f t="shared" si="34"/>
        <v>0.13</v>
      </c>
      <c r="I162" s="35">
        <f>User_Input!H41</f>
        <v>0.21</v>
      </c>
      <c r="J162" s="27" t="s">
        <v>21</v>
      </c>
      <c r="K162" s="27">
        <f>IF(H162&gt;I162,1,0)</f>
        <v>0</v>
      </c>
      <c r="L162" s="5">
        <f t="shared" si="35"/>
        <v>0</v>
      </c>
      <c r="M162" s="1"/>
      <c r="N162" s="19">
        <f t="shared" si="36"/>
        <v>0</v>
      </c>
      <c r="O162" s="79">
        <f t="shared" si="32"/>
        <v>0</v>
      </c>
      <c r="P162" s="75">
        <f t="shared" si="37"/>
        <v>1.4444444444444442E-2</v>
      </c>
      <c r="Q162" s="126">
        <f t="shared" si="38"/>
        <v>0</v>
      </c>
    </row>
    <row r="163" spans="1:17" ht="15.75" thickBot="1" x14ac:dyDescent="0.3">
      <c r="A163" s="544"/>
      <c r="B163" s="71"/>
      <c r="C163" s="2" t="s">
        <v>193</v>
      </c>
      <c r="D163" s="67">
        <f t="shared" si="39"/>
        <v>3.3333333333333333E-2</v>
      </c>
      <c r="E163" s="105" t="s">
        <v>213</v>
      </c>
      <c r="F163" s="112">
        <f t="shared" si="33"/>
        <v>3.3333333333333333E-2</v>
      </c>
      <c r="G163" s="94" t="s">
        <v>8</v>
      </c>
      <c r="H163" s="39">
        <f t="shared" si="34"/>
        <v>168</v>
      </c>
      <c r="I163" s="35">
        <f>User_Input!H42</f>
        <v>202.5</v>
      </c>
      <c r="J163" s="28" t="s">
        <v>21</v>
      </c>
      <c r="K163" s="27">
        <f>IF(H163&gt;I163,1,0)</f>
        <v>0</v>
      </c>
      <c r="L163" s="5">
        <f t="shared" si="35"/>
        <v>0</v>
      </c>
      <c r="M163" s="1"/>
      <c r="N163" s="19">
        <f t="shared" si="36"/>
        <v>0</v>
      </c>
      <c r="O163" s="79">
        <f t="shared" si="32"/>
        <v>0</v>
      </c>
      <c r="P163" s="75">
        <f t="shared" si="37"/>
        <v>1.4444444444444442E-2</v>
      </c>
      <c r="Q163" s="126">
        <f t="shared" si="38"/>
        <v>0</v>
      </c>
    </row>
    <row r="164" spans="1:17" ht="16.5" thickTop="1" thickBot="1" x14ac:dyDescent="0.3">
      <c r="A164" s="544"/>
      <c r="B164" s="71"/>
      <c r="C164" s="25" t="s">
        <v>194</v>
      </c>
      <c r="D164" s="67">
        <f t="shared" si="39"/>
        <v>3.3333333333333333E-2</v>
      </c>
      <c r="E164" s="105" t="s">
        <v>214</v>
      </c>
      <c r="F164" s="112">
        <f t="shared" si="33"/>
        <v>3.3333333333333333E-2</v>
      </c>
      <c r="G164" s="94" t="s">
        <v>4</v>
      </c>
      <c r="H164" s="39">
        <f t="shared" si="34"/>
        <v>90</v>
      </c>
      <c r="I164" s="35">
        <f>User_Input!H43</f>
        <v>74.5</v>
      </c>
      <c r="J164" s="20" t="s">
        <v>22</v>
      </c>
      <c r="K164" s="5"/>
      <c r="L164" s="5">
        <f t="shared" si="35"/>
        <v>0</v>
      </c>
      <c r="M164" s="23">
        <f t="shared" ref="M164:M171" si="40">IF(H164&lt;I164,1,0)</f>
        <v>0</v>
      </c>
      <c r="N164" s="19">
        <f t="shared" si="36"/>
        <v>0</v>
      </c>
      <c r="O164" s="79">
        <f t="shared" si="32"/>
        <v>0</v>
      </c>
      <c r="P164" s="75">
        <f t="shared" si="37"/>
        <v>1.4444444444444442E-2</v>
      </c>
      <c r="Q164" s="126">
        <f t="shared" si="38"/>
        <v>0</v>
      </c>
    </row>
    <row r="165" spans="1:17" ht="16.5" thickTop="1" thickBot="1" x14ac:dyDescent="0.3">
      <c r="A165" s="544"/>
      <c r="B165" s="71"/>
      <c r="C165" s="324" t="s">
        <v>195</v>
      </c>
      <c r="D165" s="67">
        <f>SUM(F165:F166)</f>
        <v>6.6666666666666666E-2</v>
      </c>
      <c r="E165" s="105" t="s">
        <v>215</v>
      </c>
      <c r="F165" s="112">
        <f t="shared" si="33"/>
        <v>3.3333333333333333E-2</v>
      </c>
      <c r="G165" s="94" t="s">
        <v>4</v>
      </c>
      <c r="H165" s="39">
        <f t="shared" si="34"/>
        <v>35</v>
      </c>
      <c r="I165" s="35">
        <f>User_Input!H44</f>
        <v>26</v>
      </c>
      <c r="J165" s="20" t="s">
        <v>22</v>
      </c>
      <c r="K165" s="5"/>
      <c r="L165" s="5">
        <f t="shared" si="35"/>
        <v>0</v>
      </c>
      <c r="M165" s="41">
        <f t="shared" si="40"/>
        <v>0</v>
      </c>
      <c r="N165" s="19">
        <f t="shared" si="36"/>
        <v>0</v>
      </c>
      <c r="O165" s="79">
        <f t="shared" si="32"/>
        <v>0</v>
      </c>
      <c r="P165" s="75">
        <f t="shared" si="37"/>
        <v>2.8888888888888884E-2</v>
      </c>
      <c r="Q165" s="126">
        <f t="shared" si="38"/>
        <v>0</v>
      </c>
    </row>
    <row r="166" spans="1:17" ht="31.5" thickTop="1" thickBot="1" x14ac:dyDescent="0.3">
      <c r="A166" s="545"/>
      <c r="B166" s="72"/>
      <c r="C166" s="325"/>
      <c r="D166" s="67"/>
      <c r="E166" s="106" t="s">
        <v>216</v>
      </c>
      <c r="F166" s="112">
        <f t="shared" si="33"/>
        <v>3.3333333333333333E-2</v>
      </c>
      <c r="G166" s="109" t="s">
        <v>9</v>
      </c>
      <c r="H166" s="39">
        <f t="shared" si="34"/>
        <v>72</v>
      </c>
      <c r="I166" s="35">
        <f>User_Input!H45</f>
        <v>57</v>
      </c>
      <c r="J166" s="21" t="s">
        <v>22</v>
      </c>
      <c r="K166" s="14"/>
      <c r="L166" s="14">
        <f t="shared" si="35"/>
        <v>0</v>
      </c>
      <c r="M166" s="22">
        <f t="shared" si="40"/>
        <v>0</v>
      </c>
      <c r="N166" s="19">
        <f t="shared" si="36"/>
        <v>0</v>
      </c>
      <c r="O166" s="80">
        <f t="shared" si="32"/>
        <v>0</v>
      </c>
      <c r="P166" s="75">
        <f t="shared" si="37"/>
        <v>0</v>
      </c>
      <c r="Q166" s="126">
        <f t="shared" si="38"/>
        <v>0</v>
      </c>
    </row>
    <row r="167" spans="1:17" ht="30.75" thickBot="1" x14ac:dyDescent="0.3">
      <c r="A167" s="543" t="s">
        <v>184</v>
      </c>
      <c r="B167" s="70">
        <f>SUM(D167,D171)</f>
        <v>0.16666666666666666</v>
      </c>
      <c r="C167" s="316" t="s">
        <v>196</v>
      </c>
      <c r="D167" s="67">
        <f>SUM(F167:F170)</f>
        <v>0.13333333333333333</v>
      </c>
      <c r="E167" s="96" t="s">
        <v>217</v>
      </c>
      <c r="F167" s="112">
        <f t="shared" si="33"/>
        <v>3.3333333333333333E-2</v>
      </c>
      <c r="G167" s="110" t="s">
        <v>10</v>
      </c>
      <c r="H167" s="39">
        <f>H36</f>
        <v>1498</v>
      </c>
      <c r="I167" s="35">
        <f>User_Input!H46</f>
        <v>1291</v>
      </c>
      <c r="J167" s="52" t="s">
        <v>22</v>
      </c>
      <c r="K167" s="35"/>
      <c r="L167" s="35">
        <f t="shared" si="35"/>
        <v>0</v>
      </c>
      <c r="M167" s="47">
        <f t="shared" si="40"/>
        <v>0</v>
      </c>
      <c r="N167" s="37">
        <f t="shared" si="36"/>
        <v>0</v>
      </c>
      <c r="O167" s="78">
        <f t="shared" si="32"/>
        <v>0</v>
      </c>
      <c r="P167" s="75">
        <f t="shared" si="37"/>
        <v>5.7777777777777768E-2</v>
      </c>
      <c r="Q167" s="126">
        <f t="shared" si="38"/>
        <v>7.2222222222222202E-2</v>
      </c>
    </row>
    <row r="168" spans="1:17" ht="14.45" customHeight="1" thickTop="1" thickBot="1" x14ac:dyDescent="0.3">
      <c r="A168" s="544"/>
      <c r="B168" s="71"/>
      <c r="C168" s="317"/>
      <c r="D168" s="67"/>
      <c r="E168" s="97" t="s">
        <v>218</v>
      </c>
      <c r="F168" s="112">
        <f t="shared" si="33"/>
        <v>3.3333333333333333E-2</v>
      </c>
      <c r="G168" s="94" t="s">
        <v>18</v>
      </c>
      <c r="H168" s="39">
        <f t="shared" si="34"/>
        <v>1.62</v>
      </c>
      <c r="I168" s="35">
        <f>User_Input!H47</f>
        <v>1.675</v>
      </c>
      <c r="J168" s="20" t="s">
        <v>22</v>
      </c>
      <c r="K168" s="5"/>
      <c r="L168" s="5">
        <f t="shared" si="35"/>
        <v>0</v>
      </c>
      <c r="M168" s="41">
        <f t="shared" si="40"/>
        <v>1</v>
      </c>
      <c r="N168" s="19">
        <f t="shared" si="36"/>
        <v>1</v>
      </c>
      <c r="O168" s="79">
        <f t="shared" si="32"/>
        <v>3.3333333333333333E-2</v>
      </c>
      <c r="P168" s="75">
        <f t="shared" si="37"/>
        <v>0</v>
      </c>
      <c r="Q168" s="126">
        <f t="shared" si="38"/>
        <v>0</v>
      </c>
    </row>
    <row r="169" spans="1:17" ht="16.5" thickTop="1" thickBot="1" x14ac:dyDescent="0.3">
      <c r="A169" s="544"/>
      <c r="B169" s="71"/>
      <c r="C169" s="317"/>
      <c r="D169" s="67"/>
      <c r="E169" s="97" t="s">
        <v>219</v>
      </c>
      <c r="F169" s="112">
        <f t="shared" si="33"/>
        <v>3.3333333333333333E-2</v>
      </c>
      <c r="G169" s="94" t="s">
        <v>14</v>
      </c>
      <c r="H169" s="39">
        <f t="shared" si="34"/>
        <v>4.5999999999999996</v>
      </c>
      <c r="I169" s="35">
        <f>User_Input!H48</f>
        <v>5</v>
      </c>
      <c r="J169" s="20" t="s">
        <v>22</v>
      </c>
      <c r="K169" s="5"/>
      <c r="L169" s="5">
        <f t="shared" si="35"/>
        <v>0</v>
      </c>
      <c r="M169" s="41">
        <f t="shared" si="40"/>
        <v>1</v>
      </c>
      <c r="N169" s="19">
        <f t="shared" si="36"/>
        <v>1</v>
      </c>
      <c r="O169" s="79">
        <f t="shared" si="32"/>
        <v>3.3333333333333333E-2</v>
      </c>
      <c r="P169" s="75">
        <f t="shared" si="37"/>
        <v>0</v>
      </c>
      <c r="Q169" s="126">
        <f t="shared" si="38"/>
        <v>0</v>
      </c>
    </row>
    <row r="170" spans="1:17" ht="16.5" thickTop="1" thickBot="1" x14ac:dyDescent="0.3">
      <c r="A170" s="544"/>
      <c r="B170" s="71"/>
      <c r="C170" s="318"/>
      <c r="D170" s="67"/>
      <c r="E170" s="97" t="s">
        <v>220</v>
      </c>
      <c r="F170" s="112">
        <f t="shared" si="33"/>
        <v>3.3333333333333333E-2</v>
      </c>
      <c r="G170" s="94" t="s">
        <v>14</v>
      </c>
      <c r="H170" s="39">
        <f t="shared" si="34"/>
        <v>1.2</v>
      </c>
      <c r="I170" s="35">
        <f>User_Input!H49</f>
        <v>1.125</v>
      </c>
      <c r="J170" s="21" t="s">
        <v>22</v>
      </c>
      <c r="K170" s="14"/>
      <c r="L170" s="5">
        <f t="shared" si="35"/>
        <v>0</v>
      </c>
      <c r="M170" s="41">
        <f t="shared" si="40"/>
        <v>0</v>
      </c>
      <c r="N170" s="19">
        <f t="shared" si="36"/>
        <v>0</v>
      </c>
      <c r="O170" s="80">
        <f t="shared" si="32"/>
        <v>0</v>
      </c>
      <c r="P170" s="75">
        <f t="shared" si="37"/>
        <v>0</v>
      </c>
      <c r="Q170" s="126">
        <f t="shared" si="38"/>
        <v>0</v>
      </c>
    </row>
    <row r="171" spans="1:17" ht="16.149999999999999" customHeight="1" thickTop="1" thickBot="1" x14ac:dyDescent="0.3">
      <c r="A171" s="545"/>
      <c r="B171" s="72"/>
      <c r="C171" s="50" t="s">
        <v>197</v>
      </c>
      <c r="D171" s="87">
        <f>F171</f>
        <v>3.3333333333333333E-2</v>
      </c>
      <c r="E171" s="106" t="s">
        <v>221</v>
      </c>
      <c r="F171" s="112">
        <f t="shared" si="33"/>
        <v>3.3333333333333333E-2</v>
      </c>
      <c r="G171" s="109" t="s">
        <v>11</v>
      </c>
      <c r="H171" s="39">
        <f t="shared" si="34"/>
        <v>0.7</v>
      </c>
      <c r="I171" s="35">
        <f>User_Input!H50</f>
        <v>0.48499999999999999</v>
      </c>
      <c r="J171" s="53" t="s">
        <v>22</v>
      </c>
      <c r="K171" s="14"/>
      <c r="L171" s="14">
        <f t="shared" si="35"/>
        <v>0</v>
      </c>
      <c r="M171" s="22">
        <f t="shared" si="40"/>
        <v>0</v>
      </c>
      <c r="N171" s="54">
        <f t="shared" si="36"/>
        <v>0</v>
      </c>
      <c r="O171" s="80">
        <f t="shared" si="32"/>
        <v>0</v>
      </c>
      <c r="P171" s="75">
        <f t="shared" si="37"/>
        <v>1.4444444444444442E-2</v>
      </c>
      <c r="Q171" s="126">
        <f t="shared" si="38"/>
        <v>0</v>
      </c>
    </row>
    <row r="172" spans="1:17" ht="30.75" thickBot="1" x14ac:dyDescent="0.3">
      <c r="A172" s="84" t="s">
        <v>185</v>
      </c>
      <c r="B172" s="85">
        <f>SUM(D172)</f>
        <v>3.3333333333333333E-2</v>
      </c>
      <c r="C172" s="86" t="s">
        <v>198</v>
      </c>
      <c r="D172" s="88">
        <f>F172</f>
        <v>3.3333333333333333E-2</v>
      </c>
      <c r="E172" s="86" t="s">
        <v>222</v>
      </c>
      <c r="F172" s="243">
        <f t="shared" si="33"/>
        <v>3.3333333333333333E-2</v>
      </c>
      <c r="G172" s="111" t="s">
        <v>10</v>
      </c>
      <c r="H172" s="39">
        <f t="shared" si="34"/>
        <v>210.5</v>
      </c>
      <c r="I172" s="35">
        <f>User_Input!H51</f>
        <v>184.35</v>
      </c>
      <c r="J172" s="56" t="s">
        <v>21</v>
      </c>
      <c r="K172" s="57">
        <f>IF(H172&gt;I172,1,0)</f>
        <v>1</v>
      </c>
      <c r="L172" s="58">
        <f t="shared" si="35"/>
        <v>0</v>
      </c>
      <c r="M172" s="55"/>
      <c r="N172" s="89">
        <f t="shared" si="36"/>
        <v>1</v>
      </c>
      <c r="O172" s="81">
        <f t="shared" si="32"/>
        <v>3.3333333333333333E-2</v>
      </c>
      <c r="P172" s="82">
        <f t="shared" si="37"/>
        <v>1.4444444444444442E-2</v>
      </c>
      <c r="Q172" s="82">
        <f t="shared" si="38"/>
        <v>1.444444444444444E-2</v>
      </c>
    </row>
    <row r="173" spans="1:17" x14ac:dyDescent="0.2">
      <c r="O173" s="364"/>
    </row>
    <row r="177" spans="14:17" ht="15" x14ac:dyDescent="0.2">
      <c r="N177" s="60" t="s">
        <v>106</v>
      </c>
      <c r="O177" s="244">
        <f>SUM(O143:O173)</f>
        <v>0.43333333333333329</v>
      </c>
      <c r="P177" s="18"/>
      <c r="Q177" s="17"/>
    </row>
    <row r="178" spans="14:17" ht="15" x14ac:dyDescent="0.2">
      <c r="N178" s="18"/>
      <c r="O178" s="246" t="s">
        <v>107</v>
      </c>
      <c r="P178" s="246">
        <f>SUM(P143:P172)</f>
        <v>0.43333333333333324</v>
      </c>
      <c r="Q178" s="18"/>
    </row>
    <row r="179" spans="14:17" ht="15" x14ac:dyDescent="0.25">
      <c r="N179" s="18"/>
      <c r="O179" s="18"/>
      <c r="P179" s="245" t="s">
        <v>108</v>
      </c>
      <c r="Q179" s="83">
        <f>SUM(Q143:Q172)</f>
        <v>0.43333333333333324</v>
      </c>
    </row>
  </sheetData>
  <mergeCells count="22">
    <mergeCell ref="Y60:Z60"/>
    <mergeCell ref="Y59:Z59"/>
    <mergeCell ref="Y61:Z61"/>
    <mergeCell ref="K10:N10"/>
    <mergeCell ref="A27:A35"/>
    <mergeCell ref="A12:A17"/>
    <mergeCell ref="A18:A21"/>
    <mergeCell ref="A22:A26"/>
    <mergeCell ref="A36:A40"/>
    <mergeCell ref="A55:A60"/>
    <mergeCell ref="A61:A64"/>
    <mergeCell ref="K53:N53"/>
    <mergeCell ref="K98:N98"/>
    <mergeCell ref="A65:A69"/>
    <mergeCell ref="A70:A78"/>
    <mergeCell ref="A79:A83"/>
    <mergeCell ref="K141:N141"/>
    <mergeCell ref="A143:A148"/>
    <mergeCell ref="A149:A152"/>
    <mergeCell ref="A167:A171"/>
    <mergeCell ref="A153:A157"/>
    <mergeCell ref="A158:A166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A179"/>
  <sheetViews>
    <sheetView topLeftCell="C1" workbookViewId="0">
      <selection activeCell="P42" sqref="P42"/>
    </sheetView>
  </sheetViews>
  <sheetFormatPr defaultRowHeight="12.75" x14ac:dyDescent="0.2"/>
  <cols>
    <col min="1" max="1" width="29.5" customWidth="1"/>
    <col min="2" max="2" width="10.25" customWidth="1"/>
    <col min="3" max="3" width="31.75" customWidth="1"/>
    <col min="4" max="4" width="8.875" bestFit="1" customWidth="1"/>
    <col min="5" max="5" width="43.375" customWidth="1"/>
    <col min="6" max="6" width="9.75" bestFit="1" customWidth="1"/>
    <col min="7" max="7" width="10.25" customWidth="1"/>
    <col min="8" max="8" width="12.25" bestFit="1" customWidth="1"/>
    <col min="9" max="9" width="14.375" bestFit="1" customWidth="1"/>
    <col min="10" max="10" width="12.25" bestFit="1" customWidth="1"/>
    <col min="11" max="11" width="11.75" customWidth="1"/>
    <col min="12" max="12" width="11.875" bestFit="1" customWidth="1"/>
    <col min="13" max="13" width="9.75" bestFit="1" customWidth="1"/>
    <col min="14" max="14" width="7.625" customWidth="1"/>
    <col min="15" max="17" width="9.5" bestFit="1" customWidth="1"/>
    <col min="18" max="20" width="8.875" customWidth="1"/>
    <col min="21" max="21" width="8.875" style="119" customWidth="1"/>
    <col min="22" max="23" width="8.75" style="119"/>
    <col min="24" max="24" width="11.5" style="119" customWidth="1"/>
    <col min="25" max="28" width="8.75" style="119"/>
    <col min="29" max="33" width="11.375" style="119" customWidth="1"/>
    <col min="34" max="34" width="12.25" style="119" bestFit="1" customWidth="1"/>
    <col min="35" max="36" width="8.75" style="119"/>
    <col min="37" max="37" width="12.25" style="119" customWidth="1"/>
    <col min="38" max="38" width="14.375" style="119" bestFit="1" customWidth="1"/>
    <col min="39" max="39" width="11.5" style="119" customWidth="1"/>
    <col min="40" max="40" width="8.875" style="119" bestFit="1" customWidth="1"/>
    <col min="41" max="105" width="8.75" style="119"/>
  </cols>
  <sheetData>
    <row r="1" spans="1:105" x14ac:dyDescent="0.2">
      <c r="C1" s="6"/>
    </row>
    <row r="2" spans="1:105" x14ac:dyDescent="0.2">
      <c r="A2" s="90" t="s">
        <v>118</v>
      </c>
      <c r="B2" s="118">
        <v>6</v>
      </c>
    </row>
    <row r="3" spans="1:105" x14ac:dyDescent="0.2">
      <c r="A3" s="90" t="s">
        <v>116</v>
      </c>
      <c r="B3" s="4">
        <v>23</v>
      </c>
    </row>
    <row r="4" spans="1:105" ht="15" x14ac:dyDescent="0.2">
      <c r="A4" s="90" t="s">
        <v>117</v>
      </c>
      <c r="B4" s="4">
        <v>30</v>
      </c>
      <c r="AA4" s="273"/>
      <c r="AB4" s="274"/>
      <c r="AC4" s="272"/>
      <c r="AD4" s="272"/>
      <c r="AE4" s="272"/>
      <c r="AF4" s="272"/>
      <c r="AG4" s="272"/>
    </row>
    <row r="5" spans="1:105" ht="15" x14ac:dyDescent="0.2">
      <c r="X5" s="4" t="s">
        <v>13</v>
      </c>
      <c r="AB5" s="275"/>
      <c r="AC5" s="136"/>
      <c r="AD5" s="136"/>
      <c r="AE5" s="136"/>
      <c r="AF5" s="136"/>
      <c r="AG5" s="136"/>
    </row>
    <row r="6" spans="1:105" ht="15" x14ac:dyDescent="0.2">
      <c r="AB6" s="123"/>
      <c r="AC6" s="136"/>
      <c r="AD6" s="136"/>
      <c r="AE6" s="136"/>
      <c r="AF6" s="136"/>
      <c r="AG6" s="136"/>
    </row>
    <row r="7" spans="1:105" ht="15" x14ac:dyDescent="0.2">
      <c r="AB7" s="275"/>
      <c r="AC7" s="136"/>
      <c r="AD7" s="136"/>
      <c r="AE7" s="136"/>
      <c r="AF7" s="136"/>
      <c r="AG7" s="136"/>
    </row>
    <row r="8" spans="1:105" ht="15.75" thickBot="1" x14ac:dyDescent="0.25">
      <c r="A8" s="137" t="s">
        <v>122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X8" s="133"/>
      <c r="AB8" s="275"/>
      <c r="AC8" s="136"/>
      <c r="AD8" s="136"/>
      <c r="AE8" s="136"/>
      <c r="AF8" s="136"/>
      <c r="AG8" s="136"/>
    </row>
    <row r="9" spans="1:105" ht="16.5" thickTop="1" thickBot="1" x14ac:dyDescent="0.3">
      <c r="A9" s="138"/>
      <c r="B9" s="138"/>
      <c r="C9" s="138"/>
      <c r="D9" s="138"/>
      <c r="E9" s="138"/>
      <c r="F9" s="138"/>
      <c r="G9" s="138"/>
      <c r="H9" s="138"/>
      <c r="I9" s="241" t="s">
        <v>33</v>
      </c>
      <c r="J9" s="174"/>
      <c r="K9" s="174"/>
      <c r="L9" s="174"/>
      <c r="M9" s="174"/>
      <c r="N9" s="174"/>
      <c r="O9" s="242"/>
      <c r="P9" s="174"/>
      <c r="Q9" s="174"/>
      <c r="X9" s="4" t="s">
        <v>280</v>
      </c>
      <c r="AB9" s="123"/>
      <c r="AC9" s="136"/>
      <c r="AD9" s="136"/>
      <c r="AE9" s="136"/>
      <c r="AF9" s="136"/>
      <c r="AG9" s="136"/>
    </row>
    <row r="10" spans="1:105" s="4" customFormat="1" ht="15.75" thickTop="1" x14ac:dyDescent="0.2">
      <c r="A10" s="139" t="s">
        <v>100</v>
      </c>
      <c r="B10" s="139" t="s">
        <v>19</v>
      </c>
      <c r="C10" s="139" t="s">
        <v>176</v>
      </c>
      <c r="D10" s="139" t="s">
        <v>19</v>
      </c>
      <c r="E10" s="139" t="s">
        <v>0</v>
      </c>
      <c r="F10" s="140" t="s">
        <v>19</v>
      </c>
      <c r="G10" s="143" t="s">
        <v>1</v>
      </c>
      <c r="H10" s="140" t="s">
        <v>94</v>
      </c>
      <c r="I10" s="142" t="s">
        <v>31</v>
      </c>
      <c r="J10" s="142" t="s">
        <v>20</v>
      </c>
      <c r="K10" s="548" t="s">
        <v>239</v>
      </c>
      <c r="L10" s="548"/>
      <c r="M10" s="548"/>
      <c r="N10" s="548"/>
      <c r="O10" s="142" t="s">
        <v>119</v>
      </c>
      <c r="P10" s="142" t="s">
        <v>120</v>
      </c>
      <c r="Q10" s="143" t="s">
        <v>121</v>
      </c>
      <c r="R10"/>
      <c r="S10" s="424"/>
      <c r="T10"/>
      <c r="U10" s="120"/>
      <c r="V10" s="10"/>
      <c r="W10" s="10"/>
      <c r="Y10"/>
      <c r="Z10"/>
      <c r="AA10" s="119"/>
      <c r="AB10" s="275"/>
      <c r="AC10" s="136"/>
      <c r="AE10" s="136"/>
      <c r="AF10" s="136"/>
      <c r="AG10" s="136"/>
      <c r="AH10" s="308" t="s">
        <v>238</v>
      </c>
      <c r="AI10" s="308"/>
      <c r="AJ10" s="308"/>
      <c r="AK10" s="308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</row>
    <row r="11" spans="1:105" ht="15" thickBot="1" x14ac:dyDescent="0.25">
      <c r="A11" s="144" t="s">
        <v>102</v>
      </c>
      <c r="B11" s="144" t="s">
        <v>103</v>
      </c>
      <c r="C11" s="144" t="s">
        <v>23</v>
      </c>
      <c r="D11" s="144" t="s">
        <v>24</v>
      </c>
      <c r="E11" s="145" t="s">
        <v>25</v>
      </c>
      <c r="F11" s="146" t="s">
        <v>29</v>
      </c>
      <c r="G11" s="146" t="s">
        <v>26</v>
      </c>
      <c r="H11" s="146" t="s">
        <v>27</v>
      </c>
      <c r="I11" s="146" t="s">
        <v>32</v>
      </c>
      <c r="J11" s="146" t="s">
        <v>28</v>
      </c>
      <c r="K11" s="147" t="s">
        <v>93</v>
      </c>
      <c r="L11" s="147" t="s">
        <v>95</v>
      </c>
      <c r="M11" s="147" t="s">
        <v>96</v>
      </c>
      <c r="N11" s="147" t="s">
        <v>104</v>
      </c>
      <c r="O11" s="146" t="s">
        <v>34</v>
      </c>
      <c r="P11" s="146" t="s">
        <v>35</v>
      </c>
      <c r="Q11" s="146" t="s">
        <v>105</v>
      </c>
      <c r="U11" s="121"/>
      <c r="X11" s="9"/>
      <c r="Y11" s="247"/>
      <c r="Z11"/>
      <c r="AB11" s="290" t="s">
        <v>0</v>
      </c>
      <c r="AC11" s="288" t="s">
        <v>20</v>
      </c>
      <c r="AD11" s="287" t="s">
        <v>1</v>
      </c>
      <c r="AE11" s="289" t="s">
        <v>128</v>
      </c>
      <c r="AF11" s="274"/>
      <c r="AG11" s="274"/>
      <c r="AH11" s="309" t="s">
        <v>99</v>
      </c>
      <c r="AI11" s="309" t="s">
        <v>162</v>
      </c>
      <c r="AJ11" s="310" t="s">
        <v>163</v>
      </c>
      <c r="AK11" s="310" t="s">
        <v>161</v>
      </c>
    </row>
    <row r="12" spans="1:105" s="38" customFormat="1" ht="15" customHeight="1" thickTop="1" thickBot="1" x14ac:dyDescent="0.3">
      <c r="A12" s="549" t="s">
        <v>36</v>
      </c>
      <c r="B12" s="148">
        <v>2.4E-2</v>
      </c>
      <c r="C12" s="149" t="s">
        <v>37</v>
      </c>
      <c r="D12" s="501">
        <v>6.0000000000000001E-3</v>
      </c>
      <c r="E12" s="151" t="s">
        <v>60</v>
      </c>
      <c r="F12" s="495">
        <v>8.9999999999999993E-3</v>
      </c>
      <c r="G12" s="153" t="s">
        <v>5</v>
      </c>
      <c r="H12" s="398">
        <f>User_Input!F22</f>
        <v>28.5</v>
      </c>
      <c r="I12" s="155">
        <f>User_Input!H22</f>
        <v>19.399999999999999</v>
      </c>
      <c r="J12" s="156" t="s">
        <v>21</v>
      </c>
      <c r="K12" s="156">
        <f>IF(H12&gt;I12,1,0)</f>
        <v>1</v>
      </c>
      <c r="L12" s="155">
        <f>IF(H12=I12,0.5,0)</f>
        <v>0</v>
      </c>
      <c r="M12" s="155"/>
      <c r="N12" s="157">
        <f>SUM(K12:M12)</f>
        <v>1</v>
      </c>
      <c r="O12" s="158">
        <f>N12*F12</f>
        <v>8.9999999999999993E-3</v>
      </c>
      <c r="P12" s="159">
        <f>O$46*D12</f>
        <v>2.274E-3</v>
      </c>
      <c r="Q12" s="160">
        <f>P$47*B12</f>
        <v>9.1141920000000019E-3</v>
      </c>
      <c r="R12"/>
      <c r="S12" s="271"/>
      <c r="T12"/>
      <c r="U12" s="133"/>
      <c r="V12" s="119"/>
      <c r="W12" s="119"/>
      <c r="X12"/>
      <c r="Y12"/>
      <c r="Z12"/>
      <c r="AA12" s="119"/>
      <c r="AB12" s="291" t="s">
        <v>131</v>
      </c>
      <c r="AC12" s="292" t="s">
        <v>21</v>
      </c>
      <c r="AD12" s="293" t="s">
        <v>5</v>
      </c>
      <c r="AE12" s="294">
        <v>9.1000000000000014</v>
      </c>
      <c r="AF12" s="275"/>
      <c r="AG12" s="275"/>
      <c r="AH12" s="291">
        <f t="shared" ref="AH12:AH41" si="0">N12</f>
        <v>1</v>
      </c>
      <c r="AI12" s="311">
        <f t="shared" ref="AI12:AI41" si="1">O55</f>
        <v>4.8000000000000004E-3</v>
      </c>
      <c r="AJ12" s="311">
        <f t="shared" ref="AJ12:AJ41" si="2">O100</f>
        <v>6.0000000000000001E-3</v>
      </c>
      <c r="AK12" s="311">
        <f t="shared" ref="AK12:AK41" si="3">O143</f>
        <v>8.9999999999999993E-3</v>
      </c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</row>
    <row r="13" spans="1:105" s="42" customFormat="1" ht="13.9" customHeight="1" thickTop="1" thickBot="1" x14ac:dyDescent="0.3">
      <c r="A13" s="550"/>
      <c r="B13" s="161"/>
      <c r="C13" s="162" t="s">
        <v>38</v>
      </c>
      <c r="D13" s="502">
        <v>1.2E-2</v>
      </c>
      <c r="E13" s="163" t="s">
        <v>61</v>
      </c>
      <c r="F13" s="496">
        <v>1.6E-2</v>
      </c>
      <c r="G13" s="164" t="s">
        <v>2</v>
      </c>
      <c r="H13" s="398">
        <f>User_Input!F23</f>
        <v>4.9000000000000004</v>
      </c>
      <c r="I13" s="155">
        <f>User_Input!H23</f>
        <v>6.6000000000000005</v>
      </c>
      <c r="J13" s="165" t="s">
        <v>22</v>
      </c>
      <c r="K13" s="166"/>
      <c r="L13" s="166">
        <f t="shared" ref="L13:L41" si="4">IF(H13=I13,0.5,0)</f>
        <v>0</v>
      </c>
      <c r="M13" s="262">
        <f>IF(H13&lt;I13,1,0)</f>
        <v>1</v>
      </c>
      <c r="N13" s="167">
        <f t="shared" ref="N13:N41" si="5">SUM(K13:M13)</f>
        <v>1</v>
      </c>
      <c r="O13" s="168">
        <f t="shared" ref="O13:O41" si="6">N13*F13</f>
        <v>1.6E-2</v>
      </c>
      <c r="P13" s="159">
        <f t="shared" ref="P13:P16" si="7">O$46*D13</f>
        <v>4.548E-3</v>
      </c>
      <c r="Q13" s="169"/>
      <c r="R13"/>
      <c r="S13" s="271"/>
      <c r="T13"/>
      <c r="U13" s="132"/>
      <c r="V13" s="124"/>
      <c r="W13" s="124"/>
      <c r="X13"/>
      <c r="Y13"/>
      <c r="Z13"/>
      <c r="AA13" s="119"/>
      <c r="AB13" s="291" t="s">
        <v>132</v>
      </c>
      <c r="AC13" s="295" t="s">
        <v>22</v>
      </c>
      <c r="AD13" s="296" t="s">
        <v>2</v>
      </c>
      <c r="AE13" s="297">
        <v>-1.7000000000000002</v>
      </c>
      <c r="AF13" s="123"/>
      <c r="AG13" s="123"/>
      <c r="AH13" s="291">
        <f t="shared" si="0"/>
        <v>1</v>
      </c>
      <c r="AI13" s="311">
        <f t="shared" si="1"/>
        <v>4.8000000000000004E-3</v>
      </c>
      <c r="AJ13" s="311">
        <f t="shared" si="2"/>
        <v>1.2E-2</v>
      </c>
      <c r="AK13" s="311">
        <f t="shared" si="3"/>
        <v>1.6E-2</v>
      </c>
      <c r="AL13" s="124"/>
      <c r="AM13" s="124">
        <f>CORREL(AI12:AI41,AK12:AK41)</f>
        <v>0.76239599159353189</v>
      </c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/>
    </row>
    <row r="14" spans="1:105" s="18" customFormat="1" ht="12.6" customHeight="1" thickBot="1" x14ac:dyDescent="0.3">
      <c r="A14" s="550"/>
      <c r="B14" s="161"/>
      <c r="C14" s="170" t="s">
        <v>39</v>
      </c>
      <c r="D14" s="502">
        <v>1.2999999999999999E-2</v>
      </c>
      <c r="E14" s="163" t="s">
        <v>62</v>
      </c>
      <c r="F14" s="496">
        <v>1.4E-2</v>
      </c>
      <c r="G14" s="171" t="s">
        <v>3</v>
      </c>
      <c r="H14" s="398">
        <f>User_Input!F24</f>
        <v>3</v>
      </c>
      <c r="I14" s="155">
        <f>User_Input!H24</f>
        <v>3.25</v>
      </c>
      <c r="J14" s="255" t="s">
        <v>21</v>
      </c>
      <c r="K14" s="173">
        <f t="shared" ref="K14:K41" si="8">IF(H14&gt;I14,1,0)</f>
        <v>0</v>
      </c>
      <c r="L14" s="166">
        <f t="shared" si="4"/>
        <v>0</v>
      </c>
      <c r="M14" s="263"/>
      <c r="N14" s="167">
        <f t="shared" si="5"/>
        <v>0</v>
      </c>
      <c r="O14" s="168">
        <f t="shared" si="6"/>
        <v>0</v>
      </c>
      <c r="P14" s="159">
        <f t="shared" si="7"/>
        <v>4.927E-3</v>
      </c>
      <c r="Q14" s="169"/>
      <c r="R14"/>
      <c r="S14" s="271"/>
      <c r="T14"/>
      <c r="U14" s="133"/>
      <c r="V14" s="119"/>
      <c r="W14" s="119"/>
      <c r="X14"/>
      <c r="Y14"/>
      <c r="Z14"/>
      <c r="AA14" s="119"/>
      <c r="AB14" s="291" t="s">
        <v>133</v>
      </c>
      <c r="AC14" s="292" t="s">
        <v>21</v>
      </c>
      <c r="AD14" s="298" t="s">
        <v>3</v>
      </c>
      <c r="AE14" s="294">
        <v>0.5</v>
      </c>
      <c r="AF14" s="275"/>
      <c r="AG14" s="275"/>
      <c r="AH14" s="291">
        <f t="shared" si="0"/>
        <v>0</v>
      </c>
      <c r="AI14" s="311">
        <f t="shared" si="1"/>
        <v>0</v>
      </c>
      <c r="AJ14" s="311">
        <f t="shared" si="2"/>
        <v>0</v>
      </c>
      <c r="AK14" s="311">
        <f t="shared" si="3"/>
        <v>0</v>
      </c>
      <c r="AL14" s="119"/>
      <c r="AM14" s="119"/>
      <c r="AN14" s="119"/>
      <c r="AP14" s="500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</row>
    <row r="15" spans="1:105" s="18" customFormat="1" ht="13.9" customHeight="1" thickBot="1" x14ac:dyDescent="0.3">
      <c r="A15" s="550"/>
      <c r="B15" s="161"/>
      <c r="C15" s="170" t="s">
        <v>40</v>
      </c>
      <c r="D15" s="502">
        <v>1.7999999999999999E-2</v>
      </c>
      <c r="E15" s="163" t="s">
        <v>63</v>
      </c>
      <c r="F15" s="496">
        <v>0.01</v>
      </c>
      <c r="G15" s="171" t="s">
        <v>16</v>
      </c>
      <c r="H15" s="398">
        <f>User_Input!F25</f>
        <v>844</v>
      </c>
      <c r="I15" s="155">
        <f>User_Input!H25</f>
        <v>762</v>
      </c>
      <c r="J15" s="255" t="s">
        <v>21</v>
      </c>
      <c r="K15" s="173">
        <f t="shared" si="8"/>
        <v>1</v>
      </c>
      <c r="L15" s="166">
        <f t="shared" si="4"/>
        <v>0</v>
      </c>
      <c r="M15" s="263"/>
      <c r="N15" s="167">
        <f t="shared" si="5"/>
        <v>1</v>
      </c>
      <c r="O15" s="168">
        <f t="shared" si="6"/>
        <v>0.01</v>
      </c>
      <c r="P15" s="159">
        <f t="shared" si="7"/>
        <v>6.8219999999999999E-3</v>
      </c>
      <c r="Q15" s="169"/>
      <c r="R15"/>
      <c r="S15" s="271"/>
      <c r="T15"/>
      <c r="U15" s="133"/>
      <c r="V15" s="119"/>
      <c r="W15" s="119"/>
      <c r="Y15"/>
      <c r="Z15"/>
      <c r="AA15" s="119"/>
      <c r="AB15" s="291" t="s">
        <v>134</v>
      </c>
      <c r="AC15" s="292" t="s">
        <v>21</v>
      </c>
      <c r="AD15" s="298" t="s">
        <v>16</v>
      </c>
      <c r="AE15" s="294">
        <v>82</v>
      </c>
      <c r="AF15" s="275"/>
      <c r="AG15" s="275"/>
      <c r="AH15" s="291">
        <f t="shared" si="0"/>
        <v>1</v>
      </c>
      <c r="AI15" s="311">
        <f t="shared" si="1"/>
        <v>4.8000000000000004E-3</v>
      </c>
      <c r="AJ15" s="311">
        <f t="shared" si="2"/>
        <v>1.7999999999999999E-2</v>
      </c>
      <c r="AK15" s="311">
        <f t="shared" si="3"/>
        <v>0.01</v>
      </c>
      <c r="AL15" s="119"/>
      <c r="AM15" s="119"/>
      <c r="AN15" s="119"/>
      <c r="AP15" s="500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</row>
    <row r="16" spans="1:105" s="42" customFormat="1" ht="13.9" customHeight="1" thickTop="1" thickBot="1" x14ac:dyDescent="0.3">
      <c r="A16" s="550"/>
      <c r="B16" s="161"/>
      <c r="C16" s="559" t="s">
        <v>41</v>
      </c>
      <c r="D16" s="503">
        <v>0.02</v>
      </c>
      <c r="E16" s="175" t="s">
        <v>64</v>
      </c>
      <c r="F16" s="496">
        <v>1.7999999999999999E-2</v>
      </c>
      <c r="G16" s="176" t="s">
        <v>4</v>
      </c>
      <c r="H16" s="398">
        <f>User_Input!F26</f>
        <v>93.94</v>
      </c>
      <c r="I16" s="155">
        <f>User_Input!H26</f>
        <v>96.015000000000001</v>
      </c>
      <c r="J16" s="165" t="s">
        <v>22</v>
      </c>
      <c r="K16" s="166"/>
      <c r="L16" s="166">
        <f t="shared" si="4"/>
        <v>0</v>
      </c>
      <c r="M16" s="262">
        <f>IF(H16&lt;I16,1,0)</f>
        <v>1</v>
      </c>
      <c r="N16" s="167">
        <f t="shared" si="5"/>
        <v>1</v>
      </c>
      <c r="O16" s="168">
        <f t="shared" si="6"/>
        <v>1.7999999999999999E-2</v>
      </c>
      <c r="P16" s="159">
        <f t="shared" si="7"/>
        <v>7.5799999999999999E-3</v>
      </c>
      <c r="Q16" s="169"/>
      <c r="R16"/>
      <c r="S16" s="271"/>
      <c r="T16"/>
      <c r="U16" s="132"/>
      <c r="V16" s="124"/>
      <c r="W16" s="124"/>
      <c r="X16"/>
      <c r="Y16"/>
      <c r="Z16"/>
      <c r="AA16" s="119"/>
      <c r="AB16" s="291" t="s">
        <v>135</v>
      </c>
      <c r="AC16" s="295" t="s">
        <v>22</v>
      </c>
      <c r="AD16" s="299" t="s">
        <v>4</v>
      </c>
      <c r="AE16" s="297">
        <v>-2.0750000000000028</v>
      </c>
      <c r="AF16" s="123"/>
      <c r="AG16" s="123"/>
      <c r="AH16" s="291">
        <f t="shared" si="0"/>
        <v>1</v>
      </c>
      <c r="AI16" s="311">
        <f t="shared" si="1"/>
        <v>2.4000000000000002E-3</v>
      </c>
      <c r="AJ16" s="311">
        <f t="shared" si="2"/>
        <v>0.01</v>
      </c>
      <c r="AK16" s="311">
        <f t="shared" si="3"/>
        <v>1.7999999999999999E-2</v>
      </c>
      <c r="AL16" s="124"/>
      <c r="AM16" s="124"/>
      <c r="AN16" s="124"/>
      <c r="AP16" s="500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  <c r="CR16" s="124"/>
      <c r="CS16" s="124"/>
      <c r="CT16" s="124"/>
      <c r="CU16" s="124"/>
      <c r="CV16" s="124"/>
      <c r="CW16" s="124"/>
      <c r="CX16" s="124"/>
      <c r="CY16" s="124"/>
      <c r="CZ16" s="124"/>
      <c r="DA16" s="124"/>
    </row>
    <row r="17" spans="1:105" s="18" customFormat="1" ht="13.15" customHeight="1" thickBot="1" x14ac:dyDescent="0.3">
      <c r="A17" s="551"/>
      <c r="B17" s="177"/>
      <c r="C17" s="560"/>
      <c r="D17" s="504"/>
      <c r="E17" s="179" t="s">
        <v>65</v>
      </c>
      <c r="F17" s="496">
        <v>1.4E-2</v>
      </c>
      <c r="G17" s="180" t="s">
        <v>4</v>
      </c>
      <c r="H17" s="398">
        <f>User_Input!F27</f>
        <v>6.06</v>
      </c>
      <c r="I17" s="155">
        <f>User_Input!H27</f>
        <v>3.9849999999999999</v>
      </c>
      <c r="J17" s="256" t="s">
        <v>21</v>
      </c>
      <c r="K17" s="183">
        <f t="shared" si="8"/>
        <v>1</v>
      </c>
      <c r="L17" s="182">
        <f t="shared" si="4"/>
        <v>0</v>
      </c>
      <c r="M17" s="264"/>
      <c r="N17" s="167">
        <f t="shared" si="5"/>
        <v>1</v>
      </c>
      <c r="O17" s="184">
        <f t="shared" si="6"/>
        <v>1.4E-2</v>
      </c>
      <c r="P17" s="159"/>
      <c r="Q17" s="185"/>
      <c r="R17"/>
      <c r="S17" s="271"/>
      <c r="T17"/>
      <c r="U17" s="133"/>
      <c r="V17" s="119"/>
      <c r="W17" s="119"/>
      <c r="X17" s="4"/>
      <c r="Y17"/>
      <c r="Z17"/>
      <c r="AA17" s="119"/>
      <c r="AB17" s="291" t="s">
        <v>136</v>
      </c>
      <c r="AC17" s="292" t="s">
        <v>21</v>
      </c>
      <c r="AD17" s="300" t="s">
        <v>4</v>
      </c>
      <c r="AE17" s="294">
        <v>2.0749999999999997</v>
      </c>
      <c r="AF17" s="275"/>
      <c r="AG17" s="275"/>
      <c r="AH17" s="291">
        <f t="shared" si="0"/>
        <v>1</v>
      </c>
      <c r="AI17" s="311">
        <f t="shared" si="1"/>
        <v>2.4000000000000002E-3</v>
      </c>
      <c r="AJ17" s="311">
        <f t="shared" si="2"/>
        <v>0.01</v>
      </c>
      <c r="AK17" s="311">
        <f t="shared" si="3"/>
        <v>1.4E-2</v>
      </c>
      <c r="AL17" s="119"/>
      <c r="AM17" s="119"/>
      <c r="AN17" s="119"/>
      <c r="AP17" s="500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</row>
    <row r="18" spans="1:105" s="48" customFormat="1" ht="13.15" customHeight="1" thickBot="1" x14ac:dyDescent="0.3">
      <c r="A18" s="549" t="s">
        <v>92</v>
      </c>
      <c r="B18" s="148">
        <v>4.3999999999999997E-2</v>
      </c>
      <c r="C18" s="356" t="s">
        <v>42</v>
      </c>
      <c r="D18" s="505">
        <v>1.4999999999999999E-2</v>
      </c>
      <c r="E18" s="358" t="s">
        <v>89</v>
      </c>
      <c r="F18" s="496">
        <v>1.4E-2</v>
      </c>
      <c r="G18" s="188" t="s">
        <v>4</v>
      </c>
      <c r="H18" s="398">
        <f>User_Input!F28</f>
        <v>12.36</v>
      </c>
      <c r="I18" s="155">
        <f>User_Input!H28</f>
        <v>14.709999999999999</v>
      </c>
      <c r="J18" s="189" t="s">
        <v>22</v>
      </c>
      <c r="K18" s="155"/>
      <c r="L18" s="155">
        <f t="shared" si="4"/>
        <v>0</v>
      </c>
      <c r="M18" s="265">
        <f t="shared" ref="M18:M40" si="9">IF(H18&lt;I18,1,0)</f>
        <v>1</v>
      </c>
      <c r="N18" s="157">
        <f t="shared" si="5"/>
        <v>1</v>
      </c>
      <c r="O18" s="190">
        <f t="shared" si="6"/>
        <v>1.4E-2</v>
      </c>
      <c r="P18" s="159">
        <f>O$46*D18</f>
        <v>5.6849999999999999E-3</v>
      </c>
      <c r="Q18" s="160">
        <f>P$47*B18</f>
        <v>1.6709352E-2</v>
      </c>
      <c r="R18"/>
      <c r="S18" s="271"/>
      <c r="T18"/>
      <c r="U18" s="132"/>
      <c r="V18" s="124"/>
      <c r="W18" s="124"/>
      <c r="X18"/>
      <c r="Y18"/>
      <c r="Z18"/>
      <c r="AA18" s="119"/>
      <c r="AB18" s="291" t="s">
        <v>137</v>
      </c>
      <c r="AC18" s="295" t="s">
        <v>22</v>
      </c>
      <c r="AD18" s="301" t="s">
        <v>4</v>
      </c>
      <c r="AE18" s="297">
        <v>-2.3499999999999996</v>
      </c>
      <c r="AF18" s="123"/>
      <c r="AG18" s="123"/>
      <c r="AH18" s="291">
        <f t="shared" si="0"/>
        <v>1</v>
      </c>
      <c r="AI18" s="311">
        <f t="shared" si="1"/>
        <v>1.4666666666666666E-2</v>
      </c>
      <c r="AJ18" s="311">
        <f t="shared" si="2"/>
        <v>1.4999999999999999E-2</v>
      </c>
      <c r="AK18" s="311">
        <f t="shared" si="3"/>
        <v>1.4E-2</v>
      </c>
      <c r="AL18" s="124"/>
      <c r="AM18" s="124"/>
      <c r="AN18" s="124"/>
      <c r="AP18" s="500"/>
      <c r="AQ18" s="132"/>
      <c r="AR18" s="132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4"/>
      <c r="CW18" s="124"/>
      <c r="CX18" s="124"/>
      <c r="CY18" s="124"/>
      <c r="CZ18" s="124"/>
      <c r="DA18" s="124"/>
    </row>
    <row r="19" spans="1:105" s="18" customFormat="1" ht="13.9" customHeight="1" thickBot="1" x14ac:dyDescent="0.3">
      <c r="A19" s="550"/>
      <c r="B19" s="161"/>
      <c r="C19" s="170" t="s">
        <v>43</v>
      </c>
      <c r="D19" s="505">
        <v>2.4E-2</v>
      </c>
      <c r="E19" s="175" t="s">
        <v>66</v>
      </c>
      <c r="F19" s="496">
        <v>1.6E-2</v>
      </c>
      <c r="G19" s="171" t="s">
        <v>4</v>
      </c>
      <c r="H19" s="398">
        <f>User_Input!F29</f>
        <v>0</v>
      </c>
      <c r="I19" s="155">
        <f>User_Input!H29</f>
        <v>2.44</v>
      </c>
      <c r="J19" s="255" t="s">
        <v>21</v>
      </c>
      <c r="K19" s="173">
        <f t="shared" si="8"/>
        <v>0</v>
      </c>
      <c r="L19" s="166">
        <f t="shared" si="4"/>
        <v>0</v>
      </c>
      <c r="M19" s="263"/>
      <c r="N19" s="167">
        <f t="shared" si="5"/>
        <v>0</v>
      </c>
      <c r="O19" s="194">
        <f t="shared" si="6"/>
        <v>0</v>
      </c>
      <c r="P19" s="159">
        <f t="shared" ref="P19:P25" si="10">O$46*D19</f>
        <v>9.0959999999999999E-3</v>
      </c>
      <c r="Q19" s="169"/>
      <c r="R19"/>
      <c r="S19" s="271"/>
      <c r="T19"/>
      <c r="U19" s="133"/>
      <c r="V19" s="119"/>
      <c r="W19" s="119"/>
      <c r="X19"/>
      <c r="Y19"/>
      <c r="Z19"/>
      <c r="AA19" s="119"/>
      <c r="AB19" s="291" t="s">
        <v>138</v>
      </c>
      <c r="AC19" s="292" t="s">
        <v>21</v>
      </c>
      <c r="AD19" s="298" t="s">
        <v>4</v>
      </c>
      <c r="AE19" s="294">
        <v>-2.44</v>
      </c>
      <c r="AF19" s="275"/>
      <c r="AG19" s="275"/>
      <c r="AH19" s="291">
        <f t="shared" si="0"/>
        <v>0</v>
      </c>
      <c r="AI19" s="311">
        <f t="shared" si="1"/>
        <v>0</v>
      </c>
      <c r="AJ19" s="311">
        <f t="shared" si="2"/>
        <v>0</v>
      </c>
      <c r="AK19" s="311">
        <f t="shared" si="3"/>
        <v>0</v>
      </c>
      <c r="AL19" s="119"/>
      <c r="AM19" s="119"/>
      <c r="AN19" s="119"/>
      <c r="AP19" s="500"/>
      <c r="AQ19" s="133"/>
      <c r="AR19" s="133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</row>
    <row r="20" spans="1:105" s="18" customFormat="1" ht="13.15" customHeight="1" thickBot="1" x14ac:dyDescent="0.3">
      <c r="A20" s="550"/>
      <c r="B20" s="161"/>
      <c r="C20" s="561" t="s">
        <v>44</v>
      </c>
      <c r="D20" s="506">
        <v>3.1E-2</v>
      </c>
      <c r="E20" s="175" t="s">
        <v>67</v>
      </c>
      <c r="F20" s="496">
        <v>1.7999999999999999E-2</v>
      </c>
      <c r="G20" s="171" t="s">
        <v>12</v>
      </c>
      <c r="H20" s="398">
        <f>User_Input!F30</f>
        <v>3.92</v>
      </c>
      <c r="I20" s="155">
        <f>User_Input!H30</f>
        <v>1.96</v>
      </c>
      <c r="J20" s="255" t="s">
        <v>21</v>
      </c>
      <c r="K20" s="173">
        <f t="shared" si="8"/>
        <v>1</v>
      </c>
      <c r="L20" s="166">
        <f t="shared" si="4"/>
        <v>0</v>
      </c>
      <c r="M20" s="263"/>
      <c r="N20" s="167">
        <f t="shared" si="5"/>
        <v>1</v>
      </c>
      <c r="O20" s="194">
        <f t="shared" si="6"/>
        <v>1.7999999999999999E-2</v>
      </c>
      <c r="P20" s="159">
        <f t="shared" si="10"/>
        <v>1.1749000000000001E-2</v>
      </c>
      <c r="Q20" s="169"/>
      <c r="R20"/>
      <c r="S20" s="271"/>
      <c r="T20"/>
      <c r="U20" s="133"/>
      <c r="V20" s="119"/>
      <c r="W20" s="119"/>
      <c r="X20"/>
      <c r="Y20"/>
      <c r="Z20"/>
      <c r="AA20" s="119"/>
      <c r="AB20" s="291" t="s">
        <v>139</v>
      </c>
      <c r="AC20" s="292" t="s">
        <v>21</v>
      </c>
      <c r="AD20" s="298" t="s">
        <v>12</v>
      </c>
      <c r="AE20" s="294">
        <v>1.96</v>
      </c>
      <c r="AF20" s="275"/>
      <c r="AG20" s="275"/>
      <c r="AH20" s="291">
        <f t="shared" si="0"/>
        <v>1</v>
      </c>
      <c r="AI20" s="311">
        <f t="shared" si="1"/>
        <v>7.3333333333333332E-3</v>
      </c>
      <c r="AJ20" s="311">
        <f t="shared" si="2"/>
        <v>1.55E-2</v>
      </c>
      <c r="AK20" s="311">
        <f t="shared" si="3"/>
        <v>1.7999999999999999E-2</v>
      </c>
      <c r="AL20" s="119"/>
      <c r="AM20" s="119"/>
      <c r="AN20" s="119"/>
      <c r="AP20" s="500"/>
      <c r="AQ20" s="133"/>
      <c r="AR20" s="133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</row>
    <row r="21" spans="1:105" s="18" customFormat="1" ht="12.6" customHeight="1" thickBot="1" x14ac:dyDescent="0.3">
      <c r="A21" s="551"/>
      <c r="B21" s="177"/>
      <c r="C21" s="562"/>
      <c r="D21" s="507"/>
      <c r="E21" s="179" t="s">
        <v>68</v>
      </c>
      <c r="F21" s="496">
        <v>1.2E-2</v>
      </c>
      <c r="G21" s="180" t="s">
        <v>12</v>
      </c>
      <c r="H21" s="398">
        <f>User_Input!F31</f>
        <v>0.96</v>
      </c>
      <c r="I21" s="155">
        <f>User_Input!H31</f>
        <v>1.35</v>
      </c>
      <c r="J21" s="256" t="s">
        <v>21</v>
      </c>
      <c r="K21" s="183">
        <f t="shared" si="8"/>
        <v>0</v>
      </c>
      <c r="L21" s="182">
        <f t="shared" si="4"/>
        <v>0</v>
      </c>
      <c r="M21" s="264"/>
      <c r="N21" s="167">
        <f t="shared" si="5"/>
        <v>0</v>
      </c>
      <c r="O21" s="199">
        <f t="shared" si="6"/>
        <v>0</v>
      </c>
      <c r="P21" s="159">
        <f t="shared" si="10"/>
        <v>0</v>
      </c>
      <c r="Q21" s="185"/>
      <c r="R21"/>
      <c r="S21" s="271"/>
      <c r="T21"/>
      <c r="U21" s="133"/>
      <c r="V21" s="119"/>
      <c r="W21" s="119"/>
      <c r="X21"/>
      <c r="Y21"/>
      <c r="Z21"/>
      <c r="AA21" s="119"/>
      <c r="AB21" s="291" t="s">
        <v>140</v>
      </c>
      <c r="AC21" s="292" t="s">
        <v>21</v>
      </c>
      <c r="AD21" s="300" t="s">
        <v>12</v>
      </c>
      <c r="AE21" s="294">
        <v>-0.39000000000000012</v>
      </c>
      <c r="AF21" s="275"/>
      <c r="AG21" s="275"/>
      <c r="AH21" s="291">
        <f t="shared" si="0"/>
        <v>0</v>
      </c>
      <c r="AI21" s="311">
        <f t="shared" si="1"/>
        <v>0</v>
      </c>
      <c r="AJ21" s="311">
        <f t="shared" si="2"/>
        <v>0</v>
      </c>
      <c r="AK21" s="311">
        <f t="shared" si="3"/>
        <v>0</v>
      </c>
      <c r="AL21" s="119"/>
      <c r="AM21" s="119"/>
      <c r="AN21" s="119"/>
      <c r="AP21" s="500"/>
      <c r="AQ21" s="133"/>
      <c r="AR21" s="133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</row>
    <row r="22" spans="1:105" s="38" customFormat="1" ht="13.15" customHeight="1" thickBot="1" x14ac:dyDescent="0.3">
      <c r="A22" s="549" t="s">
        <v>90</v>
      </c>
      <c r="B22" s="148">
        <v>8.4000000000000005E-2</v>
      </c>
      <c r="C22" s="149" t="s">
        <v>45</v>
      </c>
      <c r="D22" s="505">
        <v>3.3000000000000002E-2</v>
      </c>
      <c r="E22" s="359" t="s">
        <v>69</v>
      </c>
      <c r="F22" s="496">
        <v>8.9999999999999993E-3</v>
      </c>
      <c r="G22" s="153" t="s">
        <v>4</v>
      </c>
      <c r="H22" s="398">
        <f>User_Input!F32</f>
        <v>44</v>
      </c>
      <c r="I22" s="155">
        <f>User_Input!H32</f>
        <v>27.5</v>
      </c>
      <c r="J22" s="257" t="s">
        <v>21</v>
      </c>
      <c r="K22" s="156">
        <f t="shared" si="8"/>
        <v>1</v>
      </c>
      <c r="L22" s="155">
        <f t="shared" si="4"/>
        <v>0</v>
      </c>
      <c r="M22" s="266"/>
      <c r="N22" s="157">
        <f t="shared" si="5"/>
        <v>1</v>
      </c>
      <c r="O22" s="190">
        <f t="shared" si="6"/>
        <v>8.9999999999999993E-3</v>
      </c>
      <c r="P22" s="159">
        <f t="shared" si="10"/>
        <v>1.2507000000000001E-2</v>
      </c>
      <c r="Q22" s="160">
        <f>P$47*B22</f>
        <v>3.1899672000000004E-2</v>
      </c>
      <c r="R22"/>
      <c r="S22" s="271"/>
      <c r="T22"/>
      <c r="U22" s="133"/>
      <c r="V22" s="119"/>
      <c r="W22" s="119"/>
      <c r="X22"/>
      <c r="Y22"/>
      <c r="Z22"/>
      <c r="AA22" s="119"/>
      <c r="AB22" s="291" t="s">
        <v>141</v>
      </c>
      <c r="AC22" s="292" t="s">
        <v>21</v>
      </c>
      <c r="AD22" s="293" t="s">
        <v>4</v>
      </c>
      <c r="AE22" s="294">
        <v>16.5</v>
      </c>
      <c r="AF22" s="275"/>
      <c r="AG22" s="275"/>
      <c r="AH22" s="291">
        <f t="shared" si="0"/>
        <v>1</v>
      </c>
      <c r="AI22" s="311">
        <f t="shared" si="1"/>
        <v>2.1000000000000001E-2</v>
      </c>
      <c r="AJ22" s="311">
        <f t="shared" si="2"/>
        <v>3.3000000000000002E-2</v>
      </c>
      <c r="AK22" s="311">
        <f t="shared" si="3"/>
        <v>8.9999999999999993E-3</v>
      </c>
      <c r="AL22" s="119"/>
      <c r="AM22" s="119"/>
      <c r="AN22" s="119"/>
      <c r="AP22" s="500"/>
      <c r="AQ22" s="133"/>
      <c r="AR22" s="133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</row>
    <row r="23" spans="1:105" s="42" customFormat="1" ht="12.6" customHeight="1" thickTop="1" thickBot="1" x14ac:dyDescent="0.3">
      <c r="A23" s="550"/>
      <c r="B23" s="161"/>
      <c r="C23" s="162" t="s">
        <v>46</v>
      </c>
      <c r="D23" s="505">
        <v>0.03</v>
      </c>
      <c r="E23" s="175" t="s">
        <v>70</v>
      </c>
      <c r="F23" s="496">
        <v>1.6E-2</v>
      </c>
      <c r="G23" s="176" t="s">
        <v>12</v>
      </c>
      <c r="H23" s="398">
        <f>User_Input!F33</f>
        <v>0.4</v>
      </c>
      <c r="I23" s="155">
        <f>User_Input!H33</f>
        <v>0.55000000000000004</v>
      </c>
      <c r="J23" s="165" t="s">
        <v>22</v>
      </c>
      <c r="K23" s="166"/>
      <c r="L23" s="166">
        <f t="shared" si="4"/>
        <v>0</v>
      </c>
      <c r="M23" s="262">
        <f t="shared" si="9"/>
        <v>1</v>
      </c>
      <c r="N23" s="167">
        <f t="shared" si="5"/>
        <v>1</v>
      </c>
      <c r="O23" s="194">
        <f t="shared" si="6"/>
        <v>1.6E-2</v>
      </c>
      <c r="P23" s="159">
        <f t="shared" si="10"/>
        <v>1.137E-2</v>
      </c>
      <c r="Q23" s="169"/>
      <c r="R23"/>
      <c r="S23" s="271"/>
      <c r="T23"/>
      <c r="U23" s="132"/>
      <c r="V23" s="124"/>
      <c r="W23" s="124"/>
      <c r="X23" s="6" t="s">
        <v>231</v>
      </c>
      <c r="Y23"/>
      <c r="Z23"/>
      <c r="AA23" s="119"/>
      <c r="AB23" s="291" t="s">
        <v>142</v>
      </c>
      <c r="AC23" s="295" t="s">
        <v>22</v>
      </c>
      <c r="AD23" s="299" t="s">
        <v>12</v>
      </c>
      <c r="AE23" s="297">
        <v>-0.15000000000000002</v>
      </c>
      <c r="AF23" s="123"/>
      <c r="AG23" s="123"/>
      <c r="AH23" s="291">
        <f t="shared" si="0"/>
        <v>1</v>
      </c>
      <c r="AI23" s="311">
        <f t="shared" si="1"/>
        <v>2.1000000000000001E-2</v>
      </c>
      <c r="AJ23" s="311">
        <f t="shared" si="2"/>
        <v>0.03</v>
      </c>
      <c r="AK23" s="311">
        <f t="shared" si="3"/>
        <v>1.6E-2</v>
      </c>
      <c r="AL23" s="124"/>
      <c r="AM23" s="124"/>
      <c r="AN23" s="124"/>
      <c r="AP23" s="500"/>
      <c r="AQ23" s="132"/>
      <c r="AR23" s="132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</row>
    <row r="24" spans="1:105" s="42" customFormat="1" ht="13.9" customHeight="1" thickTop="1" thickBot="1" x14ac:dyDescent="0.3">
      <c r="A24" s="550"/>
      <c r="B24" s="161"/>
      <c r="C24" s="162" t="s">
        <v>47</v>
      </c>
      <c r="D24" s="505">
        <v>2.1999999999999999E-2</v>
      </c>
      <c r="E24" s="175" t="s">
        <v>71</v>
      </c>
      <c r="F24" s="496">
        <v>2.1000000000000001E-2</v>
      </c>
      <c r="G24" s="176" t="s">
        <v>12</v>
      </c>
      <c r="H24" s="398">
        <f>User_Input!F34</f>
        <v>1.6</v>
      </c>
      <c r="I24" s="155">
        <f>User_Input!H34</f>
        <v>1.55</v>
      </c>
      <c r="J24" s="165" t="s">
        <v>22</v>
      </c>
      <c r="K24" s="166"/>
      <c r="L24" s="166">
        <f t="shared" si="4"/>
        <v>0</v>
      </c>
      <c r="M24" s="267">
        <f t="shared" si="9"/>
        <v>0</v>
      </c>
      <c r="N24" s="167">
        <f t="shared" si="5"/>
        <v>0</v>
      </c>
      <c r="O24" s="194">
        <f t="shared" si="6"/>
        <v>0</v>
      </c>
      <c r="P24" s="159">
        <f t="shared" si="10"/>
        <v>8.3379999999999999E-3</v>
      </c>
      <c r="Q24" s="169"/>
      <c r="R24"/>
      <c r="S24" s="271"/>
      <c r="T24"/>
      <c r="U24" s="132"/>
      <c r="V24" s="124"/>
      <c r="W24" s="124"/>
      <c r="X24"/>
      <c r="Y24"/>
      <c r="Z24"/>
      <c r="AA24" s="119"/>
      <c r="AB24" s="291" t="s">
        <v>143</v>
      </c>
      <c r="AC24" s="295" t="s">
        <v>22</v>
      </c>
      <c r="AD24" s="299" t="s">
        <v>12</v>
      </c>
      <c r="AE24" s="297">
        <v>5.0000000000000044E-2</v>
      </c>
      <c r="AF24" s="123"/>
      <c r="AG24" s="123"/>
      <c r="AH24" s="291">
        <f t="shared" si="0"/>
        <v>0</v>
      </c>
      <c r="AI24" s="311">
        <f t="shared" si="1"/>
        <v>0</v>
      </c>
      <c r="AJ24" s="311">
        <f t="shared" si="2"/>
        <v>0</v>
      </c>
      <c r="AK24" s="311">
        <f t="shared" si="3"/>
        <v>0</v>
      </c>
      <c r="AL24" s="124"/>
      <c r="AM24" s="124"/>
      <c r="AN24" s="124"/>
      <c r="AP24" s="500"/>
      <c r="AQ24" s="132"/>
      <c r="AR24" s="132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</row>
    <row r="25" spans="1:105" s="18" customFormat="1" ht="13.9" customHeight="1" thickBot="1" x14ac:dyDescent="0.3">
      <c r="A25" s="550"/>
      <c r="B25" s="161"/>
      <c r="C25" s="561" t="s">
        <v>48</v>
      </c>
      <c r="D25" s="506">
        <v>2.9000000000000001E-2</v>
      </c>
      <c r="E25" s="163" t="s">
        <v>72</v>
      </c>
      <c r="F25" s="496">
        <v>0.01</v>
      </c>
      <c r="G25" s="171" t="s">
        <v>5</v>
      </c>
      <c r="H25" s="398">
        <f>User_Input!F35</f>
        <v>8.9999999999999998E-4</v>
      </c>
      <c r="I25" s="155">
        <f>User_Input!H35</f>
        <v>5.4500000000000009E-3</v>
      </c>
      <c r="J25" s="255" t="s">
        <v>21</v>
      </c>
      <c r="K25" s="173">
        <f t="shared" si="8"/>
        <v>0</v>
      </c>
      <c r="L25" s="166">
        <f t="shared" si="4"/>
        <v>0</v>
      </c>
      <c r="M25" s="263"/>
      <c r="N25" s="167">
        <f t="shared" si="5"/>
        <v>0</v>
      </c>
      <c r="O25" s="194">
        <f t="shared" si="6"/>
        <v>0</v>
      </c>
      <c r="P25" s="159">
        <f t="shared" si="10"/>
        <v>1.0991000000000001E-2</v>
      </c>
      <c r="Q25" s="169"/>
      <c r="R25"/>
      <c r="S25" s="271"/>
      <c r="T25"/>
      <c r="U25" s="133"/>
      <c r="V25" s="119"/>
      <c r="W25" s="119"/>
      <c r="X25"/>
      <c r="Y25"/>
      <c r="Z25"/>
      <c r="AA25" s="119"/>
      <c r="AB25" s="291" t="s">
        <v>144</v>
      </c>
      <c r="AC25" s="292" t="s">
        <v>21</v>
      </c>
      <c r="AD25" s="298" t="s">
        <v>5</v>
      </c>
      <c r="AE25" s="294">
        <v>-4.5500000000000011E-3</v>
      </c>
      <c r="AF25" s="275"/>
      <c r="AG25" s="275"/>
      <c r="AH25" s="291">
        <f t="shared" si="0"/>
        <v>0</v>
      </c>
      <c r="AI25" s="311">
        <f t="shared" si="1"/>
        <v>0</v>
      </c>
      <c r="AJ25" s="311">
        <f t="shared" si="2"/>
        <v>0</v>
      </c>
      <c r="AK25" s="311">
        <f t="shared" si="3"/>
        <v>0</v>
      </c>
      <c r="AL25" s="119"/>
      <c r="AM25" s="119"/>
      <c r="AN25" s="119"/>
      <c r="AP25" s="500"/>
      <c r="AQ25" s="133"/>
      <c r="AR25" s="133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</row>
    <row r="26" spans="1:105" s="18" customFormat="1" ht="13.9" customHeight="1" thickBot="1" x14ac:dyDescent="0.3">
      <c r="A26" s="551"/>
      <c r="B26" s="177"/>
      <c r="C26" s="562"/>
      <c r="D26" s="507"/>
      <c r="E26" s="360" t="s">
        <v>73</v>
      </c>
      <c r="F26" s="496">
        <v>2.5999999999999999E-2</v>
      </c>
      <c r="G26" s="180" t="s">
        <v>5</v>
      </c>
      <c r="H26" s="398">
        <f>User_Input!F36</f>
        <v>6.3999999999999997E-5</v>
      </c>
      <c r="I26" s="155">
        <f>User_Input!H36</f>
        <v>4.8200000000000001E-4</v>
      </c>
      <c r="J26" s="256" t="s">
        <v>21</v>
      </c>
      <c r="K26" s="183">
        <f t="shared" si="8"/>
        <v>0</v>
      </c>
      <c r="L26" s="182">
        <f t="shared" si="4"/>
        <v>0</v>
      </c>
      <c r="M26" s="264"/>
      <c r="N26" s="167">
        <f t="shared" si="5"/>
        <v>0</v>
      </c>
      <c r="O26" s="199">
        <f t="shared" si="6"/>
        <v>0</v>
      </c>
      <c r="P26" s="159"/>
      <c r="Q26" s="185"/>
      <c r="R26"/>
      <c r="S26" s="271"/>
      <c r="T26"/>
      <c r="U26" s="133"/>
      <c r="V26" s="119"/>
      <c r="W26" s="119"/>
      <c r="X26"/>
      <c r="Y26"/>
      <c r="Z26"/>
      <c r="AA26" s="119"/>
      <c r="AB26" s="291" t="s">
        <v>145</v>
      </c>
      <c r="AC26" s="292" t="s">
        <v>21</v>
      </c>
      <c r="AD26" s="300" t="s">
        <v>5</v>
      </c>
      <c r="AE26" s="294">
        <v>-4.1800000000000002E-4</v>
      </c>
      <c r="AF26" s="275"/>
      <c r="AG26" s="275"/>
      <c r="AH26" s="291">
        <f t="shared" si="0"/>
        <v>0</v>
      </c>
      <c r="AI26" s="311">
        <f t="shared" si="1"/>
        <v>0</v>
      </c>
      <c r="AJ26" s="311">
        <f t="shared" si="2"/>
        <v>0</v>
      </c>
      <c r="AK26" s="311">
        <f t="shared" si="3"/>
        <v>0</v>
      </c>
      <c r="AL26" s="119"/>
      <c r="AM26" s="119"/>
      <c r="AN26" s="119"/>
      <c r="AP26" s="500"/>
      <c r="AQ26" s="133"/>
      <c r="AR26" s="133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</row>
    <row r="27" spans="1:105" s="38" customFormat="1" ht="16.149999999999999" customHeight="1" thickBot="1" x14ac:dyDescent="0.3">
      <c r="A27" s="549" t="s">
        <v>97</v>
      </c>
      <c r="B27" s="148">
        <v>0.16400000000000001</v>
      </c>
      <c r="C27" s="149" t="s">
        <v>49</v>
      </c>
      <c r="D27" s="505">
        <v>4.3999999999999997E-2</v>
      </c>
      <c r="E27" s="151" t="s">
        <v>74</v>
      </c>
      <c r="F27" s="496">
        <v>0.02</v>
      </c>
      <c r="G27" s="153" t="s">
        <v>7</v>
      </c>
      <c r="H27" s="398">
        <f>User_Input!F37</f>
        <v>46</v>
      </c>
      <c r="I27" s="155">
        <f>User_Input!H37</f>
        <v>54.5</v>
      </c>
      <c r="J27" s="257" t="s">
        <v>21</v>
      </c>
      <c r="K27" s="156">
        <f t="shared" si="8"/>
        <v>0</v>
      </c>
      <c r="L27" s="155">
        <f t="shared" si="4"/>
        <v>0</v>
      </c>
      <c r="M27" s="266"/>
      <c r="N27" s="157">
        <f t="shared" si="5"/>
        <v>0</v>
      </c>
      <c r="O27" s="190">
        <f t="shared" si="6"/>
        <v>0</v>
      </c>
      <c r="P27" s="159">
        <f>O$46*D27</f>
        <v>1.6676E-2</v>
      </c>
      <c r="Q27" s="160">
        <f>P$47*B27</f>
        <v>6.2280312000000011E-2</v>
      </c>
      <c r="R27"/>
      <c r="S27" s="271"/>
      <c r="T27"/>
      <c r="U27" s="133"/>
      <c r="V27" s="119"/>
      <c r="W27" s="119"/>
      <c r="X27"/>
      <c r="Y27"/>
      <c r="Z27"/>
      <c r="AA27" s="119"/>
      <c r="AB27" s="291" t="s">
        <v>146</v>
      </c>
      <c r="AC27" s="292" t="s">
        <v>21</v>
      </c>
      <c r="AD27" s="293" t="s">
        <v>7</v>
      </c>
      <c r="AE27" s="294">
        <v>-8.5</v>
      </c>
      <c r="AF27" s="275"/>
      <c r="AG27" s="275"/>
      <c r="AH27" s="291">
        <f t="shared" si="0"/>
        <v>0</v>
      </c>
      <c r="AI27" s="311">
        <f t="shared" si="1"/>
        <v>0</v>
      </c>
      <c r="AJ27" s="311">
        <f t="shared" si="2"/>
        <v>0</v>
      </c>
      <c r="AK27" s="311">
        <f t="shared" si="3"/>
        <v>0</v>
      </c>
      <c r="AL27" s="119"/>
      <c r="AM27" s="119"/>
      <c r="AN27" s="119"/>
      <c r="AP27" s="500"/>
      <c r="AQ27" s="133"/>
      <c r="AR27" s="133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</row>
    <row r="28" spans="1:105" s="18" customFormat="1" ht="15.75" thickBot="1" x14ac:dyDescent="0.3">
      <c r="A28" s="550"/>
      <c r="B28" s="161"/>
      <c r="C28" s="170" t="s">
        <v>50</v>
      </c>
      <c r="D28" s="505">
        <v>4.2000000000000003E-2</v>
      </c>
      <c r="E28" s="163" t="s">
        <v>75</v>
      </c>
      <c r="F28" s="496">
        <v>3.2000000000000001E-2</v>
      </c>
      <c r="G28" s="171" t="s">
        <v>15</v>
      </c>
      <c r="H28" s="398">
        <f>User_Input!F38</f>
        <v>3.72</v>
      </c>
      <c r="I28" s="155">
        <f>User_Input!H38</f>
        <v>3.7300000000000004</v>
      </c>
      <c r="J28" s="255" t="s">
        <v>21</v>
      </c>
      <c r="K28" s="173">
        <f t="shared" si="8"/>
        <v>0</v>
      </c>
      <c r="L28" s="166">
        <f t="shared" si="4"/>
        <v>0</v>
      </c>
      <c r="M28" s="263"/>
      <c r="N28" s="167">
        <f t="shared" si="5"/>
        <v>0</v>
      </c>
      <c r="O28" s="194">
        <f t="shared" si="6"/>
        <v>0</v>
      </c>
      <c r="P28" s="159">
        <f t="shared" ref="P28:P34" si="11">O$46*D28</f>
        <v>1.5918000000000002E-2</v>
      </c>
      <c r="Q28" s="169"/>
      <c r="R28"/>
      <c r="S28" s="271"/>
      <c r="T28"/>
      <c r="U28" s="133"/>
      <c r="V28" s="119"/>
      <c r="W28" s="119"/>
      <c r="X28"/>
      <c r="Y28"/>
      <c r="Z28"/>
      <c r="AA28" s="119"/>
      <c r="AB28" s="291" t="s">
        <v>147</v>
      </c>
      <c r="AC28" s="292" t="s">
        <v>21</v>
      </c>
      <c r="AD28" s="298" t="s">
        <v>15</v>
      </c>
      <c r="AE28" s="294">
        <v>-1.0000000000000231E-2</v>
      </c>
      <c r="AF28" s="275"/>
      <c r="AG28" s="275"/>
      <c r="AH28" s="291">
        <f t="shared" si="0"/>
        <v>0</v>
      </c>
      <c r="AI28" s="311">
        <f t="shared" si="1"/>
        <v>0</v>
      </c>
      <c r="AJ28" s="311">
        <f t="shared" si="2"/>
        <v>0</v>
      </c>
      <c r="AK28" s="311">
        <f t="shared" si="3"/>
        <v>0</v>
      </c>
      <c r="AL28" s="119"/>
      <c r="AM28" s="119"/>
      <c r="AN28" s="119"/>
      <c r="AP28" s="500"/>
      <c r="AQ28" s="133"/>
      <c r="AR28" s="133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</row>
    <row r="29" spans="1:105" s="42" customFormat="1" ht="13.15" customHeight="1" thickTop="1" thickBot="1" x14ac:dyDescent="0.3">
      <c r="A29" s="550"/>
      <c r="B29" s="161"/>
      <c r="C29" s="162" t="s">
        <v>51</v>
      </c>
      <c r="D29" s="505">
        <v>4.3999999999999997E-2</v>
      </c>
      <c r="E29" s="175" t="s">
        <v>76</v>
      </c>
      <c r="F29" s="496">
        <v>5.2999999999999999E-2</v>
      </c>
      <c r="G29" s="207" t="s">
        <v>6</v>
      </c>
      <c r="H29" s="398">
        <f>User_Input!F39</f>
        <v>37.700000000000003</v>
      </c>
      <c r="I29" s="155">
        <f>User_Input!H39</f>
        <v>34.545000000000002</v>
      </c>
      <c r="J29" s="165" t="s">
        <v>22</v>
      </c>
      <c r="K29" s="166"/>
      <c r="L29" s="166">
        <f t="shared" si="4"/>
        <v>0</v>
      </c>
      <c r="M29" s="268">
        <f t="shared" si="9"/>
        <v>0</v>
      </c>
      <c r="N29" s="167">
        <f t="shared" si="5"/>
        <v>0</v>
      </c>
      <c r="O29" s="194">
        <f t="shared" si="6"/>
        <v>0</v>
      </c>
      <c r="P29" s="159">
        <f t="shared" si="11"/>
        <v>1.6676E-2</v>
      </c>
      <c r="Q29" s="169"/>
      <c r="R29"/>
      <c r="S29" s="271"/>
      <c r="T29"/>
      <c r="U29" s="132"/>
      <c r="V29" s="124"/>
      <c r="W29" s="124"/>
      <c r="X29"/>
      <c r="Y29"/>
      <c r="Z29"/>
      <c r="AA29" s="119"/>
      <c r="AB29" s="291" t="s">
        <v>148</v>
      </c>
      <c r="AC29" s="295" t="s">
        <v>22</v>
      </c>
      <c r="AD29" s="302" t="s">
        <v>6</v>
      </c>
      <c r="AE29" s="297">
        <v>3.1550000000000011</v>
      </c>
      <c r="AF29" s="123"/>
      <c r="AG29" s="123"/>
      <c r="AH29" s="291">
        <f t="shared" si="0"/>
        <v>0</v>
      </c>
      <c r="AI29" s="311">
        <f t="shared" si="1"/>
        <v>0</v>
      </c>
      <c r="AJ29" s="311">
        <f t="shared" si="2"/>
        <v>0</v>
      </c>
      <c r="AK29" s="311">
        <f t="shared" si="3"/>
        <v>0</v>
      </c>
      <c r="AL29" s="124"/>
      <c r="AM29" s="124"/>
      <c r="AN29" s="124"/>
      <c r="AP29" s="500"/>
      <c r="AQ29" s="132"/>
      <c r="AR29" s="132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124"/>
      <c r="CL29" s="124"/>
      <c r="CM29" s="124"/>
      <c r="CN29" s="124"/>
      <c r="CO29" s="124"/>
      <c r="CP29" s="124"/>
      <c r="CQ29" s="124"/>
      <c r="CR29" s="124"/>
      <c r="CS29" s="124"/>
      <c r="CT29" s="124"/>
      <c r="CU29" s="124"/>
      <c r="CV29" s="124"/>
      <c r="CW29" s="124"/>
      <c r="CX29" s="124"/>
      <c r="CY29" s="124"/>
      <c r="CZ29" s="124"/>
      <c r="DA29" s="124"/>
    </row>
    <row r="30" spans="1:105" s="18" customFormat="1" ht="15.75" thickBot="1" x14ac:dyDescent="0.3">
      <c r="A30" s="550"/>
      <c r="B30" s="161"/>
      <c r="C30" s="170" t="s">
        <v>52</v>
      </c>
      <c r="D30" s="505">
        <v>4.5999999999999999E-2</v>
      </c>
      <c r="E30" s="163" t="s">
        <v>77</v>
      </c>
      <c r="F30" s="496">
        <v>3.9E-2</v>
      </c>
      <c r="G30" s="171" t="s">
        <v>4</v>
      </c>
      <c r="H30" s="398">
        <f>User_Input!F40</f>
        <v>68</v>
      </c>
      <c r="I30" s="155">
        <f>User_Input!H40</f>
        <v>65.5</v>
      </c>
      <c r="J30" s="255" t="s">
        <v>21</v>
      </c>
      <c r="K30" s="173">
        <f t="shared" si="8"/>
        <v>1</v>
      </c>
      <c r="L30" s="166">
        <f t="shared" si="4"/>
        <v>0</v>
      </c>
      <c r="M30" s="263"/>
      <c r="N30" s="167">
        <f t="shared" si="5"/>
        <v>1</v>
      </c>
      <c r="O30" s="194">
        <f t="shared" si="6"/>
        <v>3.9E-2</v>
      </c>
      <c r="P30" s="159">
        <f t="shared" si="11"/>
        <v>1.7434000000000002E-2</v>
      </c>
      <c r="Q30" s="169"/>
      <c r="R30"/>
      <c r="S30" s="271"/>
      <c r="T30"/>
      <c r="U30" s="133"/>
      <c r="V30" s="119"/>
      <c r="W30" s="119"/>
      <c r="X30"/>
      <c r="Y30"/>
      <c r="Z30"/>
      <c r="AA30" s="119"/>
      <c r="AB30" s="291" t="s">
        <v>149</v>
      </c>
      <c r="AC30" s="292" t="s">
        <v>21</v>
      </c>
      <c r="AD30" s="298" t="s">
        <v>4</v>
      </c>
      <c r="AE30" s="294">
        <v>2.5</v>
      </c>
      <c r="AF30" s="275"/>
      <c r="AG30" s="275"/>
      <c r="AH30" s="291">
        <f t="shared" si="0"/>
        <v>1</v>
      </c>
      <c r="AI30" s="311">
        <f t="shared" si="1"/>
        <v>2.0500000000000001E-2</v>
      </c>
      <c r="AJ30" s="311">
        <f t="shared" si="2"/>
        <v>4.5999999999999999E-2</v>
      </c>
      <c r="AK30" s="311">
        <f t="shared" si="3"/>
        <v>3.9E-2</v>
      </c>
      <c r="AL30" s="119"/>
      <c r="AM30" s="119"/>
      <c r="AN30" s="119"/>
      <c r="AP30" s="500"/>
      <c r="AQ30" s="133"/>
      <c r="AR30" s="133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</row>
    <row r="31" spans="1:105" s="18" customFormat="1" ht="15.75" thickBot="1" x14ac:dyDescent="0.3">
      <c r="A31" s="550"/>
      <c r="B31" s="161"/>
      <c r="C31" s="357" t="s">
        <v>53</v>
      </c>
      <c r="D31" s="505">
        <v>5.7000000000000002E-2</v>
      </c>
      <c r="E31" s="163" t="s">
        <v>78</v>
      </c>
      <c r="F31" s="496">
        <v>5.1999999999999998E-2</v>
      </c>
      <c r="G31" s="176" t="s">
        <v>17</v>
      </c>
      <c r="H31" s="398">
        <f>User_Input!F41</f>
        <v>0.13</v>
      </c>
      <c r="I31" s="155">
        <f>User_Input!H41</f>
        <v>0.21</v>
      </c>
      <c r="J31" s="255" t="s">
        <v>21</v>
      </c>
      <c r="K31" s="173">
        <f t="shared" si="8"/>
        <v>0</v>
      </c>
      <c r="L31" s="166">
        <f t="shared" si="4"/>
        <v>0</v>
      </c>
      <c r="M31" s="263"/>
      <c r="N31" s="167">
        <f t="shared" si="5"/>
        <v>0</v>
      </c>
      <c r="O31" s="194">
        <f t="shared" si="6"/>
        <v>0</v>
      </c>
      <c r="P31" s="159">
        <f t="shared" si="11"/>
        <v>2.1603000000000001E-2</v>
      </c>
      <c r="Q31" s="169"/>
      <c r="R31"/>
      <c r="S31" s="271"/>
      <c r="T31"/>
      <c r="U31" s="133"/>
      <c r="V31" s="119"/>
      <c r="W31" s="119"/>
      <c r="X31"/>
      <c r="Y31"/>
      <c r="Z31"/>
      <c r="AA31" s="119"/>
      <c r="AB31" s="291" t="s">
        <v>150</v>
      </c>
      <c r="AC31" s="292" t="s">
        <v>21</v>
      </c>
      <c r="AD31" s="299" t="s">
        <v>17</v>
      </c>
      <c r="AE31" s="294">
        <v>-7.9999999999999988E-2</v>
      </c>
      <c r="AF31" s="275"/>
      <c r="AG31" s="275"/>
      <c r="AH31" s="291">
        <f t="shared" si="0"/>
        <v>0</v>
      </c>
      <c r="AI31" s="311">
        <f t="shared" si="1"/>
        <v>0</v>
      </c>
      <c r="AJ31" s="311">
        <f t="shared" si="2"/>
        <v>0</v>
      </c>
      <c r="AK31" s="311">
        <f t="shared" si="3"/>
        <v>0</v>
      </c>
      <c r="AL31" s="119"/>
      <c r="AM31" s="119"/>
      <c r="AN31" s="119"/>
      <c r="AP31" s="500"/>
      <c r="AQ31" s="133"/>
      <c r="AR31" s="133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</row>
    <row r="32" spans="1:105" s="18" customFormat="1" ht="15.75" thickBot="1" x14ac:dyDescent="0.3">
      <c r="A32" s="550"/>
      <c r="B32" s="161"/>
      <c r="C32" s="357" t="s">
        <v>54</v>
      </c>
      <c r="D32" s="505">
        <v>6.8000000000000005E-2</v>
      </c>
      <c r="E32" s="163" t="s">
        <v>79</v>
      </c>
      <c r="F32" s="496">
        <v>2.5000000000000001E-2</v>
      </c>
      <c r="G32" s="176" t="s">
        <v>8</v>
      </c>
      <c r="H32" s="398">
        <f>User_Input!F42</f>
        <v>168</v>
      </c>
      <c r="I32" s="155">
        <f>User_Input!H42</f>
        <v>202.5</v>
      </c>
      <c r="J32" s="258" t="s">
        <v>21</v>
      </c>
      <c r="K32" s="173">
        <f t="shared" si="8"/>
        <v>0</v>
      </c>
      <c r="L32" s="166">
        <f t="shared" si="4"/>
        <v>0</v>
      </c>
      <c r="M32" s="263"/>
      <c r="N32" s="167">
        <f t="shared" si="5"/>
        <v>0</v>
      </c>
      <c r="O32" s="194">
        <f t="shared" si="6"/>
        <v>0</v>
      </c>
      <c r="P32" s="159">
        <f t="shared" si="11"/>
        <v>2.5772000000000003E-2</v>
      </c>
      <c r="Q32" s="169"/>
      <c r="R32"/>
      <c r="S32" s="271"/>
      <c r="T32"/>
      <c r="U32" s="133"/>
      <c r="V32" s="119"/>
      <c r="W32" s="119"/>
      <c r="X32"/>
      <c r="Y32"/>
      <c r="Z32"/>
      <c r="AA32" s="119"/>
      <c r="AB32" s="291" t="s">
        <v>151</v>
      </c>
      <c r="AC32" s="292" t="s">
        <v>21</v>
      </c>
      <c r="AD32" s="299" t="s">
        <v>8</v>
      </c>
      <c r="AE32" s="294">
        <v>-34.5</v>
      </c>
      <c r="AF32" s="275"/>
      <c r="AG32" s="275"/>
      <c r="AH32" s="291">
        <f t="shared" si="0"/>
        <v>0</v>
      </c>
      <c r="AI32" s="311">
        <f t="shared" si="1"/>
        <v>0</v>
      </c>
      <c r="AJ32" s="311">
        <f t="shared" si="2"/>
        <v>0</v>
      </c>
      <c r="AK32" s="311">
        <f t="shared" si="3"/>
        <v>0</v>
      </c>
      <c r="AL32" s="119"/>
      <c r="AM32" s="119"/>
      <c r="AN32" s="119"/>
      <c r="AP32" s="500"/>
      <c r="AQ32" s="133"/>
      <c r="AR32" s="133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</row>
    <row r="33" spans="1:105" s="42" customFormat="1" ht="16.5" thickTop="1" thickBot="1" x14ac:dyDescent="0.3">
      <c r="A33" s="550"/>
      <c r="B33" s="161"/>
      <c r="C33" s="203" t="s">
        <v>55</v>
      </c>
      <c r="D33" s="505">
        <v>8.9999999999999993E-3</v>
      </c>
      <c r="E33" s="163" t="s">
        <v>80</v>
      </c>
      <c r="F33" s="496">
        <v>4.1000000000000002E-2</v>
      </c>
      <c r="G33" s="176" t="s">
        <v>4</v>
      </c>
      <c r="H33" s="398">
        <f>User_Input!F43</f>
        <v>90</v>
      </c>
      <c r="I33" s="155">
        <f>User_Input!H43</f>
        <v>74.5</v>
      </c>
      <c r="J33" s="164" t="s">
        <v>22</v>
      </c>
      <c r="K33" s="166"/>
      <c r="L33" s="166">
        <f t="shared" si="4"/>
        <v>0</v>
      </c>
      <c r="M33" s="269">
        <f t="shared" si="9"/>
        <v>0</v>
      </c>
      <c r="N33" s="167">
        <f t="shared" si="5"/>
        <v>0</v>
      </c>
      <c r="O33" s="194">
        <f t="shared" si="6"/>
        <v>0</v>
      </c>
      <c r="P33" s="159">
        <f t="shared" si="11"/>
        <v>3.411E-3</v>
      </c>
      <c r="Q33" s="169"/>
      <c r="R33"/>
      <c r="S33" s="271"/>
      <c r="T33"/>
      <c r="U33" s="132"/>
      <c r="V33" s="124"/>
      <c r="W33" s="124"/>
      <c r="X33" s="6" t="s">
        <v>232</v>
      </c>
      <c r="Y33"/>
      <c r="Z33"/>
      <c r="AA33" s="119"/>
      <c r="AB33" s="291" t="s">
        <v>152</v>
      </c>
      <c r="AC33" s="295" t="s">
        <v>22</v>
      </c>
      <c r="AD33" s="299" t="s">
        <v>4</v>
      </c>
      <c r="AE33" s="297">
        <v>15.5</v>
      </c>
      <c r="AF33" s="123"/>
      <c r="AG33" s="123"/>
      <c r="AH33" s="291">
        <f t="shared" si="0"/>
        <v>0</v>
      </c>
      <c r="AI33" s="311">
        <f t="shared" si="1"/>
        <v>0</v>
      </c>
      <c r="AJ33" s="311">
        <f t="shared" si="2"/>
        <v>0</v>
      </c>
      <c r="AK33" s="311">
        <f t="shared" si="3"/>
        <v>0</v>
      </c>
      <c r="AL33" s="124"/>
      <c r="AM33" s="124"/>
      <c r="AN33" s="124"/>
      <c r="AP33" s="500"/>
      <c r="AQ33" s="132"/>
      <c r="AR33" s="132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124"/>
      <c r="CL33" s="124"/>
      <c r="CM33" s="124"/>
      <c r="CN33" s="124"/>
      <c r="CO33" s="124"/>
      <c r="CP33" s="124"/>
      <c r="CQ33" s="124"/>
      <c r="CR33" s="124"/>
      <c r="CS33" s="124"/>
      <c r="CT33" s="124"/>
      <c r="CU33" s="124"/>
      <c r="CV33" s="124"/>
      <c r="CW33" s="124"/>
      <c r="CX33" s="124"/>
      <c r="CY33" s="124"/>
      <c r="CZ33" s="124"/>
      <c r="DA33" s="124"/>
    </row>
    <row r="34" spans="1:105" s="42" customFormat="1" ht="13.15" customHeight="1" thickTop="1" thickBot="1" x14ac:dyDescent="0.3">
      <c r="A34" s="550"/>
      <c r="B34" s="161"/>
      <c r="C34" s="563" t="s">
        <v>56</v>
      </c>
      <c r="D34" s="506">
        <v>6.6000000000000003E-2</v>
      </c>
      <c r="E34" s="163" t="s">
        <v>81</v>
      </c>
      <c r="F34" s="496">
        <v>5.1999999999999998E-2</v>
      </c>
      <c r="G34" s="176" t="s">
        <v>4</v>
      </c>
      <c r="H34" s="398">
        <f>User_Input!F44</f>
        <v>35</v>
      </c>
      <c r="I34" s="155">
        <f>User_Input!H44</f>
        <v>26</v>
      </c>
      <c r="J34" s="164" t="s">
        <v>22</v>
      </c>
      <c r="K34" s="166"/>
      <c r="L34" s="166">
        <f t="shared" si="4"/>
        <v>0</v>
      </c>
      <c r="M34" s="262">
        <f t="shared" si="9"/>
        <v>0</v>
      </c>
      <c r="N34" s="167">
        <f t="shared" si="5"/>
        <v>0</v>
      </c>
      <c r="O34" s="194">
        <f t="shared" si="6"/>
        <v>0</v>
      </c>
      <c r="P34" s="159">
        <f t="shared" si="11"/>
        <v>2.5014000000000002E-2</v>
      </c>
      <c r="Q34" s="169"/>
      <c r="R34"/>
      <c r="S34" s="271"/>
      <c r="T34"/>
      <c r="U34" s="132"/>
      <c r="V34" s="124"/>
      <c r="W34" s="124"/>
      <c r="X34" s="18"/>
      <c r="Y34" s="18"/>
      <c r="Z34" s="18"/>
      <c r="AA34" s="119"/>
      <c r="AB34" s="291" t="s">
        <v>153</v>
      </c>
      <c r="AC34" s="295" t="s">
        <v>22</v>
      </c>
      <c r="AD34" s="299" t="s">
        <v>4</v>
      </c>
      <c r="AE34" s="297">
        <v>9</v>
      </c>
      <c r="AF34" s="123"/>
      <c r="AG34" s="123"/>
      <c r="AH34" s="291">
        <f t="shared" si="0"/>
        <v>0</v>
      </c>
      <c r="AI34" s="311">
        <f t="shared" si="1"/>
        <v>0</v>
      </c>
      <c r="AJ34" s="311">
        <f t="shared" si="2"/>
        <v>0</v>
      </c>
      <c r="AK34" s="311">
        <f t="shared" si="3"/>
        <v>0</v>
      </c>
      <c r="AL34" s="124"/>
      <c r="AM34" s="124"/>
      <c r="AN34" s="124"/>
      <c r="AP34" s="500"/>
      <c r="AQ34" s="132"/>
      <c r="AR34" s="132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124"/>
      <c r="CL34" s="124"/>
      <c r="CM34" s="124"/>
      <c r="CN34" s="124"/>
      <c r="CO34" s="124"/>
      <c r="CP34" s="124"/>
      <c r="CQ34" s="124"/>
      <c r="CR34" s="124"/>
      <c r="CS34" s="124"/>
      <c r="CT34" s="124"/>
      <c r="CU34" s="124"/>
      <c r="CV34" s="124"/>
      <c r="CW34" s="124"/>
      <c r="CX34" s="124"/>
      <c r="CY34" s="124"/>
      <c r="CZ34" s="124"/>
      <c r="DA34" s="124"/>
    </row>
    <row r="35" spans="1:105" s="51" customFormat="1" ht="15" customHeight="1" thickTop="1" thickBot="1" x14ac:dyDescent="0.3">
      <c r="A35" s="551"/>
      <c r="B35" s="177"/>
      <c r="C35" s="564"/>
      <c r="D35" s="507"/>
      <c r="E35" s="360" t="s">
        <v>82</v>
      </c>
      <c r="F35" s="496">
        <v>1.7000000000000001E-2</v>
      </c>
      <c r="G35" s="211" t="s">
        <v>9</v>
      </c>
      <c r="H35" s="398">
        <f>User_Input!F45</f>
        <v>72</v>
      </c>
      <c r="I35" s="155">
        <f>User_Input!H45</f>
        <v>57</v>
      </c>
      <c r="J35" s="259" t="s">
        <v>22</v>
      </c>
      <c r="K35" s="182"/>
      <c r="L35" s="182">
        <f t="shared" si="4"/>
        <v>0</v>
      </c>
      <c r="M35" s="267">
        <f t="shared" si="9"/>
        <v>0</v>
      </c>
      <c r="N35" s="167">
        <f t="shared" si="5"/>
        <v>0</v>
      </c>
      <c r="O35" s="199">
        <f t="shared" si="6"/>
        <v>0</v>
      </c>
      <c r="P35" s="159"/>
      <c r="Q35" s="185"/>
      <c r="R35"/>
      <c r="S35" s="271"/>
      <c r="T35"/>
      <c r="U35" s="278"/>
      <c r="V35" s="124"/>
      <c r="W35" s="124"/>
      <c r="X35" s="124"/>
      <c r="Y35" s="18"/>
      <c r="Z35" s="18"/>
      <c r="AA35"/>
      <c r="AB35" s="291" t="s">
        <v>154</v>
      </c>
      <c r="AC35" s="295" t="s">
        <v>22</v>
      </c>
      <c r="AD35" s="303" t="s">
        <v>9</v>
      </c>
      <c r="AE35" s="297">
        <v>15</v>
      </c>
      <c r="AF35" s="123"/>
      <c r="AG35" s="123"/>
      <c r="AH35" s="291">
        <f t="shared" si="0"/>
        <v>0</v>
      </c>
      <c r="AI35" s="311">
        <f t="shared" si="1"/>
        <v>0</v>
      </c>
      <c r="AJ35" s="311">
        <f t="shared" si="2"/>
        <v>0</v>
      </c>
      <c r="AK35" s="311">
        <f t="shared" si="3"/>
        <v>0</v>
      </c>
      <c r="AL35" s="124"/>
      <c r="AM35" s="124"/>
      <c r="AN35" s="124"/>
      <c r="AP35" s="500"/>
      <c r="AQ35" s="132"/>
      <c r="AR35" s="132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4"/>
      <c r="CE35" s="124"/>
      <c r="CF35" s="124"/>
      <c r="CG35" s="124"/>
      <c r="CH35" s="124"/>
      <c r="CI35" s="124"/>
      <c r="CJ35" s="124"/>
      <c r="CK35" s="124"/>
      <c r="CL35" s="124"/>
      <c r="CM35" s="124"/>
      <c r="CN35" s="124"/>
      <c r="CO35" s="124"/>
      <c r="CP35" s="124"/>
      <c r="CQ35" s="124"/>
      <c r="CR35" s="124"/>
      <c r="CS35" s="124"/>
      <c r="CT35" s="124"/>
      <c r="CU35" s="124"/>
      <c r="CV35" s="124"/>
      <c r="CW35" s="124"/>
      <c r="CX35" s="124"/>
      <c r="CY35" s="124"/>
      <c r="CZ35" s="124"/>
      <c r="DA35" s="124"/>
    </row>
    <row r="36" spans="1:105" s="48" customFormat="1" ht="13.9" customHeight="1" thickBot="1" x14ac:dyDescent="0.3">
      <c r="A36" s="549" t="s">
        <v>98</v>
      </c>
      <c r="B36" s="148">
        <v>0.28299999999999997</v>
      </c>
      <c r="C36" s="565" t="s">
        <v>57</v>
      </c>
      <c r="D36" s="506">
        <v>0.107</v>
      </c>
      <c r="E36" s="151" t="s">
        <v>83</v>
      </c>
      <c r="F36" s="496">
        <v>0.06</v>
      </c>
      <c r="G36" s="212" t="s">
        <v>10</v>
      </c>
      <c r="H36" s="398">
        <f>User_Input!F46</f>
        <v>1498</v>
      </c>
      <c r="I36" s="155">
        <f>User_Input!H46</f>
        <v>1291</v>
      </c>
      <c r="J36" s="188" t="s">
        <v>22</v>
      </c>
      <c r="K36" s="155"/>
      <c r="L36" s="155">
        <f t="shared" si="4"/>
        <v>0</v>
      </c>
      <c r="M36" s="265">
        <f t="shared" si="9"/>
        <v>0</v>
      </c>
      <c r="N36" s="157">
        <f t="shared" si="5"/>
        <v>0</v>
      </c>
      <c r="O36" s="190">
        <f t="shared" si="6"/>
        <v>0</v>
      </c>
      <c r="P36" s="159">
        <f>O$46*D36</f>
        <v>4.0552999999999999E-2</v>
      </c>
      <c r="Q36" s="160">
        <f>P$47*B36</f>
        <v>0.107471514</v>
      </c>
      <c r="R36"/>
      <c r="S36" s="271"/>
      <c r="T36"/>
      <c r="U36" s="278"/>
      <c r="V36" s="124"/>
      <c r="W36" s="124"/>
      <c r="X36"/>
      <c r="Y36"/>
      <c r="Z36"/>
      <c r="AA36"/>
      <c r="AB36" s="291" t="s">
        <v>155</v>
      </c>
      <c r="AC36" s="295" t="s">
        <v>22</v>
      </c>
      <c r="AD36" s="304" t="s">
        <v>10</v>
      </c>
      <c r="AE36" s="297">
        <v>207</v>
      </c>
      <c r="AF36" s="123"/>
      <c r="AG36" s="123"/>
      <c r="AH36" s="291">
        <f t="shared" si="0"/>
        <v>0</v>
      </c>
      <c r="AI36" s="311">
        <f t="shared" si="1"/>
        <v>0</v>
      </c>
      <c r="AJ36" s="311">
        <f t="shared" si="2"/>
        <v>0</v>
      </c>
      <c r="AK36" s="311">
        <f t="shared" si="3"/>
        <v>0</v>
      </c>
      <c r="AL36" s="124"/>
      <c r="AM36" s="124"/>
      <c r="AN36" s="124"/>
      <c r="AP36" s="500"/>
      <c r="AQ36" s="132"/>
      <c r="AR36" s="132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4"/>
      <c r="CW36" s="124"/>
      <c r="CX36" s="124"/>
      <c r="CY36" s="124"/>
      <c r="CZ36" s="124"/>
      <c r="DA36" s="124"/>
    </row>
    <row r="37" spans="1:105" s="42" customFormat="1" ht="12.6" customHeight="1" thickTop="1" thickBot="1" x14ac:dyDescent="0.3">
      <c r="A37" s="550"/>
      <c r="B37" s="161"/>
      <c r="C37" s="566"/>
      <c r="D37" s="508"/>
      <c r="E37" s="163" t="s">
        <v>84</v>
      </c>
      <c r="F37" s="496">
        <v>4.2000000000000003E-2</v>
      </c>
      <c r="G37" s="176" t="s">
        <v>18</v>
      </c>
      <c r="H37" s="398">
        <f>User_Input!F47</f>
        <v>1.62</v>
      </c>
      <c r="I37" s="155">
        <f>User_Input!H47</f>
        <v>1.675</v>
      </c>
      <c r="J37" s="164" t="s">
        <v>22</v>
      </c>
      <c r="K37" s="166"/>
      <c r="L37" s="166">
        <f t="shared" si="4"/>
        <v>0</v>
      </c>
      <c r="M37" s="262">
        <f t="shared" si="9"/>
        <v>1</v>
      </c>
      <c r="N37" s="167">
        <f t="shared" si="5"/>
        <v>1</v>
      </c>
      <c r="O37" s="194">
        <f t="shared" si="6"/>
        <v>4.2000000000000003E-2</v>
      </c>
      <c r="P37" s="159"/>
      <c r="Q37" s="169"/>
      <c r="R37"/>
      <c r="S37" s="271"/>
      <c r="T37"/>
      <c r="U37" s="278"/>
      <c r="V37" s="124"/>
      <c r="W37" s="124"/>
      <c r="X37"/>
      <c r="Y37"/>
      <c r="Z37"/>
      <c r="AA37"/>
      <c r="AB37" s="291" t="s">
        <v>156</v>
      </c>
      <c r="AC37" s="295" t="s">
        <v>22</v>
      </c>
      <c r="AD37" s="299" t="s">
        <v>18</v>
      </c>
      <c r="AE37" s="297">
        <v>-5.4999999999999938E-2</v>
      </c>
      <c r="AF37" s="123"/>
      <c r="AG37" s="123"/>
      <c r="AH37" s="291">
        <f t="shared" si="0"/>
        <v>1</v>
      </c>
      <c r="AI37" s="311">
        <f t="shared" si="1"/>
        <v>1.025E-2</v>
      </c>
      <c r="AJ37" s="311">
        <f t="shared" si="2"/>
        <v>2.6749999999999999E-2</v>
      </c>
      <c r="AK37" s="311">
        <f t="shared" si="3"/>
        <v>4.2000000000000003E-2</v>
      </c>
      <c r="AL37" s="124"/>
      <c r="AM37" s="124"/>
      <c r="AN37" s="124"/>
      <c r="AP37" s="500"/>
      <c r="AQ37" s="132"/>
      <c r="AR37" s="132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  <c r="CR37" s="124"/>
      <c r="CS37" s="124"/>
      <c r="CT37" s="124"/>
      <c r="CU37" s="124"/>
      <c r="CV37" s="124"/>
      <c r="CW37" s="124"/>
      <c r="CX37" s="124"/>
      <c r="CY37" s="124"/>
      <c r="CZ37" s="124"/>
      <c r="DA37" s="124"/>
    </row>
    <row r="38" spans="1:105" s="42" customFormat="1" ht="12.6" customHeight="1" thickTop="1" thickBot="1" x14ac:dyDescent="0.3">
      <c r="A38" s="550"/>
      <c r="B38" s="161"/>
      <c r="C38" s="566"/>
      <c r="D38" s="508"/>
      <c r="E38" s="163" t="s">
        <v>85</v>
      </c>
      <c r="F38" s="496">
        <v>7.0999999999999994E-2</v>
      </c>
      <c r="G38" s="176" t="s">
        <v>14</v>
      </c>
      <c r="H38" s="398">
        <f>User_Input!F48</f>
        <v>4.5999999999999996</v>
      </c>
      <c r="I38" s="155">
        <f>User_Input!H48</f>
        <v>5</v>
      </c>
      <c r="J38" s="164" t="s">
        <v>22</v>
      </c>
      <c r="K38" s="166"/>
      <c r="L38" s="166">
        <f t="shared" si="4"/>
        <v>0</v>
      </c>
      <c r="M38" s="262">
        <f t="shared" si="9"/>
        <v>1</v>
      </c>
      <c r="N38" s="167">
        <f t="shared" si="5"/>
        <v>1</v>
      </c>
      <c r="O38" s="194">
        <f t="shared" si="6"/>
        <v>7.0999999999999994E-2</v>
      </c>
      <c r="P38" s="159"/>
      <c r="Q38" s="169"/>
      <c r="R38"/>
      <c r="S38" s="271"/>
      <c r="T38"/>
      <c r="U38" s="278"/>
      <c r="V38" s="124"/>
      <c r="W38" s="124"/>
      <c r="X38"/>
      <c r="Y38"/>
      <c r="Z38"/>
      <c r="AA38"/>
      <c r="AB38" s="291" t="s">
        <v>157</v>
      </c>
      <c r="AC38" s="295" t="s">
        <v>22</v>
      </c>
      <c r="AD38" s="299" t="s">
        <v>14</v>
      </c>
      <c r="AE38" s="297">
        <v>-0.40000000000000036</v>
      </c>
      <c r="AF38" s="123"/>
      <c r="AG38" s="123"/>
      <c r="AH38" s="291">
        <f t="shared" si="0"/>
        <v>1</v>
      </c>
      <c r="AI38" s="311">
        <f t="shared" si="1"/>
        <v>1.025E-2</v>
      </c>
      <c r="AJ38" s="311">
        <f t="shared" si="2"/>
        <v>2.6749999999999999E-2</v>
      </c>
      <c r="AK38" s="311">
        <f t="shared" si="3"/>
        <v>7.0999999999999994E-2</v>
      </c>
      <c r="AL38" s="124"/>
      <c r="AM38" s="124"/>
      <c r="AN38" s="124"/>
      <c r="AP38" s="500"/>
      <c r="AQ38" s="132"/>
      <c r="AR38" s="132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  <c r="CR38" s="124"/>
      <c r="CS38" s="124"/>
      <c r="CT38" s="124"/>
      <c r="CU38" s="124"/>
      <c r="CV38" s="124"/>
      <c r="CW38" s="124"/>
      <c r="CX38" s="124"/>
      <c r="CY38" s="124"/>
      <c r="CZ38" s="124"/>
      <c r="DA38" s="124"/>
    </row>
    <row r="39" spans="1:105" s="42" customFormat="1" ht="12.6" customHeight="1" thickTop="1" thickBot="1" x14ac:dyDescent="0.3">
      <c r="A39" s="550"/>
      <c r="B39" s="161"/>
      <c r="C39" s="567"/>
      <c r="D39" s="507"/>
      <c r="E39" s="163" t="s">
        <v>86</v>
      </c>
      <c r="F39" s="496">
        <v>7.8E-2</v>
      </c>
      <c r="G39" s="176" t="s">
        <v>14</v>
      </c>
      <c r="H39" s="398">
        <f>User_Input!F49</f>
        <v>1.2</v>
      </c>
      <c r="I39" s="155">
        <f>User_Input!H49</f>
        <v>1.125</v>
      </c>
      <c r="J39" s="259" t="s">
        <v>22</v>
      </c>
      <c r="K39" s="182"/>
      <c r="L39" s="166">
        <f t="shared" si="4"/>
        <v>0</v>
      </c>
      <c r="M39" s="262">
        <f t="shared" si="9"/>
        <v>0</v>
      </c>
      <c r="N39" s="167">
        <f t="shared" si="5"/>
        <v>0</v>
      </c>
      <c r="O39" s="199">
        <f t="shared" si="6"/>
        <v>0</v>
      </c>
      <c r="P39" s="159"/>
      <c r="Q39" s="169"/>
      <c r="R39"/>
      <c r="S39" s="271"/>
      <c r="T39"/>
      <c r="U39" s="123"/>
      <c r="V39" s="124"/>
      <c r="W39" s="124"/>
      <c r="X39"/>
      <c r="Y39"/>
      <c r="Z39"/>
      <c r="AA39"/>
      <c r="AB39" s="291" t="s">
        <v>158</v>
      </c>
      <c r="AC39" s="295" t="s">
        <v>22</v>
      </c>
      <c r="AD39" s="299" t="s">
        <v>14</v>
      </c>
      <c r="AE39" s="297">
        <v>7.4999999999999956E-2</v>
      </c>
      <c r="AF39" s="123"/>
      <c r="AG39" s="123"/>
      <c r="AH39" s="291">
        <f t="shared" si="0"/>
        <v>0</v>
      </c>
      <c r="AI39" s="311">
        <f t="shared" si="1"/>
        <v>0</v>
      </c>
      <c r="AJ39" s="311">
        <f t="shared" si="2"/>
        <v>0</v>
      </c>
      <c r="AK39" s="311">
        <f t="shared" si="3"/>
        <v>0</v>
      </c>
      <c r="AL39" s="124"/>
      <c r="AM39" s="124"/>
      <c r="AN39" s="124"/>
      <c r="AP39" s="500"/>
      <c r="AQ39" s="132"/>
      <c r="AR39" s="132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  <c r="CR39" s="124"/>
      <c r="CS39" s="124"/>
      <c r="CT39" s="124"/>
      <c r="CU39" s="124"/>
      <c r="CV39" s="124"/>
      <c r="CW39" s="124"/>
      <c r="CX39" s="124"/>
      <c r="CY39" s="124"/>
      <c r="CZ39" s="124"/>
      <c r="DA39" s="124"/>
    </row>
    <row r="40" spans="1:105" s="51" customFormat="1" ht="13.15" customHeight="1" thickTop="1" thickBot="1" x14ac:dyDescent="0.3">
      <c r="A40" s="551"/>
      <c r="B40" s="177"/>
      <c r="C40" s="204" t="s">
        <v>58</v>
      </c>
      <c r="D40" s="505">
        <v>0.129</v>
      </c>
      <c r="E40" s="360" t="s">
        <v>87</v>
      </c>
      <c r="F40" s="496">
        <v>9.2999999999999999E-2</v>
      </c>
      <c r="G40" s="211" t="s">
        <v>11</v>
      </c>
      <c r="H40" s="398">
        <f>User_Input!F50</f>
        <v>0.7</v>
      </c>
      <c r="I40" s="155">
        <f>User_Input!H50</f>
        <v>0.48499999999999999</v>
      </c>
      <c r="J40" s="260" t="s">
        <v>22</v>
      </c>
      <c r="K40" s="182"/>
      <c r="L40" s="182">
        <f t="shared" si="4"/>
        <v>0</v>
      </c>
      <c r="M40" s="267">
        <f t="shared" si="9"/>
        <v>0</v>
      </c>
      <c r="N40" s="214">
        <f t="shared" si="5"/>
        <v>0</v>
      </c>
      <c r="O40" s="199">
        <f t="shared" si="6"/>
        <v>0</v>
      </c>
      <c r="P40" s="159">
        <f>O$46*D40</f>
        <v>4.8891000000000004E-2</v>
      </c>
      <c r="Q40" s="185"/>
      <c r="R40"/>
      <c r="S40" s="271"/>
      <c r="T40"/>
      <c r="U40" s="123"/>
      <c r="V40" s="124"/>
      <c r="W40" s="124"/>
      <c r="X40"/>
      <c r="Y40"/>
      <c r="Z40"/>
      <c r="AA40"/>
      <c r="AB40" s="291" t="s">
        <v>159</v>
      </c>
      <c r="AC40" s="295" t="s">
        <v>22</v>
      </c>
      <c r="AD40" s="303" t="s">
        <v>11</v>
      </c>
      <c r="AE40" s="297">
        <v>0.21499999999999997</v>
      </c>
      <c r="AF40" s="123"/>
      <c r="AG40" s="123"/>
      <c r="AH40" s="291">
        <f t="shared" si="0"/>
        <v>0</v>
      </c>
      <c r="AI40" s="311">
        <f t="shared" si="1"/>
        <v>0</v>
      </c>
      <c r="AJ40" s="311">
        <f t="shared" si="2"/>
        <v>0</v>
      </c>
      <c r="AK40" s="311">
        <f t="shared" si="3"/>
        <v>0</v>
      </c>
      <c r="AL40" s="124"/>
      <c r="AM40" s="124"/>
      <c r="AN40" s="124"/>
      <c r="AP40" s="500"/>
      <c r="AQ40" s="132"/>
      <c r="AR40" s="132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</row>
    <row r="41" spans="1:105" s="59" customFormat="1" ht="30.75" thickBot="1" x14ac:dyDescent="0.3">
      <c r="A41" s="215" t="s">
        <v>91</v>
      </c>
      <c r="B41" s="216">
        <v>0.40100000000000002</v>
      </c>
      <c r="C41" s="217" t="s">
        <v>59</v>
      </c>
      <c r="D41" s="509">
        <v>0.13700000000000001</v>
      </c>
      <c r="E41" s="217" t="s">
        <v>88</v>
      </c>
      <c r="F41" s="497">
        <v>0.10299999999999999</v>
      </c>
      <c r="G41" s="218" t="s">
        <v>10</v>
      </c>
      <c r="H41" s="398">
        <f>User_Input!F51</f>
        <v>210.5</v>
      </c>
      <c r="I41" s="155">
        <f>User_Input!H51</f>
        <v>184.35</v>
      </c>
      <c r="J41" s="261" t="s">
        <v>21</v>
      </c>
      <c r="K41" s="220">
        <f t="shared" si="8"/>
        <v>1</v>
      </c>
      <c r="L41" s="221">
        <f t="shared" si="4"/>
        <v>0</v>
      </c>
      <c r="M41" s="219"/>
      <c r="N41" s="222">
        <f t="shared" si="5"/>
        <v>1</v>
      </c>
      <c r="O41" s="223">
        <f t="shared" si="6"/>
        <v>0.10299999999999999</v>
      </c>
      <c r="P41" s="159">
        <f>O$46*D41</f>
        <v>5.1923000000000004E-2</v>
      </c>
      <c r="Q41" s="224">
        <f>P$47*B41</f>
        <v>0.15228295800000002</v>
      </c>
      <c r="R41"/>
      <c r="S41" s="271"/>
      <c r="T41"/>
      <c r="U41" s="125"/>
      <c r="V41" s="119"/>
      <c r="W41" s="119"/>
      <c r="X41"/>
      <c r="Y41"/>
      <c r="Z41"/>
      <c r="AA41"/>
      <c r="AB41" s="291" t="s">
        <v>160</v>
      </c>
      <c r="AC41" s="305" t="s">
        <v>21</v>
      </c>
      <c r="AD41" s="306" t="s">
        <v>10</v>
      </c>
      <c r="AE41" s="307">
        <v>26.150000000000006</v>
      </c>
      <c r="AF41" s="276"/>
      <c r="AG41" s="276"/>
      <c r="AH41" s="291">
        <f t="shared" si="0"/>
        <v>1</v>
      </c>
      <c r="AI41" s="311">
        <f t="shared" si="1"/>
        <v>0.40100000000000002</v>
      </c>
      <c r="AJ41" s="311">
        <f t="shared" si="2"/>
        <v>0.13700000000000001</v>
      </c>
      <c r="AK41" s="311">
        <f t="shared" si="3"/>
        <v>0.10299999999999999</v>
      </c>
      <c r="AL41" s="119"/>
      <c r="AM41" s="119"/>
      <c r="AN41" s="119"/>
      <c r="AP41" s="500"/>
      <c r="AQ41" s="133"/>
      <c r="AR41" s="133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</row>
    <row r="42" spans="1:105" s="18" customFormat="1" ht="15.75" thickBot="1" x14ac:dyDescent="0.3">
      <c r="A42" s="225"/>
      <c r="B42" s="225"/>
      <c r="C42" s="225"/>
      <c r="D42" s="225"/>
      <c r="E42" s="226"/>
      <c r="F42" s="226"/>
      <c r="G42" s="227"/>
      <c r="H42" s="226"/>
      <c r="I42" s="227"/>
      <c r="J42" s="227"/>
      <c r="K42" s="227"/>
      <c r="L42" s="227"/>
      <c r="M42" s="227"/>
      <c r="N42" s="228"/>
      <c r="O42" s="228"/>
      <c r="P42" s="228"/>
      <c r="Q42" s="228"/>
      <c r="R42"/>
      <c r="S42"/>
      <c r="T42"/>
      <c r="U42" s="125"/>
      <c r="V42" s="119"/>
      <c r="W42" s="119"/>
      <c r="X42"/>
      <c r="Y42"/>
      <c r="Z42"/>
      <c r="AA42"/>
      <c r="AB42"/>
      <c r="AC42" s="119"/>
      <c r="AD42" s="119"/>
      <c r="AE42" s="119"/>
      <c r="AF42" s="119"/>
      <c r="AG42" s="119"/>
      <c r="AH42" s="312" t="s">
        <v>129</v>
      </c>
      <c r="AI42" s="346">
        <f>SUM(AI13,AI16,AI18,AI23:AI24,AI29,AI33:AI40)</f>
        <v>6.3366666666666668E-2</v>
      </c>
      <c r="AJ42" s="346">
        <f>SUM(AJ13,AJ16,AJ18,AJ23:AJ24,AJ29,AJ33:AJ40)</f>
        <v>0.1205</v>
      </c>
      <c r="AK42" s="347">
        <f>SUM(AK13,AK16,AK18,AK23:AK24,AK29,AK33:AK40)</f>
        <v>0.17699999999999999</v>
      </c>
      <c r="AL42" s="119"/>
      <c r="AM42" s="119"/>
      <c r="AN42" s="119"/>
      <c r="AP42" s="500"/>
      <c r="AQ42" s="133"/>
      <c r="AR42" s="133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</row>
    <row r="43" spans="1:105" s="18" customFormat="1" ht="13.9" customHeight="1" x14ac:dyDescent="0.25">
      <c r="A43" s="229"/>
      <c r="B43" s="230">
        <f>SUM(B12:B41)</f>
        <v>1</v>
      </c>
      <c r="C43" s="229"/>
      <c r="D43" s="231">
        <f>SUM(D12:D41)</f>
        <v>1.002</v>
      </c>
      <c r="E43" s="228"/>
      <c r="F43" s="232">
        <f>SUM(F12:F42)</f>
        <v>1.0010000000000001</v>
      </c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/>
      <c r="S43"/>
      <c r="T43"/>
      <c r="U43" s="119"/>
      <c r="V43" s="119"/>
      <c r="W43" s="119"/>
      <c r="X43"/>
      <c r="Y43"/>
      <c r="Z43"/>
      <c r="AA43"/>
      <c r="AB43"/>
      <c r="AC43" s="119"/>
      <c r="AD43" s="119"/>
      <c r="AE43" s="119"/>
      <c r="AF43" s="119"/>
      <c r="AG43" s="119"/>
      <c r="AH43" s="313" t="s">
        <v>130</v>
      </c>
      <c r="AI43" s="348">
        <f>SUM(AI12,AI14:AI15,AI17,AI19:AI22,AI25:AI28,AI30:AI32,AI41)</f>
        <v>0.46183333333333337</v>
      </c>
      <c r="AJ43" s="348">
        <f>SUM(AJ12,AJ14:AJ15,AJ17,AJ19:AJ22,AJ25:AJ28,AJ30:AJ32,AJ41)</f>
        <v>0.26550000000000001</v>
      </c>
      <c r="AK43" s="349">
        <f>SUM(AK12,AK14:AK15,AK17,AK19:AK22,AK25:AK28,AK30:AK32,AK41)</f>
        <v>0.20200000000000001</v>
      </c>
      <c r="AL43" s="119"/>
      <c r="AM43" s="119"/>
      <c r="AN43" s="119"/>
      <c r="AP43" s="500"/>
      <c r="AQ43" s="133"/>
      <c r="AR43" s="133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</row>
    <row r="44" spans="1:105" s="18" customFormat="1" x14ac:dyDescent="0.2">
      <c r="A44" s="228"/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/>
      <c r="S44"/>
      <c r="T44"/>
      <c r="U44" s="119"/>
      <c r="V44" s="119"/>
      <c r="W44" s="119"/>
      <c r="X44"/>
      <c r="Y44"/>
      <c r="Z44"/>
      <c r="AA44"/>
      <c r="AB44"/>
      <c r="AC44"/>
      <c r="AD44"/>
      <c r="AE44"/>
      <c r="AF44"/>
      <c r="AG44"/>
      <c r="AL44" s="119"/>
      <c r="AM44" s="119"/>
      <c r="AN44" s="119"/>
      <c r="AO44" s="119"/>
      <c r="AP44" s="133"/>
      <c r="AQ44" s="133"/>
      <c r="AR44" s="133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</row>
    <row r="45" spans="1:105" ht="14.25" x14ac:dyDescent="0.2">
      <c r="A45" s="138"/>
      <c r="B45" s="138"/>
      <c r="C45" s="233"/>
      <c r="D45" s="233"/>
      <c r="E45" s="233"/>
      <c r="F45" s="233"/>
      <c r="G45" s="234"/>
      <c r="H45" s="233"/>
      <c r="I45" s="234"/>
      <c r="J45" s="234"/>
      <c r="K45" s="234"/>
      <c r="L45" s="234"/>
      <c r="M45" s="234"/>
      <c r="N45" s="234"/>
      <c r="O45" s="234"/>
      <c r="P45" s="235"/>
      <c r="Q45" s="138"/>
      <c r="U45" s="121"/>
      <c r="X45" s="4" t="s">
        <v>164</v>
      </c>
      <c r="AH45" s="291" t="s">
        <v>242</v>
      </c>
      <c r="AI45" s="311">
        <f>AI43-AI42</f>
        <v>0.39846666666666669</v>
      </c>
      <c r="AJ45" s="311">
        <f t="shared" ref="AJ45:AK45" si="12">AJ43-AJ42</f>
        <v>0.14500000000000002</v>
      </c>
      <c r="AK45" s="311">
        <f t="shared" si="12"/>
        <v>2.5000000000000022E-2</v>
      </c>
      <c r="AP45" s="133"/>
      <c r="AQ45" s="133"/>
      <c r="AR45" s="133"/>
    </row>
    <row r="46" spans="1:105" ht="1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237" t="s">
        <v>106</v>
      </c>
      <c r="O46" s="237">
        <f>SUM(O12:O41)</f>
        <v>0.379</v>
      </c>
      <c r="P46" s="228"/>
      <c r="Q46" s="227"/>
      <c r="AH46" s="18"/>
      <c r="AP46" s="133"/>
      <c r="AQ46" s="133"/>
      <c r="AR46" s="133"/>
    </row>
    <row r="47" spans="1:105" ht="15" x14ac:dyDescent="0.2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228"/>
      <c r="O47" s="236" t="s">
        <v>126</v>
      </c>
      <c r="P47" s="238">
        <f>SUM(P12:P41)</f>
        <v>0.37975800000000004</v>
      </c>
      <c r="Q47" s="228"/>
      <c r="AH47" s="18"/>
      <c r="AP47" s="133"/>
      <c r="AQ47" s="133"/>
      <c r="AR47" s="133"/>
    </row>
    <row r="48" spans="1:105" ht="15" x14ac:dyDescent="0.25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228"/>
      <c r="O48" s="228"/>
      <c r="P48" s="239" t="s">
        <v>108</v>
      </c>
      <c r="Q48" s="365">
        <f>SUM(Q12:Q41)</f>
        <v>0.37975800000000004</v>
      </c>
      <c r="X48"/>
      <c r="Y48"/>
      <c r="Z48"/>
      <c r="AA48"/>
      <c r="AB48"/>
      <c r="AC48"/>
      <c r="AD48"/>
      <c r="AE48"/>
      <c r="AF48"/>
      <c r="AG48"/>
      <c r="AH48"/>
    </row>
    <row r="49" spans="1:37" ht="15" x14ac:dyDescent="0.25">
      <c r="A49" s="4"/>
      <c r="N49" s="18"/>
      <c r="O49" s="18"/>
      <c r="P49" s="127"/>
      <c r="Q49" s="128"/>
      <c r="X49"/>
      <c r="Y49"/>
      <c r="Z49"/>
      <c r="AA49"/>
      <c r="AB49"/>
      <c r="AC49"/>
      <c r="AD49"/>
      <c r="AE49"/>
      <c r="AF49"/>
      <c r="AG49"/>
      <c r="AH49"/>
    </row>
    <row r="50" spans="1:37" ht="15" x14ac:dyDescent="0.25">
      <c r="A50" s="4" t="s">
        <v>123</v>
      </c>
      <c r="N50" s="18"/>
      <c r="O50" s="18"/>
      <c r="P50" s="127"/>
      <c r="Q50" s="128"/>
      <c r="X50"/>
      <c r="Y50"/>
      <c r="Z50"/>
      <c r="AA50"/>
      <c r="AB50"/>
      <c r="AC50"/>
      <c r="AD50"/>
      <c r="AE50"/>
      <c r="AF50"/>
      <c r="AG50"/>
      <c r="AH50"/>
      <c r="AI50"/>
      <c r="AJ50" s="90"/>
      <c r="AK50"/>
    </row>
    <row r="51" spans="1:37" ht="15" x14ac:dyDescent="0.25">
      <c r="A51" s="4"/>
      <c r="N51" s="18"/>
      <c r="O51" s="18"/>
      <c r="P51" s="127"/>
      <c r="Q51" s="128"/>
      <c r="X51"/>
      <c r="Y51"/>
      <c r="Z51"/>
      <c r="AA51"/>
      <c r="AB51"/>
      <c r="AC51"/>
      <c r="AD51"/>
      <c r="AE51"/>
      <c r="AF51"/>
      <c r="AG51"/>
      <c r="AH51"/>
      <c r="AI51"/>
      <c r="AJ51" s="90"/>
      <c r="AK51"/>
    </row>
    <row r="52" spans="1:37" x14ac:dyDescent="0.2">
      <c r="X52"/>
      <c r="Y52"/>
      <c r="Z52"/>
      <c r="AA52"/>
      <c r="AB52"/>
      <c r="AC52"/>
      <c r="AD52"/>
      <c r="AE52"/>
      <c r="AF52"/>
      <c r="AG52"/>
      <c r="AH52"/>
      <c r="AI52"/>
    </row>
    <row r="53" spans="1:37" ht="15" x14ac:dyDescent="0.2">
      <c r="A53" s="3" t="s">
        <v>100</v>
      </c>
      <c r="B53" s="3" t="s">
        <v>19</v>
      </c>
      <c r="C53" s="3" t="s">
        <v>176</v>
      </c>
      <c r="D53" s="3" t="s">
        <v>19</v>
      </c>
      <c r="E53" s="3" t="s">
        <v>0</v>
      </c>
      <c r="F53" s="8" t="s">
        <v>19</v>
      </c>
      <c r="G53" s="130" t="s">
        <v>1</v>
      </c>
      <c r="H53" s="8" t="s">
        <v>94</v>
      </c>
      <c r="I53" s="12" t="s">
        <v>31</v>
      </c>
      <c r="J53" s="12" t="s">
        <v>20</v>
      </c>
      <c r="K53" s="546" t="s">
        <v>30</v>
      </c>
      <c r="L53" s="546"/>
      <c r="M53" s="546"/>
      <c r="N53" s="546"/>
      <c r="O53" s="12" t="s">
        <v>119</v>
      </c>
      <c r="P53" s="12" t="s">
        <v>120</v>
      </c>
      <c r="Q53" s="12" t="s">
        <v>121</v>
      </c>
      <c r="X53"/>
      <c r="Y53"/>
      <c r="Z53"/>
      <c r="AA53"/>
      <c r="AB53"/>
      <c r="AC53"/>
      <c r="AD53"/>
      <c r="AE53"/>
      <c r="AF53"/>
      <c r="AG53"/>
      <c r="AH53"/>
      <c r="AI53"/>
    </row>
    <row r="54" spans="1:37" ht="15" thickBot="1" x14ac:dyDescent="0.25">
      <c r="A54" s="26" t="s">
        <v>102</v>
      </c>
      <c r="B54" s="26" t="s">
        <v>103</v>
      </c>
      <c r="C54" s="26" t="s">
        <v>23</v>
      </c>
      <c r="D54" s="345" t="s">
        <v>24</v>
      </c>
      <c r="E54" s="31" t="s">
        <v>25</v>
      </c>
      <c r="F54" s="32" t="s">
        <v>29</v>
      </c>
      <c r="G54" s="32" t="s">
        <v>26</v>
      </c>
      <c r="H54" s="32" t="s">
        <v>27</v>
      </c>
      <c r="I54" s="32" t="s">
        <v>32</v>
      </c>
      <c r="J54" s="32" t="s">
        <v>28</v>
      </c>
      <c r="K54" s="33" t="s">
        <v>93</v>
      </c>
      <c r="L54" s="33" t="s">
        <v>95</v>
      </c>
      <c r="M54" s="33" t="s">
        <v>96</v>
      </c>
      <c r="N54" s="33" t="s">
        <v>104</v>
      </c>
      <c r="O54" s="32" t="s">
        <v>34</v>
      </c>
      <c r="P54" s="32" t="s">
        <v>35</v>
      </c>
      <c r="Q54" s="32" t="s">
        <v>105</v>
      </c>
    </row>
    <row r="55" spans="1:37" ht="15.75" thickBot="1" x14ac:dyDescent="0.3">
      <c r="A55" s="543" t="s">
        <v>36</v>
      </c>
      <c r="B55" s="70">
        <f>B12</f>
        <v>2.4E-2</v>
      </c>
      <c r="C55" s="63" t="s">
        <v>37</v>
      </c>
      <c r="D55" s="343">
        <f>B$12/5</f>
        <v>4.8000000000000004E-3</v>
      </c>
      <c r="E55" s="96" t="s">
        <v>60</v>
      </c>
      <c r="F55" s="112">
        <f>D55</f>
        <v>4.8000000000000004E-3</v>
      </c>
      <c r="G55" s="91" t="s">
        <v>5</v>
      </c>
      <c r="H55" s="39">
        <f>H12</f>
        <v>28.5</v>
      </c>
      <c r="I55" s="35">
        <f>User_Input!H22</f>
        <v>19.399999999999999</v>
      </c>
      <c r="J55" s="36" t="s">
        <v>21</v>
      </c>
      <c r="K55" s="36">
        <f>IF(H55&gt;I55,1,0)</f>
        <v>1</v>
      </c>
      <c r="L55" s="35">
        <f>IF(H55=I55,0.5,0)</f>
        <v>0</v>
      </c>
      <c r="M55" s="35"/>
      <c r="N55" s="37">
        <f>SUM(K55:M55)</f>
        <v>1</v>
      </c>
      <c r="O55" s="74">
        <f t="shared" ref="O55:O84" si="13">N55*F55</f>
        <v>4.8000000000000004E-3</v>
      </c>
      <c r="P55" s="75">
        <f>O$89*D55</f>
        <v>2.52096E-3</v>
      </c>
      <c r="Q55" s="126">
        <f>P$90*B55</f>
        <v>1.2604800000000001E-2</v>
      </c>
    </row>
    <row r="56" spans="1:37" ht="16.5" thickTop="1" thickBot="1" x14ac:dyDescent="0.3">
      <c r="A56" s="544"/>
      <c r="B56" s="71"/>
      <c r="C56" s="64" t="s">
        <v>38</v>
      </c>
      <c r="D56" s="67">
        <f>B$12/5</f>
        <v>4.8000000000000004E-3</v>
      </c>
      <c r="E56" s="97" t="s">
        <v>61</v>
      </c>
      <c r="F56" s="113">
        <f>D56</f>
        <v>4.8000000000000004E-3</v>
      </c>
      <c r="G56" s="92" t="s">
        <v>2</v>
      </c>
      <c r="H56" s="39">
        <f t="shared" ref="H56:H84" si="14">H13</f>
        <v>4.9000000000000004</v>
      </c>
      <c r="I56" s="35">
        <f>User_Input!H23</f>
        <v>6.6000000000000005</v>
      </c>
      <c r="J56" s="40" t="s">
        <v>22</v>
      </c>
      <c r="K56" s="5"/>
      <c r="L56" s="5">
        <f t="shared" ref="L56:L84" si="15">IF(H56=I56,0.5,0)</f>
        <v>0</v>
      </c>
      <c r="M56" s="41">
        <f>IF(H56&lt;I56,1,0)</f>
        <v>1</v>
      </c>
      <c r="N56" s="19">
        <f t="shared" ref="N56:N84" si="16">SUM(K56:M56)</f>
        <v>1</v>
      </c>
      <c r="O56" s="76">
        <f t="shared" si="13"/>
        <v>4.8000000000000004E-3</v>
      </c>
      <c r="P56" s="75">
        <f t="shared" ref="P56:P84" si="17">O$89*D56</f>
        <v>2.52096E-3</v>
      </c>
      <c r="Q56" s="126"/>
    </row>
    <row r="57" spans="1:37" ht="31.5" thickTop="1" thickBot="1" x14ac:dyDescent="0.3">
      <c r="A57" s="544"/>
      <c r="B57" s="71"/>
      <c r="C57" s="65" t="s">
        <v>39</v>
      </c>
      <c r="D57" s="67">
        <f>B$12/5</f>
        <v>4.8000000000000004E-3</v>
      </c>
      <c r="E57" s="97" t="s">
        <v>62</v>
      </c>
      <c r="F57" s="113">
        <f>D57</f>
        <v>4.8000000000000004E-3</v>
      </c>
      <c r="G57" s="93" t="s">
        <v>3</v>
      </c>
      <c r="H57" s="39">
        <f t="shared" si="14"/>
        <v>3</v>
      </c>
      <c r="I57" s="35">
        <f>User_Input!H24</f>
        <v>3.25</v>
      </c>
      <c r="J57" s="27" t="s">
        <v>21</v>
      </c>
      <c r="K57" s="27">
        <f>IF(H57&gt;I57,1,0)</f>
        <v>0</v>
      </c>
      <c r="L57" s="5">
        <f t="shared" si="15"/>
        <v>0</v>
      </c>
      <c r="M57" s="1"/>
      <c r="N57" s="19">
        <f t="shared" si="16"/>
        <v>0</v>
      </c>
      <c r="O57" s="76">
        <f t="shared" si="13"/>
        <v>0</v>
      </c>
      <c r="P57" s="75">
        <f t="shared" si="17"/>
        <v>2.52096E-3</v>
      </c>
      <c r="Q57" s="126"/>
    </row>
    <row r="58" spans="1:37" ht="15.75" thickBot="1" x14ac:dyDescent="0.3">
      <c r="A58" s="544"/>
      <c r="B58" s="71"/>
      <c r="C58" s="65" t="s">
        <v>40</v>
      </c>
      <c r="D58" s="67">
        <f>B$12/5</f>
        <v>4.8000000000000004E-3</v>
      </c>
      <c r="E58" s="97" t="s">
        <v>63</v>
      </c>
      <c r="F58" s="113">
        <f>D58</f>
        <v>4.8000000000000004E-3</v>
      </c>
      <c r="G58" s="93" t="s">
        <v>16</v>
      </c>
      <c r="H58" s="39">
        <f t="shared" si="14"/>
        <v>844</v>
      </c>
      <c r="I58" s="35">
        <f>User_Input!H25</f>
        <v>762</v>
      </c>
      <c r="J58" s="27" t="s">
        <v>21</v>
      </c>
      <c r="K58" s="27">
        <f>IF(H58&gt;I58,1,0)</f>
        <v>1</v>
      </c>
      <c r="L58" s="5">
        <f t="shared" si="15"/>
        <v>0</v>
      </c>
      <c r="M58" s="1"/>
      <c r="N58" s="19">
        <f t="shared" si="16"/>
        <v>1</v>
      </c>
      <c r="O58" s="76">
        <f t="shared" si="13"/>
        <v>4.8000000000000004E-3</v>
      </c>
      <c r="P58" s="75">
        <f t="shared" si="17"/>
        <v>2.52096E-3</v>
      </c>
      <c r="Q58" s="126"/>
      <c r="X58" s="10" t="s">
        <v>234</v>
      </c>
      <c r="AC58" s="133"/>
    </row>
    <row r="59" spans="1:37" ht="16.5" thickTop="1" thickBot="1" x14ac:dyDescent="0.3">
      <c r="A59" s="544"/>
      <c r="B59" s="71"/>
      <c r="C59" s="555" t="s">
        <v>41</v>
      </c>
      <c r="D59" s="67">
        <f>B$12/5</f>
        <v>4.8000000000000004E-3</v>
      </c>
      <c r="E59" s="98" t="s">
        <v>64</v>
      </c>
      <c r="F59" s="113">
        <f>D$59/2</f>
        <v>2.4000000000000002E-3</v>
      </c>
      <c r="G59" s="94" t="s">
        <v>4</v>
      </c>
      <c r="H59" s="39">
        <f t="shared" si="14"/>
        <v>93.94</v>
      </c>
      <c r="I59" s="35">
        <f>User_Input!H26</f>
        <v>96.015000000000001</v>
      </c>
      <c r="J59" s="40" t="s">
        <v>22</v>
      </c>
      <c r="K59" s="5"/>
      <c r="L59" s="5">
        <f t="shared" si="15"/>
        <v>0</v>
      </c>
      <c r="M59" s="41">
        <f>IF(H59&lt;I59,1,0)</f>
        <v>1</v>
      </c>
      <c r="N59" s="19">
        <f t="shared" si="16"/>
        <v>1</v>
      </c>
      <c r="O59" s="76">
        <f t="shared" si="13"/>
        <v>2.4000000000000002E-3</v>
      </c>
      <c r="P59" s="75">
        <f t="shared" si="17"/>
        <v>2.52096E-3</v>
      </c>
      <c r="Q59" s="126"/>
      <c r="Y59" s="547" t="s">
        <v>235</v>
      </c>
      <c r="Z59" s="547"/>
      <c r="AA59" s="342">
        <f>Q91*100</f>
        <v>52.52</v>
      </c>
      <c r="AB59" s="119" t="s">
        <v>4</v>
      </c>
    </row>
    <row r="60" spans="1:37" ht="16.5" thickTop="1" thickBot="1" x14ac:dyDescent="0.3">
      <c r="A60" s="545"/>
      <c r="B60" s="72"/>
      <c r="C60" s="556"/>
      <c r="D60" s="344"/>
      <c r="E60" s="99" t="s">
        <v>65</v>
      </c>
      <c r="F60" s="113">
        <f>D$59/2</f>
        <v>2.4000000000000002E-3</v>
      </c>
      <c r="G60" s="95" t="s">
        <v>4</v>
      </c>
      <c r="H60" s="39">
        <f t="shared" si="14"/>
        <v>6.06</v>
      </c>
      <c r="I60" s="35">
        <f>User_Input!H27</f>
        <v>3.9849999999999999</v>
      </c>
      <c r="J60" s="43" t="s">
        <v>21</v>
      </c>
      <c r="K60" s="43">
        <f>IF(H60&gt;I60,1,0)</f>
        <v>1</v>
      </c>
      <c r="L60" s="14">
        <f t="shared" si="15"/>
        <v>0</v>
      </c>
      <c r="M60" s="44"/>
      <c r="N60" s="19">
        <f t="shared" si="16"/>
        <v>1</v>
      </c>
      <c r="O60" s="77">
        <f t="shared" si="13"/>
        <v>2.4000000000000002E-3</v>
      </c>
      <c r="P60" s="75"/>
      <c r="Q60" s="126"/>
      <c r="Y60" s="547" t="s">
        <v>236</v>
      </c>
      <c r="Z60" s="547"/>
      <c r="AA60" s="342">
        <f>Q136*100</f>
        <v>38.754554399999989</v>
      </c>
      <c r="AB60" s="119" t="s">
        <v>4</v>
      </c>
    </row>
    <row r="61" spans="1:37" ht="15.75" thickBot="1" x14ac:dyDescent="0.3">
      <c r="A61" s="543" t="s">
        <v>92</v>
      </c>
      <c r="B61" s="70">
        <f>B18</f>
        <v>4.3999999999999997E-2</v>
      </c>
      <c r="C61" s="45" t="s">
        <v>42</v>
      </c>
      <c r="D61" s="343">
        <f>B$18/3</f>
        <v>1.4666666666666666E-2</v>
      </c>
      <c r="E61" s="100" t="s">
        <v>89</v>
      </c>
      <c r="F61" s="112">
        <f>D61</f>
        <v>1.4666666666666666E-2</v>
      </c>
      <c r="G61" s="103" t="s">
        <v>4</v>
      </c>
      <c r="H61" s="39">
        <f t="shared" si="14"/>
        <v>12.36</v>
      </c>
      <c r="I61" s="35">
        <f>User_Input!H28</f>
        <v>14.709999999999999</v>
      </c>
      <c r="J61" s="46" t="s">
        <v>22</v>
      </c>
      <c r="K61" s="35"/>
      <c r="L61" s="35">
        <f t="shared" si="15"/>
        <v>0</v>
      </c>
      <c r="M61" s="47">
        <f>IF(H61&lt;I61,1,0)</f>
        <v>1</v>
      </c>
      <c r="N61" s="37">
        <f t="shared" si="16"/>
        <v>1</v>
      </c>
      <c r="O61" s="78">
        <f t="shared" si="13"/>
        <v>1.4666666666666666E-2</v>
      </c>
      <c r="P61" s="75">
        <f t="shared" si="17"/>
        <v>7.7029333333333335E-3</v>
      </c>
      <c r="Q61" s="126">
        <f>P$90*B61</f>
        <v>2.3108799999999999E-2</v>
      </c>
      <c r="Y61" s="547" t="s">
        <v>237</v>
      </c>
      <c r="Z61" s="547"/>
      <c r="AA61" s="342">
        <f>Q179*100</f>
        <v>37.975837900000002</v>
      </c>
      <c r="AB61" s="119" t="s">
        <v>4</v>
      </c>
    </row>
    <row r="62" spans="1:37" ht="16.5" thickTop="1" thickBot="1" x14ac:dyDescent="0.3">
      <c r="A62" s="544"/>
      <c r="B62" s="71"/>
      <c r="C62" s="29" t="s">
        <v>43</v>
      </c>
      <c r="D62" s="67">
        <f>B$18/3</f>
        <v>1.4666666666666666E-2</v>
      </c>
      <c r="E62" s="101" t="s">
        <v>66</v>
      </c>
      <c r="F62" s="113">
        <f>D62</f>
        <v>1.4666666666666666E-2</v>
      </c>
      <c r="G62" s="93" t="s">
        <v>4</v>
      </c>
      <c r="H62" s="39">
        <f t="shared" si="14"/>
        <v>0</v>
      </c>
      <c r="I62" s="35">
        <f>User_Input!H29</f>
        <v>2.44</v>
      </c>
      <c r="J62" s="27" t="s">
        <v>21</v>
      </c>
      <c r="K62" s="27">
        <f>IF(H62&gt;I62,1,0)</f>
        <v>0</v>
      </c>
      <c r="L62" s="5">
        <f t="shared" si="15"/>
        <v>0</v>
      </c>
      <c r="M62" s="1"/>
      <c r="N62" s="19">
        <f t="shared" si="16"/>
        <v>0</v>
      </c>
      <c r="O62" s="79">
        <f t="shared" si="13"/>
        <v>0</v>
      </c>
      <c r="P62" s="75">
        <f t="shared" si="17"/>
        <v>7.7029333333333335E-3</v>
      </c>
      <c r="Q62" s="126"/>
    </row>
    <row r="63" spans="1:37" ht="15.75" thickBot="1" x14ac:dyDescent="0.3">
      <c r="A63" s="544"/>
      <c r="B63" s="71"/>
      <c r="C63" s="568" t="s">
        <v>44</v>
      </c>
      <c r="D63" s="67">
        <f>B$18/3</f>
        <v>1.4666666666666666E-2</v>
      </c>
      <c r="E63" s="101" t="s">
        <v>67</v>
      </c>
      <c r="F63" s="113">
        <f>D$63/2</f>
        <v>7.3333333333333332E-3</v>
      </c>
      <c r="G63" s="93" t="s">
        <v>12</v>
      </c>
      <c r="H63" s="39">
        <f t="shared" si="14"/>
        <v>3.92</v>
      </c>
      <c r="I63" s="35">
        <f>User_Input!H30</f>
        <v>1.96</v>
      </c>
      <c r="J63" s="27" t="s">
        <v>21</v>
      </c>
      <c r="K63" s="27">
        <f>IF(H63&gt;I63,1,0)</f>
        <v>1</v>
      </c>
      <c r="L63" s="5">
        <f t="shared" si="15"/>
        <v>0</v>
      </c>
      <c r="M63" s="1"/>
      <c r="N63" s="19">
        <f t="shared" si="16"/>
        <v>1</v>
      </c>
      <c r="O63" s="79">
        <f t="shared" si="13"/>
        <v>7.3333333333333332E-3</v>
      </c>
      <c r="P63" s="75">
        <f t="shared" si="17"/>
        <v>7.7029333333333335E-3</v>
      </c>
      <c r="Q63" s="126"/>
    </row>
    <row r="64" spans="1:37" ht="15.75" thickBot="1" x14ac:dyDescent="0.3">
      <c r="A64" s="545"/>
      <c r="B64" s="72"/>
      <c r="C64" s="569"/>
      <c r="D64" s="66"/>
      <c r="E64" s="102" t="s">
        <v>68</v>
      </c>
      <c r="F64" s="113">
        <f>D$63/2</f>
        <v>7.3333333333333332E-3</v>
      </c>
      <c r="G64" s="95" t="s">
        <v>12</v>
      </c>
      <c r="H64" s="39">
        <f t="shared" si="14"/>
        <v>0.96</v>
      </c>
      <c r="I64" s="35">
        <f>User_Input!H31</f>
        <v>1.35</v>
      </c>
      <c r="J64" s="43" t="s">
        <v>21</v>
      </c>
      <c r="K64" s="43">
        <f>IF(H64&gt;I64,1,0)</f>
        <v>0</v>
      </c>
      <c r="L64" s="14">
        <f t="shared" si="15"/>
        <v>0</v>
      </c>
      <c r="M64" s="44"/>
      <c r="N64" s="19">
        <f t="shared" si="16"/>
        <v>0</v>
      </c>
      <c r="O64" s="80">
        <f t="shared" si="13"/>
        <v>0</v>
      </c>
      <c r="P64" s="75"/>
      <c r="Q64" s="126"/>
    </row>
    <row r="65" spans="1:38" ht="30.75" thickBot="1" x14ac:dyDescent="0.3">
      <c r="A65" s="543" t="s">
        <v>90</v>
      </c>
      <c r="B65" s="70">
        <f>B22</f>
        <v>8.4000000000000005E-2</v>
      </c>
      <c r="C65" s="34" t="s">
        <v>45</v>
      </c>
      <c r="D65" s="67">
        <f>B$22/4</f>
        <v>2.1000000000000001E-2</v>
      </c>
      <c r="E65" s="104" t="s">
        <v>69</v>
      </c>
      <c r="F65" s="112">
        <f>D65</f>
        <v>2.1000000000000001E-2</v>
      </c>
      <c r="G65" s="91" t="s">
        <v>4</v>
      </c>
      <c r="H65" s="39">
        <f t="shared" si="14"/>
        <v>44</v>
      </c>
      <c r="I65" s="35">
        <f>User_Input!H32</f>
        <v>27.5</v>
      </c>
      <c r="J65" s="36" t="s">
        <v>21</v>
      </c>
      <c r="K65" s="36">
        <f>IF(H65&gt;I65,1,0)</f>
        <v>1</v>
      </c>
      <c r="L65" s="35">
        <f t="shared" si="15"/>
        <v>0</v>
      </c>
      <c r="M65" s="49"/>
      <c r="N65" s="37">
        <f t="shared" si="16"/>
        <v>1</v>
      </c>
      <c r="O65" s="78">
        <f t="shared" si="13"/>
        <v>2.1000000000000001E-2</v>
      </c>
      <c r="P65" s="75">
        <f t="shared" si="17"/>
        <v>1.1029200000000001E-2</v>
      </c>
      <c r="Q65" s="126">
        <f>P$90*B65</f>
        <v>4.4116800000000005E-2</v>
      </c>
    </row>
    <row r="66" spans="1:38" ht="31.5" thickTop="1" thickBot="1" x14ac:dyDescent="0.3">
      <c r="A66" s="544"/>
      <c r="B66" s="71"/>
      <c r="C66" s="30" t="s">
        <v>46</v>
      </c>
      <c r="D66" s="67">
        <f>B$22/4</f>
        <v>2.1000000000000001E-2</v>
      </c>
      <c r="E66" s="101" t="s">
        <v>70</v>
      </c>
      <c r="F66" s="113">
        <f>D66</f>
        <v>2.1000000000000001E-2</v>
      </c>
      <c r="G66" s="94" t="s">
        <v>12</v>
      </c>
      <c r="H66" s="39">
        <f t="shared" si="14"/>
        <v>0.4</v>
      </c>
      <c r="I66" s="35">
        <f>User_Input!H33</f>
        <v>0.55000000000000004</v>
      </c>
      <c r="J66" s="40" t="s">
        <v>22</v>
      </c>
      <c r="K66" s="5"/>
      <c r="L66" s="5">
        <f t="shared" si="15"/>
        <v>0</v>
      </c>
      <c r="M66" s="41">
        <f>IF(H66&lt;I66,1,0)</f>
        <v>1</v>
      </c>
      <c r="N66" s="19">
        <f t="shared" si="16"/>
        <v>1</v>
      </c>
      <c r="O66" s="79">
        <f t="shared" si="13"/>
        <v>2.1000000000000001E-2</v>
      </c>
      <c r="P66" s="75">
        <f t="shared" si="17"/>
        <v>1.1029200000000001E-2</v>
      </c>
      <c r="Q66" s="126"/>
    </row>
    <row r="67" spans="1:38" ht="31.5" thickTop="1" thickBot="1" x14ac:dyDescent="0.3">
      <c r="A67" s="544"/>
      <c r="B67" s="71"/>
      <c r="C67" s="30" t="s">
        <v>47</v>
      </c>
      <c r="D67" s="67">
        <f>B$22/4</f>
        <v>2.1000000000000001E-2</v>
      </c>
      <c r="E67" s="101" t="s">
        <v>71</v>
      </c>
      <c r="F67" s="113">
        <f>D67</f>
        <v>2.1000000000000001E-2</v>
      </c>
      <c r="G67" s="94" t="s">
        <v>12</v>
      </c>
      <c r="H67" s="39">
        <f t="shared" si="14"/>
        <v>1.6</v>
      </c>
      <c r="I67" s="35">
        <f>User_Input!H34</f>
        <v>1.55</v>
      </c>
      <c r="J67" s="40" t="s">
        <v>22</v>
      </c>
      <c r="K67" s="5"/>
      <c r="L67" s="5">
        <f t="shared" si="15"/>
        <v>0</v>
      </c>
      <c r="M67" s="22">
        <f>IF(H67&lt;I67,1,0)</f>
        <v>0</v>
      </c>
      <c r="N67" s="19">
        <f t="shared" si="16"/>
        <v>0</v>
      </c>
      <c r="O67" s="79">
        <f t="shared" si="13"/>
        <v>0</v>
      </c>
      <c r="P67" s="75">
        <f t="shared" si="17"/>
        <v>1.1029200000000001E-2</v>
      </c>
      <c r="Q67" s="126"/>
      <c r="X67" s="10"/>
      <c r="AB67" s="275"/>
      <c r="AC67" s="136"/>
      <c r="AD67" s="136"/>
      <c r="AE67" s="136"/>
      <c r="AF67" s="136"/>
      <c r="AG67" s="136"/>
    </row>
    <row r="68" spans="1:38" ht="16.5" thickTop="1" thickBot="1" x14ac:dyDescent="0.3">
      <c r="A68" s="544"/>
      <c r="B68" s="71"/>
      <c r="C68" s="568" t="s">
        <v>48</v>
      </c>
      <c r="D68" s="67">
        <f>B$22/4</f>
        <v>2.1000000000000001E-2</v>
      </c>
      <c r="E68" s="105" t="s">
        <v>72</v>
      </c>
      <c r="F68" s="113">
        <f>D$68/2</f>
        <v>1.0500000000000001E-2</v>
      </c>
      <c r="G68" s="93" t="s">
        <v>5</v>
      </c>
      <c r="H68" s="39">
        <f t="shared" si="14"/>
        <v>8.9999999999999998E-4</v>
      </c>
      <c r="I68" s="35">
        <f>User_Input!H35</f>
        <v>5.4500000000000009E-3</v>
      </c>
      <c r="J68" s="27" t="s">
        <v>21</v>
      </c>
      <c r="K68" s="27">
        <f>IF(H68&gt;I68,1,0)</f>
        <v>0</v>
      </c>
      <c r="L68" s="5">
        <f t="shared" si="15"/>
        <v>0</v>
      </c>
      <c r="M68" s="1"/>
      <c r="N68" s="19">
        <f t="shared" si="16"/>
        <v>0</v>
      </c>
      <c r="O68" s="79">
        <f t="shared" si="13"/>
        <v>0</v>
      </c>
      <c r="P68" s="75">
        <f t="shared" si="17"/>
        <v>1.1029200000000001E-2</v>
      </c>
      <c r="Q68" s="126"/>
      <c r="X68" s="10"/>
      <c r="AB68" s="123"/>
      <c r="AC68" s="136"/>
      <c r="AD68" s="136"/>
      <c r="AE68" s="136"/>
      <c r="AF68" s="136"/>
      <c r="AG68" s="136"/>
    </row>
    <row r="69" spans="1:38" ht="15.75" thickBot="1" x14ac:dyDescent="0.3">
      <c r="A69" s="545"/>
      <c r="B69" s="72"/>
      <c r="C69" s="569"/>
      <c r="D69" s="66"/>
      <c r="E69" s="106" t="s">
        <v>73</v>
      </c>
      <c r="F69" s="113">
        <f>D$68/2</f>
        <v>1.0500000000000001E-2</v>
      </c>
      <c r="G69" s="95" t="s">
        <v>5</v>
      </c>
      <c r="H69" s="39">
        <f t="shared" si="14"/>
        <v>6.3999999999999997E-5</v>
      </c>
      <c r="I69" s="35">
        <f>User_Input!H36</f>
        <v>4.8200000000000001E-4</v>
      </c>
      <c r="J69" s="43" t="s">
        <v>21</v>
      </c>
      <c r="K69" s="43">
        <f>IF(H69&gt;I69,1,0)</f>
        <v>0</v>
      </c>
      <c r="L69" s="14">
        <f t="shared" si="15"/>
        <v>0</v>
      </c>
      <c r="M69" s="44"/>
      <c r="N69" s="19">
        <f t="shared" si="16"/>
        <v>0</v>
      </c>
      <c r="O69" s="80">
        <f t="shared" si="13"/>
        <v>0</v>
      </c>
      <c r="P69" s="75">
        <f t="shared" si="17"/>
        <v>0</v>
      </c>
      <c r="Q69" s="126"/>
      <c r="AB69" s="275"/>
      <c r="AC69" s="136"/>
      <c r="AD69" s="136"/>
      <c r="AE69" s="136"/>
      <c r="AF69" s="136"/>
      <c r="AG69" s="136"/>
    </row>
    <row r="70" spans="1:38" ht="15.75" thickBot="1" x14ac:dyDescent="0.3">
      <c r="A70" s="543" t="s">
        <v>97</v>
      </c>
      <c r="B70" s="70">
        <f>B27</f>
        <v>0.16400000000000001</v>
      </c>
      <c r="C70" s="34" t="s">
        <v>49</v>
      </c>
      <c r="D70" s="67">
        <f t="shared" ref="D70:D77" si="18">B$27/8</f>
        <v>2.0500000000000001E-2</v>
      </c>
      <c r="E70" s="107" t="s">
        <v>74</v>
      </c>
      <c r="F70" s="112">
        <f>D70</f>
        <v>2.0500000000000001E-2</v>
      </c>
      <c r="G70" s="91" t="s">
        <v>7</v>
      </c>
      <c r="H70" s="39">
        <f t="shared" si="14"/>
        <v>46</v>
      </c>
      <c r="I70" s="35">
        <f>User_Input!H37</f>
        <v>54.5</v>
      </c>
      <c r="J70" s="36" t="s">
        <v>21</v>
      </c>
      <c r="K70" s="36">
        <f>IF(H70&gt;I70,1,0)</f>
        <v>0</v>
      </c>
      <c r="L70" s="35">
        <f t="shared" si="15"/>
        <v>0</v>
      </c>
      <c r="M70" s="49"/>
      <c r="N70" s="37">
        <f t="shared" si="16"/>
        <v>0</v>
      </c>
      <c r="O70" s="78">
        <f t="shared" si="13"/>
        <v>0</v>
      </c>
      <c r="P70" s="75">
        <f t="shared" si="17"/>
        <v>1.0766600000000001E-2</v>
      </c>
      <c r="Q70" s="126">
        <f>P$90*B70</f>
        <v>8.6132800000000009E-2</v>
      </c>
      <c r="X70" s="133"/>
      <c r="AB70" s="275"/>
      <c r="AC70" s="136"/>
      <c r="AD70" s="136"/>
      <c r="AE70" s="136"/>
      <c r="AF70" s="136"/>
      <c r="AG70" s="136"/>
    </row>
    <row r="71" spans="1:38" ht="15.75" thickBot="1" x14ac:dyDescent="0.3">
      <c r="A71" s="544"/>
      <c r="B71" s="71"/>
      <c r="C71" s="29" t="s">
        <v>50</v>
      </c>
      <c r="D71" s="67">
        <f t="shared" si="18"/>
        <v>2.0500000000000001E-2</v>
      </c>
      <c r="E71" s="105" t="s">
        <v>75</v>
      </c>
      <c r="F71" s="113">
        <f t="shared" ref="F71:F76" si="19">D71</f>
        <v>2.0500000000000001E-2</v>
      </c>
      <c r="G71" s="93" t="s">
        <v>15</v>
      </c>
      <c r="H71" s="39">
        <f t="shared" si="14"/>
        <v>3.72</v>
      </c>
      <c r="I71" s="35">
        <f>User_Input!H38</f>
        <v>3.7300000000000004</v>
      </c>
      <c r="J71" s="27" t="s">
        <v>21</v>
      </c>
      <c r="K71" s="27">
        <f>IF(H71&gt;I71,1,0)</f>
        <v>0</v>
      </c>
      <c r="L71" s="5">
        <f t="shared" si="15"/>
        <v>0</v>
      </c>
      <c r="M71" s="1"/>
      <c r="N71" s="19">
        <f t="shared" si="16"/>
        <v>0</v>
      </c>
      <c r="O71" s="79">
        <f t="shared" si="13"/>
        <v>0</v>
      </c>
      <c r="P71" s="75">
        <f t="shared" si="17"/>
        <v>1.0766600000000001E-2</v>
      </c>
      <c r="Q71" s="126"/>
      <c r="X71" s="10"/>
      <c r="AB71" s="123"/>
      <c r="AC71" s="136"/>
      <c r="AD71" s="136"/>
      <c r="AE71" s="136"/>
      <c r="AF71" s="136"/>
      <c r="AG71" s="136"/>
    </row>
    <row r="72" spans="1:38" ht="31.5" thickTop="1" thickBot="1" x14ac:dyDescent="0.3">
      <c r="A72" s="544"/>
      <c r="B72" s="71"/>
      <c r="C72" s="30" t="s">
        <v>51</v>
      </c>
      <c r="D72" s="67">
        <f t="shared" si="18"/>
        <v>2.0500000000000001E-2</v>
      </c>
      <c r="E72" s="101" t="s">
        <v>76</v>
      </c>
      <c r="F72" s="113">
        <f t="shared" si="19"/>
        <v>2.0500000000000001E-2</v>
      </c>
      <c r="G72" s="108" t="s">
        <v>6</v>
      </c>
      <c r="H72" s="39">
        <f t="shared" si="14"/>
        <v>37.700000000000003</v>
      </c>
      <c r="I72" s="35">
        <f>User_Input!H39</f>
        <v>34.545000000000002</v>
      </c>
      <c r="J72" s="40" t="s">
        <v>22</v>
      </c>
      <c r="K72" s="5"/>
      <c r="L72" s="5">
        <f t="shared" si="15"/>
        <v>0</v>
      </c>
      <c r="M72" s="24">
        <f>IF(H72&lt;I72,1,0)</f>
        <v>0</v>
      </c>
      <c r="N72" s="19">
        <f t="shared" si="16"/>
        <v>0</v>
      </c>
      <c r="O72" s="79">
        <f t="shared" si="13"/>
        <v>0</v>
      </c>
      <c r="P72" s="75">
        <f t="shared" si="17"/>
        <v>1.0766600000000001E-2</v>
      </c>
      <c r="Q72" s="126"/>
      <c r="X72" s="10"/>
      <c r="AB72" s="275"/>
      <c r="AC72" s="136"/>
      <c r="AD72" s="10"/>
      <c r="AE72" s="136"/>
      <c r="AF72" s="136"/>
      <c r="AG72" s="136"/>
      <c r="AH72" s="10"/>
      <c r="AI72" s="10"/>
      <c r="AJ72" s="10"/>
      <c r="AK72" s="10"/>
      <c r="AL72" s="10"/>
    </row>
    <row r="73" spans="1:38" ht="16.5" thickTop="1" thickBot="1" x14ac:dyDescent="0.3">
      <c r="A73" s="544"/>
      <c r="B73" s="71"/>
      <c r="C73" s="29" t="s">
        <v>52</v>
      </c>
      <c r="D73" s="67">
        <f t="shared" si="18"/>
        <v>2.0500000000000001E-2</v>
      </c>
      <c r="E73" s="105" t="s">
        <v>77</v>
      </c>
      <c r="F73" s="113">
        <f t="shared" si="19"/>
        <v>2.0500000000000001E-2</v>
      </c>
      <c r="G73" s="93" t="s">
        <v>4</v>
      </c>
      <c r="H73" s="39">
        <f t="shared" si="14"/>
        <v>68</v>
      </c>
      <c r="I73" s="35">
        <f>User_Input!H40</f>
        <v>65.5</v>
      </c>
      <c r="J73" s="27" t="s">
        <v>21</v>
      </c>
      <c r="K73" s="27">
        <f>IF(H73&gt;I73,1,0)</f>
        <v>1</v>
      </c>
      <c r="L73" s="5">
        <f t="shared" si="15"/>
        <v>0</v>
      </c>
      <c r="M73" s="1"/>
      <c r="N73" s="19">
        <f t="shared" si="16"/>
        <v>1</v>
      </c>
      <c r="O73" s="79">
        <f t="shared" si="13"/>
        <v>2.0500000000000001E-2</v>
      </c>
      <c r="P73" s="75">
        <f t="shared" si="17"/>
        <v>1.0766600000000001E-2</v>
      </c>
      <c r="Q73" s="126"/>
      <c r="X73" s="281"/>
      <c r="Y73" s="277"/>
      <c r="AB73" s="273"/>
      <c r="AC73" s="274"/>
      <c r="AD73" s="120"/>
      <c r="AE73" s="274"/>
      <c r="AF73" s="274"/>
      <c r="AG73" s="274"/>
      <c r="AH73" s="10"/>
      <c r="AI73" s="10"/>
      <c r="AJ73" s="10"/>
      <c r="AK73" s="10"/>
    </row>
    <row r="74" spans="1:38" ht="15.75" thickBot="1" x14ac:dyDescent="0.3">
      <c r="A74" s="544"/>
      <c r="B74" s="71"/>
      <c r="C74" s="2" t="s">
        <v>53</v>
      </c>
      <c r="D74" s="67">
        <f t="shared" si="18"/>
        <v>2.0500000000000001E-2</v>
      </c>
      <c r="E74" s="105" t="s">
        <v>78</v>
      </c>
      <c r="F74" s="113">
        <f t="shared" si="19"/>
        <v>2.0500000000000001E-2</v>
      </c>
      <c r="G74" s="94" t="s">
        <v>17</v>
      </c>
      <c r="H74" s="39">
        <f t="shared" si="14"/>
        <v>0.13</v>
      </c>
      <c r="I74" s="35">
        <f>User_Input!H41</f>
        <v>0.21</v>
      </c>
      <c r="J74" s="27" t="s">
        <v>21</v>
      </c>
      <c r="K74" s="27">
        <f>IF(H74&gt;I74,1,0)</f>
        <v>0</v>
      </c>
      <c r="L74" s="5">
        <f t="shared" si="15"/>
        <v>0</v>
      </c>
      <c r="M74" s="1"/>
      <c r="N74" s="19">
        <f t="shared" si="16"/>
        <v>0</v>
      </c>
      <c r="O74" s="79">
        <f t="shared" si="13"/>
        <v>0</v>
      </c>
      <c r="P74" s="75">
        <f t="shared" si="17"/>
        <v>1.0766600000000001E-2</v>
      </c>
      <c r="Q74" s="126"/>
      <c r="AC74" s="275"/>
      <c r="AD74" s="122"/>
      <c r="AE74" s="275"/>
      <c r="AF74" s="275"/>
      <c r="AG74" s="275"/>
      <c r="AI74" s="131"/>
      <c r="AJ74" s="131"/>
      <c r="AK74" s="131"/>
    </row>
    <row r="75" spans="1:38" ht="15.75" thickBot="1" x14ac:dyDescent="0.3">
      <c r="A75" s="544"/>
      <c r="B75" s="71"/>
      <c r="C75" s="2" t="s">
        <v>54</v>
      </c>
      <c r="D75" s="67">
        <f t="shared" si="18"/>
        <v>2.0500000000000001E-2</v>
      </c>
      <c r="E75" s="105" t="s">
        <v>79</v>
      </c>
      <c r="F75" s="113">
        <f t="shared" si="19"/>
        <v>2.0500000000000001E-2</v>
      </c>
      <c r="G75" s="94" t="s">
        <v>8</v>
      </c>
      <c r="H75" s="39">
        <f t="shared" si="14"/>
        <v>168</v>
      </c>
      <c r="I75" s="35">
        <f>User_Input!H42</f>
        <v>202.5</v>
      </c>
      <c r="J75" s="28" t="s">
        <v>21</v>
      </c>
      <c r="K75" s="27">
        <f>IF(H75&gt;I75,1,0)</f>
        <v>0</v>
      </c>
      <c r="L75" s="5">
        <f t="shared" si="15"/>
        <v>0</v>
      </c>
      <c r="M75" s="1"/>
      <c r="N75" s="19">
        <f t="shared" si="16"/>
        <v>0</v>
      </c>
      <c r="O75" s="79">
        <f t="shared" si="13"/>
        <v>0</v>
      </c>
      <c r="P75" s="75">
        <f t="shared" si="17"/>
        <v>1.0766600000000001E-2</v>
      </c>
      <c r="Q75" s="126"/>
      <c r="AC75" s="123"/>
      <c r="AD75" s="278"/>
      <c r="AE75" s="123"/>
      <c r="AF75" s="123"/>
      <c r="AG75" s="123"/>
      <c r="AI75" s="131"/>
      <c r="AJ75" s="131"/>
      <c r="AK75" s="131"/>
      <c r="AL75" s="124"/>
    </row>
    <row r="76" spans="1:38" ht="16.5" thickTop="1" thickBot="1" x14ac:dyDescent="0.3">
      <c r="A76" s="544"/>
      <c r="B76" s="71"/>
      <c r="C76" s="25" t="s">
        <v>55</v>
      </c>
      <c r="D76" s="67">
        <f t="shared" si="18"/>
        <v>2.0500000000000001E-2</v>
      </c>
      <c r="E76" s="105" t="s">
        <v>80</v>
      </c>
      <c r="F76" s="113">
        <f t="shared" si="19"/>
        <v>2.0500000000000001E-2</v>
      </c>
      <c r="G76" s="94" t="s">
        <v>4</v>
      </c>
      <c r="H76" s="39">
        <f t="shared" si="14"/>
        <v>90</v>
      </c>
      <c r="I76" s="35">
        <f>User_Input!H43</f>
        <v>74.5</v>
      </c>
      <c r="J76" s="20" t="s">
        <v>22</v>
      </c>
      <c r="K76" s="5"/>
      <c r="L76" s="5">
        <f t="shared" si="15"/>
        <v>0</v>
      </c>
      <c r="M76" s="23">
        <f t="shared" ref="M76:M83" si="20">IF(H76&lt;I76,1,0)</f>
        <v>0</v>
      </c>
      <c r="N76" s="19">
        <f t="shared" si="16"/>
        <v>0</v>
      </c>
      <c r="O76" s="79">
        <f t="shared" si="13"/>
        <v>0</v>
      </c>
      <c r="P76" s="75">
        <f t="shared" si="17"/>
        <v>1.0766600000000001E-2</v>
      </c>
      <c r="Q76" s="126"/>
      <c r="AC76" s="275"/>
      <c r="AD76" s="122"/>
      <c r="AE76" s="275"/>
      <c r="AF76" s="275"/>
      <c r="AG76" s="275"/>
      <c r="AI76" s="131"/>
      <c r="AJ76" s="131"/>
      <c r="AK76" s="131"/>
    </row>
    <row r="77" spans="1:38" ht="16.5" thickTop="1" thickBot="1" x14ac:dyDescent="0.3">
      <c r="A77" s="544"/>
      <c r="B77" s="71"/>
      <c r="C77" s="557" t="s">
        <v>56</v>
      </c>
      <c r="D77" s="67">
        <f t="shared" si="18"/>
        <v>2.0500000000000001E-2</v>
      </c>
      <c r="E77" s="105" t="s">
        <v>81</v>
      </c>
      <c r="F77" s="113">
        <f t="shared" ref="F77:F82" si="21">D$77/2</f>
        <v>1.025E-2</v>
      </c>
      <c r="G77" s="94" t="s">
        <v>4</v>
      </c>
      <c r="H77" s="39">
        <f t="shared" si="14"/>
        <v>35</v>
      </c>
      <c r="I77" s="35">
        <f>User_Input!H44</f>
        <v>26</v>
      </c>
      <c r="J77" s="20" t="s">
        <v>22</v>
      </c>
      <c r="K77" s="5"/>
      <c r="L77" s="5">
        <f t="shared" si="15"/>
        <v>0</v>
      </c>
      <c r="M77" s="41">
        <f t="shared" si="20"/>
        <v>0</v>
      </c>
      <c r="N77" s="19">
        <f t="shared" si="16"/>
        <v>0</v>
      </c>
      <c r="O77" s="79">
        <f t="shared" si="13"/>
        <v>0</v>
      </c>
      <c r="P77" s="75">
        <f t="shared" si="17"/>
        <v>1.0766600000000001E-2</v>
      </c>
      <c r="Q77" s="126"/>
      <c r="AC77" s="275"/>
      <c r="AD77" s="122"/>
      <c r="AE77" s="275"/>
      <c r="AF77" s="275"/>
      <c r="AG77" s="275"/>
      <c r="AI77" s="131"/>
      <c r="AJ77" s="131"/>
      <c r="AK77" s="131"/>
    </row>
    <row r="78" spans="1:38" ht="31.5" thickTop="1" thickBot="1" x14ac:dyDescent="0.3">
      <c r="A78" s="545"/>
      <c r="B78" s="72"/>
      <c r="C78" s="558"/>
      <c r="D78" s="67"/>
      <c r="E78" s="106" t="s">
        <v>82</v>
      </c>
      <c r="F78" s="113">
        <f t="shared" si="21"/>
        <v>1.025E-2</v>
      </c>
      <c r="G78" s="109" t="s">
        <v>9</v>
      </c>
      <c r="H78" s="39">
        <f t="shared" si="14"/>
        <v>72</v>
      </c>
      <c r="I78" s="35">
        <f>User_Input!H45</f>
        <v>57</v>
      </c>
      <c r="J78" s="21" t="s">
        <v>22</v>
      </c>
      <c r="K78" s="14"/>
      <c r="L78" s="14">
        <f t="shared" si="15"/>
        <v>0</v>
      </c>
      <c r="M78" s="22">
        <f t="shared" si="20"/>
        <v>0</v>
      </c>
      <c r="N78" s="19">
        <f t="shared" si="16"/>
        <v>0</v>
      </c>
      <c r="O78" s="80">
        <f t="shared" si="13"/>
        <v>0</v>
      </c>
      <c r="P78" s="75">
        <f t="shared" si="17"/>
        <v>0</v>
      </c>
      <c r="Q78" s="126"/>
      <c r="AC78" s="123"/>
      <c r="AD78" s="279"/>
      <c r="AE78" s="123"/>
      <c r="AF78" s="123"/>
      <c r="AG78" s="123"/>
      <c r="AI78" s="131"/>
      <c r="AJ78" s="131"/>
      <c r="AK78" s="131"/>
      <c r="AL78" s="124"/>
    </row>
    <row r="79" spans="1:38" ht="30.75" thickBot="1" x14ac:dyDescent="0.3">
      <c r="A79" s="543" t="s">
        <v>98</v>
      </c>
      <c r="B79" s="70">
        <f>B36</f>
        <v>0.28299999999999997</v>
      </c>
      <c r="C79" s="552" t="s">
        <v>57</v>
      </c>
      <c r="D79" s="67">
        <f>B$36/2</f>
        <v>0.14149999999999999</v>
      </c>
      <c r="E79" s="96" t="s">
        <v>83</v>
      </c>
      <c r="F79" s="113">
        <f t="shared" si="21"/>
        <v>1.025E-2</v>
      </c>
      <c r="G79" s="110" t="s">
        <v>10</v>
      </c>
      <c r="H79" s="39">
        <f t="shared" si="14"/>
        <v>1498</v>
      </c>
      <c r="I79" s="35">
        <f>User_Input!H46</f>
        <v>1291</v>
      </c>
      <c r="J79" s="52" t="s">
        <v>22</v>
      </c>
      <c r="K79" s="35"/>
      <c r="L79" s="35">
        <f t="shared" si="15"/>
        <v>0</v>
      </c>
      <c r="M79" s="47">
        <f t="shared" si="20"/>
        <v>0</v>
      </c>
      <c r="N79" s="37">
        <f t="shared" si="16"/>
        <v>0</v>
      </c>
      <c r="O79" s="78">
        <f t="shared" si="13"/>
        <v>0</v>
      </c>
      <c r="P79" s="75">
        <f t="shared" si="17"/>
        <v>7.4315799999999987E-2</v>
      </c>
      <c r="Q79" s="126">
        <f>P$90*B79</f>
        <v>0.14863159999999997</v>
      </c>
      <c r="X79" s="10"/>
      <c r="AC79" s="275"/>
      <c r="AD79" s="122"/>
      <c r="AE79" s="275"/>
      <c r="AF79" s="275"/>
      <c r="AG79" s="275"/>
      <c r="AI79" s="131"/>
      <c r="AJ79" s="131"/>
      <c r="AK79" s="131"/>
    </row>
    <row r="80" spans="1:38" ht="15" customHeight="1" thickTop="1" thickBot="1" x14ac:dyDescent="0.3">
      <c r="A80" s="544"/>
      <c r="B80" s="71"/>
      <c r="C80" s="553"/>
      <c r="D80" s="67"/>
      <c r="E80" s="97" t="s">
        <v>84</v>
      </c>
      <c r="F80" s="113">
        <f t="shared" si="21"/>
        <v>1.025E-2</v>
      </c>
      <c r="G80" s="94" t="s">
        <v>18</v>
      </c>
      <c r="H80" s="39">
        <f t="shared" si="14"/>
        <v>1.62</v>
      </c>
      <c r="I80" s="35">
        <f>User_Input!H47</f>
        <v>1.675</v>
      </c>
      <c r="J80" s="20" t="s">
        <v>22</v>
      </c>
      <c r="K80" s="5"/>
      <c r="L80" s="5">
        <f t="shared" si="15"/>
        <v>0</v>
      </c>
      <c r="M80" s="41">
        <f t="shared" si="20"/>
        <v>1</v>
      </c>
      <c r="N80" s="19">
        <f t="shared" si="16"/>
        <v>1</v>
      </c>
      <c r="O80" s="79">
        <f t="shared" si="13"/>
        <v>1.025E-2</v>
      </c>
      <c r="P80" s="75"/>
      <c r="Q80" s="126"/>
      <c r="AC80" s="123"/>
      <c r="AD80" s="278"/>
      <c r="AE80" s="123"/>
      <c r="AF80" s="123"/>
      <c r="AG80" s="123"/>
      <c r="AI80" s="131"/>
      <c r="AJ80" s="131"/>
      <c r="AK80" s="131"/>
      <c r="AL80" s="124"/>
    </row>
    <row r="81" spans="1:38" ht="16.5" thickTop="1" thickBot="1" x14ac:dyDescent="0.3">
      <c r="A81" s="544"/>
      <c r="B81" s="71"/>
      <c r="C81" s="553"/>
      <c r="D81" s="67"/>
      <c r="E81" s="97" t="s">
        <v>85</v>
      </c>
      <c r="F81" s="113">
        <f t="shared" si="21"/>
        <v>1.025E-2</v>
      </c>
      <c r="G81" s="94" t="s">
        <v>14</v>
      </c>
      <c r="H81" s="39">
        <f t="shared" si="14"/>
        <v>4.5999999999999996</v>
      </c>
      <c r="I81" s="35">
        <f>User_Input!H48</f>
        <v>5</v>
      </c>
      <c r="J81" s="20" t="s">
        <v>22</v>
      </c>
      <c r="K81" s="5"/>
      <c r="L81" s="5">
        <f t="shared" si="15"/>
        <v>0</v>
      </c>
      <c r="M81" s="41">
        <f t="shared" si="20"/>
        <v>1</v>
      </c>
      <c r="N81" s="19">
        <f t="shared" si="16"/>
        <v>1</v>
      </c>
      <c r="O81" s="79">
        <f t="shared" si="13"/>
        <v>1.025E-2</v>
      </c>
      <c r="P81" s="75"/>
      <c r="Q81" s="126"/>
      <c r="AC81" s="275"/>
      <c r="AD81" s="122"/>
      <c r="AE81" s="275"/>
      <c r="AF81" s="275"/>
      <c r="AG81" s="275"/>
      <c r="AI81" s="131"/>
      <c r="AJ81" s="131"/>
      <c r="AK81" s="131"/>
    </row>
    <row r="82" spans="1:38" ht="16.5" thickTop="1" thickBot="1" x14ac:dyDescent="0.3">
      <c r="A82" s="544"/>
      <c r="B82" s="71"/>
      <c r="C82" s="554"/>
      <c r="D82" s="67"/>
      <c r="E82" s="97" t="s">
        <v>86</v>
      </c>
      <c r="F82" s="113">
        <f t="shared" si="21"/>
        <v>1.025E-2</v>
      </c>
      <c r="G82" s="94" t="s">
        <v>14</v>
      </c>
      <c r="H82" s="39">
        <f>H39</f>
        <v>1.2</v>
      </c>
      <c r="I82" s="35">
        <f>User_Input!H49</f>
        <v>1.125</v>
      </c>
      <c r="J82" s="21" t="s">
        <v>22</v>
      </c>
      <c r="K82" s="14"/>
      <c r="L82" s="5">
        <f t="shared" si="15"/>
        <v>0</v>
      </c>
      <c r="M82" s="41">
        <f t="shared" si="20"/>
        <v>0</v>
      </c>
      <c r="N82" s="19">
        <f t="shared" si="16"/>
        <v>0</v>
      </c>
      <c r="O82" s="80">
        <f t="shared" si="13"/>
        <v>0</v>
      </c>
      <c r="P82" s="75"/>
      <c r="Q82" s="126"/>
      <c r="AC82" s="275"/>
      <c r="AD82" s="122"/>
      <c r="AE82" s="275"/>
      <c r="AF82" s="275"/>
      <c r="AG82" s="275"/>
      <c r="AI82" s="131"/>
      <c r="AJ82" s="131"/>
      <c r="AK82" s="131"/>
    </row>
    <row r="83" spans="1:38" ht="31.5" thickTop="1" thickBot="1" x14ac:dyDescent="0.3">
      <c r="A83" s="545"/>
      <c r="B83" s="72"/>
      <c r="C83" s="50" t="s">
        <v>58</v>
      </c>
      <c r="D83" s="87">
        <f>B$36/2</f>
        <v>0.14149999999999999</v>
      </c>
      <c r="E83" s="106" t="s">
        <v>87</v>
      </c>
      <c r="F83" s="113">
        <f>D83</f>
        <v>0.14149999999999999</v>
      </c>
      <c r="G83" s="109" t="s">
        <v>11</v>
      </c>
      <c r="H83" s="39">
        <f t="shared" si="14"/>
        <v>0.7</v>
      </c>
      <c r="I83" s="35">
        <f>User_Input!H50</f>
        <v>0.48499999999999999</v>
      </c>
      <c r="J83" s="53" t="s">
        <v>22</v>
      </c>
      <c r="K83" s="14"/>
      <c r="L83" s="14">
        <f t="shared" si="15"/>
        <v>0</v>
      </c>
      <c r="M83" s="22">
        <f t="shared" si="20"/>
        <v>0</v>
      </c>
      <c r="N83" s="54">
        <f t="shared" si="16"/>
        <v>0</v>
      </c>
      <c r="O83" s="80">
        <f t="shared" si="13"/>
        <v>0</v>
      </c>
      <c r="P83" s="75">
        <f t="shared" si="17"/>
        <v>7.4315799999999987E-2</v>
      </c>
      <c r="Q83" s="126"/>
      <c r="AC83" s="275"/>
      <c r="AD83" s="122"/>
      <c r="AE83" s="275"/>
      <c r="AF83" s="275"/>
      <c r="AG83" s="275"/>
      <c r="AI83" s="131"/>
      <c r="AJ83" s="131"/>
      <c r="AK83" s="131"/>
    </row>
    <row r="84" spans="1:38" ht="30.75" thickBot="1" x14ac:dyDescent="0.3">
      <c r="A84" s="84" t="s">
        <v>91</v>
      </c>
      <c r="B84" s="85">
        <f>B41</f>
        <v>0.40100000000000002</v>
      </c>
      <c r="C84" s="86" t="s">
        <v>59</v>
      </c>
      <c r="D84" s="88">
        <f>B84</f>
        <v>0.40100000000000002</v>
      </c>
      <c r="E84" s="86" t="s">
        <v>88</v>
      </c>
      <c r="F84" s="114">
        <f>D84</f>
        <v>0.40100000000000002</v>
      </c>
      <c r="G84" s="111" t="s">
        <v>10</v>
      </c>
      <c r="H84" s="39">
        <f t="shared" si="14"/>
        <v>210.5</v>
      </c>
      <c r="I84" s="35">
        <f>User_Input!H51</f>
        <v>184.35</v>
      </c>
      <c r="J84" s="56" t="s">
        <v>21</v>
      </c>
      <c r="K84" s="57">
        <f>IF(H84&gt;I84,1,0)</f>
        <v>1</v>
      </c>
      <c r="L84" s="58">
        <f t="shared" si="15"/>
        <v>0</v>
      </c>
      <c r="M84" s="55"/>
      <c r="N84" s="89">
        <f t="shared" si="16"/>
        <v>1</v>
      </c>
      <c r="O84" s="81">
        <f t="shared" si="13"/>
        <v>0.40100000000000002</v>
      </c>
      <c r="P84" s="75">
        <f t="shared" si="17"/>
        <v>0.21060520000000002</v>
      </c>
      <c r="Q84" s="126">
        <f>P$90*B84</f>
        <v>0.21060520000000002</v>
      </c>
      <c r="AC84" s="275"/>
      <c r="AD84" s="122"/>
      <c r="AE84" s="275"/>
      <c r="AF84" s="275"/>
      <c r="AG84" s="275"/>
      <c r="AI84" s="131"/>
      <c r="AJ84" s="131"/>
      <c r="AK84" s="131"/>
    </row>
    <row r="85" spans="1:38" ht="15" x14ac:dyDescent="0.25">
      <c r="A85" s="13"/>
      <c r="B85" s="13"/>
      <c r="C85" s="13"/>
      <c r="D85" s="13"/>
      <c r="E85" s="16"/>
      <c r="F85" s="16"/>
      <c r="G85" s="17"/>
      <c r="H85" s="16"/>
      <c r="I85" s="17"/>
      <c r="J85" s="17"/>
      <c r="K85" s="17"/>
      <c r="L85" s="17"/>
      <c r="M85" s="17"/>
      <c r="N85" s="18"/>
      <c r="O85" s="18"/>
      <c r="P85" s="18"/>
      <c r="Q85" s="18"/>
      <c r="AC85" s="123"/>
      <c r="AD85" s="279"/>
      <c r="AE85" s="123"/>
      <c r="AF85" s="123"/>
      <c r="AG85" s="123"/>
      <c r="AI85" s="131"/>
      <c r="AJ85" s="131"/>
      <c r="AK85" s="131"/>
      <c r="AL85" s="124"/>
    </row>
    <row r="86" spans="1:38" ht="15" x14ac:dyDescent="0.25">
      <c r="A86" s="15"/>
      <c r="B86" s="69"/>
      <c r="C86" s="15"/>
      <c r="D86" s="15"/>
      <c r="E86" s="18"/>
      <c r="F86" s="73">
        <f>MAX(F55:F84)</f>
        <v>0.40100000000000002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AC86" s="123"/>
      <c r="AD86" s="279"/>
      <c r="AE86" s="123"/>
      <c r="AF86" s="123"/>
      <c r="AG86" s="123"/>
      <c r="AI86" s="131"/>
      <c r="AJ86" s="131"/>
      <c r="AK86" s="131"/>
      <c r="AL86" s="124"/>
    </row>
    <row r="87" spans="1:38" ht="15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AC87" s="275"/>
      <c r="AD87" s="122"/>
      <c r="AE87" s="275"/>
      <c r="AF87" s="275"/>
      <c r="AG87" s="275"/>
      <c r="AI87" s="131"/>
      <c r="AJ87" s="131"/>
      <c r="AK87" s="131"/>
    </row>
    <row r="88" spans="1:38" ht="15" x14ac:dyDescent="0.25">
      <c r="C88" s="11"/>
      <c r="D88" s="11"/>
      <c r="E88" s="11"/>
      <c r="F88" s="11"/>
      <c r="G88" s="7"/>
      <c r="H88" s="11"/>
      <c r="I88" s="7"/>
      <c r="J88" s="7"/>
      <c r="K88" s="7"/>
      <c r="L88" s="7"/>
      <c r="M88" s="7"/>
      <c r="N88" s="7"/>
      <c r="O88" s="7"/>
      <c r="P88" s="6"/>
      <c r="AC88" s="275"/>
      <c r="AD88" s="122"/>
      <c r="AE88" s="275"/>
      <c r="AF88" s="275"/>
      <c r="AG88" s="275"/>
      <c r="AI88" s="131"/>
      <c r="AJ88" s="131"/>
      <c r="AK88" s="131"/>
    </row>
    <row r="89" spans="1:38" ht="15" x14ac:dyDescent="0.25">
      <c r="N89" s="60" t="s">
        <v>106</v>
      </c>
      <c r="O89" s="129">
        <f>SUM(O55:O84)</f>
        <v>0.5252</v>
      </c>
      <c r="P89" s="18"/>
      <c r="Q89" s="17"/>
      <c r="AC89" s="275"/>
      <c r="AD89" s="122"/>
      <c r="AE89" s="275"/>
      <c r="AF89" s="275"/>
      <c r="AG89" s="275"/>
      <c r="AI89" s="131"/>
      <c r="AJ89" s="131"/>
      <c r="AK89" s="131"/>
    </row>
    <row r="90" spans="1:38" ht="15" x14ac:dyDescent="0.25">
      <c r="N90" s="18"/>
      <c r="O90" s="61" t="s">
        <v>107</v>
      </c>
      <c r="P90" s="61">
        <f>SUM(P55:P84)</f>
        <v>0.5252</v>
      </c>
      <c r="Q90" s="18"/>
      <c r="AC90" s="275"/>
      <c r="AD90" s="122"/>
      <c r="AE90" s="275"/>
      <c r="AF90" s="275"/>
      <c r="AG90" s="275"/>
      <c r="AI90" s="131"/>
      <c r="AJ90" s="131"/>
      <c r="AK90" s="131"/>
    </row>
    <row r="91" spans="1:38" ht="15" x14ac:dyDescent="0.25">
      <c r="N91" s="18"/>
      <c r="O91" s="18"/>
      <c r="P91" s="62" t="s">
        <v>108</v>
      </c>
      <c r="Q91" s="83">
        <f>SUM(Q55:Q84)</f>
        <v>0.5252</v>
      </c>
      <c r="AC91" s="123"/>
      <c r="AD91" s="280"/>
      <c r="AE91" s="123"/>
      <c r="AF91" s="123"/>
      <c r="AG91" s="123"/>
      <c r="AI91" s="131"/>
      <c r="AJ91" s="131"/>
      <c r="AK91" s="131"/>
      <c r="AL91" s="124"/>
    </row>
    <row r="92" spans="1:38" ht="15" x14ac:dyDescent="0.25">
      <c r="AC92" s="275"/>
      <c r="AD92" s="122"/>
      <c r="AE92" s="275"/>
      <c r="AF92" s="275"/>
      <c r="AG92" s="275"/>
      <c r="AI92" s="131"/>
      <c r="AJ92" s="131"/>
      <c r="AK92" s="131"/>
    </row>
    <row r="93" spans="1:38" ht="15" x14ac:dyDescent="0.25">
      <c r="N93" s="18"/>
      <c r="O93" s="18"/>
      <c r="P93" s="127"/>
      <c r="Q93" s="128"/>
      <c r="AC93" s="275"/>
      <c r="AD93" s="279"/>
      <c r="AE93" s="275"/>
      <c r="AF93" s="275"/>
      <c r="AG93" s="275"/>
      <c r="AI93" s="131"/>
      <c r="AJ93" s="131"/>
      <c r="AK93" s="131"/>
    </row>
    <row r="94" spans="1:38" ht="15" x14ac:dyDescent="0.25">
      <c r="N94" s="18"/>
      <c r="O94" s="18"/>
      <c r="P94" s="127"/>
      <c r="Q94" s="128"/>
      <c r="AC94" s="275"/>
      <c r="AD94" s="279"/>
      <c r="AE94" s="275"/>
      <c r="AF94" s="275"/>
      <c r="AG94" s="275"/>
      <c r="AI94" s="131"/>
      <c r="AJ94" s="131"/>
      <c r="AK94" s="131"/>
    </row>
    <row r="95" spans="1:38" ht="15" x14ac:dyDescent="0.25">
      <c r="A95" s="4"/>
      <c r="N95" s="18"/>
      <c r="O95" s="18"/>
      <c r="P95" s="127"/>
      <c r="Q95" s="128"/>
      <c r="AC95" s="123"/>
      <c r="AD95" s="279"/>
      <c r="AE95" s="123"/>
      <c r="AF95" s="123"/>
      <c r="AG95" s="123"/>
      <c r="AI95" s="131"/>
      <c r="AJ95" s="131"/>
      <c r="AK95" s="131"/>
      <c r="AL95" s="124"/>
    </row>
    <row r="96" spans="1:38" ht="15" x14ac:dyDescent="0.25">
      <c r="A96" s="4" t="s">
        <v>124</v>
      </c>
      <c r="N96" s="18"/>
      <c r="O96" s="18"/>
      <c r="P96" s="127"/>
      <c r="Q96" s="128"/>
      <c r="AC96" s="123"/>
      <c r="AD96" s="279"/>
      <c r="AE96" s="123"/>
      <c r="AF96" s="123"/>
      <c r="AG96" s="123"/>
      <c r="AI96" s="131"/>
      <c r="AJ96" s="131"/>
      <c r="AK96" s="131"/>
      <c r="AL96" s="124"/>
    </row>
    <row r="97" spans="1:38" ht="15" x14ac:dyDescent="0.25">
      <c r="X97" s="124"/>
      <c r="AC97" s="123"/>
      <c r="AD97" s="279"/>
      <c r="AE97" s="123"/>
      <c r="AF97" s="123"/>
      <c r="AG97" s="123"/>
      <c r="AI97" s="131"/>
      <c r="AJ97" s="131"/>
      <c r="AK97" s="131"/>
      <c r="AL97" s="124"/>
    </row>
    <row r="98" spans="1:38" ht="15" x14ac:dyDescent="0.25">
      <c r="A98" s="3" t="s">
        <v>100</v>
      </c>
      <c r="B98" s="3" t="s">
        <v>19</v>
      </c>
      <c r="C98" s="3" t="s">
        <v>176</v>
      </c>
      <c r="D98" s="3" t="s">
        <v>19</v>
      </c>
      <c r="E98" s="3" t="s">
        <v>0</v>
      </c>
      <c r="F98" s="8" t="s">
        <v>19</v>
      </c>
      <c r="G98" s="130" t="s">
        <v>1</v>
      </c>
      <c r="H98" s="8" t="s">
        <v>94</v>
      </c>
      <c r="I98" s="12" t="s">
        <v>31</v>
      </c>
      <c r="J98" s="12" t="s">
        <v>20</v>
      </c>
      <c r="K98" s="546" t="s">
        <v>30</v>
      </c>
      <c r="L98" s="546"/>
      <c r="M98" s="546"/>
      <c r="N98" s="546"/>
      <c r="O98" s="12" t="s">
        <v>119</v>
      </c>
      <c r="P98" s="12" t="s">
        <v>120</v>
      </c>
      <c r="Q98" s="12" t="s">
        <v>121</v>
      </c>
      <c r="AC98" s="123"/>
      <c r="AD98" s="279"/>
      <c r="AE98" s="123"/>
      <c r="AF98" s="123"/>
      <c r="AG98" s="123"/>
      <c r="AI98" s="131"/>
      <c r="AJ98" s="131"/>
      <c r="AK98" s="131"/>
      <c r="AL98" s="124"/>
    </row>
    <row r="99" spans="1:38" ht="15.75" thickBot="1" x14ac:dyDescent="0.3">
      <c r="A99" s="26" t="s">
        <v>102</v>
      </c>
      <c r="B99" s="26" t="s">
        <v>103</v>
      </c>
      <c r="C99" s="26" t="s">
        <v>23</v>
      </c>
      <c r="D99" s="26" t="s">
        <v>24</v>
      </c>
      <c r="E99" s="31" t="s">
        <v>25</v>
      </c>
      <c r="F99" s="32" t="s">
        <v>29</v>
      </c>
      <c r="G99" s="32" t="s">
        <v>26</v>
      </c>
      <c r="H99" s="32" t="s">
        <v>27</v>
      </c>
      <c r="I99" s="32" t="s">
        <v>32</v>
      </c>
      <c r="J99" s="32" t="s">
        <v>28</v>
      </c>
      <c r="K99" s="33" t="s">
        <v>93</v>
      </c>
      <c r="L99" s="33" t="s">
        <v>95</v>
      </c>
      <c r="M99" s="33" t="s">
        <v>96</v>
      </c>
      <c r="N99" s="33" t="s">
        <v>104</v>
      </c>
      <c r="O99" s="32" t="s">
        <v>34</v>
      </c>
      <c r="P99" s="32" t="s">
        <v>35</v>
      </c>
      <c r="Q99" s="32" t="s">
        <v>105</v>
      </c>
      <c r="AC99" s="123"/>
      <c r="AD99" s="279"/>
      <c r="AE99" s="123"/>
      <c r="AF99" s="123"/>
      <c r="AG99" s="123"/>
      <c r="AI99" s="131"/>
      <c r="AJ99" s="131"/>
      <c r="AK99" s="131"/>
      <c r="AL99" s="124"/>
    </row>
    <row r="100" spans="1:38" ht="15.75" thickBot="1" x14ac:dyDescent="0.3">
      <c r="A100" s="543" t="s">
        <v>36</v>
      </c>
      <c r="B100" s="70">
        <f>SUM(D100:D104)</f>
        <v>6.9000000000000006E-2</v>
      </c>
      <c r="C100" s="63" t="s">
        <v>37</v>
      </c>
      <c r="D100" s="67">
        <f>D12</f>
        <v>6.0000000000000001E-3</v>
      </c>
      <c r="E100" s="96" t="s">
        <v>60</v>
      </c>
      <c r="F100" s="112">
        <f>D100</f>
        <v>6.0000000000000001E-3</v>
      </c>
      <c r="G100" s="91" t="s">
        <v>5</v>
      </c>
      <c r="H100" s="39">
        <f>H12</f>
        <v>28.5</v>
      </c>
      <c r="I100" s="35">
        <f>User_Input!H22</f>
        <v>19.399999999999999</v>
      </c>
      <c r="J100" s="36" t="s">
        <v>21</v>
      </c>
      <c r="K100" s="36">
        <f>IF(H100&gt;I100,1,0)</f>
        <v>1</v>
      </c>
      <c r="L100" s="35">
        <f>IF(H100=I100,0.5,0)</f>
        <v>0</v>
      </c>
      <c r="M100" s="35"/>
      <c r="N100" s="37">
        <f>SUM(K100:M100)</f>
        <v>1</v>
      </c>
      <c r="O100" s="74">
        <f t="shared" ref="O100:O129" si="22">N100*F100</f>
        <v>6.0000000000000001E-3</v>
      </c>
      <c r="P100" s="75">
        <f>O$134*D100</f>
        <v>2.3159999999999999E-3</v>
      </c>
      <c r="Q100" s="126">
        <f>P$135*B100</f>
        <v>2.6687268E-2</v>
      </c>
      <c r="AC100" s="123"/>
      <c r="AD100" s="279"/>
      <c r="AE100" s="123"/>
      <c r="AF100" s="123"/>
      <c r="AG100" s="123"/>
      <c r="AI100" s="131"/>
      <c r="AJ100" s="131"/>
      <c r="AK100" s="131"/>
      <c r="AL100" s="124"/>
    </row>
    <row r="101" spans="1:38" ht="16.5" thickTop="1" thickBot="1" x14ac:dyDescent="0.3">
      <c r="A101" s="544"/>
      <c r="B101" s="71"/>
      <c r="C101" s="64" t="s">
        <v>38</v>
      </c>
      <c r="D101" s="67">
        <f t="shared" ref="D101:D129" si="23">D13</f>
        <v>1.2E-2</v>
      </c>
      <c r="E101" s="97" t="s">
        <v>61</v>
      </c>
      <c r="F101" s="113">
        <f>D101</f>
        <v>1.2E-2</v>
      </c>
      <c r="G101" s="92" t="s">
        <v>2</v>
      </c>
      <c r="H101" s="39">
        <f t="shared" ref="H101:H129" si="24">H13</f>
        <v>4.9000000000000004</v>
      </c>
      <c r="I101" s="35">
        <f>User_Input!H23</f>
        <v>6.6000000000000005</v>
      </c>
      <c r="J101" s="40" t="s">
        <v>22</v>
      </c>
      <c r="K101" s="5"/>
      <c r="L101" s="5">
        <f t="shared" ref="L101:L129" si="25">IF(H101=I101,0.5,0)</f>
        <v>0</v>
      </c>
      <c r="M101" s="41">
        <f>IF(H101&lt;I101,1,0)</f>
        <v>1</v>
      </c>
      <c r="N101" s="19">
        <f t="shared" ref="N101:N129" si="26">SUM(K101:M101)</f>
        <v>1</v>
      </c>
      <c r="O101" s="76">
        <f t="shared" si="22"/>
        <v>1.2E-2</v>
      </c>
      <c r="P101" s="75">
        <f t="shared" ref="P101:P129" si="27">O$134*D101</f>
        <v>4.6319999999999998E-3</v>
      </c>
      <c r="Q101" s="126">
        <f t="shared" ref="Q101:Q129" si="28">P$135*B101</f>
        <v>0</v>
      </c>
      <c r="AC101" s="123"/>
      <c r="AD101" s="279"/>
      <c r="AE101" s="123"/>
      <c r="AF101" s="123"/>
      <c r="AG101" s="123"/>
      <c r="AI101" s="131"/>
      <c r="AJ101" s="131"/>
      <c r="AK101" s="131"/>
      <c r="AL101" s="124"/>
    </row>
    <row r="102" spans="1:38" ht="15" customHeight="1" thickTop="1" thickBot="1" x14ac:dyDescent="0.3">
      <c r="A102" s="544"/>
      <c r="B102" s="71"/>
      <c r="C102" s="65" t="s">
        <v>39</v>
      </c>
      <c r="D102" s="67">
        <f t="shared" si="23"/>
        <v>1.2999999999999999E-2</v>
      </c>
      <c r="E102" s="97" t="s">
        <v>62</v>
      </c>
      <c r="F102" s="113">
        <f>D102</f>
        <v>1.2999999999999999E-2</v>
      </c>
      <c r="G102" s="93" t="s">
        <v>3</v>
      </c>
      <c r="H102" s="39">
        <f t="shared" si="24"/>
        <v>3</v>
      </c>
      <c r="I102" s="35">
        <f>User_Input!H24</f>
        <v>3.25</v>
      </c>
      <c r="J102" s="27" t="s">
        <v>21</v>
      </c>
      <c r="K102" s="27">
        <f>IF(H102&gt;I102,1,0)</f>
        <v>0</v>
      </c>
      <c r="L102" s="5">
        <f t="shared" si="25"/>
        <v>0</v>
      </c>
      <c r="M102" s="1"/>
      <c r="N102" s="19">
        <f t="shared" si="26"/>
        <v>0</v>
      </c>
      <c r="O102" s="76">
        <f t="shared" si="22"/>
        <v>0</v>
      </c>
      <c r="P102" s="75">
        <f t="shared" si="27"/>
        <v>5.0179999999999999E-3</v>
      </c>
      <c r="Q102" s="126">
        <f t="shared" si="28"/>
        <v>0</v>
      </c>
      <c r="AC102" s="123"/>
      <c r="AD102" s="279"/>
      <c r="AE102" s="123"/>
      <c r="AF102" s="123"/>
      <c r="AG102" s="123"/>
      <c r="AI102" s="131"/>
      <c r="AJ102" s="131"/>
      <c r="AK102" s="131"/>
      <c r="AL102" s="124"/>
    </row>
    <row r="103" spans="1:38" ht="18" customHeight="1" thickBot="1" x14ac:dyDescent="0.3">
      <c r="A103" s="544"/>
      <c r="B103" s="71"/>
      <c r="C103" s="65" t="s">
        <v>40</v>
      </c>
      <c r="D103" s="67">
        <f t="shared" si="23"/>
        <v>1.7999999999999999E-2</v>
      </c>
      <c r="E103" s="97" t="s">
        <v>63</v>
      </c>
      <c r="F103" s="113">
        <f>D103</f>
        <v>1.7999999999999999E-2</v>
      </c>
      <c r="G103" s="93" t="s">
        <v>16</v>
      </c>
      <c r="H103" s="39">
        <f t="shared" si="24"/>
        <v>844</v>
      </c>
      <c r="I103" s="35">
        <f>User_Input!H25</f>
        <v>762</v>
      </c>
      <c r="J103" s="27" t="s">
        <v>21</v>
      </c>
      <c r="K103" s="27">
        <f>IF(H103&gt;I103,1,0)</f>
        <v>1</v>
      </c>
      <c r="L103" s="5">
        <f t="shared" si="25"/>
        <v>0</v>
      </c>
      <c r="M103" s="1"/>
      <c r="N103" s="19">
        <f t="shared" si="26"/>
        <v>1</v>
      </c>
      <c r="O103" s="76">
        <f t="shared" si="22"/>
        <v>1.7999999999999999E-2</v>
      </c>
      <c r="P103" s="75">
        <f t="shared" si="27"/>
        <v>6.9479999999999993E-3</v>
      </c>
      <c r="Q103" s="126">
        <f t="shared" si="28"/>
        <v>0</v>
      </c>
      <c r="AC103" s="276"/>
      <c r="AD103" s="125"/>
      <c r="AE103" s="276"/>
      <c r="AF103" s="276"/>
      <c r="AG103" s="276"/>
      <c r="AI103" s="131"/>
      <c r="AJ103" s="131"/>
      <c r="AK103" s="131"/>
    </row>
    <row r="104" spans="1:38" ht="16.5" thickTop="1" thickBot="1" x14ac:dyDescent="0.3">
      <c r="A104" s="544"/>
      <c r="B104" s="71"/>
      <c r="C104" s="555" t="s">
        <v>41</v>
      </c>
      <c r="D104" s="67">
        <f t="shared" si="23"/>
        <v>0.02</v>
      </c>
      <c r="E104" s="98" t="s">
        <v>64</v>
      </c>
      <c r="F104" s="113">
        <f>D$104/2</f>
        <v>0.01</v>
      </c>
      <c r="G104" s="94" t="s">
        <v>4</v>
      </c>
      <c r="H104" s="39">
        <f t="shared" si="24"/>
        <v>93.94</v>
      </c>
      <c r="I104" s="35">
        <f>User_Input!H26</f>
        <v>96.015000000000001</v>
      </c>
      <c r="J104" s="40" t="s">
        <v>22</v>
      </c>
      <c r="K104" s="5"/>
      <c r="L104" s="5">
        <f t="shared" si="25"/>
        <v>0</v>
      </c>
      <c r="M104" s="41">
        <f>IF(H104&lt;I104,1,0)</f>
        <v>1</v>
      </c>
      <c r="N104" s="19">
        <f t="shared" si="26"/>
        <v>1</v>
      </c>
      <c r="O104" s="76">
        <f t="shared" si="22"/>
        <v>0.01</v>
      </c>
      <c r="P104" s="75">
        <f t="shared" si="27"/>
        <v>7.7200000000000003E-3</v>
      </c>
      <c r="Q104" s="126">
        <f t="shared" si="28"/>
        <v>0</v>
      </c>
      <c r="AH104" s="282"/>
      <c r="AI104" s="283"/>
      <c r="AJ104" s="283"/>
      <c r="AK104" s="283"/>
    </row>
    <row r="105" spans="1:38" ht="16.5" thickTop="1" thickBot="1" x14ac:dyDescent="0.3">
      <c r="A105" s="545"/>
      <c r="B105" s="72"/>
      <c r="C105" s="556"/>
      <c r="D105" s="67"/>
      <c r="E105" s="99" t="s">
        <v>65</v>
      </c>
      <c r="F105" s="113">
        <f>D$104/2</f>
        <v>0.01</v>
      </c>
      <c r="G105" s="95" t="s">
        <v>4</v>
      </c>
      <c r="H105" s="39">
        <f t="shared" si="24"/>
        <v>6.06</v>
      </c>
      <c r="I105" s="35">
        <f>User_Input!H27</f>
        <v>3.9849999999999999</v>
      </c>
      <c r="J105" s="43" t="s">
        <v>21</v>
      </c>
      <c r="K105" s="43">
        <f>IF(H105&gt;I105,1,0)</f>
        <v>1</v>
      </c>
      <c r="L105" s="14">
        <f t="shared" si="25"/>
        <v>0</v>
      </c>
      <c r="M105" s="44"/>
      <c r="N105" s="19">
        <f t="shared" si="26"/>
        <v>1</v>
      </c>
      <c r="O105" s="77">
        <f t="shared" si="22"/>
        <v>0.01</v>
      </c>
      <c r="P105" s="75">
        <f t="shared" si="27"/>
        <v>0</v>
      </c>
      <c r="Q105" s="126">
        <f t="shared" si="28"/>
        <v>0</v>
      </c>
      <c r="AH105" s="284"/>
      <c r="AI105" s="285"/>
      <c r="AJ105" s="285"/>
      <c r="AK105" s="285"/>
    </row>
    <row r="106" spans="1:38" ht="15.75" thickBot="1" x14ac:dyDescent="0.3">
      <c r="A106" s="543" t="s">
        <v>92</v>
      </c>
      <c r="B106" s="70">
        <f>SUM(D106:D108)</f>
        <v>7.0000000000000007E-2</v>
      </c>
      <c r="C106" s="45" t="s">
        <v>42</v>
      </c>
      <c r="D106" s="67">
        <f t="shared" si="23"/>
        <v>1.4999999999999999E-2</v>
      </c>
      <c r="E106" s="100" t="s">
        <v>89</v>
      </c>
      <c r="F106" s="112">
        <f>D106</f>
        <v>1.4999999999999999E-2</v>
      </c>
      <c r="G106" s="103" t="s">
        <v>4</v>
      </c>
      <c r="H106" s="39">
        <f t="shared" si="24"/>
        <v>12.36</v>
      </c>
      <c r="I106" s="35">
        <f>User_Input!H28</f>
        <v>14.709999999999999</v>
      </c>
      <c r="J106" s="46" t="s">
        <v>22</v>
      </c>
      <c r="K106" s="35"/>
      <c r="L106" s="35">
        <f t="shared" si="25"/>
        <v>0</v>
      </c>
      <c r="M106" s="47">
        <f>IF(H106&lt;I106,1,0)</f>
        <v>1</v>
      </c>
      <c r="N106" s="37">
        <f t="shared" si="26"/>
        <v>1</v>
      </c>
      <c r="O106" s="78">
        <f t="shared" si="22"/>
        <v>1.4999999999999999E-2</v>
      </c>
      <c r="P106" s="75">
        <f t="shared" si="27"/>
        <v>5.79E-3</v>
      </c>
      <c r="Q106" s="126">
        <f t="shared" si="28"/>
        <v>2.7074040000000001E-2</v>
      </c>
    </row>
    <row r="107" spans="1:38" ht="16.5" thickTop="1" thickBot="1" x14ac:dyDescent="0.3">
      <c r="A107" s="544"/>
      <c r="B107" s="71"/>
      <c r="C107" s="29" t="s">
        <v>43</v>
      </c>
      <c r="D107" s="67">
        <f t="shared" si="23"/>
        <v>2.4E-2</v>
      </c>
      <c r="E107" s="101" t="s">
        <v>66</v>
      </c>
      <c r="F107" s="113">
        <f>D107</f>
        <v>2.4E-2</v>
      </c>
      <c r="G107" s="93" t="s">
        <v>4</v>
      </c>
      <c r="H107" s="39">
        <f t="shared" si="24"/>
        <v>0</v>
      </c>
      <c r="I107" s="35">
        <f>User_Input!H29</f>
        <v>2.44</v>
      </c>
      <c r="J107" s="27" t="s">
        <v>21</v>
      </c>
      <c r="K107" s="27">
        <f>IF(H107&gt;I107,1,0)</f>
        <v>0</v>
      </c>
      <c r="L107" s="5">
        <f t="shared" si="25"/>
        <v>0</v>
      </c>
      <c r="M107" s="1"/>
      <c r="N107" s="19">
        <f t="shared" si="26"/>
        <v>0</v>
      </c>
      <c r="O107" s="79">
        <f t="shared" si="22"/>
        <v>0</v>
      </c>
      <c r="P107" s="75">
        <f t="shared" si="27"/>
        <v>9.2639999999999997E-3</v>
      </c>
      <c r="Q107" s="126">
        <f t="shared" si="28"/>
        <v>0</v>
      </c>
      <c r="X107" s="10"/>
    </row>
    <row r="108" spans="1:38" ht="15.75" thickBot="1" x14ac:dyDescent="0.3">
      <c r="A108" s="544"/>
      <c r="B108" s="71"/>
      <c r="C108" s="568" t="s">
        <v>44</v>
      </c>
      <c r="D108" s="67">
        <f t="shared" si="23"/>
        <v>3.1E-2</v>
      </c>
      <c r="E108" s="101" t="s">
        <v>67</v>
      </c>
      <c r="F108" s="113">
        <f>D$108/2</f>
        <v>1.55E-2</v>
      </c>
      <c r="G108" s="93" t="s">
        <v>12</v>
      </c>
      <c r="H108" s="39">
        <f t="shared" si="24"/>
        <v>3.92</v>
      </c>
      <c r="I108" s="35">
        <f>User_Input!H30</f>
        <v>1.96</v>
      </c>
      <c r="J108" s="27" t="s">
        <v>21</v>
      </c>
      <c r="K108" s="27">
        <f>IF(H108&gt;I108,1,0)</f>
        <v>1</v>
      </c>
      <c r="L108" s="5">
        <f t="shared" si="25"/>
        <v>0</v>
      </c>
      <c r="M108" s="1"/>
      <c r="N108" s="19">
        <f t="shared" si="26"/>
        <v>1</v>
      </c>
      <c r="O108" s="79">
        <f t="shared" si="22"/>
        <v>1.55E-2</v>
      </c>
      <c r="P108" s="75">
        <f t="shared" si="27"/>
        <v>1.1966000000000001E-2</v>
      </c>
      <c r="Q108" s="126">
        <f t="shared" si="28"/>
        <v>0</v>
      </c>
    </row>
    <row r="109" spans="1:38" ht="15.75" thickBot="1" x14ac:dyDescent="0.3">
      <c r="A109" s="545"/>
      <c r="B109" s="72"/>
      <c r="C109" s="569"/>
      <c r="D109" s="67"/>
      <c r="E109" s="102" t="s">
        <v>68</v>
      </c>
      <c r="F109" s="113">
        <f>D$108/2</f>
        <v>1.55E-2</v>
      </c>
      <c r="G109" s="95" t="s">
        <v>12</v>
      </c>
      <c r="H109" s="39">
        <f t="shared" si="24"/>
        <v>0.96</v>
      </c>
      <c r="I109" s="35">
        <f>User_Input!H31</f>
        <v>1.35</v>
      </c>
      <c r="J109" s="43" t="s">
        <v>21</v>
      </c>
      <c r="K109" s="43">
        <f>IF(H109&gt;I109,1,0)</f>
        <v>0</v>
      </c>
      <c r="L109" s="14">
        <f t="shared" si="25"/>
        <v>0</v>
      </c>
      <c r="M109" s="44"/>
      <c r="N109" s="19">
        <f t="shared" si="26"/>
        <v>0</v>
      </c>
      <c r="O109" s="80">
        <f t="shared" si="22"/>
        <v>0</v>
      </c>
      <c r="P109" s="75">
        <f t="shared" si="27"/>
        <v>0</v>
      </c>
      <c r="Q109" s="126">
        <f t="shared" si="28"/>
        <v>0</v>
      </c>
    </row>
    <row r="110" spans="1:38" ht="30.75" thickBot="1" x14ac:dyDescent="0.3">
      <c r="A110" s="543" t="s">
        <v>90</v>
      </c>
      <c r="B110" s="70">
        <f>SUM(D110:D113)</f>
        <v>0.11399999999999999</v>
      </c>
      <c r="C110" s="34" t="s">
        <v>45</v>
      </c>
      <c r="D110" s="67">
        <f t="shared" si="23"/>
        <v>3.3000000000000002E-2</v>
      </c>
      <c r="E110" s="104" t="s">
        <v>69</v>
      </c>
      <c r="F110" s="112">
        <f>D110</f>
        <v>3.3000000000000002E-2</v>
      </c>
      <c r="G110" s="91" t="s">
        <v>4</v>
      </c>
      <c r="H110" s="39">
        <f t="shared" si="24"/>
        <v>44</v>
      </c>
      <c r="I110" s="35">
        <f>User_Input!H32</f>
        <v>27.5</v>
      </c>
      <c r="J110" s="36" t="s">
        <v>21</v>
      </c>
      <c r="K110" s="36">
        <f>IF(H110&gt;I110,1,0)</f>
        <v>1</v>
      </c>
      <c r="L110" s="35">
        <f t="shared" si="25"/>
        <v>0</v>
      </c>
      <c r="M110" s="49"/>
      <c r="N110" s="37">
        <f t="shared" si="26"/>
        <v>1</v>
      </c>
      <c r="O110" s="78">
        <f t="shared" si="22"/>
        <v>3.3000000000000002E-2</v>
      </c>
      <c r="P110" s="75">
        <f t="shared" si="27"/>
        <v>1.2738000000000001E-2</v>
      </c>
      <c r="Q110" s="126">
        <f t="shared" si="28"/>
        <v>4.4092007999999988E-2</v>
      </c>
    </row>
    <row r="111" spans="1:38" ht="31.5" thickTop="1" thickBot="1" x14ac:dyDescent="0.3">
      <c r="A111" s="544"/>
      <c r="B111" s="71"/>
      <c r="C111" s="30" t="s">
        <v>46</v>
      </c>
      <c r="D111" s="67">
        <f t="shared" si="23"/>
        <v>0.03</v>
      </c>
      <c r="E111" s="101" t="s">
        <v>70</v>
      </c>
      <c r="F111" s="113">
        <f>D111</f>
        <v>0.03</v>
      </c>
      <c r="G111" s="94" t="s">
        <v>12</v>
      </c>
      <c r="H111" s="39">
        <f t="shared" si="24"/>
        <v>0.4</v>
      </c>
      <c r="I111" s="35">
        <f>User_Input!H33</f>
        <v>0.55000000000000004</v>
      </c>
      <c r="J111" s="40" t="s">
        <v>22</v>
      </c>
      <c r="K111" s="5"/>
      <c r="L111" s="5">
        <f t="shared" si="25"/>
        <v>0</v>
      </c>
      <c r="M111" s="41">
        <f>IF(H111&lt;I111,1,0)</f>
        <v>1</v>
      </c>
      <c r="N111" s="19">
        <f t="shared" si="26"/>
        <v>1</v>
      </c>
      <c r="O111" s="79">
        <f t="shared" si="22"/>
        <v>0.03</v>
      </c>
      <c r="P111" s="75">
        <f t="shared" si="27"/>
        <v>1.158E-2</v>
      </c>
      <c r="Q111" s="126">
        <f t="shared" si="28"/>
        <v>0</v>
      </c>
    </row>
    <row r="112" spans="1:38" ht="31.5" thickTop="1" thickBot="1" x14ac:dyDescent="0.3">
      <c r="A112" s="544"/>
      <c r="B112" s="71"/>
      <c r="C112" s="30" t="s">
        <v>47</v>
      </c>
      <c r="D112" s="67">
        <f t="shared" si="23"/>
        <v>2.1999999999999999E-2</v>
      </c>
      <c r="E112" s="101" t="s">
        <v>71</v>
      </c>
      <c r="F112" s="113">
        <f>D112</f>
        <v>2.1999999999999999E-2</v>
      </c>
      <c r="G112" s="94" t="s">
        <v>12</v>
      </c>
      <c r="H112" s="39">
        <f t="shared" si="24"/>
        <v>1.6</v>
      </c>
      <c r="I112" s="35">
        <f>User_Input!H34</f>
        <v>1.55</v>
      </c>
      <c r="J112" s="40" t="s">
        <v>22</v>
      </c>
      <c r="K112" s="5"/>
      <c r="L112" s="5">
        <f t="shared" si="25"/>
        <v>0</v>
      </c>
      <c r="M112" s="22">
        <f>IF(H112&lt;I112,1,0)</f>
        <v>0</v>
      </c>
      <c r="N112" s="19">
        <f t="shared" si="26"/>
        <v>0</v>
      </c>
      <c r="O112" s="79">
        <f t="shared" si="22"/>
        <v>0</v>
      </c>
      <c r="P112" s="75">
        <f t="shared" si="27"/>
        <v>8.4919999999999995E-3</v>
      </c>
      <c r="Q112" s="126">
        <f t="shared" si="28"/>
        <v>0</v>
      </c>
      <c r="AJ112" s="286"/>
    </row>
    <row r="113" spans="1:36" ht="16.5" thickTop="1" thickBot="1" x14ac:dyDescent="0.3">
      <c r="A113" s="544"/>
      <c r="B113" s="71"/>
      <c r="C113" s="568" t="s">
        <v>48</v>
      </c>
      <c r="D113" s="67">
        <f t="shared" si="23"/>
        <v>2.9000000000000001E-2</v>
      </c>
      <c r="E113" s="105" t="s">
        <v>72</v>
      </c>
      <c r="F113" s="113">
        <f>D$113/2</f>
        <v>1.4500000000000001E-2</v>
      </c>
      <c r="G113" s="93" t="s">
        <v>5</v>
      </c>
      <c r="H113" s="39">
        <f t="shared" si="24"/>
        <v>8.9999999999999998E-4</v>
      </c>
      <c r="I113" s="35">
        <f>User_Input!H35</f>
        <v>5.4500000000000009E-3</v>
      </c>
      <c r="J113" s="27" t="s">
        <v>21</v>
      </c>
      <c r="K113" s="27">
        <f>IF(H113&gt;I113,1,0)</f>
        <v>0</v>
      </c>
      <c r="L113" s="5">
        <f t="shared" si="25"/>
        <v>0</v>
      </c>
      <c r="M113" s="1"/>
      <c r="N113" s="19">
        <f t="shared" si="26"/>
        <v>0</v>
      </c>
      <c r="O113" s="79">
        <f t="shared" si="22"/>
        <v>0</v>
      </c>
      <c r="P113" s="75">
        <f t="shared" si="27"/>
        <v>1.1194000000000001E-2</v>
      </c>
      <c r="Q113" s="126">
        <f t="shared" si="28"/>
        <v>0</v>
      </c>
      <c r="AJ113" s="286"/>
    </row>
    <row r="114" spans="1:36" ht="15.75" thickBot="1" x14ac:dyDescent="0.3">
      <c r="A114" s="545"/>
      <c r="B114" s="72"/>
      <c r="C114" s="569"/>
      <c r="D114" s="67"/>
      <c r="E114" s="106" t="s">
        <v>73</v>
      </c>
      <c r="F114" s="113">
        <f>D$113/2</f>
        <v>1.4500000000000001E-2</v>
      </c>
      <c r="G114" s="95" t="s">
        <v>5</v>
      </c>
      <c r="H114" s="39">
        <f t="shared" si="24"/>
        <v>6.3999999999999997E-5</v>
      </c>
      <c r="I114" s="35">
        <f>User_Input!H36</f>
        <v>4.8200000000000001E-4</v>
      </c>
      <c r="J114" s="43" t="s">
        <v>21</v>
      </c>
      <c r="K114" s="43">
        <f>IF(H114&gt;I114,1,0)</f>
        <v>0</v>
      </c>
      <c r="L114" s="14">
        <f t="shared" si="25"/>
        <v>0</v>
      </c>
      <c r="M114" s="44"/>
      <c r="N114" s="19">
        <f t="shared" si="26"/>
        <v>0</v>
      </c>
      <c r="O114" s="80">
        <f t="shared" si="22"/>
        <v>0</v>
      </c>
      <c r="P114" s="75">
        <f t="shared" si="27"/>
        <v>0</v>
      </c>
      <c r="Q114" s="126">
        <f t="shared" si="28"/>
        <v>0</v>
      </c>
    </row>
    <row r="115" spans="1:36" ht="15.75" thickBot="1" x14ac:dyDescent="0.3">
      <c r="A115" s="543" t="s">
        <v>97</v>
      </c>
      <c r="B115" s="70">
        <f>SUM(D115:D122)</f>
        <v>0.376</v>
      </c>
      <c r="C115" s="34" t="s">
        <v>49</v>
      </c>
      <c r="D115" s="67">
        <f t="shared" si="23"/>
        <v>4.3999999999999997E-2</v>
      </c>
      <c r="E115" s="107" t="s">
        <v>74</v>
      </c>
      <c r="F115" s="112">
        <f>D115</f>
        <v>4.3999999999999997E-2</v>
      </c>
      <c r="G115" s="91" t="s">
        <v>7</v>
      </c>
      <c r="H115" s="39">
        <f t="shared" si="24"/>
        <v>46</v>
      </c>
      <c r="I115" s="35">
        <f>User_Input!H37</f>
        <v>54.5</v>
      </c>
      <c r="J115" s="36" t="s">
        <v>21</v>
      </c>
      <c r="K115" s="36">
        <f>IF(H115&gt;I115,1,0)</f>
        <v>0</v>
      </c>
      <c r="L115" s="35">
        <f t="shared" si="25"/>
        <v>0</v>
      </c>
      <c r="M115" s="49"/>
      <c r="N115" s="37">
        <f t="shared" si="26"/>
        <v>0</v>
      </c>
      <c r="O115" s="78">
        <f t="shared" si="22"/>
        <v>0</v>
      </c>
      <c r="P115" s="75">
        <f t="shared" si="27"/>
        <v>1.6983999999999999E-2</v>
      </c>
      <c r="Q115" s="126">
        <f t="shared" si="28"/>
        <v>0.14542627199999997</v>
      </c>
    </row>
    <row r="116" spans="1:36" ht="15.75" thickBot="1" x14ac:dyDescent="0.3">
      <c r="A116" s="544"/>
      <c r="B116" s="71"/>
      <c r="C116" s="29" t="s">
        <v>50</v>
      </c>
      <c r="D116" s="67">
        <f t="shared" si="23"/>
        <v>4.2000000000000003E-2</v>
      </c>
      <c r="E116" s="105" t="s">
        <v>75</v>
      </c>
      <c r="F116" s="113">
        <f t="shared" ref="F116:F121" si="29">D116</f>
        <v>4.2000000000000003E-2</v>
      </c>
      <c r="G116" s="93" t="s">
        <v>15</v>
      </c>
      <c r="H116" s="39">
        <f t="shared" si="24"/>
        <v>3.72</v>
      </c>
      <c r="I116" s="35">
        <f>User_Input!H38</f>
        <v>3.7300000000000004</v>
      </c>
      <c r="J116" s="27" t="s">
        <v>21</v>
      </c>
      <c r="K116" s="27">
        <f>IF(H116&gt;I116,1,0)</f>
        <v>0</v>
      </c>
      <c r="L116" s="5">
        <f t="shared" si="25"/>
        <v>0</v>
      </c>
      <c r="M116" s="1"/>
      <c r="N116" s="19">
        <f t="shared" si="26"/>
        <v>0</v>
      </c>
      <c r="O116" s="79">
        <f t="shared" si="22"/>
        <v>0</v>
      </c>
      <c r="P116" s="75">
        <f t="shared" si="27"/>
        <v>1.6212000000000001E-2</v>
      </c>
      <c r="Q116" s="126">
        <f t="shared" si="28"/>
        <v>0</v>
      </c>
    </row>
    <row r="117" spans="1:36" ht="31.5" thickTop="1" thickBot="1" x14ac:dyDescent="0.3">
      <c r="A117" s="544"/>
      <c r="B117" s="71"/>
      <c r="C117" s="30" t="s">
        <v>51</v>
      </c>
      <c r="D117" s="67">
        <f t="shared" si="23"/>
        <v>4.3999999999999997E-2</v>
      </c>
      <c r="E117" s="101" t="s">
        <v>76</v>
      </c>
      <c r="F117" s="113">
        <f t="shared" si="29"/>
        <v>4.3999999999999997E-2</v>
      </c>
      <c r="G117" s="108" t="s">
        <v>6</v>
      </c>
      <c r="H117" s="39">
        <f t="shared" si="24"/>
        <v>37.700000000000003</v>
      </c>
      <c r="I117" s="35">
        <f>User_Input!H39</f>
        <v>34.545000000000002</v>
      </c>
      <c r="J117" s="40" t="s">
        <v>22</v>
      </c>
      <c r="K117" s="5"/>
      <c r="L117" s="5">
        <f t="shared" si="25"/>
        <v>0</v>
      </c>
      <c r="M117" s="24">
        <f>IF(H117&lt;I117,1,0)</f>
        <v>0</v>
      </c>
      <c r="N117" s="19">
        <f t="shared" si="26"/>
        <v>0</v>
      </c>
      <c r="O117" s="79">
        <f t="shared" si="22"/>
        <v>0</v>
      </c>
      <c r="P117" s="75">
        <f t="shared" si="27"/>
        <v>1.6983999999999999E-2</v>
      </c>
      <c r="Q117" s="126">
        <f t="shared" si="28"/>
        <v>0</v>
      </c>
    </row>
    <row r="118" spans="1:36" ht="16.5" thickTop="1" thickBot="1" x14ac:dyDescent="0.3">
      <c r="A118" s="544"/>
      <c r="B118" s="71"/>
      <c r="C118" s="29" t="s">
        <v>52</v>
      </c>
      <c r="D118" s="67">
        <f t="shared" si="23"/>
        <v>4.5999999999999999E-2</v>
      </c>
      <c r="E118" s="105" t="s">
        <v>77</v>
      </c>
      <c r="F118" s="113">
        <f t="shared" si="29"/>
        <v>4.5999999999999999E-2</v>
      </c>
      <c r="G118" s="93" t="s">
        <v>4</v>
      </c>
      <c r="H118" s="39">
        <f t="shared" si="24"/>
        <v>68</v>
      </c>
      <c r="I118" s="35">
        <f>User_Input!H40</f>
        <v>65.5</v>
      </c>
      <c r="J118" s="27" t="s">
        <v>21</v>
      </c>
      <c r="K118" s="27">
        <f>IF(H118&gt;I118,1,0)</f>
        <v>1</v>
      </c>
      <c r="L118" s="5">
        <f t="shared" si="25"/>
        <v>0</v>
      </c>
      <c r="M118" s="1"/>
      <c r="N118" s="19">
        <f t="shared" si="26"/>
        <v>1</v>
      </c>
      <c r="O118" s="79">
        <f t="shared" si="22"/>
        <v>4.5999999999999999E-2</v>
      </c>
      <c r="P118" s="75">
        <f t="shared" si="27"/>
        <v>1.7756000000000001E-2</v>
      </c>
      <c r="Q118" s="126">
        <f t="shared" si="28"/>
        <v>0</v>
      </c>
    </row>
    <row r="119" spans="1:36" ht="15.75" thickBot="1" x14ac:dyDescent="0.3">
      <c r="A119" s="544"/>
      <c r="B119" s="71"/>
      <c r="C119" s="2" t="s">
        <v>53</v>
      </c>
      <c r="D119" s="67">
        <f t="shared" si="23"/>
        <v>5.7000000000000002E-2</v>
      </c>
      <c r="E119" s="105" t="s">
        <v>78</v>
      </c>
      <c r="F119" s="113">
        <f t="shared" si="29"/>
        <v>5.7000000000000002E-2</v>
      </c>
      <c r="G119" s="94" t="s">
        <v>17</v>
      </c>
      <c r="H119" s="39">
        <f t="shared" si="24"/>
        <v>0.13</v>
      </c>
      <c r="I119" s="35">
        <f>User_Input!H41</f>
        <v>0.21</v>
      </c>
      <c r="J119" s="27" t="s">
        <v>21</v>
      </c>
      <c r="K119" s="27">
        <f>IF(H119&gt;I119,1,0)</f>
        <v>0</v>
      </c>
      <c r="L119" s="5">
        <f t="shared" si="25"/>
        <v>0</v>
      </c>
      <c r="M119" s="1"/>
      <c r="N119" s="19">
        <f t="shared" si="26"/>
        <v>0</v>
      </c>
      <c r="O119" s="79">
        <f t="shared" si="22"/>
        <v>0</v>
      </c>
      <c r="P119" s="75">
        <f t="shared" si="27"/>
        <v>2.2002000000000001E-2</v>
      </c>
      <c r="Q119" s="126">
        <f t="shared" si="28"/>
        <v>0</v>
      </c>
    </row>
    <row r="120" spans="1:36" ht="15.75" thickBot="1" x14ac:dyDescent="0.3">
      <c r="A120" s="544"/>
      <c r="B120" s="71"/>
      <c r="C120" s="2" t="s">
        <v>54</v>
      </c>
      <c r="D120" s="67">
        <f t="shared" si="23"/>
        <v>6.8000000000000005E-2</v>
      </c>
      <c r="E120" s="105" t="s">
        <v>79</v>
      </c>
      <c r="F120" s="113">
        <f t="shared" si="29"/>
        <v>6.8000000000000005E-2</v>
      </c>
      <c r="G120" s="94" t="s">
        <v>8</v>
      </c>
      <c r="H120" s="39">
        <f t="shared" si="24"/>
        <v>168</v>
      </c>
      <c r="I120" s="35">
        <f>User_Input!H42</f>
        <v>202.5</v>
      </c>
      <c r="J120" s="28" t="s">
        <v>21</v>
      </c>
      <c r="K120" s="27">
        <f>IF(H120&gt;I120,1,0)</f>
        <v>0</v>
      </c>
      <c r="L120" s="5">
        <f t="shared" si="25"/>
        <v>0</v>
      </c>
      <c r="M120" s="1"/>
      <c r="N120" s="19">
        <f t="shared" si="26"/>
        <v>0</v>
      </c>
      <c r="O120" s="79">
        <f t="shared" si="22"/>
        <v>0</v>
      </c>
      <c r="P120" s="75">
        <f t="shared" si="27"/>
        <v>2.6248000000000004E-2</v>
      </c>
      <c r="Q120" s="126">
        <f t="shared" si="28"/>
        <v>0</v>
      </c>
    </row>
    <row r="121" spans="1:36" ht="16.5" thickTop="1" thickBot="1" x14ac:dyDescent="0.3">
      <c r="A121" s="544"/>
      <c r="B121" s="71"/>
      <c r="C121" s="25" t="s">
        <v>55</v>
      </c>
      <c r="D121" s="67">
        <f t="shared" si="23"/>
        <v>8.9999999999999993E-3</v>
      </c>
      <c r="E121" s="105" t="s">
        <v>80</v>
      </c>
      <c r="F121" s="113">
        <f t="shared" si="29"/>
        <v>8.9999999999999993E-3</v>
      </c>
      <c r="G121" s="94" t="s">
        <v>4</v>
      </c>
      <c r="H121" s="39">
        <f t="shared" si="24"/>
        <v>90</v>
      </c>
      <c r="I121" s="35">
        <f>User_Input!H43</f>
        <v>74.5</v>
      </c>
      <c r="J121" s="20" t="s">
        <v>22</v>
      </c>
      <c r="K121" s="5"/>
      <c r="L121" s="5">
        <f t="shared" si="25"/>
        <v>0</v>
      </c>
      <c r="M121" s="23">
        <f t="shared" ref="M121:M128" si="30">IF(H121&lt;I121,1,0)</f>
        <v>0</v>
      </c>
      <c r="N121" s="19">
        <f t="shared" si="26"/>
        <v>0</v>
      </c>
      <c r="O121" s="79">
        <f t="shared" si="22"/>
        <v>0</v>
      </c>
      <c r="P121" s="75">
        <f t="shared" si="27"/>
        <v>3.4739999999999997E-3</v>
      </c>
      <c r="Q121" s="126">
        <f t="shared" si="28"/>
        <v>0</v>
      </c>
    </row>
    <row r="122" spans="1:36" ht="16.5" thickTop="1" thickBot="1" x14ac:dyDescent="0.3">
      <c r="A122" s="544"/>
      <c r="B122" s="71"/>
      <c r="C122" s="557" t="s">
        <v>56</v>
      </c>
      <c r="D122" s="67">
        <f t="shared" si="23"/>
        <v>6.6000000000000003E-2</v>
      </c>
      <c r="E122" s="105" t="s">
        <v>81</v>
      </c>
      <c r="F122" s="113">
        <f>D$122/2</f>
        <v>3.3000000000000002E-2</v>
      </c>
      <c r="G122" s="94" t="s">
        <v>4</v>
      </c>
      <c r="H122" s="39">
        <f t="shared" si="24"/>
        <v>35</v>
      </c>
      <c r="I122" s="35">
        <f>User_Input!H44</f>
        <v>26</v>
      </c>
      <c r="J122" s="20" t="s">
        <v>22</v>
      </c>
      <c r="K122" s="5"/>
      <c r="L122" s="5">
        <f t="shared" si="25"/>
        <v>0</v>
      </c>
      <c r="M122" s="41">
        <f t="shared" si="30"/>
        <v>0</v>
      </c>
      <c r="N122" s="19">
        <f t="shared" si="26"/>
        <v>0</v>
      </c>
      <c r="O122" s="79">
        <f t="shared" si="22"/>
        <v>0</v>
      </c>
      <c r="P122" s="75">
        <f t="shared" si="27"/>
        <v>2.5476000000000002E-2</v>
      </c>
      <c r="Q122" s="126">
        <f t="shared" si="28"/>
        <v>0</v>
      </c>
    </row>
    <row r="123" spans="1:36" ht="31.5" thickTop="1" thickBot="1" x14ac:dyDescent="0.3">
      <c r="A123" s="545"/>
      <c r="B123" s="72"/>
      <c r="C123" s="558"/>
      <c r="D123" s="67">
        <f t="shared" si="23"/>
        <v>0</v>
      </c>
      <c r="E123" s="106" t="s">
        <v>82</v>
      </c>
      <c r="F123" s="113">
        <f>D$122/2</f>
        <v>3.3000000000000002E-2</v>
      </c>
      <c r="G123" s="109" t="s">
        <v>9</v>
      </c>
      <c r="H123" s="39">
        <f t="shared" si="24"/>
        <v>72</v>
      </c>
      <c r="I123" s="35">
        <f>User_Input!H45</f>
        <v>57</v>
      </c>
      <c r="J123" s="21" t="s">
        <v>22</v>
      </c>
      <c r="K123" s="14"/>
      <c r="L123" s="14">
        <f t="shared" si="25"/>
        <v>0</v>
      </c>
      <c r="M123" s="22">
        <f t="shared" si="30"/>
        <v>0</v>
      </c>
      <c r="N123" s="19">
        <f t="shared" si="26"/>
        <v>0</v>
      </c>
      <c r="O123" s="80">
        <f t="shared" si="22"/>
        <v>0</v>
      </c>
      <c r="P123" s="75">
        <f t="shared" si="27"/>
        <v>0</v>
      </c>
      <c r="Q123" s="126">
        <f t="shared" si="28"/>
        <v>0</v>
      </c>
    </row>
    <row r="124" spans="1:36" ht="30.75" thickBot="1" x14ac:dyDescent="0.3">
      <c r="A124" s="543" t="s">
        <v>98</v>
      </c>
      <c r="B124" s="70">
        <f>SUM(D124,D128)</f>
        <v>0.23599999999999999</v>
      </c>
      <c r="C124" s="552" t="s">
        <v>57</v>
      </c>
      <c r="D124" s="67">
        <f t="shared" si="23"/>
        <v>0.107</v>
      </c>
      <c r="E124" s="96" t="s">
        <v>83</v>
      </c>
      <c r="F124" s="112">
        <f>D$124/4</f>
        <v>2.6749999999999999E-2</v>
      </c>
      <c r="G124" s="110" t="s">
        <v>10</v>
      </c>
      <c r="H124" s="39">
        <f t="shared" si="24"/>
        <v>1498</v>
      </c>
      <c r="I124" s="35">
        <f>User_Input!H46</f>
        <v>1291</v>
      </c>
      <c r="J124" s="52" t="s">
        <v>22</v>
      </c>
      <c r="K124" s="35"/>
      <c r="L124" s="35">
        <f t="shared" si="25"/>
        <v>0</v>
      </c>
      <c r="M124" s="47">
        <f t="shared" si="30"/>
        <v>0</v>
      </c>
      <c r="N124" s="37">
        <f t="shared" si="26"/>
        <v>0</v>
      </c>
      <c r="O124" s="78">
        <f t="shared" si="22"/>
        <v>0</v>
      </c>
      <c r="P124" s="75">
        <f>O$134*D124</f>
        <v>4.1301999999999998E-2</v>
      </c>
      <c r="Q124" s="126">
        <f t="shared" si="28"/>
        <v>9.127819199999998E-2</v>
      </c>
    </row>
    <row r="125" spans="1:36" ht="16.899999999999999" customHeight="1" thickTop="1" thickBot="1" x14ac:dyDescent="0.3">
      <c r="A125" s="544"/>
      <c r="B125" s="71"/>
      <c r="C125" s="553"/>
      <c r="D125" s="67"/>
      <c r="E125" s="97" t="s">
        <v>84</v>
      </c>
      <c r="F125" s="112">
        <f>D$124/4</f>
        <v>2.6749999999999999E-2</v>
      </c>
      <c r="G125" s="94" t="s">
        <v>18</v>
      </c>
      <c r="H125" s="39">
        <f t="shared" si="24"/>
        <v>1.62</v>
      </c>
      <c r="I125" s="35">
        <f>User_Input!H47</f>
        <v>1.675</v>
      </c>
      <c r="J125" s="20" t="s">
        <v>22</v>
      </c>
      <c r="K125" s="5"/>
      <c r="L125" s="5">
        <f t="shared" si="25"/>
        <v>0</v>
      </c>
      <c r="M125" s="41">
        <f t="shared" si="30"/>
        <v>1</v>
      </c>
      <c r="N125" s="19">
        <f t="shared" si="26"/>
        <v>1</v>
      </c>
      <c r="O125" s="79">
        <f t="shared" si="22"/>
        <v>2.6749999999999999E-2</v>
      </c>
      <c r="P125" s="75">
        <f t="shared" si="27"/>
        <v>0</v>
      </c>
      <c r="Q125" s="126">
        <f t="shared" si="28"/>
        <v>0</v>
      </c>
    </row>
    <row r="126" spans="1:36" ht="16.5" thickTop="1" thickBot="1" x14ac:dyDescent="0.3">
      <c r="A126" s="544"/>
      <c r="B126" s="71"/>
      <c r="C126" s="553"/>
      <c r="D126" s="67"/>
      <c r="E126" s="97" t="s">
        <v>85</v>
      </c>
      <c r="F126" s="112">
        <f>D$124/4</f>
        <v>2.6749999999999999E-2</v>
      </c>
      <c r="G126" s="94" t="s">
        <v>14</v>
      </c>
      <c r="H126" s="39">
        <f t="shared" si="24"/>
        <v>4.5999999999999996</v>
      </c>
      <c r="I126" s="35">
        <f>User_Input!H48</f>
        <v>5</v>
      </c>
      <c r="J126" s="20" t="s">
        <v>22</v>
      </c>
      <c r="K126" s="5"/>
      <c r="L126" s="5">
        <f t="shared" si="25"/>
        <v>0</v>
      </c>
      <c r="M126" s="41">
        <f t="shared" si="30"/>
        <v>1</v>
      </c>
      <c r="N126" s="19">
        <f t="shared" si="26"/>
        <v>1</v>
      </c>
      <c r="O126" s="79">
        <f t="shared" si="22"/>
        <v>2.6749999999999999E-2</v>
      </c>
      <c r="P126" s="75">
        <f t="shared" si="27"/>
        <v>0</v>
      </c>
      <c r="Q126" s="126">
        <f t="shared" si="28"/>
        <v>0</v>
      </c>
    </row>
    <row r="127" spans="1:36" ht="16.5" thickTop="1" thickBot="1" x14ac:dyDescent="0.3">
      <c r="A127" s="544"/>
      <c r="B127" s="71"/>
      <c r="C127" s="554"/>
      <c r="D127" s="67"/>
      <c r="E127" s="97" t="s">
        <v>86</v>
      </c>
      <c r="F127" s="112">
        <f>D$124/4</f>
        <v>2.6749999999999999E-2</v>
      </c>
      <c r="G127" s="94" t="s">
        <v>14</v>
      </c>
      <c r="H127" s="39">
        <f t="shared" si="24"/>
        <v>1.2</v>
      </c>
      <c r="I127" s="35">
        <f>User_Input!H49</f>
        <v>1.125</v>
      </c>
      <c r="J127" s="21" t="s">
        <v>22</v>
      </c>
      <c r="K127" s="14"/>
      <c r="L127" s="5">
        <f t="shared" si="25"/>
        <v>0</v>
      </c>
      <c r="M127" s="41">
        <f t="shared" si="30"/>
        <v>0</v>
      </c>
      <c r="N127" s="19">
        <f t="shared" si="26"/>
        <v>0</v>
      </c>
      <c r="O127" s="80">
        <f t="shared" si="22"/>
        <v>0</v>
      </c>
      <c r="P127" s="75">
        <f t="shared" si="27"/>
        <v>0</v>
      </c>
      <c r="Q127" s="126">
        <f t="shared" si="28"/>
        <v>0</v>
      </c>
    </row>
    <row r="128" spans="1:36" ht="31.5" thickTop="1" thickBot="1" x14ac:dyDescent="0.3">
      <c r="A128" s="545"/>
      <c r="B128" s="72"/>
      <c r="C128" s="50" t="s">
        <v>58</v>
      </c>
      <c r="D128" s="67">
        <f t="shared" si="23"/>
        <v>0.129</v>
      </c>
      <c r="E128" s="106" t="s">
        <v>87</v>
      </c>
      <c r="F128" s="113">
        <f>D128</f>
        <v>0.129</v>
      </c>
      <c r="G128" s="109" t="s">
        <v>11</v>
      </c>
      <c r="H128" s="39">
        <f t="shared" si="24"/>
        <v>0.7</v>
      </c>
      <c r="I128" s="35">
        <f>User_Input!H50</f>
        <v>0.48499999999999999</v>
      </c>
      <c r="J128" s="53" t="s">
        <v>22</v>
      </c>
      <c r="K128" s="14"/>
      <c r="L128" s="14">
        <f t="shared" si="25"/>
        <v>0</v>
      </c>
      <c r="M128" s="22">
        <f t="shared" si="30"/>
        <v>0</v>
      </c>
      <c r="N128" s="54">
        <f t="shared" si="26"/>
        <v>0</v>
      </c>
      <c r="O128" s="80">
        <f t="shared" si="22"/>
        <v>0</v>
      </c>
      <c r="P128" s="75">
        <f t="shared" si="27"/>
        <v>4.9794000000000005E-2</v>
      </c>
      <c r="Q128" s="126">
        <f t="shared" si="28"/>
        <v>0</v>
      </c>
    </row>
    <row r="129" spans="1:17" ht="30.75" thickBot="1" x14ac:dyDescent="0.3">
      <c r="A129" s="84" t="s">
        <v>91</v>
      </c>
      <c r="B129" s="85">
        <f>SUM(D129)</f>
        <v>0.13700000000000001</v>
      </c>
      <c r="C129" s="86" t="s">
        <v>59</v>
      </c>
      <c r="D129" s="67">
        <f t="shared" si="23"/>
        <v>0.13700000000000001</v>
      </c>
      <c r="E129" s="86" t="s">
        <v>88</v>
      </c>
      <c r="F129" s="114">
        <f>D129</f>
        <v>0.13700000000000001</v>
      </c>
      <c r="G129" s="111" t="s">
        <v>10</v>
      </c>
      <c r="H129" s="39">
        <f t="shared" si="24"/>
        <v>210.5</v>
      </c>
      <c r="I129" s="35">
        <f>User_Input!H51</f>
        <v>184.35</v>
      </c>
      <c r="J129" s="56" t="s">
        <v>21</v>
      </c>
      <c r="K129" s="57">
        <f>IF(H129&gt;I129,1,0)</f>
        <v>1</v>
      </c>
      <c r="L129" s="58">
        <f t="shared" si="25"/>
        <v>0</v>
      </c>
      <c r="M129" s="55"/>
      <c r="N129" s="89">
        <f t="shared" si="26"/>
        <v>1</v>
      </c>
      <c r="O129" s="81">
        <f t="shared" si="22"/>
        <v>0.13700000000000001</v>
      </c>
      <c r="P129" s="82">
        <f t="shared" si="27"/>
        <v>5.2882000000000005E-2</v>
      </c>
      <c r="Q129" s="126">
        <f t="shared" si="28"/>
        <v>5.2987764E-2</v>
      </c>
    </row>
    <row r="130" spans="1:17" ht="15" x14ac:dyDescent="0.2">
      <c r="A130" s="13"/>
      <c r="B130" s="13"/>
      <c r="C130" s="13"/>
      <c r="D130" s="498">
        <f>SUM(D100:D129)</f>
        <v>1.002</v>
      </c>
      <c r="E130" s="16"/>
      <c r="F130" s="16"/>
      <c r="G130" s="17"/>
      <c r="H130" s="16"/>
      <c r="I130" s="17"/>
      <c r="J130" s="17"/>
      <c r="K130" s="17"/>
      <c r="L130" s="17"/>
      <c r="M130" s="17"/>
      <c r="N130" s="18"/>
      <c r="O130" s="18"/>
      <c r="P130" s="18"/>
      <c r="Q130" s="18"/>
    </row>
    <row r="131" spans="1:17" ht="15" x14ac:dyDescent="0.2">
      <c r="A131" s="15"/>
      <c r="B131" s="69"/>
      <c r="C131" s="15"/>
      <c r="D131" s="15"/>
      <c r="E131" s="18"/>
      <c r="F131" s="73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7" ht="14.25" x14ac:dyDescent="0.2">
      <c r="C133" s="11"/>
      <c r="D133" s="11"/>
      <c r="E133" s="11"/>
      <c r="F133" s="11"/>
      <c r="G133" s="7"/>
      <c r="H133" s="11"/>
      <c r="I133" s="7"/>
      <c r="J133" s="7"/>
      <c r="K133" s="7"/>
      <c r="L133" s="7"/>
      <c r="M133" s="7"/>
      <c r="N133" s="7"/>
      <c r="O133" s="7"/>
      <c r="P133" s="6"/>
    </row>
    <row r="134" spans="1:17" ht="15" x14ac:dyDescent="0.2">
      <c r="N134" s="60" t="s">
        <v>106</v>
      </c>
      <c r="O134" s="60">
        <f>SUM(O100:O129)</f>
        <v>0.38600000000000001</v>
      </c>
      <c r="P134" s="18"/>
      <c r="Q134" s="17"/>
    </row>
    <row r="135" spans="1:17" ht="15" x14ac:dyDescent="0.2">
      <c r="N135" s="18"/>
      <c r="O135" s="61" t="s">
        <v>107</v>
      </c>
      <c r="P135" s="61">
        <f>SUM(P100:P129)</f>
        <v>0.38677199999999995</v>
      </c>
      <c r="Q135" s="18"/>
    </row>
    <row r="136" spans="1:17" ht="15" x14ac:dyDescent="0.25">
      <c r="N136" s="18"/>
      <c r="O136" s="18"/>
      <c r="P136" s="62" t="s">
        <v>108</v>
      </c>
      <c r="Q136" s="83">
        <f>SUM(Q100:Q129)</f>
        <v>0.38754554399999991</v>
      </c>
    </row>
    <row r="139" spans="1:17" ht="15" x14ac:dyDescent="0.25">
      <c r="A139" s="4" t="s">
        <v>125</v>
      </c>
      <c r="N139" s="18"/>
      <c r="O139" s="18"/>
      <c r="P139" s="134"/>
      <c r="Q139" s="135"/>
    </row>
    <row r="141" spans="1:17" ht="15" x14ac:dyDescent="0.2">
      <c r="A141" s="3" t="s">
        <v>100</v>
      </c>
      <c r="B141" s="3" t="s">
        <v>19</v>
      </c>
      <c r="C141" s="3" t="s">
        <v>176</v>
      </c>
      <c r="D141" s="3" t="s">
        <v>19</v>
      </c>
      <c r="E141" s="3" t="s">
        <v>0</v>
      </c>
      <c r="F141" s="8" t="s">
        <v>19</v>
      </c>
      <c r="G141" s="130" t="s">
        <v>1</v>
      </c>
      <c r="H141" s="8" t="s">
        <v>94</v>
      </c>
      <c r="I141" s="12" t="s">
        <v>31</v>
      </c>
      <c r="J141" s="12" t="s">
        <v>20</v>
      </c>
      <c r="K141" s="546" t="s">
        <v>30</v>
      </c>
      <c r="L141" s="546"/>
      <c r="M141" s="546"/>
      <c r="N141" s="546"/>
      <c r="O141" s="12" t="s">
        <v>119</v>
      </c>
      <c r="P141" s="12" t="s">
        <v>120</v>
      </c>
      <c r="Q141" s="12" t="s">
        <v>121</v>
      </c>
    </row>
    <row r="142" spans="1:17" ht="15" thickBot="1" x14ac:dyDescent="0.25">
      <c r="A142" s="26" t="s">
        <v>102</v>
      </c>
      <c r="B142" s="26" t="s">
        <v>103</v>
      </c>
      <c r="C142" s="26" t="s">
        <v>23</v>
      </c>
      <c r="D142" s="26" t="s">
        <v>24</v>
      </c>
      <c r="E142" s="31" t="s">
        <v>25</v>
      </c>
      <c r="F142" s="32" t="s">
        <v>29</v>
      </c>
      <c r="G142" s="32" t="s">
        <v>26</v>
      </c>
      <c r="H142" s="32" t="s">
        <v>27</v>
      </c>
      <c r="I142" s="32" t="s">
        <v>32</v>
      </c>
      <c r="J142" s="32" t="s">
        <v>28</v>
      </c>
      <c r="K142" s="33" t="s">
        <v>93</v>
      </c>
      <c r="L142" s="33" t="s">
        <v>95</v>
      </c>
      <c r="M142" s="33" t="s">
        <v>96</v>
      </c>
      <c r="N142" s="33" t="s">
        <v>104</v>
      </c>
      <c r="O142" s="32" t="s">
        <v>34</v>
      </c>
      <c r="P142" s="32" t="s">
        <v>35</v>
      </c>
      <c r="Q142" s="32" t="s">
        <v>105</v>
      </c>
    </row>
    <row r="143" spans="1:17" ht="15.75" thickBot="1" x14ac:dyDescent="0.3">
      <c r="A143" s="543" t="s">
        <v>36</v>
      </c>
      <c r="B143" s="70">
        <f>SUM(D143:D147)</f>
        <v>8.1000000000000003E-2</v>
      </c>
      <c r="C143" s="63" t="s">
        <v>37</v>
      </c>
      <c r="D143" s="67">
        <f>F143</f>
        <v>8.9999999999999993E-3</v>
      </c>
      <c r="E143" s="96" t="s">
        <v>60</v>
      </c>
      <c r="F143" s="112">
        <f>F12</f>
        <v>8.9999999999999993E-3</v>
      </c>
      <c r="G143" s="91" t="s">
        <v>5</v>
      </c>
      <c r="H143" s="39">
        <f>H12</f>
        <v>28.5</v>
      </c>
      <c r="I143" s="35">
        <f>User_Input!H22</f>
        <v>19.399999999999999</v>
      </c>
      <c r="J143" s="36" t="s">
        <v>21</v>
      </c>
      <c r="K143" s="36">
        <f>IF(H143&gt;I143,1,0)</f>
        <v>1</v>
      </c>
      <c r="L143" s="35">
        <f>IF(H143=I143,0.5,0)</f>
        <v>0</v>
      </c>
      <c r="M143" s="35"/>
      <c r="N143" s="37">
        <f>SUM(K143:M143)</f>
        <v>1</v>
      </c>
      <c r="O143" s="74">
        <f t="shared" ref="O143:O172" si="31">N143*F143</f>
        <v>8.9999999999999993E-3</v>
      </c>
      <c r="P143" s="75">
        <f>O$177*D143</f>
        <v>3.411E-3</v>
      </c>
      <c r="Q143" s="126">
        <f>P$178*B143</f>
        <v>3.0729699000000003E-2</v>
      </c>
    </row>
    <row r="144" spans="1:17" ht="16.5" thickTop="1" thickBot="1" x14ac:dyDescent="0.3">
      <c r="A144" s="544"/>
      <c r="B144" s="71"/>
      <c r="C144" s="64" t="s">
        <v>38</v>
      </c>
      <c r="D144" s="67">
        <f>F144</f>
        <v>1.6E-2</v>
      </c>
      <c r="E144" s="97" t="s">
        <v>61</v>
      </c>
      <c r="F144" s="112">
        <f t="shared" ref="F144:F172" si="32">F13</f>
        <v>1.6E-2</v>
      </c>
      <c r="G144" s="92" t="s">
        <v>2</v>
      </c>
      <c r="H144" s="39">
        <f t="shared" ref="H144:H172" si="33">H13</f>
        <v>4.9000000000000004</v>
      </c>
      <c r="I144" s="35">
        <f>User_Input!H23</f>
        <v>6.6000000000000005</v>
      </c>
      <c r="J144" s="40" t="s">
        <v>22</v>
      </c>
      <c r="K144" s="5"/>
      <c r="L144" s="5">
        <f t="shared" ref="L144:L172" si="34">IF(H144=I144,0.5,0)</f>
        <v>0</v>
      </c>
      <c r="M144" s="41">
        <f>IF(H144&lt;I144,1,0)</f>
        <v>1</v>
      </c>
      <c r="N144" s="19">
        <f t="shared" ref="N144:N172" si="35">SUM(K144:M144)</f>
        <v>1</v>
      </c>
      <c r="O144" s="76">
        <f t="shared" si="31"/>
        <v>1.6E-2</v>
      </c>
      <c r="P144" s="75">
        <f t="shared" ref="P144:P172" si="36">O$177*D144</f>
        <v>6.0639999999999999E-3</v>
      </c>
      <c r="Q144" s="126">
        <f t="shared" ref="Q144:Q172" si="37">P$178*B144</f>
        <v>0</v>
      </c>
    </row>
    <row r="145" spans="1:17" ht="31.5" thickTop="1" thickBot="1" x14ac:dyDescent="0.3">
      <c r="A145" s="544"/>
      <c r="B145" s="71"/>
      <c r="C145" s="65" t="s">
        <v>39</v>
      </c>
      <c r="D145" s="67">
        <f>F145</f>
        <v>1.4E-2</v>
      </c>
      <c r="E145" s="97" t="s">
        <v>62</v>
      </c>
      <c r="F145" s="112">
        <f t="shared" si="32"/>
        <v>1.4E-2</v>
      </c>
      <c r="G145" s="93" t="s">
        <v>3</v>
      </c>
      <c r="H145" s="39">
        <f t="shared" si="33"/>
        <v>3</v>
      </c>
      <c r="I145" s="35">
        <f>User_Input!H24</f>
        <v>3.25</v>
      </c>
      <c r="J145" s="27" t="s">
        <v>21</v>
      </c>
      <c r="K145" s="27">
        <f>IF(H145&gt;I145,1,0)</f>
        <v>0</v>
      </c>
      <c r="L145" s="5">
        <f t="shared" si="34"/>
        <v>0</v>
      </c>
      <c r="M145" s="1"/>
      <c r="N145" s="19">
        <f t="shared" si="35"/>
        <v>0</v>
      </c>
      <c r="O145" s="76">
        <f t="shared" si="31"/>
        <v>0</v>
      </c>
      <c r="P145" s="75">
        <f t="shared" si="36"/>
        <v>5.306E-3</v>
      </c>
      <c r="Q145" s="126">
        <f t="shared" si="37"/>
        <v>0</v>
      </c>
    </row>
    <row r="146" spans="1:17" ht="15.75" thickBot="1" x14ac:dyDescent="0.3">
      <c r="A146" s="544"/>
      <c r="B146" s="71"/>
      <c r="C146" s="65" t="s">
        <v>40</v>
      </c>
      <c r="D146" s="67">
        <f>F146</f>
        <v>0.01</v>
      </c>
      <c r="E146" s="97" t="s">
        <v>63</v>
      </c>
      <c r="F146" s="112">
        <f t="shared" si="32"/>
        <v>0.01</v>
      </c>
      <c r="G146" s="93" t="s">
        <v>16</v>
      </c>
      <c r="H146" s="39">
        <f t="shared" si="33"/>
        <v>844</v>
      </c>
      <c r="I146" s="35">
        <f>User_Input!H25</f>
        <v>762</v>
      </c>
      <c r="J146" s="27" t="s">
        <v>21</v>
      </c>
      <c r="K146" s="27">
        <f>IF(H146&gt;I146,1,0)</f>
        <v>1</v>
      </c>
      <c r="L146" s="5">
        <f t="shared" si="34"/>
        <v>0</v>
      </c>
      <c r="M146" s="1"/>
      <c r="N146" s="19">
        <f t="shared" si="35"/>
        <v>1</v>
      </c>
      <c r="O146" s="76">
        <f t="shared" si="31"/>
        <v>0.01</v>
      </c>
      <c r="P146" s="75">
        <f t="shared" si="36"/>
        <v>3.79E-3</v>
      </c>
      <c r="Q146" s="126">
        <f t="shared" si="37"/>
        <v>0</v>
      </c>
    </row>
    <row r="147" spans="1:17" ht="16.5" thickTop="1" thickBot="1" x14ac:dyDescent="0.3">
      <c r="A147" s="544"/>
      <c r="B147" s="71"/>
      <c r="C147" s="555" t="s">
        <v>41</v>
      </c>
      <c r="D147" s="67">
        <f>SUM(F147:F148)</f>
        <v>3.2000000000000001E-2</v>
      </c>
      <c r="E147" s="98" t="s">
        <v>64</v>
      </c>
      <c r="F147" s="112">
        <f t="shared" si="32"/>
        <v>1.7999999999999999E-2</v>
      </c>
      <c r="G147" s="94" t="s">
        <v>4</v>
      </c>
      <c r="H147" s="39">
        <f t="shared" si="33"/>
        <v>93.94</v>
      </c>
      <c r="I147" s="35">
        <f>User_Input!H26</f>
        <v>96.015000000000001</v>
      </c>
      <c r="J147" s="40" t="s">
        <v>22</v>
      </c>
      <c r="K147" s="5"/>
      <c r="L147" s="5">
        <f t="shared" si="34"/>
        <v>0</v>
      </c>
      <c r="M147" s="41">
        <f>IF(H147&lt;I147,1,0)</f>
        <v>1</v>
      </c>
      <c r="N147" s="19">
        <f t="shared" si="35"/>
        <v>1</v>
      </c>
      <c r="O147" s="76">
        <f t="shared" si="31"/>
        <v>1.7999999999999999E-2</v>
      </c>
      <c r="P147" s="75">
        <f t="shared" si="36"/>
        <v>1.2128E-2</v>
      </c>
      <c r="Q147" s="126">
        <f t="shared" si="37"/>
        <v>0</v>
      </c>
    </row>
    <row r="148" spans="1:17" ht="16.5" thickTop="1" thickBot="1" x14ac:dyDescent="0.3">
      <c r="A148" s="545"/>
      <c r="B148" s="72"/>
      <c r="C148" s="556"/>
      <c r="D148" s="68"/>
      <c r="E148" s="99" t="s">
        <v>65</v>
      </c>
      <c r="F148" s="112">
        <f t="shared" si="32"/>
        <v>1.4E-2</v>
      </c>
      <c r="G148" s="95" t="s">
        <v>4</v>
      </c>
      <c r="H148" s="39">
        <f t="shared" si="33"/>
        <v>6.06</v>
      </c>
      <c r="I148" s="35">
        <f>User_Input!H27</f>
        <v>3.9849999999999999</v>
      </c>
      <c r="J148" s="43" t="s">
        <v>21</v>
      </c>
      <c r="K148" s="43">
        <f>IF(H148&gt;I148,1,0)</f>
        <v>1</v>
      </c>
      <c r="L148" s="14">
        <f t="shared" si="34"/>
        <v>0</v>
      </c>
      <c r="M148" s="44"/>
      <c r="N148" s="19">
        <f t="shared" si="35"/>
        <v>1</v>
      </c>
      <c r="O148" s="77">
        <f t="shared" si="31"/>
        <v>1.4E-2</v>
      </c>
      <c r="P148" s="75">
        <f t="shared" si="36"/>
        <v>0</v>
      </c>
      <c r="Q148" s="126">
        <f t="shared" si="37"/>
        <v>0</v>
      </c>
    </row>
    <row r="149" spans="1:17" ht="15.75" thickBot="1" x14ac:dyDescent="0.3">
      <c r="A149" s="543" t="s">
        <v>92</v>
      </c>
      <c r="B149" s="70">
        <f>SUM(D149:D151)</f>
        <v>0.06</v>
      </c>
      <c r="C149" s="45" t="s">
        <v>42</v>
      </c>
      <c r="D149" s="67">
        <f>F149</f>
        <v>1.4E-2</v>
      </c>
      <c r="E149" s="100" t="s">
        <v>89</v>
      </c>
      <c r="F149" s="112">
        <f t="shared" si="32"/>
        <v>1.4E-2</v>
      </c>
      <c r="G149" s="103" t="s">
        <v>4</v>
      </c>
      <c r="H149" s="39">
        <f t="shared" si="33"/>
        <v>12.36</v>
      </c>
      <c r="I149" s="35">
        <f>User_Input!H28</f>
        <v>14.709999999999999</v>
      </c>
      <c r="J149" s="46" t="s">
        <v>22</v>
      </c>
      <c r="K149" s="35"/>
      <c r="L149" s="35">
        <f t="shared" si="34"/>
        <v>0</v>
      </c>
      <c r="M149" s="47">
        <f>IF(H149&lt;I149,1,0)</f>
        <v>1</v>
      </c>
      <c r="N149" s="37">
        <f t="shared" si="35"/>
        <v>1</v>
      </c>
      <c r="O149" s="78">
        <f t="shared" si="31"/>
        <v>1.4E-2</v>
      </c>
      <c r="P149" s="75">
        <f t="shared" si="36"/>
        <v>5.306E-3</v>
      </c>
      <c r="Q149" s="126">
        <f t="shared" si="37"/>
        <v>2.276274E-2</v>
      </c>
    </row>
    <row r="150" spans="1:17" ht="16.5" thickTop="1" thickBot="1" x14ac:dyDescent="0.3">
      <c r="A150" s="544"/>
      <c r="B150" s="71"/>
      <c r="C150" s="29" t="s">
        <v>43</v>
      </c>
      <c r="D150" s="67">
        <f>F150</f>
        <v>1.6E-2</v>
      </c>
      <c r="E150" s="101" t="s">
        <v>66</v>
      </c>
      <c r="F150" s="112">
        <f t="shared" si="32"/>
        <v>1.6E-2</v>
      </c>
      <c r="G150" s="93" t="s">
        <v>4</v>
      </c>
      <c r="H150" s="39">
        <f t="shared" si="33"/>
        <v>0</v>
      </c>
      <c r="I150" s="35">
        <f>User_Input!H29</f>
        <v>2.44</v>
      </c>
      <c r="J150" s="27" t="s">
        <v>21</v>
      </c>
      <c r="K150" s="27">
        <f>IF(H150&gt;I150,1,0)</f>
        <v>0</v>
      </c>
      <c r="L150" s="5">
        <f t="shared" si="34"/>
        <v>0</v>
      </c>
      <c r="M150" s="1"/>
      <c r="N150" s="19">
        <f t="shared" si="35"/>
        <v>0</v>
      </c>
      <c r="O150" s="79">
        <f t="shared" si="31"/>
        <v>0</v>
      </c>
      <c r="P150" s="75">
        <f t="shared" si="36"/>
        <v>6.0639999999999999E-3</v>
      </c>
      <c r="Q150" s="126">
        <f t="shared" si="37"/>
        <v>0</v>
      </c>
    </row>
    <row r="151" spans="1:17" ht="15.75" thickBot="1" x14ac:dyDescent="0.3">
      <c r="A151" s="544"/>
      <c r="B151" s="71"/>
      <c r="C151" s="568" t="s">
        <v>44</v>
      </c>
      <c r="D151" s="67">
        <f>SUM(F151:F152)</f>
        <v>0.03</v>
      </c>
      <c r="E151" s="101" t="s">
        <v>67</v>
      </c>
      <c r="F151" s="112">
        <f t="shared" si="32"/>
        <v>1.7999999999999999E-2</v>
      </c>
      <c r="G151" s="93" t="s">
        <v>12</v>
      </c>
      <c r="H151" s="39">
        <f t="shared" si="33"/>
        <v>3.92</v>
      </c>
      <c r="I151" s="35">
        <f>User_Input!H30</f>
        <v>1.96</v>
      </c>
      <c r="J151" s="27" t="s">
        <v>21</v>
      </c>
      <c r="K151" s="27">
        <f>IF(H151&gt;I151,1,0)</f>
        <v>1</v>
      </c>
      <c r="L151" s="5">
        <f t="shared" si="34"/>
        <v>0</v>
      </c>
      <c r="M151" s="1"/>
      <c r="N151" s="19">
        <f t="shared" si="35"/>
        <v>1</v>
      </c>
      <c r="O151" s="79">
        <f t="shared" si="31"/>
        <v>1.7999999999999999E-2</v>
      </c>
      <c r="P151" s="75">
        <f t="shared" si="36"/>
        <v>1.137E-2</v>
      </c>
      <c r="Q151" s="126">
        <f t="shared" si="37"/>
        <v>0</v>
      </c>
    </row>
    <row r="152" spans="1:17" ht="15.75" thickBot="1" x14ac:dyDescent="0.3">
      <c r="A152" s="545"/>
      <c r="B152" s="72"/>
      <c r="C152" s="569"/>
      <c r="D152" s="66"/>
      <c r="E152" s="102" t="s">
        <v>68</v>
      </c>
      <c r="F152" s="112">
        <f t="shared" si="32"/>
        <v>1.2E-2</v>
      </c>
      <c r="G152" s="95" t="s">
        <v>12</v>
      </c>
      <c r="H152" s="39">
        <f t="shared" si="33"/>
        <v>0.96</v>
      </c>
      <c r="I152" s="35">
        <f>User_Input!H31</f>
        <v>1.35</v>
      </c>
      <c r="J152" s="43" t="s">
        <v>21</v>
      </c>
      <c r="K152" s="43">
        <f>IF(H152&gt;I152,1,0)</f>
        <v>0</v>
      </c>
      <c r="L152" s="14">
        <f t="shared" si="34"/>
        <v>0</v>
      </c>
      <c r="M152" s="44"/>
      <c r="N152" s="19">
        <f t="shared" si="35"/>
        <v>0</v>
      </c>
      <c r="O152" s="80">
        <f t="shared" si="31"/>
        <v>0</v>
      </c>
      <c r="P152" s="75">
        <f t="shared" si="36"/>
        <v>0</v>
      </c>
      <c r="Q152" s="126">
        <f t="shared" si="37"/>
        <v>0</v>
      </c>
    </row>
    <row r="153" spans="1:17" ht="30.75" thickBot="1" x14ac:dyDescent="0.3">
      <c r="A153" s="543" t="s">
        <v>90</v>
      </c>
      <c r="B153" s="70">
        <f>SUM(D153:D156)</f>
        <v>8.199999999999999E-2</v>
      </c>
      <c r="C153" s="34" t="s">
        <v>45</v>
      </c>
      <c r="D153" s="67">
        <f>F153</f>
        <v>8.9999999999999993E-3</v>
      </c>
      <c r="E153" s="104" t="s">
        <v>69</v>
      </c>
      <c r="F153" s="112">
        <f t="shared" si="32"/>
        <v>8.9999999999999993E-3</v>
      </c>
      <c r="G153" s="91" t="s">
        <v>4</v>
      </c>
      <c r="H153" s="39">
        <f t="shared" si="33"/>
        <v>44</v>
      </c>
      <c r="I153" s="35">
        <f>User_Input!H32</f>
        <v>27.5</v>
      </c>
      <c r="J153" s="36" t="s">
        <v>21</v>
      </c>
      <c r="K153" s="36">
        <f>IF(H153&gt;I153,1,0)</f>
        <v>1</v>
      </c>
      <c r="L153" s="35">
        <f t="shared" si="34"/>
        <v>0</v>
      </c>
      <c r="M153" s="49"/>
      <c r="N153" s="37">
        <f t="shared" si="35"/>
        <v>1</v>
      </c>
      <c r="O153" s="78">
        <f t="shared" si="31"/>
        <v>8.9999999999999993E-3</v>
      </c>
      <c r="P153" s="75">
        <f t="shared" si="36"/>
        <v>3.411E-3</v>
      </c>
      <c r="Q153" s="126">
        <f t="shared" si="37"/>
        <v>3.1109077999999998E-2</v>
      </c>
    </row>
    <row r="154" spans="1:17" ht="31.5" thickTop="1" thickBot="1" x14ac:dyDescent="0.3">
      <c r="A154" s="544"/>
      <c r="B154" s="71"/>
      <c r="C154" s="30" t="s">
        <v>46</v>
      </c>
      <c r="D154" s="67">
        <f>F154</f>
        <v>1.6E-2</v>
      </c>
      <c r="E154" s="101" t="s">
        <v>70</v>
      </c>
      <c r="F154" s="112">
        <f t="shared" si="32"/>
        <v>1.6E-2</v>
      </c>
      <c r="G154" s="94" t="s">
        <v>12</v>
      </c>
      <c r="H154" s="39">
        <f t="shared" si="33"/>
        <v>0.4</v>
      </c>
      <c r="I154" s="35">
        <f>User_Input!H33</f>
        <v>0.55000000000000004</v>
      </c>
      <c r="J154" s="40" t="s">
        <v>22</v>
      </c>
      <c r="K154" s="5"/>
      <c r="L154" s="5">
        <f t="shared" si="34"/>
        <v>0</v>
      </c>
      <c r="M154" s="41">
        <f>IF(H154&lt;I154,1,0)</f>
        <v>1</v>
      </c>
      <c r="N154" s="19">
        <f t="shared" si="35"/>
        <v>1</v>
      </c>
      <c r="O154" s="79">
        <f t="shared" si="31"/>
        <v>1.6E-2</v>
      </c>
      <c r="P154" s="75">
        <f t="shared" si="36"/>
        <v>6.0639999999999999E-3</v>
      </c>
      <c r="Q154" s="126">
        <f t="shared" si="37"/>
        <v>0</v>
      </c>
    </row>
    <row r="155" spans="1:17" ht="31.5" thickTop="1" thickBot="1" x14ac:dyDescent="0.3">
      <c r="A155" s="544"/>
      <c r="B155" s="71"/>
      <c r="C155" s="30" t="s">
        <v>47</v>
      </c>
      <c r="D155" s="67">
        <f>F155</f>
        <v>2.1000000000000001E-2</v>
      </c>
      <c r="E155" s="101" t="s">
        <v>71</v>
      </c>
      <c r="F155" s="112">
        <f t="shared" si="32"/>
        <v>2.1000000000000001E-2</v>
      </c>
      <c r="G155" s="94" t="s">
        <v>12</v>
      </c>
      <c r="H155" s="39">
        <f t="shared" si="33"/>
        <v>1.6</v>
      </c>
      <c r="I155" s="35">
        <f>User_Input!H34</f>
        <v>1.55</v>
      </c>
      <c r="J155" s="40" t="s">
        <v>22</v>
      </c>
      <c r="K155" s="5"/>
      <c r="L155" s="5">
        <f t="shared" si="34"/>
        <v>0</v>
      </c>
      <c r="M155" s="22">
        <f>IF(H155&lt;I155,1,0)</f>
        <v>0</v>
      </c>
      <c r="N155" s="19">
        <f t="shared" si="35"/>
        <v>0</v>
      </c>
      <c r="O155" s="79">
        <f t="shared" si="31"/>
        <v>0</v>
      </c>
      <c r="P155" s="75">
        <f t="shared" si="36"/>
        <v>7.9590000000000008E-3</v>
      </c>
      <c r="Q155" s="126">
        <f t="shared" si="37"/>
        <v>0</v>
      </c>
    </row>
    <row r="156" spans="1:17" ht="16.5" thickTop="1" thickBot="1" x14ac:dyDescent="0.3">
      <c r="A156" s="544"/>
      <c r="B156" s="71"/>
      <c r="C156" s="568" t="s">
        <v>48</v>
      </c>
      <c r="D156" s="67">
        <f>SUM(F156:F157)</f>
        <v>3.5999999999999997E-2</v>
      </c>
      <c r="E156" s="105" t="s">
        <v>72</v>
      </c>
      <c r="F156" s="112">
        <f t="shared" si="32"/>
        <v>0.01</v>
      </c>
      <c r="G156" s="93" t="s">
        <v>5</v>
      </c>
      <c r="H156" s="39">
        <f t="shared" si="33"/>
        <v>8.9999999999999998E-4</v>
      </c>
      <c r="I156" s="35">
        <f>User_Input!H35</f>
        <v>5.4500000000000009E-3</v>
      </c>
      <c r="J156" s="27" t="s">
        <v>21</v>
      </c>
      <c r="K156" s="27">
        <f>IF(H156&gt;I156,1,0)</f>
        <v>0</v>
      </c>
      <c r="L156" s="5">
        <f t="shared" si="34"/>
        <v>0</v>
      </c>
      <c r="M156" s="1"/>
      <c r="N156" s="19">
        <f t="shared" si="35"/>
        <v>0</v>
      </c>
      <c r="O156" s="79">
        <f t="shared" si="31"/>
        <v>0</v>
      </c>
      <c r="P156" s="75">
        <f t="shared" si="36"/>
        <v>1.3644E-2</v>
      </c>
      <c r="Q156" s="126">
        <f t="shared" si="37"/>
        <v>0</v>
      </c>
    </row>
    <row r="157" spans="1:17" ht="15.75" thickBot="1" x14ac:dyDescent="0.3">
      <c r="A157" s="545"/>
      <c r="B157" s="72"/>
      <c r="C157" s="569"/>
      <c r="D157" s="66"/>
      <c r="E157" s="106" t="s">
        <v>73</v>
      </c>
      <c r="F157" s="112">
        <f t="shared" si="32"/>
        <v>2.5999999999999999E-2</v>
      </c>
      <c r="G157" s="95" t="s">
        <v>5</v>
      </c>
      <c r="H157" s="39">
        <f t="shared" si="33"/>
        <v>6.3999999999999997E-5</v>
      </c>
      <c r="I157" s="35">
        <f>User_Input!H36</f>
        <v>4.8200000000000001E-4</v>
      </c>
      <c r="J157" s="43" t="s">
        <v>21</v>
      </c>
      <c r="K157" s="43">
        <f>IF(H157&gt;I157,1,0)</f>
        <v>0</v>
      </c>
      <c r="L157" s="14">
        <f t="shared" si="34"/>
        <v>0</v>
      </c>
      <c r="M157" s="44"/>
      <c r="N157" s="19">
        <f t="shared" si="35"/>
        <v>0</v>
      </c>
      <c r="O157" s="80">
        <f t="shared" si="31"/>
        <v>0</v>
      </c>
      <c r="P157" s="75">
        <f t="shared" si="36"/>
        <v>0</v>
      </c>
      <c r="Q157" s="126">
        <f t="shared" si="37"/>
        <v>0</v>
      </c>
    </row>
    <row r="158" spans="1:17" ht="15.75" thickBot="1" x14ac:dyDescent="0.3">
      <c r="A158" s="543" t="s">
        <v>97</v>
      </c>
      <c r="B158" s="70">
        <f>SUM(D158:D165)</f>
        <v>0.33100000000000002</v>
      </c>
      <c r="C158" s="34" t="s">
        <v>49</v>
      </c>
      <c r="D158" s="67">
        <f>F158</f>
        <v>0.02</v>
      </c>
      <c r="E158" s="107" t="s">
        <v>74</v>
      </c>
      <c r="F158" s="112">
        <f t="shared" si="32"/>
        <v>0.02</v>
      </c>
      <c r="G158" s="91" t="s">
        <v>7</v>
      </c>
      <c r="H158" s="39">
        <f t="shared" si="33"/>
        <v>46</v>
      </c>
      <c r="I158" s="35">
        <f>User_Input!H37</f>
        <v>54.5</v>
      </c>
      <c r="J158" s="36" t="s">
        <v>21</v>
      </c>
      <c r="K158" s="36">
        <f>IF(H158&gt;I158,1,0)</f>
        <v>0</v>
      </c>
      <c r="L158" s="35">
        <f t="shared" si="34"/>
        <v>0</v>
      </c>
      <c r="M158" s="49"/>
      <c r="N158" s="37">
        <f t="shared" si="35"/>
        <v>0</v>
      </c>
      <c r="O158" s="78">
        <f t="shared" si="31"/>
        <v>0</v>
      </c>
      <c r="P158" s="75">
        <f t="shared" si="36"/>
        <v>7.5799999999999999E-3</v>
      </c>
      <c r="Q158" s="126">
        <f t="shared" si="37"/>
        <v>0.125574449</v>
      </c>
    </row>
    <row r="159" spans="1:17" ht="15.75" thickBot="1" x14ac:dyDescent="0.3">
      <c r="A159" s="544"/>
      <c r="B159" s="71"/>
      <c r="C159" s="29" t="s">
        <v>50</v>
      </c>
      <c r="D159" s="67">
        <f t="shared" ref="D159:D164" si="38">F159</f>
        <v>3.2000000000000001E-2</v>
      </c>
      <c r="E159" s="105" t="s">
        <v>75</v>
      </c>
      <c r="F159" s="112">
        <f t="shared" si="32"/>
        <v>3.2000000000000001E-2</v>
      </c>
      <c r="G159" s="93" t="s">
        <v>15</v>
      </c>
      <c r="H159" s="39">
        <f t="shared" si="33"/>
        <v>3.72</v>
      </c>
      <c r="I159" s="35">
        <f>User_Input!H38</f>
        <v>3.7300000000000004</v>
      </c>
      <c r="J159" s="27" t="s">
        <v>21</v>
      </c>
      <c r="K159" s="27">
        <f>IF(H159&gt;I159,1,0)</f>
        <v>0</v>
      </c>
      <c r="L159" s="5">
        <f t="shared" si="34"/>
        <v>0</v>
      </c>
      <c r="M159" s="1"/>
      <c r="N159" s="19">
        <f t="shared" si="35"/>
        <v>0</v>
      </c>
      <c r="O159" s="79">
        <f t="shared" si="31"/>
        <v>0</v>
      </c>
      <c r="P159" s="75">
        <f t="shared" si="36"/>
        <v>1.2128E-2</v>
      </c>
      <c r="Q159" s="126">
        <f t="shared" si="37"/>
        <v>0</v>
      </c>
    </row>
    <row r="160" spans="1:17" ht="31.5" thickTop="1" thickBot="1" x14ac:dyDescent="0.3">
      <c r="A160" s="544"/>
      <c r="B160" s="71"/>
      <c r="C160" s="30" t="s">
        <v>51</v>
      </c>
      <c r="D160" s="67">
        <f t="shared" si="38"/>
        <v>5.2999999999999999E-2</v>
      </c>
      <c r="E160" s="101" t="s">
        <v>76</v>
      </c>
      <c r="F160" s="112">
        <f t="shared" si="32"/>
        <v>5.2999999999999999E-2</v>
      </c>
      <c r="G160" s="108" t="s">
        <v>6</v>
      </c>
      <c r="H160" s="39">
        <f t="shared" si="33"/>
        <v>37.700000000000003</v>
      </c>
      <c r="I160" s="35">
        <f>User_Input!H39</f>
        <v>34.545000000000002</v>
      </c>
      <c r="J160" s="40" t="s">
        <v>22</v>
      </c>
      <c r="K160" s="5"/>
      <c r="L160" s="5">
        <f t="shared" si="34"/>
        <v>0</v>
      </c>
      <c r="M160" s="24">
        <f>IF(H160&lt;I160,1,0)</f>
        <v>0</v>
      </c>
      <c r="N160" s="19">
        <f t="shared" si="35"/>
        <v>0</v>
      </c>
      <c r="O160" s="79">
        <f t="shared" si="31"/>
        <v>0</v>
      </c>
      <c r="P160" s="75">
        <f t="shared" si="36"/>
        <v>2.0087000000000001E-2</v>
      </c>
      <c r="Q160" s="126">
        <f t="shared" si="37"/>
        <v>0</v>
      </c>
    </row>
    <row r="161" spans="1:17" ht="16.5" thickTop="1" thickBot="1" x14ac:dyDescent="0.3">
      <c r="A161" s="544"/>
      <c r="B161" s="71"/>
      <c r="C161" s="29" t="s">
        <v>52</v>
      </c>
      <c r="D161" s="67">
        <f t="shared" si="38"/>
        <v>3.9E-2</v>
      </c>
      <c r="E161" s="105" t="s">
        <v>77</v>
      </c>
      <c r="F161" s="112">
        <f t="shared" si="32"/>
        <v>3.9E-2</v>
      </c>
      <c r="G161" s="93" t="s">
        <v>4</v>
      </c>
      <c r="H161" s="39">
        <f t="shared" si="33"/>
        <v>68</v>
      </c>
      <c r="I161" s="35">
        <f>User_Input!H40</f>
        <v>65.5</v>
      </c>
      <c r="J161" s="27" t="s">
        <v>21</v>
      </c>
      <c r="K161" s="27">
        <f>IF(H161&gt;I161,1,0)</f>
        <v>1</v>
      </c>
      <c r="L161" s="5">
        <f t="shared" si="34"/>
        <v>0</v>
      </c>
      <c r="M161" s="1"/>
      <c r="N161" s="19">
        <f t="shared" si="35"/>
        <v>1</v>
      </c>
      <c r="O161" s="79">
        <f t="shared" si="31"/>
        <v>3.9E-2</v>
      </c>
      <c r="P161" s="75">
        <f t="shared" si="36"/>
        <v>1.4781000000000001E-2</v>
      </c>
      <c r="Q161" s="126">
        <f t="shared" si="37"/>
        <v>0</v>
      </c>
    </row>
    <row r="162" spans="1:17" ht="15.75" thickBot="1" x14ac:dyDescent="0.3">
      <c r="A162" s="544"/>
      <c r="B162" s="71"/>
      <c r="C162" s="2" t="s">
        <v>53</v>
      </c>
      <c r="D162" s="67">
        <f t="shared" si="38"/>
        <v>5.1999999999999998E-2</v>
      </c>
      <c r="E162" s="105" t="s">
        <v>78</v>
      </c>
      <c r="F162" s="112">
        <f t="shared" si="32"/>
        <v>5.1999999999999998E-2</v>
      </c>
      <c r="G162" s="94" t="s">
        <v>17</v>
      </c>
      <c r="H162" s="39">
        <f t="shared" si="33"/>
        <v>0.13</v>
      </c>
      <c r="I162" s="35">
        <f>User_Input!H41</f>
        <v>0.21</v>
      </c>
      <c r="J162" s="27" t="s">
        <v>21</v>
      </c>
      <c r="K162" s="27">
        <f>IF(H162&gt;I162,1,0)</f>
        <v>0</v>
      </c>
      <c r="L162" s="5">
        <f t="shared" si="34"/>
        <v>0</v>
      </c>
      <c r="M162" s="1"/>
      <c r="N162" s="19">
        <f t="shared" si="35"/>
        <v>0</v>
      </c>
      <c r="O162" s="79">
        <f t="shared" si="31"/>
        <v>0</v>
      </c>
      <c r="P162" s="75">
        <f t="shared" si="36"/>
        <v>1.9708E-2</v>
      </c>
      <c r="Q162" s="126">
        <f t="shared" si="37"/>
        <v>0</v>
      </c>
    </row>
    <row r="163" spans="1:17" ht="15.75" thickBot="1" x14ac:dyDescent="0.3">
      <c r="A163" s="544"/>
      <c r="B163" s="71"/>
      <c r="C163" s="2" t="s">
        <v>54</v>
      </c>
      <c r="D163" s="67">
        <f t="shared" si="38"/>
        <v>2.5000000000000001E-2</v>
      </c>
      <c r="E163" s="105" t="s">
        <v>79</v>
      </c>
      <c r="F163" s="112">
        <f t="shared" si="32"/>
        <v>2.5000000000000001E-2</v>
      </c>
      <c r="G163" s="94" t="s">
        <v>8</v>
      </c>
      <c r="H163" s="39">
        <f t="shared" si="33"/>
        <v>168</v>
      </c>
      <c r="I163" s="35">
        <f>User_Input!H42</f>
        <v>202.5</v>
      </c>
      <c r="J163" s="28" t="s">
        <v>21</v>
      </c>
      <c r="K163" s="27">
        <f>IF(H163&gt;I163,1,0)</f>
        <v>0</v>
      </c>
      <c r="L163" s="5">
        <f t="shared" si="34"/>
        <v>0</v>
      </c>
      <c r="M163" s="1"/>
      <c r="N163" s="19">
        <f t="shared" si="35"/>
        <v>0</v>
      </c>
      <c r="O163" s="79">
        <f t="shared" si="31"/>
        <v>0</v>
      </c>
      <c r="P163" s="75">
        <f t="shared" si="36"/>
        <v>9.4750000000000008E-3</v>
      </c>
      <c r="Q163" s="126">
        <f t="shared" si="37"/>
        <v>0</v>
      </c>
    </row>
    <row r="164" spans="1:17" ht="16.5" thickTop="1" thickBot="1" x14ac:dyDescent="0.3">
      <c r="A164" s="544"/>
      <c r="B164" s="71"/>
      <c r="C164" s="25" t="s">
        <v>55</v>
      </c>
      <c r="D164" s="67">
        <f t="shared" si="38"/>
        <v>4.1000000000000002E-2</v>
      </c>
      <c r="E164" s="105" t="s">
        <v>80</v>
      </c>
      <c r="F164" s="112">
        <f t="shared" si="32"/>
        <v>4.1000000000000002E-2</v>
      </c>
      <c r="G164" s="94" t="s">
        <v>4</v>
      </c>
      <c r="H164" s="39">
        <f t="shared" si="33"/>
        <v>90</v>
      </c>
      <c r="I164" s="35">
        <f>User_Input!H43</f>
        <v>74.5</v>
      </c>
      <c r="J164" s="20" t="s">
        <v>22</v>
      </c>
      <c r="K164" s="5"/>
      <c r="L164" s="5">
        <f t="shared" si="34"/>
        <v>0</v>
      </c>
      <c r="M164" s="23">
        <f t="shared" ref="M164:M171" si="39">IF(H164&lt;I164,1,0)</f>
        <v>0</v>
      </c>
      <c r="N164" s="19">
        <f t="shared" si="35"/>
        <v>0</v>
      </c>
      <c r="O164" s="79">
        <f t="shared" si="31"/>
        <v>0</v>
      </c>
      <c r="P164" s="75">
        <f t="shared" si="36"/>
        <v>1.5539000000000001E-2</v>
      </c>
      <c r="Q164" s="126">
        <f t="shared" si="37"/>
        <v>0</v>
      </c>
    </row>
    <row r="165" spans="1:17" ht="16.5" thickTop="1" thickBot="1" x14ac:dyDescent="0.3">
      <c r="A165" s="544"/>
      <c r="B165" s="71"/>
      <c r="C165" s="557" t="s">
        <v>56</v>
      </c>
      <c r="D165" s="67">
        <f>SUM(F165:F166)</f>
        <v>6.9000000000000006E-2</v>
      </c>
      <c r="E165" s="105" t="s">
        <v>81</v>
      </c>
      <c r="F165" s="112">
        <f t="shared" si="32"/>
        <v>5.1999999999999998E-2</v>
      </c>
      <c r="G165" s="94" t="s">
        <v>4</v>
      </c>
      <c r="H165" s="39">
        <f t="shared" si="33"/>
        <v>35</v>
      </c>
      <c r="I165" s="35">
        <f>User_Input!H44</f>
        <v>26</v>
      </c>
      <c r="J165" s="20" t="s">
        <v>22</v>
      </c>
      <c r="K165" s="5"/>
      <c r="L165" s="5">
        <f t="shared" si="34"/>
        <v>0</v>
      </c>
      <c r="M165" s="41">
        <f t="shared" si="39"/>
        <v>0</v>
      </c>
      <c r="N165" s="19">
        <f t="shared" si="35"/>
        <v>0</v>
      </c>
      <c r="O165" s="79">
        <f t="shared" si="31"/>
        <v>0</v>
      </c>
      <c r="P165" s="75">
        <f t="shared" si="36"/>
        <v>2.6151000000000004E-2</v>
      </c>
      <c r="Q165" s="126">
        <f t="shared" si="37"/>
        <v>0</v>
      </c>
    </row>
    <row r="166" spans="1:17" ht="31.5" thickTop="1" thickBot="1" x14ac:dyDescent="0.3">
      <c r="A166" s="545"/>
      <c r="B166" s="72"/>
      <c r="C166" s="558"/>
      <c r="D166" s="67"/>
      <c r="E166" s="106" t="s">
        <v>82</v>
      </c>
      <c r="F166" s="112">
        <f t="shared" si="32"/>
        <v>1.7000000000000001E-2</v>
      </c>
      <c r="G166" s="109" t="s">
        <v>9</v>
      </c>
      <c r="H166" s="39">
        <f t="shared" si="33"/>
        <v>72</v>
      </c>
      <c r="I166" s="35">
        <f>User_Input!H45</f>
        <v>57</v>
      </c>
      <c r="J166" s="21" t="s">
        <v>22</v>
      </c>
      <c r="K166" s="14"/>
      <c r="L166" s="14">
        <f t="shared" si="34"/>
        <v>0</v>
      </c>
      <c r="M166" s="22">
        <f t="shared" si="39"/>
        <v>0</v>
      </c>
      <c r="N166" s="19">
        <f t="shared" si="35"/>
        <v>0</v>
      </c>
      <c r="O166" s="80">
        <f t="shared" si="31"/>
        <v>0</v>
      </c>
      <c r="P166" s="75">
        <f t="shared" si="36"/>
        <v>0</v>
      </c>
      <c r="Q166" s="126">
        <f t="shared" si="37"/>
        <v>0</v>
      </c>
    </row>
    <row r="167" spans="1:17" ht="30.75" thickBot="1" x14ac:dyDescent="0.3">
      <c r="A167" s="543" t="s">
        <v>98</v>
      </c>
      <c r="B167" s="70">
        <f>SUM(D167,D171)</f>
        <v>0.34399999999999997</v>
      </c>
      <c r="C167" s="552" t="s">
        <v>57</v>
      </c>
      <c r="D167" s="67">
        <f>SUM(F167:F170)</f>
        <v>0.251</v>
      </c>
      <c r="E167" s="96" t="s">
        <v>83</v>
      </c>
      <c r="F167" s="112">
        <f t="shared" si="32"/>
        <v>0.06</v>
      </c>
      <c r="G167" s="110" t="s">
        <v>10</v>
      </c>
      <c r="H167" s="39">
        <f>H36</f>
        <v>1498</v>
      </c>
      <c r="I167" s="35">
        <f>User_Input!H46</f>
        <v>1291</v>
      </c>
      <c r="J167" s="52" t="s">
        <v>22</v>
      </c>
      <c r="K167" s="35"/>
      <c r="L167" s="35">
        <f t="shared" si="34"/>
        <v>0</v>
      </c>
      <c r="M167" s="47">
        <f t="shared" si="39"/>
        <v>0</v>
      </c>
      <c r="N167" s="37">
        <f t="shared" si="35"/>
        <v>0</v>
      </c>
      <c r="O167" s="78">
        <f t="shared" si="31"/>
        <v>0</v>
      </c>
      <c r="P167" s="75">
        <f t="shared" si="36"/>
        <v>9.5129000000000005E-2</v>
      </c>
      <c r="Q167" s="126">
        <f t="shared" si="37"/>
        <v>0.13050637600000001</v>
      </c>
    </row>
    <row r="168" spans="1:17" ht="14.45" customHeight="1" thickTop="1" thickBot="1" x14ac:dyDescent="0.3">
      <c r="A168" s="544"/>
      <c r="B168" s="71"/>
      <c r="C168" s="553"/>
      <c r="D168" s="67"/>
      <c r="E168" s="97" t="s">
        <v>84</v>
      </c>
      <c r="F168" s="112">
        <f t="shared" si="32"/>
        <v>4.2000000000000003E-2</v>
      </c>
      <c r="G168" s="94" t="s">
        <v>18</v>
      </c>
      <c r="H168" s="39">
        <f t="shared" si="33"/>
        <v>1.62</v>
      </c>
      <c r="I168" s="35">
        <f>User_Input!H47</f>
        <v>1.675</v>
      </c>
      <c r="J168" s="20" t="s">
        <v>22</v>
      </c>
      <c r="K168" s="5"/>
      <c r="L168" s="5">
        <f t="shared" si="34"/>
        <v>0</v>
      </c>
      <c r="M168" s="41">
        <f t="shared" si="39"/>
        <v>1</v>
      </c>
      <c r="N168" s="19">
        <f t="shared" si="35"/>
        <v>1</v>
      </c>
      <c r="O168" s="79">
        <f t="shared" si="31"/>
        <v>4.2000000000000003E-2</v>
      </c>
      <c r="P168" s="75">
        <f t="shared" si="36"/>
        <v>0</v>
      </c>
      <c r="Q168" s="126">
        <f t="shared" si="37"/>
        <v>0</v>
      </c>
    </row>
    <row r="169" spans="1:17" ht="16.5" thickTop="1" thickBot="1" x14ac:dyDescent="0.3">
      <c r="A169" s="544"/>
      <c r="B169" s="71"/>
      <c r="C169" s="553"/>
      <c r="D169" s="67"/>
      <c r="E169" s="97" t="s">
        <v>85</v>
      </c>
      <c r="F169" s="112">
        <f t="shared" si="32"/>
        <v>7.0999999999999994E-2</v>
      </c>
      <c r="G169" s="94" t="s">
        <v>14</v>
      </c>
      <c r="H169" s="39">
        <f t="shared" si="33"/>
        <v>4.5999999999999996</v>
      </c>
      <c r="I169" s="35">
        <f>User_Input!H48</f>
        <v>5</v>
      </c>
      <c r="J169" s="20" t="s">
        <v>22</v>
      </c>
      <c r="K169" s="5"/>
      <c r="L169" s="5">
        <f t="shared" si="34"/>
        <v>0</v>
      </c>
      <c r="M169" s="41">
        <f t="shared" si="39"/>
        <v>1</v>
      </c>
      <c r="N169" s="19">
        <f t="shared" si="35"/>
        <v>1</v>
      </c>
      <c r="O169" s="79">
        <f t="shared" si="31"/>
        <v>7.0999999999999994E-2</v>
      </c>
      <c r="P169" s="75">
        <f t="shared" si="36"/>
        <v>0</v>
      </c>
      <c r="Q169" s="126">
        <f t="shared" si="37"/>
        <v>0</v>
      </c>
    </row>
    <row r="170" spans="1:17" ht="16.5" thickTop="1" thickBot="1" x14ac:dyDescent="0.3">
      <c r="A170" s="544"/>
      <c r="B170" s="71"/>
      <c r="C170" s="554"/>
      <c r="D170" s="67"/>
      <c r="E170" s="97" t="s">
        <v>86</v>
      </c>
      <c r="F170" s="112">
        <f t="shared" si="32"/>
        <v>7.8E-2</v>
      </c>
      <c r="G170" s="94" t="s">
        <v>14</v>
      </c>
      <c r="H170" s="39">
        <f t="shared" si="33"/>
        <v>1.2</v>
      </c>
      <c r="I170" s="35">
        <f>User_Input!H49</f>
        <v>1.125</v>
      </c>
      <c r="J170" s="21" t="s">
        <v>22</v>
      </c>
      <c r="K170" s="14"/>
      <c r="L170" s="5">
        <f t="shared" si="34"/>
        <v>0</v>
      </c>
      <c r="M170" s="41">
        <f t="shared" si="39"/>
        <v>0</v>
      </c>
      <c r="N170" s="19">
        <f t="shared" si="35"/>
        <v>0</v>
      </c>
      <c r="O170" s="80">
        <f t="shared" si="31"/>
        <v>0</v>
      </c>
      <c r="P170" s="75">
        <f t="shared" si="36"/>
        <v>0</v>
      </c>
      <c r="Q170" s="126">
        <f t="shared" si="37"/>
        <v>0</v>
      </c>
    </row>
    <row r="171" spans="1:17" ht="31.5" thickTop="1" thickBot="1" x14ac:dyDescent="0.3">
      <c r="A171" s="545"/>
      <c r="B171" s="72"/>
      <c r="C171" s="50" t="s">
        <v>58</v>
      </c>
      <c r="D171" s="87">
        <f>F171</f>
        <v>9.2999999999999999E-2</v>
      </c>
      <c r="E171" s="106" t="s">
        <v>87</v>
      </c>
      <c r="F171" s="112">
        <f t="shared" si="32"/>
        <v>9.2999999999999999E-2</v>
      </c>
      <c r="G171" s="109" t="s">
        <v>11</v>
      </c>
      <c r="H171" s="39">
        <f t="shared" si="33"/>
        <v>0.7</v>
      </c>
      <c r="I171" s="35">
        <f>User_Input!H50</f>
        <v>0.48499999999999999</v>
      </c>
      <c r="J171" s="53" t="s">
        <v>22</v>
      </c>
      <c r="K171" s="14"/>
      <c r="L171" s="14">
        <f t="shared" si="34"/>
        <v>0</v>
      </c>
      <c r="M171" s="22">
        <f t="shared" si="39"/>
        <v>0</v>
      </c>
      <c r="N171" s="54">
        <f t="shared" si="35"/>
        <v>0</v>
      </c>
      <c r="O171" s="80">
        <f t="shared" si="31"/>
        <v>0</v>
      </c>
      <c r="P171" s="75">
        <f t="shared" si="36"/>
        <v>3.5247000000000001E-2</v>
      </c>
      <c r="Q171" s="126">
        <f t="shared" si="37"/>
        <v>0</v>
      </c>
    </row>
    <row r="172" spans="1:17" ht="30.75" thickBot="1" x14ac:dyDescent="0.3">
      <c r="A172" s="84" t="s">
        <v>91</v>
      </c>
      <c r="B172" s="85">
        <f>SUM(D172)</f>
        <v>0.10299999999999999</v>
      </c>
      <c r="C172" s="86" t="s">
        <v>59</v>
      </c>
      <c r="D172" s="88">
        <f>F172</f>
        <v>0.10299999999999999</v>
      </c>
      <c r="E172" s="86" t="s">
        <v>88</v>
      </c>
      <c r="F172" s="112">
        <f t="shared" si="32"/>
        <v>0.10299999999999999</v>
      </c>
      <c r="G172" s="111" t="s">
        <v>10</v>
      </c>
      <c r="H172" s="39">
        <f t="shared" si="33"/>
        <v>210.5</v>
      </c>
      <c r="I172" s="35">
        <f>User_Input!H51</f>
        <v>184.35</v>
      </c>
      <c r="J172" s="56" t="s">
        <v>21</v>
      </c>
      <c r="K172" s="57">
        <f>IF(H172&gt;I172,1,0)</f>
        <v>1</v>
      </c>
      <c r="L172" s="58">
        <f t="shared" si="34"/>
        <v>0</v>
      </c>
      <c r="M172" s="55"/>
      <c r="N172" s="89">
        <f t="shared" si="35"/>
        <v>1</v>
      </c>
      <c r="O172" s="81">
        <f t="shared" si="31"/>
        <v>0.10299999999999999</v>
      </c>
      <c r="P172" s="82">
        <f t="shared" si="36"/>
        <v>3.9036999999999995E-2</v>
      </c>
      <c r="Q172" s="82">
        <f t="shared" si="37"/>
        <v>3.9076037000000001E-2</v>
      </c>
    </row>
    <row r="173" spans="1:17" x14ac:dyDescent="0.2">
      <c r="D173" s="499">
        <f>SUM(D143:D172)</f>
        <v>1.0010000000000001</v>
      </c>
    </row>
    <row r="177" spans="14:17" ht="15" x14ac:dyDescent="0.2">
      <c r="N177" s="60" t="s">
        <v>106</v>
      </c>
      <c r="O177" s="244">
        <f>SUM(O143:O172)</f>
        <v>0.379</v>
      </c>
      <c r="P177" s="18"/>
      <c r="Q177" s="17"/>
    </row>
    <row r="178" spans="14:17" ht="15" x14ac:dyDescent="0.2">
      <c r="N178" s="18"/>
      <c r="O178" s="246" t="s">
        <v>107</v>
      </c>
      <c r="P178" s="246">
        <f>SUM(P143:P172)</f>
        <v>0.37937900000000002</v>
      </c>
      <c r="Q178" s="18"/>
    </row>
    <row r="179" spans="14:17" ht="15" x14ac:dyDescent="0.25">
      <c r="N179" s="18"/>
      <c r="O179" s="18"/>
      <c r="P179" s="245" t="s">
        <v>108</v>
      </c>
      <c r="Q179" s="83">
        <f>SUM(Q143:Q172)</f>
        <v>0.37975837900000003</v>
      </c>
    </row>
  </sheetData>
  <mergeCells count="47">
    <mergeCell ref="A167:A171"/>
    <mergeCell ref="C167:C170"/>
    <mergeCell ref="K141:N141"/>
    <mergeCell ref="A143:A148"/>
    <mergeCell ref="C147:C148"/>
    <mergeCell ref="A149:A152"/>
    <mergeCell ref="C151:C152"/>
    <mergeCell ref="A153:A157"/>
    <mergeCell ref="C156:C157"/>
    <mergeCell ref="A115:A123"/>
    <mergeCell ref="C122:C123"/>
    <mergeCell ref="A124:A128"/>
    <mergeCell ref="C124:C127"/>
    <mergeCell ref="A158:A166"/>
    <mergeCell ref="C165:C166"/>
    <mergeCell ref="K98:N98"/>
    <mergeCell ref="A100:A105"/>
    <mergeCell ref="C104:C105"/>
    <mergeCell ref="A110:A114"/>
    <mergeCell ref="C113:C114"/>
    <mergeCell ref="A106:A109"/>
    <mergeCell ref="C108:C109"/>
    <mergeCell ref="K53:N53"/>
    <mergeCell ref="A61:A64"/>
    <mergeCell ref="C63:C64"/>
    <mergeCell ref="A65:A69"/>
    <mergeCell ref="C68:C69"/>
    <mergeCell ref="A22:A26"/>
    <mergeCell ref="C25:C26"/>
    <mergeCell ref="A27:A35"/>
    <mergeCell ref="C34:C35"/>
    <mergeCell ref="A36:A40"/>
    <mergeCell ref="C36:C39"/>
    <mergeCell ref="K10:N10"/>
    <mergeCell ref="A12:A17"/>
    <mergeCell ref="C16:C17"/>
    <mergeCell ref="A18:A21"/>
    <mergeCell ref="C20:C21"/>
    <mergeCell ref="Y59:Z59"/>
    <mergeCell ref="Y60:Z60"/>
    <mergeCell ref="Y61:Z61"/>
    <mergeCell ref="A79:A83"/>
    <mergeCell ref="C79:C82"/>
    <mergeCell ref="A55:A60"/>
    <mergeCell ref="C59:C60"/>
    <mergeCell ref="A70:A78"/>
    <mergeCell ref="C77:C78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A179"/>
  <sheetViews>
    <sheetView topLeftCell="J13" workbookViewId="0">
      <selection activeCell="S39" sqref="S39"/>
    </sheetView>
  </sheetViews>
  <sheetFormatPr defaultRowHeight="12.75" x14ac:dyDescent="0.2"/>
  <cols>
    <col min="1" max="1" width="29.5" customWidth="1"/>
    <col min="2" max="2" width="10.25" customWidth="1"/>
    <col min="3" max="3" width="31.75" customWidth="1"/>
    <col min="4" max="4" width="8.875" bestFit="1" customWidth="1"/>
    <col min="5" max="5" width="43.375" customWidth="1"/>
    <col min="6" max="6" width="9.75" bestFit="1" customWidth="1"/>
    <col min="7" max="7" width="10.25" customWidth="1"/>
    <col min="8" max="8" width="12.25" bestFit="1" customWidth="1"/>
    <col min="9" max="9" width="14.375" bestFit="1" customWidth="1"/>
    <col min="10" max="10" width="12.25" bestFit="1" customWidth="1"/>
    <col min="11" max="11" width="11.75" customWidth="1"/>
    <col min="12" max="12" width="11.875" bestFit="1" customWidth="1"/>
    <col min="13" max="13" width="9.75" bestFit="1" customWidth="1"/>
    <col min="14" max="14" width="7.625" customWidth="1"/>
    <col min="15" max="17" width="9.5" bestFit="1" customWidth="1"/>
    <col min="18" max="20" width="8.875" customWidth="1"/>
    <col min="21" max="21" width="8.875" style="119" customWidth="1"/>
    <col min="22" max="23" width="8.75" style="119"/>
    <col min="24" max="24" width="11.5" style="119" customWidth="1"/>
    <col min="25" max="28" width="8.75" style="119"/>
    <col min="29" max="33" width="11.375" style="119" customWidth="1"/>
    <col min="34" max="34" width="12.25" style="119" bestFit="1" customWidth="1"/>
    <col min="35" max="36" width="8.75" style="119"/>
    <col min="37" max="37" width="12.25" style="119" customWidth="1"/>
    <col min="38" max="38" width="14.375" style="119" bestFit="1" customWidth="1"/>
    <col min="39" max="39" width="11.5" style="119" customWidth="1"/>
    <col min="40" max="40" width="8.875" style="119" bestFit="1" customWidth="1"/>
    <col min="41" max="105" width="8.75" style="119"/>
  </cols>
  <sheetData>
    <row r="1" spans="1:105" x14ac:dyDescent="0.2">
      <c r="C1" s="6"/>
    </row>
    <row r="2" spans="1:105" x14ac:dyDescent="0.2">
      <c r="A2" s="90" t="s">
        <v>118</v>
      </c>
      <c r="B2" s="118">
        <v>6</v>
      </c>
    </row>
    <row r="3" spans="1:105" x14ac:dyDescent="0.2">
      <c r="A3" s="90" t="s">
        <v>116</v>
      </c>
      <c r="B3" s="4">
        <v>23</v>
      </c>
    </row>
    <row r="4" spans="1:105" ht="15" x14ac:dyDescent="0.2">
      <c r="A4" s="90" t="s">
        <v>117</v>
      </c>
      <c r="B4" s="4">
        <v>30</v>
      </c>
      <c r="AA4" s="273"/>
      <c r="AB4" s="274"/>
      <c r="AC4" s="272"/>
      <c r="AD4" s="272"/>
      <c r="AE4" s="272"/>
      <c r="AF4" s="272"/>
      <c r="AG4" s="272"/>
    </row>
    <row r="5" spans="1:105" ht="15" x14ac:dyDescent="0.2">
      <c r="X5" s="4" t="s">
        <v>13</v>
      </c>
      <c r="AB5" s="275"/>
      <c r="AC5" s="136"/>
      <c r="AD5" s="136"/>
      <c r="AE5" s="136"/>
      <c r="AF5" s="136"/>
      <c r="AG5" s="136"/>
    </row>
    <row r="6" spans="1:105" ht="15" x14ac:dyDescent="0.2">
      <c r="AB6" s="123"/>
      <c r="AC6" s="136"/>
      <c r="AD6" s="136"/>
      <c r="AE6" s="136"/>
      <c r="AF6" s="136"/>
      <c r="AG6" s="136"/>
    </row>
    <row r="7" spans="1:105" ht="15" x14ac:dyDescent="0.2">
      <c r="AB7" s="275"/>
      <c r="AC7" s="136"/>
      <c r="AD7" s="136"/>
      <c r="AE7" s="136"/>
      <c r="AF7" s="136"/>
      <c r="AG7" s="136"/>
    </row>
    <row r="8" spans="1:105" ht="15.75" thickBot="1" x14ac:dyDescent="0.25">
      <c r="A8" s="137" t="s">
        <v>122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X8" s="133"/>
      <c r="AB8" s="275"/>
      <c r="AC8" s="136"/>
      <c r="AD8" s="136"/>
      <c r="AE8" s="136"/>
      <c r="AF8" s="136"/>
      <c r="AG8" s="136"/>
    </row>
    <row r="9" spans="1:105" ht="16.5" thickTop="1" thickBot="1" x14ac:dyDescent="0.3">
      <c r="A9" s="138"/>
      <c r="B9" s="138"/>
      <c r="C9" s="138"/>
      <c r="D9" s="138"/>
      <c r="E9" s="138"/>
      <c r="F9" s="138"/>
      <c r="G9" s="138"/>
      <c r="H9" s="138"/>
      <c r="I9" s="241" t="s">
        <v>33</v>
      </c>
      <c r="J9" s="174"/>
      <c r="K9" s="174"/>
      <c r="L9" s="174"/>
      <c r="M9" s="174"/>
      <c r="N9" s="174"/>
      <c r="O9" s="242"/>
      <c r="P9" s="174"/>
      <c r="Q9" s="174"/>
      <c r="X9" s="4" t="s">
        <v>280</v>
      </c>
      <c r="AB9" s="123"/>
      <c r="AC9" s="136"/>
      <c r="AD9" s="136"/>
      <c r="AE9" s="136"/>
      <c r="AF9" s="136"/>
      <c r="AG9" s="136"/>
    </row>
    <row r="10" spans="1:105" s="4" customFormat="1" ht="15.75" thickTop="1" x14ac:dyDescent="0.2">
      <c r="A10" s="139" t="s">
        <v>100</v>
      </c>
      <c r="B10" s="139" t="s">
        <v>19</v>
      </c>
      <c r="C10" s="139" t="s">
        <v>176</v>
      </c>
      <c r="D10" s="139" t="s">
        <v>19</v>
      </c>
      <c r="E10" s="139" t="s">
        <v>0</v>
      </c>
      <c r="F10" s="140" t="s">
        <v>19</v>
      </c>
      <c r="G10" s="340" t="s">
        <v>1</v>
      </c>
      <c r="H10" s="140" t="s">
        <v>94</v>
      </c>
      <c r="I10" s="142" t="s">
        <v>31</v>
      </c>
      <c r="J10" s="142" t="s">
        <v>20</v>
      </c>
      <c r="K10" s="572" t="s">
        <v>239</v>
      </c>
      <c r="L10" s="573"/>
      <c r="M10" s="573"/>
      <c r="N10" s="350" t="s">
        <v>240</v>
      </c>
      <c r="O10" s="142" t="s">
        <v>119</v>
      </c>
      <c r="P10" s="142" t="s">
        <v>120</v>
      </c>
      <c r="Q10" s="340" t="s">
        <v>121</v>
      </c>
      <c r="R10"/>
      <c r="S10" s="270"/>
      <c r="T10"/>
      <c r="U10" s="120"/>
      <c r="V10" s="10"/>
      <c r="W10" s="10"/>
      <c r="Y10"/>
      <c r="Z10"/>
      <c r="AA10" s="119"/>
      <c r="AB10" s="275"/>
      <c r="AC10" s="136"/>
      <c r="AE10" s="136"/>
      <c r="AF10" s="136"/>
      <c r="AG10" s="136"/>
      <c r="AH10" s="308" t="s">
        <v>238</v>
      </c>
      <c r="AI10" s="308"/>
      <c r="AJ10" s="308"/>
      <c r="AK10" s="308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</row>
    <row r="11" spans="1:105" ht="15" thickBot="1" x14ac:dyDescent="0.25">
      <c r="A11" s="144" t="s">
        <v>102</v>
      </c>
      <c r="B11" s="144" t="s">
        <v>103</v>
      </c>
      <c r="C11" s="144" t="s">
        <v>23</v>
      </c>
      <c r="D11" s="144" t="s">
        <v>24</v>
      </c>
      <c r="E11" s="145" t="s">
        <v>25</v>
      </c>
      <c r="F11" s="146" t="s">
        <v>29</v>
      </c>
      <c r="G11" s="146" t="s">
        <v>26</v>
      </c>
      <c r="H11" s="146" t="s">
        <v>27</v>
      </c>
      <c r="I11" s="146" t="s">
        <v>32</v>
      </c>
      <c r="J11" s="146" t="s">
        <v>28</v>
      </c>
      <c r="K11" s="147" t="s">
        <v>93</v>
      </c>
      <c r="L11" s="147" t="s">
        <v>95</v>
      </c>
      <c r="M11" s="147" t="s">
        <v>96</v>
      </c>
      <c r="N11" s="147" t="s">
        <v>104</v>
      </c>
      <c r="O11" s="146" t="s">
        <v>34</v>
      </c>
      <c r="P11" s="146" t="s">
        <v>35</v>
      </c>
      <c r="Q11" s="146" t="s">
        <v>105</v>
      </c>
      <c r="U11" s="121"/>
      <c r="X11" s="9"/>
      <c r="Y11" s="247"/>
      <c r="Z11"/>
      <c r="AB11" s="290" t="s">
        <v>0</v>
      </c>
      <c r="AC11" s="288" t="s">
        <v>20</v>
      </c>
      <c r="AD11" s="287" t="s">
        <v>1</v>
      </c>
      <c r="AE11" s="289" t="s">
        <v>128</v>
      </c>
      <c r="AF11" s="274"/>
      <c r="AG11" s="274"/>
      <c r="AH11" s="309" t="s">
        <v>99</v>
      </c>
      <c r="AI11" s="309" t="s">
        <v>162</v>
      </c>
      <c r="AJ11" s="310" t="s">
        <v>163</v>
      </c>
      <c r="AK11" s="310" t="s">
        <v>161</v>
      </c>
    </row>
    <row r="12" spans="1:105" s="38" customFormat="1" ht="15" customHeight="1" thickBot="1" x14ac:dyDescent="0.3">
      <c r="A12" s="549" t="s">
        <v>36</v>
      </c>
      <c r="B12" s="148">
        <f>AVERAGE(Compilation_Equal!B12,Compilation_Expert!B12)</f>
        <v>9.5333333333333325E-2</v>
      </c>
      <c r="C12" s="149" t="s">
        <v>37</v>
      </c>
      <c r="D12" s="150">
        <f>AVERAGE(Compilation_Equal!D12,Compilation_Expert!D12)</f>
        <v>2.4739130434782607E-2</v>
      </c>
      <c r="E12" s="151" t="s">
        <v>60</v>
      </c>
      <c r="F12" s="152">
        <f>AVERAGE(Compilation_Equal!F12,Compilation_Expert!F12)</f>
        <v>2.1166666666666667E-2</v>
      </c>
      <c r="G12" s="153" t="s">
        <v>5</v>
      </c>
      <c r="H12" s="398">
        <f>User_Input!F22</f>
        <v>28.5</v>
      </c>
      <c r="I12" s="155">
        <f>User_Input!H22</f>
        <v>19.399999999999999</v>
      </c>
      <c r="J12" s="156" t="s">
        <v>21</v>
      </c>
      <c r="K12" s="156">
        <f>IF(H12&gt;I12,1,0)</f>
        <v>1</v>
      </c>
      <c r="L12" s="155">
        <f>IF(H12=I12,0.5,0)</f>
        <v>0</v>
      </c>
      <c r="M12" s="155"/>
      <c r="N12" s="157">
        <f>SUM(K12:M12)</f>
        <v>1</v>
      </c>
      <c r="O12" s="158">
        <f>N12*F12</f>
        <v>2.1166666666666667E-2</v>
      </c>
      <c r="P12" s="159">
        <f>O$46*D12</f>
        <v>1.0048210144927537E-2</v>
      </c>
      <c r="Q12" s="160">
        <f>P$47*B12</f>
        <v>3.8759943444444438E-2</v>
      </c>
      <c r="R12"/>
      <c r="S12" s="271"/>
      <c r="T12"/>
      <c r="U12" s="122"/>
      <c r="V12" s="119"/>
      <c r="W12" s="119"/>
      <c r="X12"/>
      <c r="Y12"/>
      <c r="Z12"/>
      <c r="AA12" s="119"/>
      <c r="AB12" s="291" t="s">
        <v>131</v>
      </c>
      <c r="AC12" s="292" t="s">
        <v>21</v>
      </c>
      <c r="AD12" s="293" t="s">
        <v>5</v>
      </c>
      <c r="AE12" s="294">
        <v>9.1000000000000014</v>
      </c>
      <c r="AF12" s="275"/>
      <c r="AG12" s="275"/>
      <c r="AH12" s="291">
        <f t="shared" ref="AH12:AH41" si="0">N12</f>
        <v>1</v>
      </c>
      <c r="AI12" s="311">
        <f t="shared" ref="AI12:AI41" si="1">O55</f>
        <v>1.9066666666666666E-2</v>
      </c>
      <c r="AJ12" s="311">
        <f t="shared" ref="AJ12:AJ41" si="2">O100</f>
        <v>2.4739130434782607E-2</v>
      </c>
      <c r="AK12" s="311">
        <f t="shared" ref="AK12:AK41" si="3">O143</f>
        <v>3.3333333333333333E-2</v>
      </c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</row>
    <row r="13" spans="1:105" s="42" customFormat="1" ht="13.9" customHeight="1" thickTop="1" thickBot="1" x14ac:dyDescent="0.3">
      <c r="A13" s="550"/>
      <c r="B13" s="148"/>
      <c r="C13" s="162" t="s">
        <v>38</v>
      </c>
      <c r="D13" s="150">
        <f>AVERAGE(Compilation_Equal!D13,Compilation_Expert!D13)</f>
        <v>2.7739130434782606E-2</v>
      </c>
      <c r="E13" s="163" t="s">
        <v>61</v>
      </c>
      <c r="F13" s="152">
        <f>AVERAGE(Compilation_Equal!F13,Compilation_Expert!F13)</f>
        <v>2.4666666666666667E-2</v>
      </c>
      <c r="G13" s="164" t="s">
        <v>2</v>
      </c>
      <c r="H13" s="398">
        <f>User_Input!F23</f>
        <v>4.9000000000000004</v>
      </c>
      <c r="I13" s="155">
        <f>User_Input!H23</f>
        <v>6.6000000000000005</v>
      </c>
      <c r="J13" s="165" t="s">
        <v>22</v>
      </c>
      <c r="K13" s="166"/>
      <c r="L13" s="166">
        <f t="shared" ref="L13:L41" si="4">IF(H13=I13,0.5,0)</f>
        <v>0</v>
      </c>
      <c r="M13" s="262">
        <f>IF(H13&lt;I13,1,0)</f>
        <v>1</v>
      </c>
      <c r="N13" s="167">
        <f t="shared" ref="N13:N41" si="5">SUM(K13:M13)</f>
        <v>1</v>
      </c>
      <c r="O13" s="168">
        <f t="shared" ref="O13:O41" si="6">N13*F13</f>
        <v>2.4666666666666667E-2</v>
      </c>
      <c r="P13" s="159">
        <f>O$46*D13</f>
        <v>1.1266710144927538E-2</v>
      </c>
      <c r="Q13" s="169"/>
      <c r="R13"/>
      <c r="S13" s="271"/>
      <c r="T13"/>
      <c r="U13" s="123"/>
      <c r="V13" s="124"/>
      <c r="W13" s="124"/>
      <c r="X13"/>
      <c r="Y13"/>
      <c r="Z13"/>
      <c r="AA13" s="119"/>
      <c r="AB13" s="291" t="s">
        <v>132</v>
      </c>
      <c r="AC13" s="295" t="s">
        <v>22</v>
      </c>
      <c r="AD13" s="296" t="s">
        <v>2</v>
      </c>
      <c r="AE13" s="297">
        <v>-1.7000000000000002</v>
      </c>
      <c r="AF13" s="123"/>
      <c r="AG13" s="123"/>
      <c r="AH13" s="291">
        <f t="shared" si="0"/>
        <v>1</v>
      </c>
      <c r="AI13" s="311">
        <f t="shared" si="1"/>
        <v>1.9066666666666666E-2</v>
      </c>
      <c r="AJ13" s="311">
        <f t="shared" si="2"/>
        <v>2.7739130434782606E-2</v>
      </c>
      <c r="AK13" s="311">
        <f t="shared" si="3"/>
        <v>3.3333333333333333E-2</v>
      </c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/>
    </row>
    <row r="14" spans="1:105" s="18" customFormat="1" ht="12.6" customHeight="1" thickTop="1" thickBot="1" x14ac:dyDescent="0.3">
      <c r="A14" s="550"/>
      <c r="B14" s="148"/>
      <c r="C14" s="170" t="s">
        <v>39</v>
      </c>
      <c r="D14" s="150">
        <f>AVERAGE(Compilation_Equal!D14,Compilation_Expert!D14)</f>
        <v>2.8239130434782607E-2</v>
      </c>
      <c r="E14" s="163" t="s">
        <v>62</v>
      </c>
      <c r="F14" s="152">
        <f>AVERAGE(Compilation_Equal!F14,Compilation_Expert!F14)</f>
        <v>2.3666666666666666E-2</v>
      </c>
      <c r="G14" s="171" t="s">
        <v>3</v>
      </c>
      <c r="H14" s="398">
        <f>User_Input!F24</f>
        <v>3</v>
      </c>
      <c r="I14" s="155">
        <f>User_Input!H24</f>
        <v>3.25</v>
      </c>
      <c r="J14" s="255" t="s">
        <v>21</v>
      </c>
      <c r="K14" s="173">
        <f t="shared" ref="K14:K41" si="7">IF(H14&gt;I14,1,0)</f>
        <v>0</v>
      </c>
      <c r="L14" s="166">
        <f t="shared" si="4"/>
        <v>0</v>
      </c>
      <c r="M14" s="263"/>
      <c r="N14" s="167">
        <f t="shared" si="5"/>
        <v>0</v>
      </c>
      <c r="O14" s="168">
        <f t="shared" si="6"/>
        <v>0</v>
      </c>
      <c r="P14" s="159">
        <f>O$46*D14</f>
        <v>1.1469793478260871E-2</v>
      </c>
      <c r="Q14" s="169"/>
      <c r="R14"/>
      <c r="S14" s="271"/>
      <c r="T14"/>
      <c r="U14" s="122"/>
      <c r="V14" s="119"/>
      <c r="W14" s="119"/>
      <c r="X14"/>
      <c r="Y14"/>
      <c r="Z14"/>
      <c r="AA14" s="119"/>
      <c r="AB14" s="291" t="s">
        <v>133</v>
      </c>
      <c r="AC14" s="292" t="s">
        <v>21</v>
      </c>
      <c r="AD14" s="298" t="s">
        <v>3</v>
      </c>
      <c r="AE14" s="294">
        <v>0.5</v>
      </c>
      <c r="AF14" s="275"/>
      <c r="AG14" s="275"/>
      <c r="AH14" s="291">
        <f t="shared" si="0"/>
        <v>0</v>
      </c>
      <c r="AI14" s="311">
        <f t="shared" si="1"/>
        <v>0</v>
      </c>
      <c r="AJ14" s="311">
        <f t="shared" si="2"/>
        <v>0</v>
      </c>
      <c r="AK14" s="311">
        <f t="shared" si="3"/>
        <v>0</v>
      </c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</row>
    <row r="15" spans="1:105" s="18" customFormat="1" ht="13.9" customHeight="1" thickBot="1" x14ac:dyDescent="0.3">
      <c r="A15" s="550"/>
      <c r="B15" s="148"/>
      <c r="C15" s="170" t="s">
        <v>40</v>
      </c>
      <c r="D15" s="150">
        <f>AVERAGE(Compilation_Equal!D15,Compilation_Expert!D15)</f>
        <v>3.0739130434782609E-2</v>
      </c>
      <c r="E15" s="163" t="s">
        <v>63</v>
      </c>
      <c r="F15" s="152">
        <f>AVERAGE(Compilation_Equal!F15,Compilation_Expert!F15)</f>
        <v>2.1666666666666667E-2</v>
      </c>
      <c r="G15" s="171" t="s">
        <v>16</v>
      </c>
      <c r="H15" s="398">
        <f>User_Input!F25</f>
        <v>844</v>
      </c>
      <c r="I15" s="155">
        <f>User_Input!H25</f>
        <v>762</v>
      </c>
      <c r="J15" s="255" t="s">
        <v>21</v>
      </c>
      <c r="K15" s="173">
        <f t="shared" si="7"/>
        <v>1</v>
      </c>
      <c r="L15" s="166">
        <f t="shared" si="4"/>
        <v>0</v>
      </c>
      <c r="M15" s="263"/>
      <c r="N15" s="167">
        <f t="shared" si="5"/>
        <v>1</v>
      </c>
      <c r="O15" s="168">
        <f t="shared" si="6"/>
        <v>2.1666666666666667E-2</v>
      </c>
      <c r="P15" s="159">
        <f>O$46*D15</f>
        <v>1.2485210144927539E-2</v>
      </c>
      <c r="Q15" s="169"/>
      <c r="R15"/>
      <c r="S15" s="271"/>
      <c r="T15"/>
      <c r="U15" s="122"/>
      <c r="V15" s="119"/>
      <c r="W15" s="119"/>
      <c r="Y15"/>
      <c r="Z15"/>
      <c r="AA15" s="119"/>
      <c r="AB15" s="291" t="s">
        <v>134</v>
      </c>
      <c r="AC15" s="292" t="s">
        <v>21</v>
      </c>
      <c r="AD15" s="298" t="s">
        <v>16</v>
      </c>
      <c r="AE15" s="294">
        <v>82</v>
      </c>
      <c r="AF15" s="275"/>
      <c r="AG15" s="275"/>
      <c r="AH15" s="291">
        <f t="shared" si="0"/>
        <v>1</v>
      </c>
      <c r="AI15" s="311">
        <f t="shared" si="1"/>
        <v>1.9066666666666666E-2</v>
      </c>
      <c r="AJ15" s="311">
        <f t="shared" si="2"/>
        <v>3.0739130434782609E-2</v>
      </c>
      <c r="AK15" s="311">
        <f t="shared" si="3"/>
        <v>3.3333333333333333E-2</v>
      </c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</row>
    <row r="16" spans="1:105" s="42" customFormat="1" ht="13.9" customHeight="1" thickTop="1" thickBot="1" x14ac:dyDescent="0.3">
      <c r="A16" s="550"/>
      <c r="B16" s="148"/>
      <c r="C16" s="559" t="s">
        <v>41</v>
      </c>
      <c r="D16" s="150">
        <f>AVERAGE(Compilation_Equal!D16,Compilation_Expert!D16)</f>
        <v>3.173913043478261E-2</v>
      </c>
      <c r="E16" s="175" t="s">
        <v>64</v>
      </c>
      <c r="F16" s="152">
        <f>AVERAGE(Compilation_Equal!F16,Compilation_Expert!F16)</f>
        <v>2.5666666666666664E-2</v>
      </c>
      <c r="G16" s="176" t="s">
        <v>4</v>
      </c>
      <c r="H16" s="398">
        <f>User_Input!F26</f>
        <v>93.94</v>
      </c>
      <c r="I16" s="155">
        <f>User_Input!H26</f>
        <v>96.015000000000001</v>
      </c>
      <c r="J16" s="165" t="s">
        <v>22</v>
      </c>
      <c r="K16" s="166"/>
      <c r="L16" s="166">
        <f t="shared" si="4"/>
        <v>0</v>
      </c>
      <c r="M16" s="262">
        <f>IF(H16&lt;I16,1,0)</f>
        <v>1</v>
      </c>
      <c r="N16" s="167">
        <f t="shared" si="5"/>
        <v>1</v>
      </c>
      <c r="O16" s="168">
        <f t="shared" si="6"/>
        <v>2.5666666666666664E-2</v>
      </c>
      <c r="P16" s="159">
        <f>O$46*D16</f>
        <v>1.2891376811594206E-2</v>
      </c>
      <c r="Q16" s="169"/>
      <c r="R16"/>
      <c r="S16" s="271"/>
      <c r="T16"/>
      <c r="U16" s="123"/>
      <c r="V16" s="124"/>
      <c r="W16" s="124"/>
      <c r="X16"/>
      <c r="Y16"/>
      <c r="Z16"/>
      <c r="AA16" s="119"/>
      <c r="AB16" s="291" t="s">
        <v>135</v>
      </c>
      <c r="AC16" s="295" t="s">
        <v>22</v>
      </c>
      <c r="AD16" s="299" t="s">
        <v>4</v>
      </c>
      <c r="AE16" s="297">
        <v>-2.0750000000000028</v>
      </c>
      <c r="AF16" s="123"/>
      <c r="AG16" s="123"/>
      <c r="AH16" s="291">
        <f t="shared" si="0"/>
        <v>1</v>
      </c>
      <c r="AI16" s="311">
        <f t="shared" si="1"/>
        <v>9.5333333333333329E-3</v>
      </c>
      <c r="AJ16" s="311">
        <f t="shared" si="2"/>
        <v>1.5869565217391305E-2</v>
      </c>
      <c r="AK16" s="311">
        <f t="shared" si="3"/>
        <v>3.3333333333333333E-2</v>
      </c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  <c r="CR16" s="124"/>
      <c r="CS16" s="124"/>
      <c r="CT16" s="124"/>
      <c r="CU16" s="124"/>
      <c r="CV16" s="124"/>
      <c r="CW16" s="124"/>
      <c r="CX16" s="124"/>
      <c r="CY16" s="124"/>
      <c r="CZ16" s="124"/>
      <c r="DA16" s="124"/>
    </row>
    <row r="17" spans="1:105" s="18" customFormat="1" ht="13.15" customHeight="1" thickTop="1" thickBot="1" x14ac:dyDescent="0.3">
      <c r="A17" s="551"/>
      <c r="B17" s="148"/>
      <c r="C17" s="560"/>
      <c r="D17" s="150"/>
      <c r="E17" s="179" t="s">
        <v>65</v>
      </c>
      <c r="F17" s="152">
        <f>AVERAGE(Compilation_Equal!F17,Compilation_Expert!F17)</f>
        <v>2.3666666666666666E-2</v>
      </c>
      <c r="G17" s="180" t="s">
        <v>4</v>
      </c>
      <c r="H17" s="398">
        <f>User_Input!F27</f>
        <v>6.06</v>
      </c>
      <c r="I17" s="155">
        <f>User_Input!H27</f>
        <v>3.9849999999999999</v>
      </c>
      <c r="J17" s="256" t="s">
        <v>21</v>
      </c>
      <c r="K17" s="183">
        <f t="shared" si="7"/>
        <v>1</v>
      </c>
      <c r="L17" s="182">
        <f t="shared" si="4"/>
        <v>0</v>
      </c>
      <c r="M17" s="264"/>
      <c r="N17" s="167">
        <f t="shared" si="5"/>
        <v>1</v>
      </c>
      <c r="O17" s="184">
        <f t="shared" si="6"/>
        <v>2.3666666666666666E-2</v>
      </c>
      <c r="P17" s="159"/>
      <c r="Q17" s="185"/>
      <c r="R17"/>
      <c r="S17" s="271"/>
      <c r="T17"/>
      <c r="U17" s="122"/>
      <c r="V17" s="119"/>
      <c r="W17" s="119"/>
      <c r="X17" s="4"/>
      <c r="Y17"/>
      <c r="Z17"/>
      <c r="AA17" s="119"/>
      <c r="AB17" s="291" t="s">
        <v>136</v>
      </c>
      <c r="AC17" s="292" t="s">
        <v>21</v>
      </c>
      <c r="AD17" s="300" t="s">
        <v>4</v>
      </c>
      <c r="AE17" s="294">
        <v>2.0749999999999997</v>
      </c>
      <c r="AF17" s="275"/>
      <c r="AG17" s="275"/>
      <c r="AH17" s="291">
        <f t="shared" si="0"/>
        <v>1</v>
      </c>
      <c r="AI17" s="311">
        <f t="shared" si="1"/>
        <v>9.5333333333333329E-3</v>
      </c>
      <c r="AJ17" s="311">
        <f t="shared" si="2"/>
        <v>1.5869565217391305E-2</v>
      </c>
      <c r="AK17" s="311">
        <f t="shared" si="3"/>
        <v>3.3333333333333333E-2</v>
      </c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</row>
    <row r="18" spans="1:105" s="48" customFormat="1" ht="13.15" customHeight="1" thickBot="1" x14ac:dyDescent="0.3">
      <c r="A18" s="549" t="s">
        <v>92</v>
      </c>
      <c r="B18" s="148">
        <f>AVERAGE(Compilation_Equal!B18,Compilation_Expert!B18)</f>
        <v>0.10533333333333333</v>
      </c>
      <c r="C18" s="186" t="s">
        <v>42</v>
      </c>
      <c r="D18" s="150">
        <f>AVERAGE(Compilation_Equal!D18,Compilation_Expert!D18)</f>
        <v>2.9239130434782608E-2</v>
      </c>
      <c r="E18" s="187" t="s">
        <v>89</v>
      </c>
      <c r="F18" s="152">
        <f>AVERAGE(Compilation_Equal!F18,Compilation_Expert!F18)</f>
        <v>2.3666666666666666E-2</v>
      </c>
      <c r="G18" s="188" t="s">
        <v>4</v>
      </c>
      <c r="H18" s="398">
        <f>User_Input!F28</f>
        <v>12.36</v>
      </c>
      <c r="I18" s="155">
        <f>User_Input!H28</f>
        <v>14.709999999999999</v>
      </c>
      <c r="J18" s="189" t="s">
        <v>22</v>
      </c>
      <c r="K18" s="155"/>
      <c r="L18" s="155">
        <f t="shared" si="4"/>
        <v>0</v>
      </c>
      <c r="M18" s="265">
        <f t="shared" ref="M18:M40" si="8">IF(H18&lt;I18,1,0)</f>
        <v>1</v>
      </c>
      <c r="N18" s="157">
        <f t="shared" si="5"/>
        <v>1</v>
      </c>
      <c r="O18" s="190">
        <f t="shared" si="6"/>
        <v>2.3666666666666666E-2</v>
      </c>
      <c r="P18" s="159">
        <f>O$46*D18</f>
        <v>1.1875960144927538E-2</v>
      </c>
      <c r="Q18" s="160">
        <f>P$47*B18</f>
        <v>4.2825671777777768E-2</v>
      </c>
      <c r="R18"/>
      <c r="S18" s="271"/>
      <c r="T18"/>
      <c r="U18" s="123"/>
      <c r="V18" s="124"/>
      <c r="W18" s="124"/>
      <c r="X18"/>
      <c r="Y18"/>
      <c r="Z18"/>
      <c r="AA18" s="119"/>
      <c r="AB18" s="291" t="s">
        <v>137</v>
      </c>
      <c r="AC18" s="295" t="s">
        <v>22</v>
      </c>
      <c r="AD18" s="301" t="s">
        <v>4</v>
      </c>
      <c r="AE18" s="297">
        <v>-2.3499999999999996</v>
      </c>
      <c r="AF18" s="123"/>
      <c r="AG18" s="123"/>
      <c r="AH18" s="291">
        <f t="shared" si="0"/>
        <v>1</v>
      </c>
      <c r="AI18" s="311">
        <f t="shared" si="1"/>
        <v>3.5111111111111114E-2</v>
      </c>
      <c r="AJ18" s="311">
        <f t="shared" si="2"/>
        <v>2.9239130434782608E-2</v>
      </c>
      <c r="AK18" s="311">
        <f t="shared" si="3"/>
        <v>3.3333333333333333E-2</v>
      </c>
      <c r="AL18" s="124"/>
      <c r="AM18" s="124"/>
      <c r="AN18" s="124"/>
      <c r="AO18" s="124"/>
      <c r="AP18" s="132"/>
      <c r="AQ18" s="132"/>
      <c r="AR18" s="132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4"/>
      <c r="CW18" s="124"/>
      <c r="CX18" s="124"/>
      <c r="CY18" s="124"/>
      <c r="CZ18" s="124"/>
      <c r="DA18" s="124"/>
    </row>
    <row r="19" spans="1:105" s="18" customFormat="1" ht="13.9" customHeight="1" thickTop="1" thickBot="1" x14ac:dyDescent="0.3">
      <c r="A19" s="550"/>
      <c r="B19" s="148"/>
      <c r="C19" s="191" t="s">
        <v>43</v>
      </c>
      <c r="D19" s="150">
        <f>AVERAGE(Compilation_Equal!D19,Compilation_Expert!D19)</f>
        <v>3.3739130434782605E-2</v>
      </c>
      <c r="E19" s="192" t="s">
        <v>66</v>
      </c>
      <c r="F19" s="152">
        <f>AVERAGE(Compilation_Equal!F19,Compilation_Expert!F19)</f>
        <v>2.4666666666666667E-2</v>
      </c>
      <c r="G19" s="171" t="s">
        <v>4</v>
      </c>
      <c r="H19" s="398">
        <f>User_Input!F29</f>
        <v>0</v>
      </c>
      <c r="I19" s="155">
        <f>User_Input!H29</f>
        <v>2.44</v>
      </c>
      <c r="J19" s="255" t="s">
        <v>21</v>
      </c>
      <c r="K19" s="173">
        <f t="shared" si="7"/>
        <v>0</v>
      </c>
      <c r="L19" s="166">
        <f t="shared" si="4"/>
        <v>0</v>
      </c>
      <c r="M19" s="263"/>
      <c r="N19" s="167">
        <f t="shared" si="5"/>
        <v>0</v>
      </c>
      <c r="O19" s="194">
        <f t="shared" si="6"/>
        <v>0</v>
      </c>
      <c r="P19" s="159">
        <f>O$46*D19</f>
        <v>1.3703710144927536E-2</v>
      </c>
      <c r="Q19" s="169"/>
      <c r="R19"/>
      <c r="S19" s="271"/>
      <c r="T19"/>
      <c r="U19" s="122"/>
      <c r="V19" s="119"/>
      <c r="W19" s="119"/>
      <c r="X19"/>
      <c r="Y19"/>
      <c r="Z19"/>
      <c r="AA19" s="119"/>
      <c r="AB19" s="291" t="s">
        <v>138</v>
      </c>
      <c r="AC19" s="292" t="s">
        <v>21</v>
      </c>
      <c r="AD19" s="298" t="s">
        <v>4</v>
      </c>
      <c r="AE19" s="294">
        <v>-2.44</v>
      </c>
      <c r="AF19" s="275"/>
      <c r="AG19" s="275"/>
      <c r="AH19" s="291">
        <f t="shared" si="0"/>
        <v>0</v>
      </c>
      <c r="AI19" s="311">
        <f t="shared" si="1"/>
        <v>0</v>
      </c>
      <c r="AJ19" s="311">
        <f t="shared" si="2"/>
        <v>0</v>
      </c>
      <c r="AK19" s="311">
        <f t="shared" si="3"/>
        <v>0</v>
      </c>
      <c r="AL19" s="119"/>
      <c r="AM19" s="119"/>
      <c r="AN19" s="119"/>
      <c r="AO19" s="119"/>
      <c r="AP19" s="133"/>
      <c r="AQ19" s="133"/>
      <c r="AR19" s="133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</row>
    <row r="20" spans="1:105" s="18" customFormat="1" ht="13.15" customHeight="1" thickBot="1" x14ac:dyDescent="0.3">
      <c r="A20" s="550"/>
      <c r="B20" s="148"/>
      <c r="C20" s="570" t="s">
        <v>44</v>
      </c>
      <c r="D20" s="150">
        <f>AVERAGE(Compilation_Equal!D20,Compilation_Expert!D20)</f>
        <v>3.7239130434782608E-2</v>
      </c>
      <c r="E20" s="192" t="s">
        <v>67</v>
      </c>
      <c r="F20" s="152">
        <f>AVERAGE(Compilation_Equal!F20,Compilation_Expert!F20)</f>
        <v>2.5666666666666664E-2</v>
      </c>
      <c r="G20" s="171" t="s">
        <v>12</v>
      </c>
      <c r="H20" s="398">
        <f>User_Input!F30</f>
        <v>3.92</v>
      </c>
      <c r="I20" s="155">
        <f>User_Input!H30</f>
        <v>1.96</v>
      </c>
      <c r="J20" s="255" t="s">
        <v>21</v>
      </c>
      <c r="K20" s="173">
        <f t="shared" si="7"/>
        <v>1</v>
      </c>
      <c r="L20" s="166">
        <f t="shared" si="4"/>
        <v>0</v>
      </c>
      <c r="M20" s="263"/>
      <c r="N20" s="167">
        <f t="shared" si="5"/>
        <v>1</v>
      </c>
      <c r="O20" s="194">
        <f t="shared" si="6"/>
        <v>2.5666666666666664E-2</v>
      </c>
      <c r="P20" s="159">
        <f>O$46*D20</f>
        <v>1.5125293478260872E-2</v>
      </c>
      <c r="Q20" s="169"/>
      <c r="R20"/>
      <c r="S20" s="271"/>
      <c r="T20"/>
      <c r="U20" s="122"/>
      <c r="V20" s="119"/>
      <c r="W20" s="119"/>
      <c r="X20"/>
      <c r="Y20"/>
      <c r="Z20"/>
      <c r="AA20" s="119"/>
      <c r="AB20" s="291" t="s">
        <v>139</v>
      </c>
      <c r="AC20" s="292" t="s">
        <v>21</v>
      </c>
      <c r="AD20" s="298" t="s">
        <v>12</v>
      </c>
      <c r="AE20" s="294">
        <v>1.96</v>
      </c>
      <c r="AF20" s="275"/>
      <c r="AG20" s="275"/>
      <c r="AH20" s="291">
        <f t="shared" si="0"/>
        <v>1</v>
      </c>
      <c r="AI20" s="311">
        <f t="shared" si="1"/>
        <v>1.7555555555555557E-2</v>
      </c>
      <c r="AJ20" s="311">
        <f t="shared" si="2"/>
        <v>1.8619565217391304E-2</v>
      </c>
      <c r="AK20" s="311">
        <f t="shared" si="3"/>
        <v>3.3333333333333333E-2</v>
      </c>
      <c r="AL20" s="119"/>
      <c r="AM20" s="119"/>
      <c r="AN20" s="119"/>
      <c r="AO20" s="119"/>
      <c r="AP20" s="133"/>
      <c r="AQ20" s="133"/>
      <c r="AR20" s="133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</row>
    <row r="21" spans="1:105" s="18" customFormat="1" ht="12.6" customHeight="1" thickBot="1" x14ac:dyDescent="0.3">
      <c r="A21" s="551"/>
      <c r="B21" s="148"/>
      <c r="C21" s="571"/>
      <c r="D21" s="150"/>
      <c r="E21" s="197" t="s">
        <v>68</v>
      </c>
      <c r="F21" s="152">
        <f>AVERAGE(Compilation_Equal!F21,Compilation_Expert!F21)</f>
        <v>2.2666666666666668E-2</v>
      </c>
      <c r="G21" s="180" t="s">
        <v>12</v>
      </c>
      <c r="H21" s="398">
        <f>User_Input!F31</f>
        <v>0.96</v>
      </c>
      <c r="I21" s="155">
        <f>User_Input!H31</f>
        <v>1.35</v>
      </c>
      <c r="J21" s="256" t="s">
        <v>21</v>
      </c>
      <c r="K21" s="183">
        <f t="shared" si="7"/>
        <v>0</v>
      </c>
      <c r="L21" s="182">
        <f t="shared" si="4"/>
        <v>0</v>
      </c>
      <c r="M21" s="264"/>
      <c r="N21" s="167">
        <f t="shared" si="5"/>
        <v>0</v>
      </c>
      <c r="O21" s="199">
        <f t="shared" si="6"/>
        <v>0</v>
      </c>
      <c r="P21" s="159"/>
      <c r="Q21" s="185"/>
      <c r="R21"/>
      <c r="S21" s="271"/>
      <c r="T21"/>
      <c r="U21" s="122"/>
      <c r="V21" s="119"/>
      <c r="W21" s="119"/>
      <c r="X21"/>
      <c r="Y21"/>
      <c r="Z21"/>
      <c r="AA21" s="119"/>
      <c r="AB21" s="291" t="s">
        <v>140</v>
      </c>
      <c r="AC21" s="292" t="s">
        <v>21</v>
      </c>
      <c r="AD21" s="300" t="s">
        <v>12</v>
      </c>
      <c r="AE21" s="294">
        <v>-0.39000000000000012</v>
      </c>
      <c r="AF21" s="275"/>
      <c r="AG21" s="275"/>
      <c r="AH21" s="291">
        <f t="shared" si="0"/>
        <v>0</v>
      </c>
      <c r="AI21" s="311">
        <f t="shared" si="1"/>
        <v>0</v>
      </c>
      <c r="AJ21" s="311">
        <f t="shared" si="2"/>
        <v>0</v>
      </c>
      <c r="AK21" s="311">
        <f t="shared" si="3"/>
        <v>0</v>
      </c>
      <c r="AL21" s="119"/>
      <c r="AM21" s="119"/>
      <c r="AN21" s="119"/>
      <c r="AO21" s="119"/>
      <c r="AP21" s="133"/>
      <c r="AQ21" s="133"/>
      <c r="AR21" s="133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</row>
    <row r="22" spans="1:105" s="38" customFormat="1" ht="13.15" customHeight="1" thickBot="1" x14ac:dyDescent="0.3">
      <c r="A22" s="549" t="s">
        <v>90</v>
      </c>
      <c r="B22" s="148">
        <f>AVERAGE(Compilation_Equal!B22,Compilation_Expert!B22)</f>
        <v>0.12533333333333332</v>
      </c>
      <c r="C22" s="200" t="s">
        <v>45</v>
      </c>
      <c r="D22" s="150">
        <f>AVERAGE(Compilation_Equal!D22,Compilation_Expert!D22)</f>
        <v>3.8239130434782609E-2</v>
      </c>
      <c r="E22" s="201" t="s">
        <v>69</v>
      </c>
      <c r="F22" s="152">
        <f>AVERAGE(Compilation_Equal!F22,Compilation_Expert!F22)</f>
        <v>2.1166666666666667E-2</v>
      </c>
      <c r="G22" s="153" t="s">
        <v>4</v>
      </c>
      <c r="H22" s="398">
        <f>User_Input!F32</f>
        <v>44</v>
      </c>
      <c r="I22" s="155">
        <f>User_Input!H32</f>
        <v>27.5</v>
      </c>
      <c r="J22" s="257" t="s">
        <v>21</v>
      </c>
      <c r="K22" s="156">
        <f t="shared" si="7"/>
        <v>1</v>
      </c>
      <c r="L22" s="155">
        <f t="shared" si="4"/>
        <v>0</v>
      </c>
      <c r="M22" s="266"/>
      <c r="N22" s="157">
        <f t="shared" si="5"/>
        <v>1</v>
      </c>
      <c r="O22" s="190">
        <f t="shared" si="6"/>
        <v>2.1166666666666667E-2</v>
      </c>
      <c r="P22" s="159">
        <f>O$46*D22</f>
        <v>1.5531460144927539E-2</v>
      </c>
      <c r="Q22" s="160">
        <f>P$47*B22</f>
        <v>5.095712844444443E-2</v>
      </c>
      <c r="R22"/>
      <c r="S22" s="271"/>
      <c r="T22"/>
      <c r="U22" s="122"/>
      <c r="V22" s="119"/>
      <c r="W22" s="119"/>
      <c r="X22"/>
      <c r="Y22"/>
      <c r="Z22"/>
      <c r="AA22" s="119"/>
      <c r="AB22" s="291" t="s">
        <v>141</v>
      </c>
      <c r="AC22" s="292" t="s">
        <v>21</v>
      </c>
      <c r="AD22" s="293" t="s">
        <v>4</v>
      </c>
      <c r="AE22" s="294">
        <v>16.5</v>
      </c>
      <c r="AF22" s="275"/>
      <c r="AG22" s="275"/>
      <c r="AH22" s="291">
        <f t="shared" si="0"/>
        <v>1</v>
      </c>
      <c r="AI22" s="311">
        <f t="shared" si="1"/>
        <v>3.1333333333333331E-2</v>
      </c>
      <c r="AJ22" s="311">
        <f t="shared" si="2"/>
        <v>3.8239130434782609E-2</v>
      </c>
      <c r="AK22" s="311">
        <f t="shared" si="3"/>
        <v>3.3333333333333333E-2</v>
      </c>
      <c r="AL22" s="119"/>
      <c r="AM22" s="119"/>
      <c r="AN22" s="119"/>
      <c r="AO22" s="119"/>
      <c r="AP22" s="133"/>
      <c r="AQ22" s="133"/>
      <c r="AR22" s="133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</row>
    <row r="23" spans="1:105" s="42" customFormat="1" ht="12.6" customHeight="1" thickTop="1" thickBot="1" x14ac:dyDescent="0.3">
      <c r="A23" s="550"/>
      <c r="B23" s="148"/>
      <c r="C23" s="202" t="s">
        <v>46</v>
      </c>
      <c r="D23" s="150">
        <f>AVERAGE(Compilation_Equal!D23,Compilation_Expert!D23)</f>
        <v>3.6739130434782608E-2</v>
      </c>
      <c r="E23" s="192" t="s">
        <v>70</v>
      </c>
      <c r="F23" s="152">
        <f>AVERAGE(Compilation_Equal!F23,Compilation_Expert!F23)</f>
        <v>2.4666666666666667E-2</v>
      </c>
      <c r="G23" s="176" t="s">
        <v>12</v>
      </c>
      <c r="H23" s="398">
        <f>User_Input!F33</f>
        <v>0.4</v>
      </c>
      <c r="I23" s="155">
        <f>User_Input!H33</f>
        <v>0.55000000000000004</v>
      </c>
      <c r="J23" s="165" t="s">
        <v>22</v>
      </c>
      <c r="K23" s="166"/>
      <c r="L23" s="166">
        <f t="shared" si="4"/>
        <v>0</v>
      </c>
      <c r="M23" s="262">
        <f t="shared" si="8"/>
        <v>1</v>
      </c>
      <c r="N23" s="167">
        <f t="shared" si="5"/>
        <v>1</v>
      </c>
      <c r="O23" s="194">
        <f t="shared" si="6"/>
        <v>2.4666666666666667E-2</v>
      </c>
      <c r="P23" s="159">
        <f>O$46*D23</f>
        <v>1.4922210144927539E-2</v>
      </c>
      <c r="Q23" s="169"/>
      <c r="R23"/>
      <c r="S23" s="271"/>
      <c r="T23"/>
      <c r="U23" s="123"/>
      <c r="V23" s="124"/>
      <c r="W23" s="124"/>
      <c r="X23" s="6" t="s">
        <v>231</v>
      </c>
      <c r="Y23"/>
      <c r="Z23"/>
      <c r="AA23" s="119"/>
      <c r="AB23" s="291" t="s">
        <v>142</v>
      </c>
      <c r="AC23" s="295" t="s">
        <v>22</v>
      </c>
      <c r="AD23" s="299" t="s">
        <v>12</v>
      </c>
      <c r="AE23" s="297">
        <v>-0.15000000000000002</v>
      </c>
      <c r="AF23" s="123"/>
      <c r="AG23" s="123"/>
      <c r="AH23" s="291">
        <f t="shared" si="0"/>
        <v>1</v>
      </c>
      <c r="AI23" s="311">
        <f t="shared" si="1"/>
        <v>3.1333333333333331E-2</v>
      </c>
      <c r="AJ23" s="311">
        <f t="shared" si="2"/>
        <v>3.6739130434782608E-2</v>
      </c>
      <c r="AK23" s="311">
        <f t="shared" si="3"/>
        <v>3.3333333333333333E-2</v>
      </c>
      <c r="AL23" s="124"/>
      <c r="AM23" s="124"/>
      <c r="AN23" s="124"/>
      <c r="AO23" s="124"/>
      <c r="AP23" s="132"/>
      <c r="AQ23" s="132"/>
      <c r="AR23" s="132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</row>
    <row r="24" spans="1:105" s="42" customFormat="1" ht="13.9" customHeight="1" thickTop="1" thickBot="1" x14ac:dyDescent="0.3">
      <c r="A24" s="550"/>
      <c r="B24" s="148"/>
      <c r="C24" s="202" t="s">
        <v>47</v>
      </c>
      <c r="D24" s="150">
        <f>AVERAGE(Compilation_Equal!D24,Compilation_Expert!D24)</f>
        <v>3.2739130434782604E-2</v>
      </c>
      <c r="E24" s="192" t="s">
        <v>71</v>
      </c>
      <c r="F24" s="152">
        <f>AVERAGE(Compilation_Equal!F24,Compilation_Expert!F24)</f>
        <v>2.7166666666666665E-2</v>
      </c>
      <c r="G24" s="176" t="s">
        <v>12</v>
      </c>
      <c r="H24" s="398">
        <f>User_Input!F34</f>
        <v>1.6</v>
      </c>
      <c r="I24" s="155">
        <f>User_Input!H34</f>
        <v>1.55</v>
      </c>
      <c r="J24" s="165" t="s">
        <v>22</v>
      </c>
      <c r="K24" s="166"/>
      <c r="L24" s="166">
        <f t="shared" si="4"/>
        <v>0</v>
      </c>
      <c r="M24" s="267">
        <f t="shared" si="8"/>
        <v>0</v>
      </c>
      <c r="N24" s="167">
        <f t="shared" si="5"/>
        <v>0</v>
      </c>
      <c r="O24" s="194">
        <f t="shared" si="6"/>
        <v>0</v>
      </c>
      <c r="P24" s="159">
        <f>O$46*D24</f>
        <v>1.329754347826087E-2</v>
      </c>
      <c r="Q24" s="169"/>
      <c r="R24"/>
      <c r="S24" s="271"/>
      <c r="T24"/>
      <c r="U24" s="123"/>
      <c r="V24" s="124"/>
      <c r="W24" s="124"/>
      <c r="X24"/>
      <c r="Y24"/>
      <c r="Z24"/>
      <c r="AA24" s="119"/>
      <c r="AB24" s="291" t="s">
        <v>143</v>
      </c>
      <c r="AC24" s="295" t="s">
        <v>22</v>
      </c>
      <c r="AD24" s="299" t="s">
        <v>12</v>
      </c>
      <c r="AE24" s="297">
        <v>5.0000000000000044E-2</v>
      </c>
      <c r="AF24" s="123"/>
      <c r="AG24" s="123"/>
      <c r="AH24" s="291">
        <f t="shared" si="0"/>
        <v>0</v>
      </c>
      <c r="AI24" s="311">
        <f t="shared" si="1"/>
        <v>0</v>
      </c>
      <c r="AJ24" s="311">
        <f t="shared" si="2"/>
        <v>0</v>
      </c>
      <c r="AK24" s="311">
        <f t="shared" si="3"/>
        <v>0</v>
      </c>
      <c r="AL24" s="124"/>
      <c r="AM24" s="124"/>
      <c r="AN24" s="124"/>
      <c r="AO24" s="124"/>
      <c r="AP24" s="132"/>
      <c r="AQ24" s="132"/>
      <c r="AR24" s="132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</row>
    <row r="25" spans="1:105" s="18" customFormat="1" ht="13.9" customHeight="1" thickTop="1" thickBot="1" x14ac:dyDescent="0.3">
      <c r="A25" s="550"/>
      <c r="B25" s="148"/>
      <c r="C25" s="570" t="s">
        <v>48</v>
      </c>
      <c r="D25" s="150">
        <f>AVERAGE(Compilation_Equal!D25,Compilation_Expert!D25)</f>
        <v>3.6239130434782607E-2</v>
      </c>
      <c r="E25" s="203" t="s">
        <v>72</v>
      </c>
      <c r="F25" s="152">
        <f>AVERAGE(Compilation_Equal!F25,Compilation_Expert!F25)</f>
        <v>2.1666666666666667E-2</v>
      </c>
      <c r="G25" s="171" t="s">
        <v>5</v>
      </c>
      <c r="H25" s="398">
        <f>User_Input!F35</f>
        <v>8.9999999999999998E-4</v>
      </c>
      <c r="I25" s="155">
        <f>User_Input!H35</f>
        <v>5.4500000000000009E-3</v>
      </c>
      <c r="J25" s="255" t="s">
        <v>21</v>
      </c>
      <c r="K25" s="173">
        <f t="shared" si="7"/>
        <v>0</v>
      </c>
      <c r="L25" s="166">
        <f t="shared" si="4"/>
        <v>0</v>
      </c>
      <c r="M25" s="263"/>
      <c r="N25" s="167">
        <f t="shared" si="5"/>
        <v>0</v>
      </c>
      <c r="O25" s="194">
        <f t="shared" si="6"/>
        <v>0</v>
      </c>
      <c r="P25" s="159">
        <f>O$46*D25</f>
        <v>1.4719126811594204E-2</v>
      </c>
      <c r="Q25" s="169"/>
      <c r="R25"/>
      <c r="S25" s="271"/>
      <c r="T25"/>
      <c r="U25" s="122"/>
      <c r="V25" s="119"/>
      <c r="W25" s="119"/>
      <c r="X25"/>
      <c r="Y25"/>
      <c r="Z25"/>
      <c r="AA25" s="119"/>
      <c r="AB25" s="291" t="s">
        <v>144</v>
      </c>
      <c r="AC25" s="292" t="s">
        <v>21</v>
      </c>
      <c r="AD25" s="298" t="s">
        <v>5</v>
      </c>
      <c r="AE25" s="294">
        <v>-4.5500000000000011E-3</v>
      </c>
      <c r="AF25" s="275"/>
      <c r="AG25" s="275"/>
      <c r="AH25" s="291">
        <f t="shared" si="0"/>
        <v>0</v>
      </c>
      <c r="AI25" s="311">
        <f t="shared" si="1"/>
        <v>0</v>
      </c>
      <c r="AJ25" s="311">
        <f t="shared" si="2"/>
        <v>0</v>
      </c>
      <c r="AK25" s="311">
        <f t="shared" si="3"/>
        <v>0</v>
      </c>
      <c r="AL25" s="119"/>
      <c r="AM25" s="119"/>
      <c r="AN25" s="119"/>
      <c r="AO25" s="119"/>
      <c r="AP25" s="133"/>
      <c r="AQ25" s="133"/>
      <c r="AR25" s="133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</row>
    <row r="26" spans="1:105" s="18" customFormat="1" ht="13.9" customHeight="1" thickBot="1" x14ac:dyDescent="0.3">
      <c r="A26" s="551"/>
      <c r="B26" s="148"/>
      <c r="C26" s="571"/>
      <c r="D26" s="150"/>
      <c r="E26" s="204" t="s">
        <v>73</v>
      </c>
      <c r="F26" s="152">
        <f>AVERAGE(Compilation_Equal!F26,Compilation_Expert!F26)</f>
        <v>2.9666666666666668E-2</v>
      </c>
      <c r="G26" s="180" t="s">
        <v>5</v>
      </c>
      <c r="H26" s="398">
        <f>User_Input!F36</f>
        <v>6.3999999999999997E-5</v>
      </c>
      <c r="I26" s="155">
        <f>User_Input!H36</f>
        <v>4.8200000000000001E-4</v>
      </c>
      <c r="J26" s="256" t="s">
        <v>21</v>
      </c>
      <c r="K26" s="183">
        <f t="shared" si="7"/>
        <v>0</v>
      </c>
      <c r="L26" s="182">
        <f t="shared" si="4"/>
        <v>0</v>
      </c>
      <c r="M26" s="264"/>
      <c r="N26" s="167">
        <f t="shared" si="5"/>
        <v>0</v>
      </c>
      <c r="O26" s="199">
        <f t="shared" si="6"/>
        <v>0</v>
      </c>
      <c r="P26" s="159"/>
      <c r="Q26" s="185"/>
      <c r="R26"/>
      <c r="S26" s="271"/>
      <c r="T26"/>
      <c r="U26" s="122"/>
      <c r="V26" s="119"/>
      <c r="W26" s="119"/>
      <c r="X26"/>
      <c r="Y26"/>
      <c r="Z26"/>
      <c r="AA26" s="119"/>
      <c r="AB26" s="291" t="s">
        <v>145</v>
      </c>
      <c r="AC26" s="292" t="s">
        <v>21</v>
      </c>
      <c r="AD26" s="300" t="s">
        <v>5</v>
      </c>
      <c r="AE26" s="294">
        <v>-4.1800000000000002E-4</v>
      </c>
      <c r="AF26" s="275"/>
      <c r="AG26" s="275"/>
      <c r="AH26" s="291">
        <f t="shared" si="0"/>
        <v>0</v>
      </c>
      <c r="AI26" s="311">
        <f t="shared" si="1"/>
        <v>0</v>
      </c>
      <c r="AJ26" s="311">
        <f t="shared" si="2"/>
        <v>0</v>
      </c>
      <c r="AK26" s="311">
        <f t="shared" si="3"/>
        <v>0</v>
      </c>
      <c r="AL26" s="119"/>
      <c r="AM26" s="119"/>
      <c r="AN26" s="119"/>
      <c r="AO26" s="119"/>
      <c r="AP26" s="133"/>
      <c r="AQ26" s="133"/>
      <c r="AR26" s="133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</row>
    <row r="27" spans="1:105" s="38" customFormat="1" ht="16.149999999999999" customHeight="1" thickBot="1" x14ac:dyDescent="0.3">
      <c r="A27" s="549" t="s">
        <v>97</v>
      </c>
      <c r="B27" s="148">
        <f>AVERAGE(Compilation_Equal!B27,Compilation_Expert!B27)</f>
        <v>0.16533333333333333</v>
      </c>
      <c r="C27" s="200" t="s">
        <v>49</v>
      </c>
      <c r="D27" s="150">
        <f>AVERAGE(Compilation_Equal!D27,Compilation_Expert!D27)</f>
        <v>4.3739130434782607E-2</v>
      </c>
      <c r="E27" s="205" t="s">
        <v>74</v>
      </c>
      <c r="F27" s="152">
        <f>AVERAGE(Compilation_Equal!F27,Compilation_Expert!F27)</f>
        <v>2.6666666666666665E-2</v>
      </c>
      <c r="G27" s="153" t="s">
        <v>7</v>
      </c>
      <c r="H27" s="398">
        <f>User_Input!F37</f>
        <v>46</v>
      </c>
      <c r="I27" s="155">
        <f>User_Input!H37</f>
        <v>54.5</v>
      </c>
      <c r="J27" s="257" t="s">
        <v>21</v>
      </c>
      <c r="K27" s="156">
        <f t="shared" si="7"/>
        <v>0</v>
      </c>
      <c r="L27" s="155">
        <f t="shared" si="4"/>
        <v>0</v>
      </c>
      <c r="M27" s="266"/>
      <c r="N27" s="157">
        <f t="shared" si="5"/>
        <v>0</v>
      </c>
      <c r="O27" s="190">
        <f t="shared" si="6"/>
        <v>0</v>
      </c>
      <c r="P27" s="159">
        <f t="shared" ref="P27:P34" si="9">O$46*D27</f>
        <v>1.7765376811594204E-2</v>
      </c>
      <c r="Q27" s="160">
        <f>P$47*B27</f>
        <v>6.7220041777777767E-2</v>
      </c>
      <c r="R27"/>
      <c r="S27" s="271"/>
      <c r="T27"/>
      <c r="U27" s="122"/>
      <c r="V27" s="119"/>
      <c r="W27" s="119"/>
      <c r="X27"/>
      <c r="Y27"/>
      <c r="Z27"/>
      <c r="AA27" s="119"/>
      <c r="AB27" s="291" t="s">
        <v>146</v>
      </c>
      <c r="AC27" s="292" t="s">
        <v>21</v>
      </c>
      <c r="AD27" s="293" t="s">
        <v>7</v>
      </c>
      <c r="AE27" s="294">
        <v>-8.5</v>
      </c>
      <c r="AF27" s="275"/>
      <c r="AG27" s="275"/>
      <c r="AH27" s="291">
        <f t="shared" si="0"/>
        <v>0</v>
      </c>
      <c r="AI27" s="311">
        <f t="shared" si="1"/>
        <v>0</v>
      </c>
      <c r="AJ27" s="311">
        <f t="shared" si="2"/>
        <v>0</v>
      </c>
      <c r="AK27" s="311">
        <f t="shared" si="3"/>
        <v>0</v>
      </c>
      <c r="AL27" s="119"/>
      <c r="AM27" s="119"/>
      <c r="AN27" s="119"/>
      <c r="AO27" s="119"/>
      <c r="AP27" s="133"/>
      <c r="AQ27" s="133"/>
      <c r="AR27" s="133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</row>
    <row r="28" spans="1:105" s="18" customFormat="1" ht="15.75" thickBot="1" x14ac:dyDescent="0.3">
      <c r="A28" s="550"/>
      <c r="B28" s="148"/>
      <c r="C28" s="191" t="s">
        <v>50</v>
      </c>
      <c r="D28" s="150">
        <f>AVERAGE(Compilation_Equal!D28,Compilation_Expert!D28)</f>
        <v>4.2739130434782613E-2</v>
      </c>
      <c r="E28" s="203" t="s">
        <v>75</v>
      </c>
      <c r="F28" s="152">
        <f>AVERAGE(Compilation_Equal!F28,Compilation_Expert!F28)</f>
        <v>3.2666666666666663E-2</v>
      </c>
      <c r="G28" s="171" t="s">
        <v>15</v>
      </c>
      <c r="H28" s="398">
        <f>User_Input!F38</f>
        <v>3.72</v>
      </c>
      <c r="I28" s="155">
        <f>User_Input!H38</f>
        <v>3.7300000000000004</v>
      </c>
      <c r="J28" s="255" t="s">
        <v>21</v>
      </c>
      <c r="K28" s="173">
        <f t="shared" si="7"/>
        <v>0</v>
      </c>
      <c r="L28" s="166">
        <f t="shared" si="4"/>
        <v>0</v>
      </c>
      <c r="M28" s="263"/>
      <c r="N28" s="167">
        <f t="shared" si="5"/>
        <v>0</v>
      </c>
      <c r="O28" s="194">
        <f t="shared" si="6"/>
        <v>0</v>
      </c>
      <c r="P28" s="159">
        <f t="shared" si="9"/>
        <v>1.7359210144927542E-2</v>
      </c>
      <c r="Q28" s="169"/>
      <c r="R28"/>
      <c r="S28" s="271"/>
      <c r="T28"/>
      <c r="U28" s="122"/>
      <c r="V28" s="119"/>
      <c r="W28" s="119"/>
      <c r="X28"/>
      <c r="Y28"/>
      <c r="Z28"/>
      <c r="AA28" s="119"/>
      <c r="AB28" s="291" t="s">
        <v>147</v>
      </c>
      <c r="AC28" s="292" t="s">
        <v>21</v>
      </c>
      <c r="AD28" s="298" t="s">
        <v>15</v>
      </c>
      <c r="AE28" s="294">
        <v>-1.0000000000000231E-2</v>
      </c>
      <c r="AF28" s="275"/>
      <c r="AG28" s="275"/>
      <c r="AH28" s="291">
        <f t="shared" si="0"/>
        <v>0</v>
      </c>
      <c r="AI28" s="311">
        <f t="shared" si="1"/>
        <v>0</v>
      </c>
      <c r="AJ28" s="311">
        <f t="shared" si="2"/>
        <v>0</v>
      </c>
      <c r="AK28" s="311">
        <f t="shared" si="3"/>
        <v>0</v>
      </c>
      <c r="AL28" s="119"/>
      <c r="AM28" s="119"/>
      <c r="AN28" s="119"/>
      <c r="AO28" s="119"/>
      <c r="AP28" s="133"/>
      <c r="AQ28" s="133"/>
      <c r="AR28" s="133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</row>
    <row r="29" spans="1:105" s="42" customFormat="1" ht="13.15" customHeight="1" thickTop="1" thickBot="1" x14ac:dyDescent="0.3">
      <c r="A29" s="550"/>
      <c r="B29" s="148"/>
      <c r="C29" s="202" t="s">
        <v>51</v>
      </c>
      <c r="D29" s="150">
        <f>AVERAGE(Compilation_Equal!D29,Compilation_Expert!D29)</f>
        <v>4.3739130434782607E-2</v>
      </c>
      <c r="E29" s="192" t="s">
        <v>76</v>
      </c>
      <c r="F29" s="152">
        <f>AVERAGE(Compilation_Equal!F29,Compilation_Expert!F29)</f>
        <v>4.3166666666666666E-2</v>
      </c>
      <c r="G29" s="207" t="s">
        <v>6</v>
      </c>
      <c r="H29" s="398">
        <f>User_Input!F39</f>
        <v>37.700000000000003</v>
      </c>
      <c r="I29" s="155">
        <f>User_Input!H39</f>
        <v>34.545000000000002</v>
      </c>
      <c r="J29" s="165" t="s">
        <v>22</v>
      </c>
      <c r="K29" s="166"/>
      <c r="L29" s="166">
        <f t="shared" si="4"/>
        <v>0</v>
      </c>
      <c r="M29" s="268">
        <f t="shared" si="8"/>
        <v>0</v>
      </c>
      <c r="N29" s="167">
        <f t="shared" si="5"/>
        <v>0</v>
      </c>
      <c r="O29" s="194">
        <f t="shared" si="6"/>
        <v>0</v>
      </c>
      <c r="P29" s="159">
        <f t="shared" si="9"/>
        <v>1.7765376811594204E-2</v>
      </c>
      <c r="Q29" s="169"/>
      <c r="R29"/>
      <c r="S29" s="271"/>
      <c r="T29"/>
      <c r="U29" s="123"/>
      <c r="V29" s="124"/>
      <c r="W29" s="124"/>
      <c r="X29"/>
      <c r="Y29"/>
      <c r="Z29"/>
      <c r="AA29" s="119"/>
      <c r="AB29" s="291" t="s">
        <v>148</v>
      </c>
      <c r="AC29" s="295" t="s">
        <v>22</v>
      </c>
      <c r="AD29" s="302" t="s">
        <v>6</v>
      </c>
      <c r="AE29" s="297">
        <v>3.1550000000000011</v>
      </c>
      <c r="AF29" s="123"/>
      <c r="AG29" s="123"/>
      <c r="AH29" s="291">
        <f t="shared" si="0"/>
        <v>0</v>
      </c>
      <c r="AI29" s="311">
        <f t="shared" si="1"/>
        <v>0</v>
      </c>
      <c r="AJ29" s="311">
        <f t="shared" si="2"/>
        <v>0</v>
      </c>
      <c r="AK29" s="311">
        <f t="shared" si="3"/>
        <v>0</v>
      </c>
      <c r="AL29" s="124"/>
      <c r="AM29" s="124"/>
      <c r="AN29" s="124"/>
      <c r="AO29" s="124"/>
      <c r="AP29" s="132"/>
      <c r="AQ29" s="132"/>
      <c r="AR29" s="132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124"/>
      <c r="CL29" s="124"/>
      <c r="CM29" s="124"/>
      <c r="CN29" s="124"/>
      <c r="CO29" s="124"/>
      <c r="CP29" s="124"/>
      <c r="CQ29" s="124"/>
      <c r="CR29" s="124"/>
      <c r="CS29" s="124"/>
      <c r="CT29" s="124"/>
      <c r="CU29" s="124"/>
      <c r="CV29" s="124"/>
      <c r="CW29" s="124"/>
      <c r="CX29" s="124"/>
      <c r="CY29" s="124"/>
      <c r="CZ29" s="124"/>
      <c r="DA29" s="124"/>
    </row>
    <row r="30" spans="1:105" s="18" customFormat="1" ht="16.5" thickTop="1" thickBot="1" x14ac:dyDescent="0.3">
      <c r="A30" s="550"/>
      <c r="B30" s="148"/>
      <c r="C30" s="191" t="s">
        <v>52</v>
      </c>
      <c r="D30" s="150">
        <f>AVERAGE(Compilation_Equal!D30,Compilation_Expert!D30)</f>
        <v>4.4739130434782608E-2</v>
      </c>
      <c r="E30" s="203" t="s">
        <v>77</v>
      </c>
      <c r="F30" s="152">
        <f>AVERAGE(Compilation_Equal!F30,Compilation_Expert!F30)</f>
        <v>3.6166666666666666E-2</v>
      </c>
      <c r="G30" s="171" t="s">
        <v>4</v>
      </c>
      <c r="H30" s="398">
        <f>User_Input!F40</f>
        <v>68</v>
      </c>
      <c r="I30" s="155">
        <f>User_Input!H40</f>
        <v>65.5</v>
      </c>
      <c r="J30" s="255" t="s">
        <v>21</v>
      </c>
      <c r="K30" s="173">
        <f t="shared" si="7"/>
        <v>1</v>
      </c>
      <c r="L30" s="166">
        <f t="shared" si="4"/>
        <v>0</v>
      </c>
      <c r="M30" s="263"/>
      <c r="N30" s="167">
        <f t="shared" si="5"/>
        <v>1</v>
      </c>
      <c r="O30" s="194">
        <f t="shared" si="6"/>
        <v>3.6166666666666666E-2</v>
      </c>
      <c r="P30" s="159">
        <f t="shared" si="9"/>
        <v>1.8171543478260874E-2</v>
      </c>
      <c r="Q30" s="169"/>
      <c r="R30"/>
      <c r="S30" s="271"/>
      <c r="T30"/>
      <c r="U30" s="122"/>
      <c r="V30" s="119"/>
      <c r="W30" s="119"/>
      <c r="X30"/>
      <c r="Y30"/>
      <c r="Z30"/>
      <c r="AA30" s="119"/>
      <c r="AB30" s="291" t="s">
        <v>149</v>
      </c>
      <c r="AC30" s="292" t="s">
        <v>21</v>
      </c>
      <c r="AD30" s="298" t="s">
        <v>4</v>
      </c>
      <c r="AE30" s="294">
        <v>2.5</v>
      </c>
      <c r="AF30" s="275"/>
      <c r="AG30" s="275"/>
      <c r="AH30" s="291">
        <f t="shared" si="0"/>
        <v>1</v>
      </c>
      <c r="AI30" s="311">
        <f t="shared" si="1"/>
        <v>2.0666666666666667E-2</v>
      </c>
      <c r="AJ30" s="311">
        <f t="shared" si="2"/>
        <v>4.4739130434782608E-2</v>
      </c>
      <c r="AK30" s="311">
        <f t="shared" si="3"/>
        <v>3.3333333333333333E-2</v>
      </c>
      <c r="AL30" s="119"/>
      <c r="AM30" s="119"/>
      <c r="AN30" s="119"/>
      <c r="AO30" s="119"/>
      <c r="AP30" s="133"/>
      <c r="AQ30" s="133"/>
      <c r="AR30" s="133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</row>
    <row r="31" spans="1:105" s="18" customFormat="1" ht="15.75" thickBot="1" x14ac:dyDescent="0.3">
      <c r="A31" s="550"/>
      <c r="B31" s="148"/>
      <c r="C31" s="208" t="s">
        <v>53</v>
      </c>
      <c r="D31" s="150">
        <f>AVERAGE(Compilation_Equal!D31,Compilation_Expert!D31)</f>
        <v>5.0239130434782606E-2</v>
      </c>
      <c r="E31" s="203" t="s">
        <v>78</v>
      </c>
      <c r="F31" s="152">
        <f>AVERAGE(Compilation_Equal!F31,Compilation_Expert!F31)</f>
        <v>4.2666666666666665E-2</v>
      </c>
      <c r="G31" s="176" t="s">
        <v>17</v>
      </c>
      <c r="H31" s="398">
        <f>User_Input!F41</f>
        <v>0.13</v>
      </c>
      <c r="I31" s="155">
        <f>User_Input!H41</f>
        <v>0.21</v>
      </c>
      <c r="J31" s="255" t="s">
        <v>21</v>
      </c>
      <c r="K31" s="173">
        <f t="shared" si="7"/>
        <v>0</v>
      </c>
      <c r="L31" s="166">
        <f t="shared" si="4"/>
        <v>0</v>
      </c>
      <c r="M31" s="263"/>
      <c r="N31" s="167">
        <f t="shared" si="5"/>
        <v>0</v>
      </c>
      <c r="O31" s="194">
        <f t="shared" si="6"/>
        <v>0</v>
      </c>
      <c r="P31" s="159">
        <f t="shared" si="9"/>
        <v>2.0405460144927539E-2</v>
      </c>
      <c r="Q31" s="169"/>
      <c r="R31"/>
      <c r="S31" s="271"/>
      <c r="T31"/>
      <c r="U31" s="122"/>
      <c r="V31" s="119"/>
      <c r="W31" s="119"/>
      <c r="X31"/>
      <c r="Y31"/>
      <c r="Z31"/>
      <c r="AA31" s="119"/>
      <c r="AB31" s="291" t="s">
        <v>150</v>
      </c>
      <c r="AC31" s="292" t="s">
        <v>21</v>
      </c>
      <c r="AD31" s="299" t="s">
        <v>17</v>
      </c>
      <c r="AE31" s="294">
        <v>-7.9999999999999988E-2</v>
      </c>
      <c r="AF31" s="275"/>
      <c r="AG31" s="275"/>
      <c r="AH31" s="291">
        <f t="shared" si="0"/>
        <v>0</v>
      </c>
      <c r="AI31" s="311">
        <f t="shared" si="1"/>
        <v>0</v>
      </c>
      <c r="AJ31" s="311">
        <f t="shared" si="2"/>
        <v>0</v>
      </c>
      <c r="AK31" s="311">
        <f t="shared" si="3"/>
        <v>0</v>
      </c>
      <c r="AL31" s="119"/>
      <c r="AM31" s="119"/>
      <c r="AN31" s="119"/>
      <c r="AO31" s="119"/>
      <c r="AP31" s="133"/>
      <c r="AQ31" s="133"/>
      <c r="AR31" s="133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</row>
    <row r="32" spans="1:105" s="18" customFormat="1" ht="15.75" thickBot="1" x14ac:dyDescent="0.3">
      <c r="A32" s="550"/>
      <c r="B32" s="148"/>
      <c r="C32" s="208" t="s">
        <v>54</v>
      </c>
      <c r="D32" s="150">
        <f>AVERAGE(Compilation_Equal!D32,Compilation_Expert!D32)</f>
        <v>5.5739130434782611E-2</v>
      </c>
      <c r="E32" s="203" t="s">
        <v>79</v>
      </c>
      <c r="F32" s="152">
        <f>AVERAGE(Compilation_Equal!F32,Compilation_Expert!F32)</f>
        <v>2.9166666666666667E-2</v>
      </c>
      <c r="G32" s="176" t="s">
        <v>8</v>
      </c>
      <c r="H32" s="398">
        <f>User_Input!F42</f>
        <v>168</v>
      </c>
      <c r="I32" s="155">
        <f>User_Input!H42</f>
        <v>202.5</v>
      </c>
      <c r="J32" s="258" t="s">
        <v>21</v>
      </c>
      <c r="K32" s="173">
        <f t="shared" si="7"/>
        <v>0</v>
      </c>
      <c r="L32" s="166">
        <f t="shared" si="4"/>
        <v>0</v>
      </c>
      <c r="M32" s="263"/>
      <c r="N32" s="167">
        <f t="shared" si="5"/>
        <v>0</v>
      </c>
      <c r="O32" s="194">
        <f t="shared" si="6"/>
        <v>0</v>
      </c>
      <c r="P32" s="159">
        <f t="shared" si="9"/>
        <v>2.2639376811594208E-2</v>
      </c>
      <c r="Q32" s="169"/>
      <c r="R32"/>
      <c r="S32" s="271"/>
      <c r="T32"/>
      <c r="U32" s="122"/>
      <c r="V32" s="119"/>
      <c r="W32" s="119"/>
      <c r="X32"/>
      <c r="Y32"/>
      <c r="Z32"/>
      <c r="AA32" s="119"/>
      <c r="AB32" s="291" t="s">
        <v>151</v>
      </c>
      <c r="AC32" s="292" t="s">
        <v>21</v>
      </c>
      <c r="AD32" s="299" t="s">
        <v>8</v>
      </c>
      <c r="AE32" s="294">
        <v>-34.5</v>
      </c>
      <c r="AF32" s="275"/>
      <c r="AG32" s="275"/>
      <c r="AH32" s="291">
        <f t="shared" si="0"/>
        <v>0</v>
      </c>
      <c r="AI32" s="311">
        <f t="shared" si="1"/>
        <v>0</v>
      </c>
      <c r="AJ32" s="311">
        <f t="shared" si="2"/>
        <v>0</v>
      </c>
      <c r="AK32" s="311">
        <f t="shared" si="3"/>
        <v>0</v>
      </c>
      <c r="AL32" s="119"/>
      <c r="AM32" s="119"/>
      <c r="AN32" s="119"/>
      <c r="AO32" s="119"/>
      <c r="AP32" s="133"/>
      <c r="AQ32" s="133"/>
      <c r="AR32" s="133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</row>
    <row r="33" spans="1:105" s="42" customFormat="1" ht="16.5" thickTop="1" thickBot="1" x14ac:dyDescent="0.3">
      <c r="A33" s="550"/>
      <c r="B33" s="148"/>
      <c r="C33" s="210" t="s">
        <v>55</v>
      </c>
      <c r="D33" s="150">
        <f>AVERAGE(Compilation_Equal!D33,Compilation_Expert!D33)</f>
        <v>2.6239130434782609E-2</v>
      </c>
      <c r="E33" s="203" t="s">
        <v>80</v>
      </c>
      <c r="F33" s="152">
        <f>AVERAGE(Compilation_Equal!F33,Compilation_Expert!F33)</f>
        <v>3.7166666666666667E-2</v>
      </c>
      <c r="G33" s="176" t="s">
        <v>4</v>
      </c>
      <c r="H33" s="398">
        <f>User_Input!F43</f>
        <v>90</v>
      </c>
      <c r="I33" s="155">
        <f>User_Input!H43</f>
        <v>74.5</v>
      </c>
      <c r="J33" s="164" t="s">
        <v>22</v>
      </c>
      <c r="K33" s="166"/>
      <c r="L33" s="166">
        <f t="shared" si="4"/>
        <v>0</v>
      </c>
      <c r="M33" s="269">
        <f t="shared" si="8"/>
        <v>0</v>
      </c>
      <c r="N33" s="167">
        <f t="shared" si="5"/>
        <v>0</v>
      </c>
      <c r="O33" s="194">
        <f t="shared" si="6"/>
        <v>0</v>
      </c>
      <c r="P33" s="159">
        <f t="shared" si="9"/>
        <v>1.0657460144927538E-2</v>
      </c>
      <c r="Q33" s="169"/>
      <c r="R33"/>
      <c r="S33" s="271"/>
      <c r="T33"/>
      <c r="U33" s="123"/>
      <c r="V33" s="124"/>
      <c r="W33" s="124"/>
      <c r="X33" s="6" t="s">
        <v>232</v>
      </c>
      <c r="Y33"/>
      <c r="Z33"/>
      <c r="AA33" s="119"/>
      <c r="AB33" s="291" t="s">
        <v>152</v>
      </c>
      <c r="AC33" s="295" t="s">
        <v>22</v>
      </c>
      <c r="AD33" s="299" t="s">
        <v>4</v>
      </c>
      <c r="AE33" s="297">
        <v>15.5</v>
      </c>
      <c r="AF33" s="123"/>
      <c r="AG33" s="123"/>
      <c r="AH33" s="291">
        <f t="shared" si="0"/>
        <v>0</v>
      </c>
      <c r="AI33" s="311">
        <f t="shared" si="1"/>
        <v>0</v>
      </c>
      <c r="AJ33" s="311">
        <f t="shared" si="2"/>
        <v>0</v>
      </c>
      <c r="AK33" s="311">
        <f t="shared" si="3"/>
        <v>0</v>
      </c>
      <c r="AL33" s="124"/>
      <c r="AM33" s="124"/>
      <c r="AN33" s="124"/>
      <c r="AO33" s="124"/>
      <c r="AP33" s="132"/>
      <c r="AQ33" s="132"/>
      <c r="AR33" s="132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124"/>
      <c r="CL33" s="124"/>
      <c r="CM33" s="124"/>
      <c r="CN33" s="124"/>
      <c r="CO33" s="124"/>
      <c r="CP33" s="124"/>
      <c r="CQ33" s="124"/>
      <c r="CR33" s="124"/>
      <c r="CS33" s="124"/>
      <c r="CT33" s="124"/>
      <c r="CU33" s="124"/>
      <c r="CV33" s="124"/>
      <c r="CW33" s="124"/>
      <c r="CX33" s="124"/>
      <c r="CY33" s="124"/>
      <c r="CZ33" s="124"/>
      <c r="DA33" s="124"/>
    </row>
    <row r="34" spans="1:105" s="42" customFormat="1" ht="13.15" customHeight="1" thickTop="1" thickBot="1" x14ac:dyDescent="0.3">
      <c r="A34" s="550"/>
      <c r="B34" s="148"/>
      <c r="C34" s="574" t="s">
        <v>56</v>
      </c>
      <c r="D34" s="150">
        <f>AVERAGE(Compilation_Equal!D34,Compilation_Expert!D34)</f>
        <v>5.473913043478261E-2</v>
      </c>
      <c r="E34" s="203" t="s">
        <v>81</v>
      </c>
      <c r="F34" s="152">
        <f>AVERAGE(Compilation_Equal!F34,Compilation_Expert!F34)</f>
        <v>4.2666666666666665E-2</v>
      </c>
      <c r="G34" s="176" t="s">
        <v>4</v>
      </c>
      <c r="H34" s="398">
        <f>User_Input!F44</f>
        <v>35</v>
      </c>
      <c r="I34" s="155">
        <f>User_Input!H44</f>
        <v>26</v>
      </c>
      <c r="J34" s="164" t="s">
        <v>22</v>
      </c>
      <c r="K34" s="166"/>
      <c r="L34" s="166">
        <f t="shared" si="4"/>
        <v>0</v>
      </c>
      <c r="M34" s="262">
        <f t="shared" si="8"/>
        <v>0</v>
      </c>
      <c r="N34" s="167">
        <f t="shared" si="5"/>
        <v>0</v>
      </c>
      <c r="O34" s="194">
        <f t="shared" si="6"/>
        <v>0</v>
      </c>
      <c r="P34" s="159">
        <f t="shared" si="9"/>
        <v>2.2233210144927538E-2</v>
      </c>
      <c r="Q34" s="169"/>
      <c r="R34"/>
      <c r="S34" s="271"/>
      <c r="T34"/>
      <c r="U34" s="123"/>
      <c r="V34" s="124"/>
      <c r="W34" s="124"/>
      <c r="X34" s="18"/>
      <c r="Y34" s="18"/>
      <c r="Z34" s="18"/>
      <c r="AA34" s="119"/>
      <c r="AB34" s="291" t="s">
        <v>153</v>
      </c>
      <c r="AC34" s="295" t="s">
        <v>22</v>
      </c>
      <c r="AD34" s="299" t="s">
        <v>4</v>
      </c>
      <c r="AE34" s="297">
        <v>9</v>
      </c>
      <c r="AF34" s="123"/>
      <c r="AG34" s="123"/>
      <c r="AH34" s="291">
        <f t="shared" si="0"/>
        <v>0</v>
      </c>
      <c r="AI34" s="311">
        <f t="shared" si="1"/>
        <v>0</v>
      </c>
      <c r="AJ34" s="311">
        <f t="shared" si="2"/>
        <v>0</v>
      </c>
      <c r="AK34" s="311">
        <f t="shared" si="3"/>
        <v>0</v>
      </c>
      <c r="AL34" s="124"/>
      <c r="AM34" s="124"/>
      <c r="AN34" s="124"/>
      <c r="AO34" s="124"/>
      <c r="AP34" s="132"/>
      <c r="AQ34" s="132"/>
      <c r="AR34" s="132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124"/>
      <c r="CL34" s="124"/>
      <c r="CM34" s="124"/>
      <c r="CN34" s="124"/>
      <c r="CO34" s="124"/>
      <c r="CP34" s="124"/>
      <c r="CQ34" s="124"/>
      <c r="CR34" s="124"/>
      <c r="CS34" s="124"/>
      <c r="CT34" s="124"/>
      <c r="CU34" s="124"/>
      <c r="CV34" s="124"/>
      <c r="CW34" s="124"/>
      <c r="CX34" s="124"/>
      <c r="CY34" s="124"/>
      <c r="CZ34" s="124"/>
      <c r="DA34" s="124"/>
    </row>
    <row r="35" spans="1:105" s="51" customFormat="1" ht="15" customHeight="1" thickTop="1" thickBot="1" x14ac:dyDescent="0.3">
      <c r="A35" s="551"/>
      <c r="B35" s="148"/>
      <c r="C35" s="575"/>
      <c r="D35" s="150"/>
      <c r="E35" s="204" t="s">
        <v>82</v>
      </c>
      <c r="F35" s="152">
        <f>AVERAGE(Compilation_Equal!F35,Compilation_Expert!F35)</f>
        <v>2.5166666666666667E-2</v>
      </c>
      <c r="G35" s="211" t="s">
        <v>9</v>
      </c>
      <c r="H35" s="398">
        <f>User_Input!F45</f>
        <v>72</v>
      </c>
      <c r="I35" s="155">
        <f>User_Input!H45</f>
        <v>57</v>
      </c>
      <c r="J35" s="259" t="s">
        <v>22</v>
      </c>
      <c r="K35" s="182"/>
      <c r="L35" s="182">
        <f t="shared" si="4"/>
        <v>0</v>
      </c>
      <c r="M35" s="267">
        <f t="shared" si="8"/>
        <v>0</v>
      </c>
      <c r="N35" s="167">
        <f t="shared" si="5"/>
        <v>0</v>
      </c>
      <c r="O35" s="199">
        <f t="shared" si="6"/>
        <v>0</v>
      </c>
      <c r="P35" s="159"/>
      <c r="Q35" s="185"/>
      <c r="R35"/>
      <c r="S35" s="271"/>
      <c r="T35"/>
      <c r="U35" s="123"/>
      <c r="V35" s="124"/>
      <c r="W35" s="124"/>
      <c r="X35" s="124"/>
      <c r="Y35" s="18"/>
      <c r="Z35" s="18"/>
      <c r="AA35"/>
      <c r="AB35" s="291" t="s">
        <v>154</v>
      </c>
      <c r="AC35" s="295" t="s">
        <v>22</v>
      </c>
      <c r="AD35" s="303" t="s">
        <v>9</v>
      </c>
      <c r="AE35" s="297">
        <v>15</v>
      </c>
      <c r="AF35" s="123"/>
      <c r="AG35" s="123"/>
      <c r="AH35" s="291">
        <f t="shared" si="0"/>
        <v>0</v>
      </c>
      <c r="AI35" s="311">
        <f t="shared" si="1"/>
        <v>0</v>
      </c>
      <c r="AJ35" s="311">
        <f t="shared" si="2"/>
        <v>0</v>
      </c>
      <c r="AK35" s="311">
        <f t="shared" si="3"/>
        <v>0</v>
      </c>
      <c r="AL35" s="124"/>
      <c r="AM35" s="124"/>
      <c r="AN35" s="124"/>
      <c r="AO35" s="124"/>
      <c r="AP35" s="132"/>
      <c r="AQ35" s="132"/>
      <c r="AR35" s="132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4"/>
      <c r="CE35" s="124"/>
      <c r="CF35" s="124"/>
      <c r="CG35" s="124"/>
      <c r="CH35" s="124"/>
      <c r="CI35" s="124"/>
      <c r="CJ35" s="124"/>
      <c r="CK35" s="124"/>
      <c r="CL35" s="124"/>
      <c r="CM35" s="124"/>
      <c r="CN35" s="124"/>
      <c r="CO35" s="124"/>
      <c r="CP35" s="124"/>
      <c r="CQ35" s="124"/>
      <c r="CR35" s="124"/>
      <c r="CS35" s="124"/>
      <c r="CT35" s="124"/>
      <c r="CU35" s="124"/>
      <c r="CV35" s="124"/>
      <c r="CW35" s="124"/>
      <c r="CX35" s="124"/>
      <c r="CY35" s="124"/>
      <c r="CZ35" s="124"/>
      <c r="DA35" s="124"/>
    </row>
    <row r="36" spans="1:105" s="48" customFormat="1" ht="13.9" customHeight="1" thickBot="1" x14ac:dyDescent="0.3">
      <c r="A36" s="549" t="s">
        <v>98</v>
      </c>
      <c r="B36" s="148">
        <f>AVERAGE(Compilation_Equal!B36,Compilation_Expert!B36)</f>
        <v>0.22483333333333333</v>
      </c>
      <c r="C36" s="565" t="s">
        <v>57</v>
      </c>
      <c r="D36" s="150">
        <f>AVERAGE(Compilation_Equal!D36,Compilation_Expert!D36)</f>
        <v>7.5239130434782614E-2</v>
      </c>
      <c r="E36" s="151" t="s">
        <v>83</v>
      </c>
      <c r="F36" s="152">
        <f>AVERAGE(Compilation_Equal!F36,Compilation_Expert!F36)</f>
        <v>4.6666666666666662E-2</v>
      </c>
      <c r="G36" s="212" t="s">
        <v>10</v>
      </c>
      <c r="H36" s="398">
        <f>User_Input!F46</f>
        <v>1498</v>
      </c>
      <c r="I36" s="155">
        <f>User_Input!H46</f>
        <v>1291</v>
      </c>
      <c r="J36" s="188" t="s">
        <v>22</v>
      </c>
      <c r="K36" s="155"/>
      <c r="L36" s="155">
        <f t="shared" si="4"/>
        <v>0</v>
      </c>
      <c r="M36" s="265">
        <f t="shared" si="8"/>
        <v>0</v>
      </c>
      <c r="N36" s="157">
        <f t="shared" si="5"/>
        <v>0</v>
      </c>
      <c r="O36" s="190">
        <f t="shared" si="6"/>
        <v>0</v>
      </c>
      <c r="P36" s="159">
        <f>O$46*D36</f>
        <v>3.0559626811594211E-2</v>
      </c>
      <c r="Q36" s="160">
        <f>P$47*B36</f>
        <v>9.1411125361111095E-2</v>
      </c>
      <c r="R36"/>
      <c r="S36" s="271"/>
      <c r="T36"/>
      <c r="U36" s="123"/>
      <c r="V36" s="124"/>
      <c r="W36" s="124"/>
      <c r="X36"/>
      <c r="Y36"/>
      <c r="Z36"/>
      <c r="AA36"/>
      <c r="AB36" s="291" t="s">
        <v>155</v>
      </c>
      <c r="AC36" s="295" t="s">
        <v>22</v>
      </c>
      <c r="AD36" s="304" t="s">
        <v>10</v>
      </c>
      <c r="AE36" s="297">
        <v>207</v>
      </c>
      <c r="AF36" s="123"/>
      <c r="AG36" s="123"/>
      <c r="AH36" s="291">
        <f t="shared" si="0"/>
        <v>0</v>
      </c>
      <c r="AI36" s="311">
        <f t="shared" si="1"/>
        <v>0</v>
      </c>
      <c r="AJ36" s="311">
        <f t="shared" si="2"/>
        <v>0</v>
      </c>
      <c r="AK36" s="311">
        <f t="shared" si="3"/>
        <v>0</v>
      </c>
      <c r="AL36" s="124"/>
      <c r="AM36" s="124"/>
      <c r="AN36" s="124"/>
      <c r="AO36" s="124"/>
      <c r="AP36" s="132"/>
      <c r="AQ36" s="132"/>
      <c r="AR36" s="132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4"/>
      <c r="CW36" s="124"/>
      <c r="CX36" s="124"/>
      <c r="CY36" s="124"/>
      <c r="CZ36" s="124"/>
      <c r="DA36" s="124"/>
    </row>
    <row r="37" spans="1:105" s="42" customFormat="1" ht="12.6" customHeight="1" thickTop="1" thickBot="1" x14ac:dyDescent="0.3">
      <c r="A37" s="550"/>
      <c r="B37" s="148"/>
      <c r="C37" s="566"/>
      <c r="D37" s="150"/>
      <c r="E37" s="163" t="s">
        <v>84</v>
      </c>
      <c r="F37" s="152">
        <f>AVERAGE(Compilation_Equal!F37,Compilation_Expert!F37)</f>
        <v>3.7666666666666668E-2</v>
      </c>
      <c r="G37" s="176" t="s">
        <v>18</v>
      </c>
      <c r="H37" s="398">
        <f>User_Input!F47</f>
        <v>1.62</v>
      </c>
      <c r="I37" s="155">
        <f>User_Input!H47</f>
        <v>1.675</v>
      </c>
      <c r="J37" s="164" t="s">
        <v>22</v>
      </c>
      <c r="K37" s="166"/>
      <c r="L37" s="166">
        <f t="shared" si="4"/>
        <v>0</v>
      </c>
      <c r="M37" s="262">
        <f t="shared" si="8"/>
        <v>1</v>
      </c>
      <c r="N37" s="167">
        <f t="shared" si="5"/>
        <v>1</v>
      </c>
      <c r="O37" s="194">
        <f t="shared" si="6"/>
        <v>3.7666666666666668E-2</v>
      </c>
      <c r="P37" s="159"/>
      <c r="Q37" s="169"/>
      <c r="R37"/>
      <c r="S37" s="271"/>
      <c r="T37"/>
      <c r="U37" s="123"/>
      <c r="V37" s="124"/>
      <c r="W37" s="124"/>
      <c r="X37"/>
      <c r="Y37"/>
      <c r="Z37"/>
      <c r="AA37"/>
      <c r="AB37" s="291" t="s">
        <v>156</v>
      </c>
      <c r="AC37" s="295" t="s">
        <v>22</v>
      </c>
      <c r="AD37" s="299" t="s">
        <v>18</v>
      </c>
      <c r="AE37" s="297">
        <v>-5.4999999999999938E-2</v>
      </c>
      <c r="AF37" s="123"/>
      <c r="AG37" s="123"/>
      <c r="AH37" s="291">
        <f t="shared" si="0"/>
        <v>1</v>
      </c>
      <c r="AI37" s="311">
        <f t="shared" si="1"/>
        <v>1.0333333333333333E-2</v>
      </c>
      <c r="AJ37" s="311">
        <f t="shared" si="2"/>
        <v>1.8809782608695653E-2</v>
      </c>
      <c r="AK37" s="311">
        <f t="shared" si="3"/>
        <v>3.3333333333333333E-2</v>
      </c>
      <c r="AL37" s="124"/>
      <c r="AM37" s="124"/>
      <c r="AN37" s="124"/>
      <c r="AO37" s="124"/>
      <c r="AP37" s="132"/>
      <c r="AQ37" s="132"/>
      <c r="AR37" s="132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  <c r="CR37" s="124"/>
      <c r="CS37" s="124"/>
      <c r="CT37" s="124"/>
      <c r="CU37" s="124"/>
      <c r="CV37" s="124"/>
      <c r="CW37" s="124"/>
      <c r="CX37" s="124"/>
      <c r="CY37" s="124"/>
      <c r="CZ37" s="124"/>
      <c r="DA37" s="124"/>
    </row>
    <row r="38" spans="1:105" s="42" customFormat="1" ht="12.6" customHeight="1" thickTop="1" thickBot="1" x14ac:dyDescent="0.3">
      <c r="A38" s="550"/>
      <c r="B38" s="148"/>
      <c r="C38" s="566"/>
      <c r="D38" s="150"/>
      <c r="E38" s="163" t="s">
        <v>85</v>
      </c>
      <c r="F38" s="152">
        <f>AVERAGE(Compilation_Equal!F38,Compilation_Expert!F38)</f>
        <v>5.2166666666666667E-2</v>
      </c>
      <c r="G38" s="176" t="s">
        <v>14</v>
      </c>
      <c r="H38" s="398">
        <f>User_Input!F48</f>
        <v>4.5999999999999996</v>
      </c>
      <c r="I38" s="155">
        <f>User_Input!H48</f>
        <v>5</v>
      </c>
      <c r="J38" s="164" t="s">
        <v>22</v>
      </c>
      <c r="K38" s="166"/>
      <c r="L38" s="166">
        <f t="shared" si="4"/>
        <v>0</v>
      </c>
      <c r="M38" s="262">
        <f t="shared" si="8"/>
        <v>1</v>
      </c>
      <c r="N38" s="167">
        <f t="shared" si="5"/>
        <v>1</v>
      </c>
      <c r="O38" s="194">
        <f t="shared" si="6"/>
        <v>5.2166666666666667E-2</v>
      </c>
      <c r="P38" s="159"/>
      <c r="Q38" s="169"/>
      <c r="R38"/>
      <c r="S38" s="271"/>
      <c r="T38"/>
      <c r="U38" s="123"/>
      <c r="V38" s="124"/>
      <c r="W38" s="124"/>
      <c r="X38"/>
      <c r="Y38"/>
      <c r="Z38"/>
      <c r="AA38"/>
      <c r="AB38" s="291" t="s">
        <v>157</v>
      </c>
      <c r="AC38" s="295" t="s">
        <v>22</v>
      </c>
      <c r="AD38" s="299" t="s">
        <v>14</v>
      </c>
      <c r="AE38" s="297">
        <v>-0.40000000000000036</v>
      </c>
      <c r="AF38" s="123"/>
      <c r="AG38" s="123"/>
      <c r="AH38" s="291">
        <f t="shared" si="0"/>
        <v>1</v>
      </c>
      <c r="AI38" s="311">
        <f t="shared" si="1"/>
        <v>1.0333333333333333E-2</v>
      </c>
      <c r="AJ38" s="311">
        <f t="shared" si="2"/>
        <v>1.8809782608695653E-2</v>
      </c>
      <c r="AK38" s="311">
        <f t="shared" si="3"/>
        <v>3.3333333333333333E-2</v>
      </c>
      <c r="AL38" s="124"/>
      <c r="AM38" s="124"/>
      <c r="AN38" s="124"/>
      <c r="AO38" s="124"/>
      <c r="AP38" s="132"/>
      <c r="AQ38" s="132"/>
      <c r="AR38" s="132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  <c r="CR38" s="124"/>
      <c r="CS38" s="124"/>
      <c r="CT38" s="124"/>
      <c r="CU38" s="124"/>
      <c r="CV38" s="124"/>
      <c r="CW38" s="124"/>
      <c r="CX38" s="124"/>
      <c r="CY38" s="124"/>
      <c r="CZ38" s="124"/>
      <c r="DA38" s="124"/>
    </row>
    <row r="39" spans="1:105" s="42" customFormat="1" ht="12.6" customHeight="1" thickTop="1" thickBot="1" x14ac:dyDescent="0.3">
      <c r="A39" s="550"/>
      <c r="B39" s="148"/>
      <c r="C39" s="567"/>
      <c r="D39" s="150"/>
      <c r="E39" s="163" t="s">
        <v>86</v>
      </c>
      <c r="F39" s="152">
        <f>AVERAGE(Compilation_Equal!F39,Compilation_Expert!F39)</f>
        <v>5.566666666666667E-2</v>
      </c>
      <c r="G39" s="176" t="s">
        <v>14</v>
      </c>
      <c r="H39" s="398">
        <f>User_Input!F49</f>
        <v>1.2</v>
      </c>
      <c r="I39" s="155">
        <f>User_Input!H49</f>
        <v>1.125</v>
      </c>
      <c r="J39" s="259" t="s">
        <v>22</v>
      </c>
      <c r="K39" s="182"/>
      <c r="L39" s="166">
        <f t="shared" si="4"/>
        <v>0</v>
      </c>
      <c r="M39" s="262">
        <f t="shared" si="8"/>
        <v>0</v>
      </c>
      <c r="N39" s="167">
        <f t="shared" si="5"/>
        <v>0</v>
      </c>
      <c r="O39" s="199">
        <f t="shared" si="6"/>
        <v>0</v>
      </c>
      <c r="P39" s="159"/>
      <c r="Q39" s="169"/>
      <c r="R39"/>
      <c r="S39" s="271"/>
      <c r="T39"/>
      <c r="U39" s="123"/>
      <c r="V39" s="124"/>
      <c r="W39" s="124"/>
      <c r="X39"/>
      <c r="Y39"/>
      <c r="Z39"/>
      <c r="AA39"/>
      <c r="AB39" s="291" t="s">
        <v>158</v>
      </c>
      <c r="AC39" s="295" t="s">
        <v>22</v>
      </c>
      <c r="AD39" s="299" t="s">
        <v>14</v>
      </c>
      <c r="AE39" s="297">
        <v>7.4999999999999956E-2</v>
      </c>
      <c r="AF39" s="123"/>
      <c r="AG39" s="123"/>
      <c r="AH39" s="291">
        <f t="shared" si="0"/>
        <v>0</v>
      </c>
      <c r="AI39" s="311">
        <f t="shared" si="1"/>
        <v>0</v>
      </c>
      <c r="AJ39" s="311">
        <f t="shared" si="2"/>
        <v>0</v>
      </c>
      <c r="AK39" s="311">
        <f t="shared" si="3"/>
        <v>0</v>
      </c>
      <c r="AL39" s="124"/>
      <c r="AM39" s="124"/>
      <c r="AN39" s="124"/>
      <c r="AO39" s="124"/>
      <c r="AP39" s="132"/>
      <c r="AQ39" s="132"/>
      <c r="AR39" s="132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  <c r="CR39" s="124"/>
      <c r="CS39" s="124"/>
      <c r="CT39" s="124"/>
      <c r="CU39" s="124"/>
      <c r="CV39" s="124"/>
      <c r="CW39" s="124"/>
      <c r="CX39" s="124"/>
      <c r="CY39" s="124"/>
      <c r="CZ39" s="124"/>
      <c r="DA39" s="124"/>
    </row>
    <row r="40" spans="1:105" s="51" customFormat="1" ht="13.15" customHeight="1" thickTop="1" thickBot="1" x14ac:dyDescent="0.3">
      <c r="A40" s="551"/>
      <c r="B40" s="148"/>
      <c r="C40" s="213" t="s">
        <v>58</v>
      </c>
      <c r="D40" s="150">
        <f>AVERAGE(Compilation_Equal!D40,Compilation_Expert!D40)</f>
        <v>8.623913043478261E-2</v>
      </c>
      <c r="E40" s="204" t="s">
        <v>87</v>
      </c>
      <c r="F40" s="152">
        <f>AVERAGE(Compilation_Equal!F40,Compilation_Expert!F40)</f>
        <v>6.3166666666666663E-2</v>
      </c>
      <c r="G40" s="211" t="s">
        <v>11</v>
      </c>
      <c r="H40" s="398">
        <f>User_Input!F50</f>
        <v>0.7</v>
      </c>
      <c r="I40" s="155">
        <f>User_Input!H50</f>
        <v>0.48499999999999999</v>
      </c>
      <c r="J40" s="260" t="s">
        <v>22</v>
      </c>
      <c r="K40" s="182"/>
      <c r="L40" s="182">
        <f t="shared" si="4"/>
        <v>0</v>
      </c>
      <c r="M40" s="267">
        <f t="shared" si="8"/>
        <v>0</v>
      </c>
      <c r="N40" s="214">
        <f t="shared" si="5"/>
        <v>0</v>
      </c>
      <c r="O40" s="199">
        <f t="shared" si="6"/>
        <v>0</v>
      </c>
      <c r="P40" s="159">
        <f>O$46*D40</f>
        <v>3.5027460144927546E-2</v>
      </c>
      <c r="Q40" s="185"/>
      <c r="R40"/>
      <c r="S40" s="271"/>
      <c r="T40"/>
      <c r="U40" s="123"/>
      <c r="V40" s="124"/>
      <c r="W40" s="124"/>
      <c r="X40"/>
      <c r="Y40"/>
      <c r="Z40"/>
      <c r="AA40"/>
      <c r="AB40" s="291" t="s">
        <v>159</v>
      </c>
      <c r="AC40" s="295" t="s">
        <v>22</v>
      </c>
      <c r="AD40" s="303" t="s">
        <v>11</v>
      </c>
      <c r="AE40" s="297">
        <v>0.21499999999999997</v>
      </c>
      <c r="AF40" s="123"/>
      <c r="AG40" s="123"/>
      <c r="AH40" s="291">
        <f t="shared" si="0"/>
        <v>0</v>
      </c>
      <c r="AI40" s="311">
        <f t="shared" si="1"/>
        <v>0</v>
      </c>
      <c r="AJ40" s="311">
        <f t="shared" si="2"/>
        <v>0</v>
      </c>
      <c r="AK40" s="311">
        <f t="shared" si="3"/>
        <v>0</v>
      </c>
      <c r="AL40" s="124"/>
      <c r="AM40" s="124"/>
      <c r="AN40" s="124"/>
      <c r="AO40" s="124"/>
      <c r="AP40" s="132"/>
      <c r="AQ40" s="132"/>
      <c r="AR40" s="132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</row>
    <row r="41" spans="1:105" s="59" customFormat="1" ht="30.75" thickBot="1" x14ac:dyDescent="0.3">
      <c r="A41" s="215" t="s">
        <v>91</v>
      </c>
      <c r="B41" s="351">
        <f>AVERAGE(Compilation_Equal!B41,Compilation_Expert!B41)</f>
        <v>0.28383333333333333</v>
      </c>
      <c r="C41" s="217" t="s">
        <v>59</v>
      </c>
      <c r="D41" s="150">
        <f>AVERAGE(Compilation_Equal!D41,Compilation_Expert!D41)</f>
        <v>9.0239130434782613E-2</v>
      </c>
      <c r="E41" s="217" t="s">
        <v>88</v>
      </c>
      <c r="F41" s="152">
        <f>AVERAGE(Compilation_Equal!F41,Compilation_Expert!F41)</f>
        <v>6.8166666666666667E-2</v>
      </c>
      <c r="G41" s="218" t="s">
        <v>10</v>
      </c>
      <c r="H41" s="398">
        <f>User_Input!F51</f>
        <v>210.5</v>
      </c>
      <c r="I41" s="155">
        <f>User_Input!H51</f>
        <v>184.35</v>
      </c>
      <c r="J41" s="261" t="s">
        <v>21</v>
      </c>
      <c r="K41" s="220">
        <f t="shared" si="7"/>
        <v>1</v>
      </c>
      <c r="L41" s="221">
        <f t="shared" si="4"/>
        <v>0</v>
      </c>
      <c r="M41" s="219"/>
      <c r="N41" s="222">
        <f t="shared" si="5"/>
        <v>1</v>
      </c>
      <c r="O41" s="223">
        <f t="shared" si="6"/>
        <v>6.8166666666666667E-2</v>
      </c>
      <c r="P41" s="224">
        <f>O$46*D41</f>
        <v>3.6652126811594209E-2</v>
      </c>
      <c r="Q41" s="224">
        <f>P$47*B41</f>
        <v>0.11539892252777775</v>
      </c>
      <c r="R41"/>
      <c r="S41" s="271"/>
      <c r="T41"/>
      <c r="U41" s="125"/>
      <c r="V41" s="119"/>
      <c r="W41" s="119"/>
      <c r="X41"/>
      <c r="Y41"/>
      <c r="Z41"/>
      <c r="AA41"/>
      <c r="AB41" s="291" t="s">
        <v>160</v>
      </c>
      <c r="AC41" s="305" t="s">
        <v>21</v>
      </c>
      <c r="AD41" s="306" t="s">
        <v>10</v>
      </c>
      <c r="AE41" s="307">
        <v>26.150000000000006</v>
      </c>
      <c r="AF41" s="276"/>
      <c r="AG41" s="276"/>
      <c r="AH41" s="291">
        <f t="shared" si="0"/>
        <v>1</v>
      </c>
      <c r="AI41" s="311">
        <f t="shared" si="1"/>
        <v>0.28383333333333333</v>
      </c>
      <c r="AJ41" s="311">
        <f t="shared" si="2"/>
        <v>9.0239130434782613E-2</v>
      </c>
      <c r="AK41" s="311">
        <f t="shared" si="3"/>
        <v>3.3333333333333333E-2</v>
      </c>
      <c r="AL41" s="119"/>
      <c r="AM41" s="119"/>
      <c r="AN41" s="119"/>
      <c r="AO41" s="119"/>
      <c r="AP41" s="133"/>
      <c r="AQ41" s="133"/>
      <c r="AR41" s="133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</row>
    <row r="42" spans="1:105" s="18" customFormat="1" ht="15.75" thickBot="1" x14ac:dyDescent="0.25">
      <c r="A42" s="225"/>
      <c r="B42" s="225"/>
      <c r="C42" s="225"/>
      <c r="D42" s="225"/>
      <c r="E42" s="226"/>
      <c r="F42" s="226"/>
      <c r="G42" s="227"/>
      <c r="H42" s="226"/>
      <c r="I42" s="227"/>
      <c r="J42" s="227"/>
      <c r="K42" s="227"/>
      <c r="L42" s="227"/>
      <c r="M42" s="227"/>
      <c r="N42" s="228"/>
      <c r="O42" s="228"/>
      <c r="P42" s="228"/>
      <c r="Q42" s="228"/>
      <c r="R42"/>
      <c r="S42"/>
      <c r="T42"/>
      <c r="U42" s="125"/>
      <c r="V42" s="119"/>
      <c r="W42" s="119"/>
      <c r="X42"/>
      <c r="Y42"/>
      <c r="Z42"/>
      <c r="AA42"/>
      <c r="AB42"/>
      <c r="AC42" s="119"/>
      <c r="AD42" s="119"/>
      <c r="AE42" s="119"/>
      <c r="AF42" s="119"/>
      <c r="AG42" s="119"/>
      <c r="AH42" s="312" t="s">
        <v>129</v>
      </c>
      <c r="AI42" s="346">
        <f>SUM(AI13,AI16,AI18,AI23:AI24,AI29,AI33:AI40)</f>
        <v>0.1157111111111111</v>
      </c>
      <c r="AJ42" s="346">
        <f>SUM(AJ13,AJ16,AJ18,AJ23:AJ24,AJ29,AJ33:AJ40)</f>
        <v>0.14720652173913043</v>
      </c>
      <c r="AK42" s="347">
        <f>SUM(AK13,AK16,AK18,AK23:AK24,AK29,AK33:AK40)</f>
        <v>0.19999999999999998</v>
      </c>
      <c r="AL42" s="119"/>
      <c r="AM42" s="119"/>
      <c r="AN42" s="119"/>
      <c r="AO42" s="119"/>
      <c r="AP42" s="133"/>
      <c r="AQ42" s="133"/>
      <c r="AR42" s="133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</row>
    <row r="43" spans="1:105" s="18" customFormat="1" ht="13.9" customHeight="1" x14ac:dyDescent="0.2">
      <c r="A43" s="229"/>
      <c r="B43" s="230">
        <f>SUM(B12:B41)</f>
        <v>1</v>
      </c>
      <c r="C43" s="229"/>
      <c r="D43" s="231">
        <f>SUM(D12:D41)</f>
        <v>1.0009999999999999</v>
      </c>
      <c r="E43" s="228"/>
      <c r="F43" s="232">
        <f>SUM(F12:F42)</f>
        <v>1.0004999999999999</v>
      </c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/>
      <c r="S43"/>
      <c r="T43"/>
      <c r="U43" s="119"/>
      <c r="V43" s="119"/>
      <c r="W43" s="119"/>
      <c r="X43"/>
      <c r="Y43"/>
      <c r="Z43"/>
      <c r="AA43"/>
      <c r="AB43"/>
      <c r="AC43" s="119"/>
      <c r="AD43" s="119"/>
      <c r="AE43" s="119"/>
      <c r="AF43" s="119"/>
      <c r="AG43" s="119"/>
      <c r="AH43" s="313" t="s">
        <v>130</v>
      </c>
      <c r="AI43" s="348">
        <f>SUM(AI12,AI14:AI15,AI17,AI19:AI22,AI25:AI28,AI30:AI32,AI41)</f>
        <v>0.40105555555555555</v>
      </c>
      <c r="AJ43" s="348">
        <f>SUM(AJ12,AJ14:AJ15,AJ17,AJ19:AJ22,AJ25:AJ28,AJ30:AJ32,AJ41)</f>
        <v>0.26318478260869566</v>
      </c>
      <c r="AK43" s="349">
        <f>SUM(AK12,AK14:AK15,AK17,AK19:AK22,AK25:AK28,AK30:AK32,AK41)</f>
        <v>0.23333333333333331</v>
      </c>
      <c r="AL43" s="119"/>
      <c r="AM43" s="119"/>
      <c r="AN43" s="119"/>
      <c r="AO43" s="119"/>
      <c r="AP43" s="133"/>
      <c r="AQ43" s="133"/>
      <c r="AR43" s="133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</row>
    <row r="44" spans="1:105" s="18" customFormat="1" x14ac:dyDescent="0.2">
      <c r="A44" s="228"/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/>
      <c r="S44"/>
      <c r="T44"/>
      <c r="U44" s="119"/>
      <c r="V44" s="119"/>
      <c r="W44" s="119"/>
      <c r="X44"/>
      <c r="Y44"/>
      <c r="Z44"/>
      <c r="AA44"/>
      <c r="AB44"/>
      <c r="AC44"/>
      <c r="AD44"/>
      <c r="AE44"/>
      <c r="AF44"/>
      <c r="AG44"/>
      <c r="AL44" s="119"/>
      <c r="AM44" s="119"/>
      <c r="AN44" s="119"/>
      <c r="AO44" s="119"/>
      <c r="AP44" s="133"/>
      <c r="AQ44" s="133"/>
      <c r="AR44" s="133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</row>
    <row r="45" spans="1:105" ht="14.25" x14ac:dyDescent="0.2">
      <c r="A45" s="138"/>
      <c r="B45" s="138"/>
      <c r="C45" s="233"/>
      <c r="D45" s="233"/>
      <c r="E45" s="233"/>
      <c r="F45" s="233"/>
      <c r="G45" s="234"/>
      <c r="H45" s="233"/>
      <c r="I45" s="234"/>
      <c r="J45" s="234"/>
      <c r="K45" s="234"/>
      <c r="L45" s="234"/>
      <c r="M45" s="234"/>
      <c r="N45" s="234"/>
      <c r="O45" s="234"/>
      <c r="P45" s="235"/>
      <c r="Q45" s="138"/>
      <c r="U45" s="121"/>
      <c r="X45" s="4" t="s">
        <v>164</v>
      </c>
      <c r="AH45" s="291" t="s">
        <v>241</v>
      </c>
      <c r="AI45" s="311">
        <f>AI43-AI42</f>
        <v>0.28534444444444446</v>
      </c>
      <c r="AJ45" s="311">
        <f t="shared" ref="AJ45:AK45" si="10">AJ43-AJ42</f>
        <v>0.11597826086956523</v>
      </c>
      <c r="AK45" s="311">
        <f t="shared" si="10"/>
        <v>3.3333333333333326E-2</v>
      </c>
      <c r="AP45" s="133"/>
      <c r="AQ45" s="133"/>
      <c r="AR45" s="133"/>
    </row>
    <row r="46" spans="1:105" ht="1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237" t="s">
        <v>106</v>
      </c>
      <c r="O46" s="237">
        <f>SUM(O12:O41)</f>
        <v>0.40616666666666673</v>
      </c>
      <c r="P46" s="228"/>
      <c r="Q46" s="227"/>
      <c r="AH46" s="18"/>
      <c r="AP46" s="133"/>
      <c r="AQ46" s="133"/>
      <c r="AR46" s="133"/>
    </row>
    <row r="47" spans="1:105" ht="15" x14ac:dyDescent="0.2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228"/>
      <c r="O47" s="236" t="s">
        <v>126</v>
      </c>
      <c r="P47" s="238">
        <f>SUM(P12:P41)</f>
        <v>0.40657283333333327</v>
      </c>
      <c r="Q47" s="228"/>
      <c r="AH47" s="18"/>
      <c r="AP47" s="133"/>
      <c r="AQ47" s="133"/>
      <c r="AR47" s="133"/>
    </row>
    <row r="48" spans="1:105" ht="15" x14ac:dyDescent="0.25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228"/>
      <c r="O48" s="228"/>
      <c r="P48" s="239" t="s">
        <v>108</v>
      </c>
      <c r="Q48" s="240">
        <f>SUM(Q12:Q41)</f>
        <v>0.40657283333333327</v>
      </c>
      <c r="X48"/>
      <c r="Y48"/>
      <c r="Z48"/>
      <c r="AA48"/>
      <c r="AB48"/>
      <c r="AC48"/>
      <c r="AD48"/>
      <c r="AE48"/>
      <c r="AF48"/>
      <c r="AG48"/>
      <c r="AH48"/>
    </row>
    <row r="49" spans="1:37" ht="15" x14ac:dyDescent="0.25">
      <c r="A49" s="4"/>
      <c r="N49" s="18"/>
      <c r="O49" s="18"/>
      <c r="P49" s="127"/>
      <c r="Q49" s="128"/>
      <c r="X49"/>
      <c r="Y49"/>
      <c r="Z49"/>
      <c r="AA49"/>
      <c r="AB49"/>
      <c r="AC49"/>
      <c r="AD49"/>
      <c r="AE49"/>
      <c r="AF49"/>
      <c r="AG49"/>
      <c r="AH49"/>
    </row>
    <row r="50" spans="1:37" ht="15" x14ac:dyDescent="0.25">
      <c r="A50" s="4" t="s">
        <v>123</v>
      </c>
      <c r="N50" s="18"/>
      <c r="O50" s="18"/>
      <c r="P50" s="127"/>
      <c r="Q50" s="128"/>
      <c r="X50"/>
      <c r="Y50"/>
      <c r="Z50"/>
      <c r="AA50"/>
      <c r="AB50"/>
      <c r="AC50"/>
      <c r="AD50"/>
      <c r="AE50"/>
      <c r="AF50"/>
      <c r="AG50"/>
      <c r="AH50"/>
      <c r="AI50"/>
      <c r="AJ50" s="90"/>
      <c r="AK50"/>
    </row>
    <row r="51" spans="1:37" ht="15" x14ac:dyDescent="0.25">
      <c r="A51" s="4"/>
      <c r="N51" s="18"/>
      <c r="O51" s="18"/>
      <c r="P51" s="127"/>
      <c r="Q51" s="128"/>
      <c r="X51"/>
      <c r="Y51"/>
      <c r="Z51"/>
      <c r="AA51"/>
      <c r="AB51"/>
      <c r="AC51"/>
      <c r="AD51"/>
      <c r="AE51"/>
      <c r="AF51"/>
      <c r="AG51"/>
      <c r="AH51"/>
      <c r="AI51"/>
      <c r="AJ51" s="90"/>
      <c r="AK51"/>
    </row>
    <row r="52" spans="1:37" x14ac:dyDescent="0.2">
      <c r="X52"/>
      <c r="Y52"/>
      <c r="Z52"/>
      <c r="AA52"/>
      <c r="AB52"/>
      <c r="AC52"/>
      <c r="AD52"/>
      <c r="AE52"/>
      <c r="AF52"/>
      <c r="AG52"/>
      <c r="AH52"/>
      <c r="AI52"/>
    </row>
    <row r="53" spans="1:37" ht="15" x14ac:dyDescent="0.2">
      <c r="A53" s="3" t="s">
        <v>100</v>
      </c>
      <c r="B53" s="3" t="s">
        <v>19</v>
      </c>
      <c r="C53" s="3" t="s">
        <v>176</v>
      </c>
      <c r="D53" s="3" t="s">
        <v>19</v>
      </c>
      <c r="E53" s="3" t="s">
        <v>0</v>
      </c>
      <c r="F53" s="8" t="s">
        <v>19</v>
      </c>
      <c r="G53" s="341" t="s">
        <v>1</v>
      </c>
      <c r="H53" s="8" t="s">
        <v>94</v>
      </c>
      <c r="I53" s="12" t="s">
        <v>31</v>
      </c>
      <c r="J53" s="12" t="s">
        <v>20</v>
      </c>
      <c r="K53" s="546" t="s">
        <v>30</v>
      </c>
      <c r="L53" s="546"/>
      <c r="M53" s="546"/>
      <c r="N53" s="546"/>
      <c r="O53" s="12" t="s">
        <v>119</v>
      </c>
      <c r="P53" s="12" t="s">
        <v>120</v>
      </c>
      <c r="Q53" s="12" t="s">
        <v>121</v>
      </c>
      <c r="X53"/>
      <c r="Y53"/>
      <c r="Z53"/>
      <c r="AA53"/>
      <c r="AB53"/>
      <c r="AC53"/>
      <c r="AD53"/>
      <c r="AE53"/>
      <c r="AF53"/>
      <c r="AG53"/>
      <c r="AH53"/>
      <c r="AI53"/>
    </row>
    <row r="54" spans="1:37" ht="15" thickBot="1" x14ac:dyDescent="0.25">
      <c r="A54" s="26" t="s">
        <v>102</v>
      </c>
      <c r="B54" s="26" t="s">
        <v>103</v>
      </c>
      <c r="C54" s="26" t="s">
        <v>23</v>
      </c>
      <c r="D54" s="26" t="s">
        <v>24</v>
      </c>
      <c r="E54" s="31" t="s">
        <v>25</v>
      </c>
      <c r="F54" s="32" t="s">
        <v>29</v>
      </c>
      <c r="G54" s="32" t="s">
        <v>26</v>
      </c>
      <c r="H54" s="32" t="s">
        <v>27</v>
      </c>
      <c r="I54" s="32" t="s">
        <v>32</v>
      </c>
      <c r="J54" s="32" t="s">
        <v>28</v>
      </c>
      <c r="K54" s="33" t="s">
        <v>93</v>
      </c>
      <c r="L54" s="33" t="s">
        <v>95</v>
      </c>
      <c r="M54" s="33" t="s">
        <v>96</v>
      </c>
      <c r="N54" s="33" t="s">
        <v>104</v>
      </c>
      <c r="O54" s="32" t="s">
        <v>34</v>
      </c>
      <c r="P54" s="32" t="s">
        <v>35</v>
      </c>
      <c r="Q54" s="32" t="s">
        <v>105</v>
      </c>
    </row>
    <row r="55" spans="1:37" ht="15.75" thickBot="1" x14ac:dyDescent="0.3">
      <c r="A55" s="543" t="s">
        <v>36</v>
      </c>
      <c r="B55" s="70">
        <f>B12</f>
        <v>9.5333333333333325E-2</v>
      </c>
      <c r="C55" s="63" t="s">
        <v>37</v>
      </c>
      <c r="D55" s="67">
        <f>B$12/5</f>
        <v>1.9066666666666666E-2</v>
      </c>
      <c r="E55" s="96" t="s">
        <v>60</v>
      </c>
      <c r="F55" s="112">
        <f>D55</f>
        <v>1.9066666666666666E-2</v>
      </c>
      <c r="G55" s="91" t="s">
        <v>5</v>
      </c>
      <c r="H55" s="39">
        <f>H12</f>
        <v>28.5</v>
      </c>
      <c r="I55" s="35">
        <f>User_Input!H22</f>
        <v>19.399999999999999</v>
      </c>
      <c r="J55" s="36" t="s">
        <v>21</v>
      </c>
      <c r="K55" s="36">
        <f>IF(H55&gt;I55,1,0)</f>
        <v>1</v>
      </c>
      <c r="L55" s="35">
        <f>IF(H55=I55,0.5,0)</f>
        <v>0</v>
      </c>
      <c r="M55" s="35"/>
      <c r="N55" s="37">
        <f>SUM(K55:M55)</f>
        <v>1</v>
      </c>
      <c r="O55" s="74">
        <f t="shared" ref="O55:O84" si="11">N55*F55</f>
        <v>1.9066666666666666E-2</v>
      </c>
      <c r="P55" s="75">
        <f>O$89*D55</f>
        <v>9.8530177777777766E-3</v>
      </c>
      <c r="Q55" s="126">
        <f>P$90*B55</f>
        <v>4.9265088888888878E-2</v>
      </c>
    </row>
    <row r="56" spans="1:37" ht="16.5" thickTop="1" thickBot="1" x14ac:dyDescent="0.3">
      <c r="A56" s="544"/>
      <c r="B56" s="71"/>
      <c r="C56" s="64" t="s">
        <v>38</v>
      </c>
      <c r="D56" s="67">
        <f>B$12/5</f>
        <v>1.9066666666666666E-2</v>
      </c>
      <c r="E56" s="97" t="s">
        <v>61</v>
      </c>
      <c r="F56" s="113">
        <f>D56</f>
        <v>1.9066666666666666E-2</v>
      </c>
      <c r="G56" s="92" t="s">
        <v>2</v>
      </c>
      <c r="H56" s="39">
        <f t="shared" ref="H56:H84" si="12">H13</f>
        <v>4.9000000000000004</v>
      </c>
      <c r="I56" s="35">
        <f>User_Input!H23</f>
        <v>6.6000000000000005</v>
      </c>
      <c r="J56" s="40" t="s">
        <v>22</v>
      </c>
      <c r="K56" s="5"/>
      <c r="L56" s="5">
        <f t="shared" ref="L56:L84" si="13">IF(H56=I56,0.5,0)</f>
        <v>0</v>
      </c>
      <c r="M56" s="41">
        <f>IF(H56&lt;I56,1,0)</f>
        <v>1</v>
      </c>
      <c r="N56" s="19">
        <f t="shared" ref="N56:N84" si="14">SUM(K56:M56)</f>
        <v>1</v>
      </c>
      <c r="O56" s="76">
        <f t="shared" si="11"/>
        <v>1.9066666666666666E-2</v>
      </c>
      <c r="P56" s="75">
        <f t="shared" ref="P56:P84" si="15">O$89*D56</f>
        <v>9.8530177777777766E-3</v>
      </c>
      <c r="Q56" s="126"/>
    </row>
    <row r="57" spans="1:37" ht="31.5" thickTop="1" thickBot="1" x14ac:dyDescent="0.3">
      <c r="A57" s="544"/>
      <c r="B57" s="71"/>
      <c r="C57" s="65" t="s">
        <v>39</v>
      </c>
      <c r="D57" s="67">
        <f>B$12/5</f>
        <v>1.9066666666666666E-2</v>
      </c>
      <c r="E57" s="97" t="s">
        <v>62</v>
      </c>
      <c r="F57" s="113">
        <f>D57</f>
        <v>1.9066666666666666E-2</v>
      </c>
      <c r="G57" s="93" t="s">
        <v>3</v>
      </c>
      <c r="H57" s="39">
        <f t="shared" si="12"/>
        <v>3</v>
      </c>
      <c r="I57" s="35">
        <f>User_Input!H24</f>
        <v>3.25</v>
      </c>
      <c r="J57" s="27" t="s">
        <v>21</v>
      </c>
      <c r="K57" s="27">
        <f>IF(H57&gt;I57,1,0)</f>
        <v>0</v>
      </c>
      <c r="L57" s="5">
        <f t="shared" si="13"/>
        <v>0</v>
      </c>
      <c r="M57" s="1"/>
      <c r="N57" s="19">
        <f t="shared" si="14"/>
        <v>0</v>
      </c>
      <c r="O57" s="76">
        <f t="shared" si="11"/>
        <v>0</v>
      </c>
      <c r="P57" s="75">
        <f t="shared" si="15"/>
        <v>9.8530177777777766E-3</v>
      </c>
      <c r="Q57" s="126"/>
    </row>
    <row r="58" spans="1:37" ht="15.75" thickBot="1" x14ac:dyDescent="0.3">
      <c r="A58" s="544"/>
      <c r="B58" s="71"/>
      <c r="C58" s="65" t="s">
        <v>40</v>
      </c>
      <c r="D58" s="67">
        <f>B$12/5</f>
        <v>1.9066666666666666E-2</v>
      </c>
      <c r="E58" s="97" t="s">
        <v>63</v>
      </c>
      <c r="F58" s="113">
        <f>D58</f>
        <v>1.9066666666666666E-2</v>
      </c>
      <c r="G58" s="93" t="s">
        <v>16</v>
      </c>
      <c r="H58" s="39">
        <f t="shared" si="12"/>
        <v>844</v>
      </c>
      <c r="I58" s="35">
        <f>User_Input!H25</f>
        <v>762</v>
      </c>
      <c r="J58" s="27" t="s">
        <v>21</v>
      </c>
      <c r="K58" s="27">
        <f>IF(H58&gt;I58,1,0)</f>
        <v>1</v>
      </c>
      <c r="L58" s="5">
        <f t="shared" si="13"/>
        <v>0</v>
      </c>
      <c r="M58" s="1"/>
      <c r="N58" s="19">
        <f t="shared" si="14"/>
        <v>1</v>
      </c>
      <c r="O58" s="76">
        <f t="shared" si="11"/>
        <v>1.9066666666666666E-2</v>
      </c>
      <c r="P58" s="75">
        <f t="shared" si="15"/>
        <v>9.8530177777777766E-3</v>
      </c>
      <c r="Q58" s="126"/>
      <c r="X58" s="10" t="s">
        <v>234</v>
      </c>
    </row>
    <row r="59" spans="1:37" ht="16.5" thickTop="1" thickBot="1" x14ac:dyDescent="0.3">
      <c r="A59" s="544"/>
      <c r="B59" s="71"/>
      <c r="C59" s="555" t="s">
        <v>41</v>
      </c>
      <c r="D59" s="67">
        <f>B$12/5</f>
        <v>1.9066666666666666E-2</v>
      </c>
      <c r="E59" s="98" t="s">
        <v>64</v>
      </c>
      <c r="F59" s="113">
        <f>D$59/2</f>
        <v>9.5333333333333329E-3</v>
      </c>
      <c r="G59" s="94" t="s">
        <v>4</v>
      </c>
      <c r="H59" s="39">
        <f t="shared" si="12"/>
        <v>93.94</v>
      </c>
      <c r="I59" s="35">
        <f>User_Input!H26</f>
        <v>96.015000000000001</v>
      </c>
      <c r="J59" s="40" t="s">
        <v>22</v>
      </c>
      <c r="K59" s="5"/>
      <c r="L59" s="5">
        <f t="shared" si="13"/>
        <v>0</v>
      </c>
      <c r="M59" s="41">
        <f>IF(H59&lt;I59,1,0)</f>
        <v>1</v>
      </c>
      <c r="N59" s="19">
        <f t="shared" si="14"/>
        <v>1</v>
      </c>
      <c r="O59" s="76">
        <f t="shared" si="11"/>
        <v>9.5333333333333329E-3</v>
      </c>
      <c r="P59" s="75">
        <f t="shared" si="15"/>
        <v>9.8530177777777766E-3</v>
      </c>
      <c r="Q59" s="126"/>
      <c r="Y59" s="547" t="s">
        <v>235</v>
      </c>
      <c r="Z59" s="547"/>
      <c r="AA59" s="342">
        <f>Q91*100</f>
        <v>51.676666666666662</v>
      </c>
      <c r="AB59" s="119" t="s">
        <v>4</v>
      </c>
    </row>
    <row r="60" spans="1:37" ht="16.5" thickTop="1" thickBot="1" x14ac:dyDescent="0.3">
      <c r="A60" s="545"/>
      <c r="B60" s="72"/>
      <c r="C60" s="556"/>
      <c r="D60" s="68"/>
      <c r="E60" s="99" t="s">
        <v>65</v>
      </c>
      <c r="F60" s="113">
        <f>D$59/2</f>
        <v>9.5333333333333329E-3</v>
      </c>
      <c r="G60" s="95" t="s">
        <v>4</v>
      </c>
      <c r="H60" s="39">
        <f t="shared" si="12"/>
        <v>6.06</v>
      </c>
      <c r="I60" s="35">
        <f>User_Input!H27</f>
        <v>3.9849999999999999</v>
      </c>
      <c r="J60" s="43" t="s">
        <v>21</v>
      </c>
      <c r="K60" s="43">
        <f>IF(H60&gt;I60,1,0)</f>
        <v>1</v>
      </c>
      <c r="L60" s="14">
        <f t="shared" si="13"/>
        <v>0</v>
      </c>
      <c r="M60" s="44"/>
      <c r="N60" s="19">
        <f t="shared" si="14"/>
        <v>1</v>
      </c>
      <c r="O60" s="77">
        <f t="shared" si="11"/>
        <v>9.5333333333333329E-3</v>
      </c>
      <c r="P60" s="75">
        <f t="shared" si="15"/>
        <v>0</v>
      </c>
      <c r="Q60" s="126"/>
      <c r="Y60" s="547" t="s">
        <v>236</v>
      </c>
      <c r="Z60" s="547"/>
      <c r="AA60" s="342">
        <f>Q136*100</f>
        <v>41.121249734782609</v>
      </c>
      <c r="AB60" s="119" t="s">
        <v>4</v>
      </c>
    </row>
    <row r="61" spans="1:37" ht="15.75" thickBot="1" x14ac:dyDescent="0.3">
      <c r="A61" s="543" t="s">
        <v>92</v>
      </c>
      <c r="B61" s="70">
        <f>B18</f>
        <v>0.10533333333333333</v>
      </c>
      <c r="C61" s="45" t="s">
        <v>42</v>
      </c>
      <c r="D61" s="67">
        <f>B$18/3</f>
        <v>3.5111111111111114E-2</v>
      </c>
      <c r="E61" s="100" t="s">
        <v>89</v>
      </c>
      <c r="F61" s="112">
        <f>D61</f>
        <v>3.5111111111111114E-2</v>
      </c>
      <c r="G61" s="103" t="s">
        <v>4</v>
      </c>
      <c r="H61" s="39">
        <f t="shared" si="12"/>
        <v>12.36</v>
      </c>
      <c r="I61" s="35">
        <f>User_Input!H28</f>
        <v>14.709999999999999</v>
      </c>
      <c r="J61" s="46" t="s">
        <v>22</v>
      </c>
      <c r="K61" s="35"/>
      <c r="L61" s="35">
        <f t="shared" si="13"/>
        <v>0</v>
      </c>
      <c r="M61" s="47">
        <f>IF(H61&lt;I61,1,0)</f>
        <v>1</v>
      </c>
      <c r="N61" s="37">
        <f t="shared" si="14"/>
        <v>1</v>
      </c>
      <c r="O61" s="78">
        <f t="shared" si="11"/>
        <v>3.5111111111111114E-2</v>
      </c>
      <c r="P61" s="75">
        <f t="shared" si="15"/>
        <v>1.814425185185185E-2</v>
      </c>
      <c r="Q61" s="126">
        <f>P$90*B61</f>
        <v>5.4432755555555545E-2</v>
      </c>
      <c r="Y61" s="547" t="s">
        <v>237</v>
      </c>
      <c r="Z61" s="547"/>
      <c r="AA61" s="342">
        <f>Q179*100</f>
        <v>43.333333333333321</v>
      </c>
      <c r="AB61" s="119" t="s">
        <v>4</v>
      </c>
    </row>
    <row r="62" spans="1:37" ht="16.5" thickTop="1" thickBot="1" x14ac:dyDescent="0.3">
      <c r="A62" s="544"/>
      <c r="B62" s="71"/>
      <c r="C62" s="29" t="s">
        <v>43</v>
      </c>
      <c r="D62" s="67">
        <f>B$18/3</f>
        <v>3.5111111111111114E-2</v>
      </c>
      <c r="E62" s="101" t="s">
        <v>66</v>
      </c>
      <c r="F62" s="113">
        <f>D62</f>
        <v>3.5111111111111114E-2</v>
      </c>
      <c r="G62" s="93" t="s">
        <v>4</v>
      </c>
      <c r="H62" s="39">
        <f t="shared" si="12"/>
        <v>0</v>
      </c>
      <c r="I62" s="35">
        <f>User_Input!H29</f>
        <v>2.44</v>
      </c>
      <c r="J62" s="27" t="s">
        <v>21</v>
      </c>
      <c r="K62" s="27">
        <f>IF(H62&gt;I62,1,0)</f>
        <v>0</v>
      </c>
      <c r="L62" s="5">
        <f t="shared" si="13"/>
        <v>0</v>
      </c>
      <c r="M62" s="1"/>
      <c r="N62" s="19">
        <f t="shared" si="14"/>
        <v>0</v>
      </c>
      <c r="O62" s="79">
        <f t="shared" si="11"/>
        <v>0</v>
      </c>
      <c r="P62" s="75">
        <f t="shared" si="15"/>
        <v>1.814425185185185E-2</v>
      </c>
      <c r="Q62" s="126"/>
    </row>
    <row r="63" spans="1:37" ht="15.75" thickBot="1" x14ac:dyDescent="0.3">
      <c r="A63" s="544"/>
      <c r="B63" s="71"/>
      <c r="C63" s="568" t="s">
        <v>44</v>
      </c>
      <c r="D63" s="67">
        <f>B$18/3</f>
        <v>3.5111111111111114E-2</v>
      </c>
      <c r="E63" s="101" t="s">
        <v>67</v>
      </c>
      <c r="F63" s="113">
        <f>D$63/2</f>
        <v>1.7555555555555557E-2</v>
      </c>
      <c r="G63" s="93" t="s">
        <v>12</v>
      </c>
      <c r="H63" s="39">
        <f t="shared" si="12"/>
        <v>3.92</v>
      </c>
      <c r="I63" s="35">
        <f>User_Input!H30</f>
        <v>1.96</v>
      </c>
      <c r="J63" s="27" t="s">
        <v>21</v>
      </c>
      <c r="K63" s="27">
        <f>IF(H63&gt;I63,1,0)</f>
        <v>1</v>
      </c>
      <c r="L63" s="5">
        <f t="shared" si="13"/>
        <v>0</v>
      </c>
      <c r="M63" s="1"/>
      <c r="N63" s="19">
        <f t="shared" si="14"/>
        <v>1</v>
      </c>
      <c r="O63" s="79">
        <f t="shared" si="11"/>
        <v>1.7555555555555557E-2</v>
      </c>
      <c r="P63" s="75">
        <f t="shared" si="15"/>
        <v>1.814425185185185E-2</v>
      </c>
      <c r="Q63" s="126"/>
    </row>
    <row r="64" spans="1:37" ht="15.75" thickBot="1" x14ac:dyDescent="0.3">
      <c r="A64" s="545"/>
      <c r="B64" s="72"/>
      <c r="C64" s="569"/>
      <c r="D64" s="66"/>
      <c r="E64" s="102" t="s">
        <v>68</v>
      </c>
      <c r="F64" s="113">
        <f>D$63/2</f>
        <v>1.7555555555555557E-2</v>
      </c>
      <c r="G64" s="95" t="s">
        <v>12</v>
      </c>
      <c r="H64" s="39">
        <f t="shared" si="12"/>
        <v>0.96</v>
      </c>
      <c r="I64" s="35">
        <f>User_Input!H31</f>
        <v>1.35</v>
      </c>
      <c r="J64" s="43" t="s">
        <v>21</v>
      </c>
      <c r="K64" s="43">
        <f>IF(H64&gt;I64,1,0)</f>
        <v>0</v>
      </c>
      <c r="L64" s="14">
        <f t="shared" si="13"/>
        <v>0</v>
      </c>
      <c r="M64" s="44"/>
      <c r="N64" s="19">
        <f t="shared" si="14"/>
        <v>0</v>
      </c>
      <c r="O64" s="80">
        <f t="shared" si="11"/>
        <v>0</v>
      </c>
      <c r="P64" s="75">
        <f t="shared" si="15"/>
        <v>0</v>
      </c>
      <c r="Q64" s="126"/>
    </row>
    <row r="65" spans="1:38" ht="30.75" thickBot="1" x14ac:dyDescent="0.3">
      <c r="A65" s="543" t="s">
        <v>90</v>
      </c>
      <c r="B65" s="70">
        <f>B22</f>
        <v>0.12533333333333332</v>
      </c>
      <c r="C65" s="34" t="s">
        <v>45</v>
      </c>
      <c r="D65" s="67">
        <f>B$22/4</f>
        <v>3.1333333333333331E-2</v>
      </c>
      <c r="E65" s="104" t="s">
        <v>69</v>
      </c>
      <c r="F65" s="112">
        <f>D65</f>
        <v>3.1333333333333331E-2</v>
      </c>
      <c r="G65" s="91" t="s">
        <v>4</v>
      </c>
      <c r="H65" s="39">
        <f t="shared" si="12"/>
        <v>44</v>
      </c>
      <c r="I65" s="35">
        <f>User_Input!H32</f>
        <v>27.5</v>
      </c>
      <c r="J65" s="36" t="s">
        <v>21</v>
      </c>
      <c r="K65" s="36">
        <f>IF(H65&gt;I65,1,0)</f>
        <v>1</v>
      </c>
      <c r="L65" s="35">
        <f t="shared" si="13"/>
        <v>0</v>
      </c>
      <c r="M65" s="49"/>
      <c r="N65" s="37">
        <f t="shared" si="14"/>
        <v>1</v>
      </c>
      <c r="O65" s="78">
        <f t="shared" si="11"/>
        <v>3.1333333333333331E-2</v>
      </c>
      <c r="P65" s="75">
        <f t="shared" si="15"/>
        <v>1.619202222222222E-2</v>
      </c>
      <c r="Q65" s="126">
        <f>P$90*B65</f>
        <v>6.4768088888888881E-2</v>
      </c>
    </row>
    <row r="66" spans="1:38" ht="31.5" thickTop="1" thickBot="1" x14ac:dyDescent="0.3">
      <c r="A66" s="544"/>
      <c r="B66" s="71"/>
      <c r="C66" s="30" t="s">
        <v>46</v>
      </c>
      <c r="D66" s="67">
        <f>B$22/4</f>
        <v>3.1333333333333331E-2</v>
      </c>
      <c r="E66" s="101" t="s">
        <v>70</v>
      </c>
      <c r="F66" s="113">
        <f>D66</f>
        <v>3.1333333333333331E-2</v>
      </c>
      <c r="G66" s="94" t="s">
        <v>12</v>
      </c>
      <c r="H66" s="39">
        <f t="shared" si="12"/>
        <v>0.4</v>
      </c>
      <c r="I66" s="35">
        <f>User_Input!H33</f>
        <v>0.55000000000000004</v>
      </c>
      <c r="J66" s="40" t="s">
        <v>22</v>
      </c>
      <c r="K66" s="5"/>
      <c r="L66" s="5">
        <f t="shared" si="13"/>
        <v>0</v>
      </c>
      <c r="M66" s="41">
        <f>IF(H66&lt;I66,1,0)</f>
        <v>1</v>
      </c>
      <c r="N66" s="19">
        <f t="shared" si="14"/>
        <v>1</v>
      </c>
      <c r="O66" s="79">
        <f t="shared" si="11"/>
        <v>3.1333333333333331E-2</v>
      </c>
      <c r="P66" s="75">
        <f t="shared" si="15"/>
        <v>1.619202222222222E-2</v>
      </c>
      <c r="Q66" s="126"/>
    </row>
    <row r="67" spans="1:38" ht="31.5" thickTop="1" thickBot="1" x14ac:dyDescent="0.3">
      <c r="A67" s="544"/>
      <c r="B67" s="71"/>
      <c r="C67" s="30" t="s">
        <v>47</v>
      </c>
      <c r="D67" s="67">
        <f>B$22/4</f>
        <v>3.1333333333333331E-2</v>
      </c>
      <c r="E67" s="101" t="s">
        <v>71</v>
      </c>
      <c r="F67" s="113">
        <f>D67</f>
        <v>3.1333333333333331E-2</v>
      </c>
      <c r="G67" s="94" t="s">
        <v>12</v>
      </c>
      <c r="H67" s="39">
        <f t="shared" si="12"/>
        <v>1.6</v>
      </c>
      <c r="I67" s="35">
        <f>User_Input!H34</f>
        <v>1.55</v>
      </c>
      <c r="J67" s="40" t="s">
        <v>22</v>
      </c>
      <c r="K67" s="5"/>
      <c r="L67" s="5">
        <f t="shared" si="13"/>
        <v>0</v>
      </c>
      <c r="M67" s="22">
        <f>IF(H67&lt;I67,1,0)</f>
        <v>0</v>
      </c>
      <c r="N67" s="19">
        <f t="shared" si="14"/>
        <v>0</v>
      </c>
      <c r="O67" s="79">
        <f t="shared" si="11"/>
        <v>0</v>
      </c>
      <c r="P67" s="75">
        <f t="shared" si="15"/>
        <v>1.619202222222222E-2</v>
      </c>
      <c r="Q67" s="126"/>
      <c r="X67" s="10"/>
      <c r="AB67" s="275"/>
      <c r="AC67" s="136"/>
      <c r="AD67" s="136"/>
      <c r="AE67" s="136"/>
      <c r="AF67" s="136"/>
      <c r="AG67" s="136"/>
    </row>
    <row r="68" spans="1:38" ht="16.5" thickTop="1" thickBot="1" x14ac:dyDescent="0.3">
      <c r="A68" s="544"/>
      <c r="B68" s="71"/>
      <c r="C68" s="568" t="s">
        <v>48</v>
      </c>
      <c r="D68" s="67">
        <f>B$22/4</f>
        <v>3.1333333333333331E-2</v>
      </c>
      <c r="E68" s="105" t="s">
        <v>72</v>
      </c>
      <c r="F68" s="113">
        <f>D$68/2</f>
        <v>1.5666666666666666E-2</v>
      </c>
      <c r="G68" s="93" t="s">
        <v>5</v>
      </c>
      <c r="H68" s="39">
        <f t="shared" si="12"/>
        <v>8.9999999999999998E-4</v>
      </c>
      <c r="I68" s="35">
        <f>User_Input!H35</f>
        <v>5.4500000000000009E-3</v>
      </c>
      <c r="J68" s="27" t="s">
        <v>21</v>
      </c>
      <c r="K68" s="27">
        <f>IF(H68&gt;I68,1,0)</f>
        <v>0</v>
      </c>
      <c r="L68" s="5">
        <f t="shared" si="13"/>
        <v>0</v>
      </c>
      <c r="M68" s="1"/>
      <c r="N68" s="19">
        <f t="shared" si="14"/>
        <v>0</v>
      </c>
      <c r="O68" s="79">
        <f t="shared" si="11"/>
        <v>0</v>
      </c>
      <c r="P68" s="75">
        <f t="shared" si="15"/>
        <v>1.619202222222222E-2</v>
      </c>
      <c r="Q68" s="126"/>
      <c r="AB68" s="123"/>
      <c r="AC68" s="136"/>
      <c r="AD68" s="136"/>
      <c r="AE68" s="136"/>
      <c r="AF68" s="136"/>
      <c r="AG68" s="136"/>
    </row>
    <row r="69" spans="1:38" ht="15.75" thickBot="1" x14ac:dyDescent="0.3">
      <c r="A69" s="545"/>
      <c r="B69" s="72"/>
      <c r="C69" s="569"/>
      <c r="D69" s="66"/>
      <c r="E69" s="106" t="s">
        <v>73</v>
      </c>
      <c r="F69" s="113">
        <f>D$68/2</f>
        <v>1.5666666666666666E-2</v>
      </c>
      <c r="G69" s="95" t="s">
        <v>5</v>
      </c>
      <c r="H69" s="39">
        <f t="shared" si="12"/>
        <v>6.3999999999999997E-5</v>
      </c>
      <c r="I69" s="35">
        <f>User_Input!H36</f>
        <v>4.8200000000000001E-4</v>
      </c>
      <c r="J69" s="43" t="s">
        <v>21</v>
      </c>
      <c r="K69" s="43">
        <f>IF(H69&gt;I69,1,0)</f>
        <v>0</v>
      </c>
      <c r="L69" s="14">
        <f t="shared" si="13"/>
        <v>0</v>
      </c>
      <c r="M69" s="44"/>
      <c r="N69" s="19">
        <f t="shared" si="14"/>
        <v>0</v>
      </c>
      <c r="O69" s="80">
        <f t="shared" si="11"/>
        <v>0</v>
      </c>
      <c r="P69" s="75">
        <f t="shared" si="15"/>
        <v>0</v>
      </c>
      <c r="Q69" s="126"/>
      <c r="AB69" s="275"/>
      <c r="AC69" s="136"/>
      <c r="AD69" s="136"/>
      <c r="AE69" s="136"/>
      <c r="AF69" s="136"/>
      <c r="AG69" s="136"/>
    </row>
    <row r="70" spans="1:38" ht="15.75" thickBot="1" x14ac:dyDescent="0.3">
      <c r="A70" s="543" t="s">
        <v>97</v>
      </c>
      <c r="B70" s="70">
        <f>B27</f>
        <v>0.16533333333333333</v>
      </c>
      <c r="C70" s="34" t="s">
        <v>49</v>
      </c>
      <c r="D70" s="67">
        <f t="shared" ref="D70:D77" si="16">B$27/8</f>
        <v>2.0666666666666667E-2</v>
      </c>
      <c r="E70" s="107" t="s">
        <v>74</v>
      </c>
      <c r="F70" s="112">
        <f>D70</f>
        <v>2.0666666666666667E-2</v>
      </c>
      <c r="G70" s="91" t="s">
        <v>7</v>
      </c>
      <c r="H70" s="39">
        <f t="shared" si="12"/>
        <v>46</v>
      </c>
      <c r="I70" s="35">
        <f>User_Input!H37</f>
        <v>54.5</v>
      </c>
      <c r="J70" s="36" t="s">
        <v>21</v>
      </c>
      <c r="K70" s="36">
        <f>IF(H70&gt;I70,1,0)</f>
        <v>0</v>
      </c>
      <c r="L70" s="35">
        <f t="shared" si="13"/>
        <v>0</v>
      </c>
      <c r="M70" s="49"/>
      <c r="N70" s="37">
        <f t="shared" si="14"/>
        <v>0</v>
      </c>
      <c r="O70" s="78">
        <f t="shared" si="11"/>
        <v>0</v>
      </c>
      <c r="P70" s="75">
        <f t="shared" si="15"/>
        <v>1.0679844444444442E-2</v>
      </c>
      <c r="Q70" s="126">
        <f>P$90*B70</f>
        <v>8.5438755555555537E-2</v>
      </c>
      <c r="X70" s="133"/>
      <c r="AB70" s="275"/>
      <c r="AC70" s="136"/>
      <c r="AD70" s="136"/>
      <c r="AE70" s="136"/>
      <c r="AF70" s="136"/>
      <c r="AG70" s="136"/>
    </row>
    <row r="71" spans="1:38" ht="15.75" thickBot="1" x14ac:dyDescent="0.3">
      <c r="A71" s="544"/>
      <c r="B71" s="71"/>
      <c r="C71" s="29" t="s">
        <v>50</v>
      </c>
      <c r="D71" s="67">
        <f t="shared" si="16"/>
        <v>2.0666666666666667E-2</v>
      </c>
      <c r="E71" s="105" t="s">
        <v>75</v>
      </c>
      <c r="F71" s="113">
        <f t="shared" ref="F71:F76" si="17">D71</f>
        <v>2.0666666666666667E-2</v>
      </c>
      <c r="G71" s="93" t="s">
        <v>15</v>
      </c>
      <c r="H71" s="39">
        <f t="shared" si="12"/>
        <v>3.72</v>
      </c>
      <c r="I71" s="35">
        <f>User_Input!H38</f>
        <v>3.7300000000000004</v>
      </c>
      <c r="J71" s="27" t="s">
        <v>21</v>
      </c>
      <c r="K71" s="27">
        <f>IF(H71&gt;I71,1,0)</f>
        <v>0</v>
      </c>
      <c r="L71" s="5">
        <f t="shared" si="13"/>
        <v>0</v>
      </c>
      <c r="M71" s="1"/>
      <c r="N71" s="19">
        <f t="shared" si="14"/>
        <v>0</v>
      </c>
      <c r="O71" s="79">
        <f t="shared" si="11"/>
        <v>0</v>
      </c>
      <c r="P71" s="75">
        <f t="shared" si="15"/>
        <v>1.0679844444444442E-2</v>
      </c>
      <c r="Q71" s="126"/>
      <c r="X71" s="10"/>
      <c r="AB71" s="123"/>
      <c r="AC71" s="136"/>
      <c r="AD71" s="136"/>
      <c r="AE71" s="136"/>
      <c r="AF71" s="136"/>
      <c r="AG71" s="136"/>
    </row>
    <row r="72" spans="1:38" ht="31.5" thickTop="1" thickBot="1" x14ac:dyDescent="0.3">
      <c r="A72" s="544"/>
      <c r="B72" s="71"/>
      <c r="C72" s="30" t="s">
        <v>51</v>
      </c>
      <c r="D72" s="67">
        <f t="shared" si="16"/>
        <v>2.0666666666666667E-2</v>
      </c>
      <c r="E72" s="101" t="s">
        <v>76</v>
      </c>
      <c r="F72" s="113">
        <f t="shared" si="17"/>
        <v>2.0666666666666667E-2</v>
      </c>
      <c r="G72" s="108" t="s">
        <v>6</v>
      </c>
      <c r="H72" s="39">
        <f t="shared" si="12"/>
        <v>37.700000000000003</v>
      </c>
      <c r="I72" s="35">
        <f>User_Input!H39</f>
        <v>34.545000000000002</v>
      </c>
      <c r="J72" s="40" t="s">
        <v>22</v>
      </c>
      <c r="K72" s="5"/>
      <c r="L72" s="5">
        <f t="shared" si="13"/>
        <v>0</v>
      </c>
      <c r="M72" s="24">
        <f>IF(H72&lt;I72,1,0)</f>
        <v>0</v>
      </c>
      <c r="N72" s="19">
        <f t="shared" si="14"/>
        <v>0</v>
      </c>
      <c r="O72" s="79">
        <f t="shared" si="11"/>
        <v>0</v>
      </c>
      <c r="P72" s="75">
        <f t="shared" si="15"/>
        <v>1.0679844444444442E-2</v>
      </c>
      <c r="Q72" s="126"/>
      <c r="X72" s="10"/>
      <c r="AB72" s="275"/>
      <c r="AC72" s="136"/>
      <c r="AD72" s="10"/>
      <c r="AE72" s="136"/>
      <c r="AF72" s="136"/>
      <c r="AG72" s="136"/>
      <c r="AH72" s="10"/>
      <c r="AI72" s="10"/>
      <c r="AJ72" s="10"/>
      <c r="AK72" s="10"/>
      <c r="AL72" s="10"/>
    </row>
    <row r="73" spans="1:38" ht="16.5" thickTop="1" thickBot="1" x14ac:dyDescent="0.3">
      <c r="A73" s="544"/>
      <c r="B73" s="71"/>
      <c r="C73" s="29" t="s">
        <v>52</v>
      </c>
      <c r="D73" s="67">
        <f t="shared" si="16"/>
        <v>2.0666666666666667E-2</v>
      </c>
      <c r="E73" s="105" t="s">
        <v>77</v>
      </c>
      <c r="F73" s="113">
        <f t="shared" si="17"/>
        <v>2.0666666666666667E-2</v>
      </c>
      <c r="G73" s="93" t="s">
        <v>4</v>
      </c>
      <c r="H73" s="39">
        <f t="shared" si="12"/>
        <v>68</v>
      </c>
      <c r="I73" s="35">
        <f>User_Input!H40</f>
        <v>65.5</v>
      </c>
      <c r="J73" s="27" t="s">
        <v>21</v>
      </c>
      <c r="K73" s="27">
        <f>IF(H73&gt;I73,1,0)</f>
        <v>1</v>
      </c>
      <c r="L73" s="5">
        <f t="shared" si="13"/>
        <v>0</v>
      </c>
      <c r="M73" s="1"/>
      <c r="N73" s="19">
        <f t="shared" si="14"/>
        <v>1</v>
      </c>
      <c r="O73" s="79">
        <f t="shared" si="11"/>
        <v>2.0666666666666667E-2</v>
      </c>
      <c r="P73" s="75">
        <f t="shared" si="15"/>
        <v>1.0679844444444442E-2</v>
      </c>
      <c r="Q73" s="126"/>
      <c r="X73" s="281"/>
      <c r="Y73" s="277"/>
      <c r="AB73" s="273"/>
      <c r="AC73" s="274"/>
      <c r="AD73" s="120"/>
      <c r="AE73" s="274"/>
      <c r="AF73" s="274"/>
      <c r="AG73" s="274"/>
      <c r="AH73" s="10"/>
      <c r="AI73" s="10"/>
      <c r="AJ73" s="10"/>
      <c r="AK73" s="10"/>
    </row>
    <row r="74" spans="1:38" ht="15.75" thickBot="1" x14ac:dyDescent="0.3">
      <c r="A74" s="544"/>
      <c r="B74" s="71"/>
      <c r="C74" s="2" t="s">
        <v>53</v>
      </c>
      <c r="D74" s="67">
        <f t="shared" si="16"/>
        <v>2.0666666666666667E-2</v>
      </c>
      <c r="E74" s="105" t="s">
        <v>78</v>
      </c>
      <c r="F74" s="113">
        <f t="shared" si="17"/>
        <v>2.0666666666666667E-2</v>
      </c>
      <c r="G74" s="94" t="s">
        <v>17</v>
      </c>
      <c r="H74" s="39">
        <f t="shared" si="12"/>
        <v>0.13</v>
      </c>
      <c r="I74" s="35">
        <f>User_Input!H41</f>
        <v>0.21</v>
      </c>
      <c r="J74" s="27" t="s">
        <v>21</v>
      </c>
      <c r="K74" s="27">
        <f>IF(H74&gt;I74,1,0)</f>
        <v>0</v>
      </c>
      <c r="L74" s="5">
        <f t="shared" si="13"/>
        <v>0</v>
      </c>
      <c r="M74" s="1"/>
      <c r="N74" s="19">
        <f t="shared" si="14"/>
        <v>0</v>
      </c>
      <c r="O74" s="79">
        <f t="shared" si="11"/>
        <v>0</v>
      </c>
      <c r="P74" s="75">
        <f t="shared" si="15"/>
        <v>1.0679844444444442E-2</v>
      </c>
      <c r="Q74" s="126"/>
      <c r="AC74" s="275"/>
      <c r="AD74" s="122"/>
      <c r="AE74" s="275"/>
      <c r="AF74" s="275"/>
      <c r="AG74" s="275"/>
      <c r="AI74" s="131"/>
      <c r="AJ74" s="131"/>
      <c r="AK74" s="131"/>
    </row>
    <row r="75" spans="1:38" ht="15.75" thickBot="1" x14ac:dyDescent="0.3">
      <c r="A75" s="544"/>
      <c r="B75" s="71"/>
      <c r="C75" s="2" t="s">
        <v>54</v>
      </c>
      <c r="D75" s="67">
        <f t="shared" si="16"/>
        <v>2.0666666666666667E-2</v>
      </c>
      <c r="E75" s="105" t="s">
        <v>79</v>
      </c>
      <c r="F75" s="113">
        <f t="shared" si="17"/>
        <v>2.0666666666666667E-2</v>
      </c>
      <c r="G75" s="94" t="s">
        <v>8</v>
      </c>
      <c r="H75" s="39">
        <f t="shared" si="12"/>
        <v>168</v>
      </c>
      <c r="I75" s="35">
        <f>User_Input!H42</f>
        <v>202.5</v>
      </c>
      <c r="J75" s="28" t="s">
        <v>21</v>
      </c>
      <c r="K75" s="27">
        <f>IF(H75&gt;I75,1,0)</f>
        <v>0</v>
      </c>
      <c r="L75" s="5">
        <f t="shared" si="13"/>
        <v>0</v>
      </c>
      <c r="M75" s="1"/>
      <c r="N75" s="19">
        <f t="shared" si="14"/>
        <v>0</v>
      </c>
      <c r="O75" s="79">
        <f t="shared" si="11"/>
        <v>0</v>
      </c>
      <c r="P75" s="75">
        <f t="shared" si="15"/>
        <v>1.0679844444444442E-2</v>
      </c>
      <c r="Q75" s="126"/>
      <c r="AC75" s="123"/>
      <c r="AD75" s="278"/>
      <c r="AE75" s="123"/>
      <c r="AF75" s="123"/>
      <c r="AG75" s="123"/>
      <c r="AI75" s="131"/>
      <c r="AJ75" s="131"/>
      <c r="AK75" s="131"/>
      <c r="AL75" s="124"/>
    </row>
    <row r="76" spans="1:38" ht="16.5" thickTop="1" thickBot="1" x14ac:dyDescent="0.3">
      <c r="A76" s="544"/>
      <c r="B76" s="71"/>
      <c r="C76" s="25" t="s">
        <v>55</v>
      </c>
      <c r="D76" s="67">
        <f t="shared" si="16"/>
        <v>2.0666666666666667E-2</v>
      </c>
      <c r="E76" s="105" t="s">
        <v>80</v>
      </c>
      <c r="F76" s="113">
        <f t="shared" si="17"/>
        <v>2.0666666666666667E-2</v>
      </c>
      <c r="G76" s="94" t="s">
        <v>4</v>
      </c>
      <c r="H76" s="39">
        <f t="shared" si="12"/>
        <v>90</v>
      </c>
      <c r="I76" s="35">
        <f>User_Input!H43</f>
        <v>74.5</v>
      </c>
      <c r="J76" s="20" t="s">
        <v>22</v>
      </c>
      <c r="K76" s="5"/>
      <c r="L76" s="5">
        <f t="shared" si="13"/>
        <v>0</v>
      </c>
      <c r="M76" s="23">
        <f t="shared" ref="M76:M83" si="18">IF(H76&lt;I76,1,0)</f>
        <v>0</v>
      </c>
      <c r="N76" s="19">
        <f t="shared" si="14"/>
        <v>0</v>
      </c>
      <c r="O76" s="79">
        <f t="shared" si="11"/>
        <v>0</v>
      </c>
      <c r="P76" s="75">
        <f t="shared" si="15"/>
        <v>1.0679844444444442E-2</v>
      </c>
      <c r="Q76" s="126"/>
      <c r="AC76" s="275"/>
      <c r="AD76" s="122"/>
      <c r="AE76" s="275"/>
      <c r="AF76" s="275"/>
      <c r="AG76" s="275"/>
      <c r="AI76" s="131"/>
      <c r="AJ76" s="131"/>
      <c r="AK76" s="131"/>
    </row>
    <row r="77" spans="1:38" ht="16.5" thickTop="1" thickBot="1" x14ac:dyDescent="0.3">
      <c r="A77" s="544"/>
      <c r="B77" s="71"/>
      <c r="C77" s="557" t="s">
        <v>56</v>
      </c>
      <c r="D77" s="67">
        <f t="shared" si="16"/>
        <v>2.0666666666666667E-2</v>
      </c>
      <c r="E77" s="105" t="s">
        <v>81</v>
      </c>
      <c r="F77" s="113">
        <f t="shared" ref="F77:F82" si="19">D$77/2</f>
        <v>1.0333333333333333E-2</v>
      </c>
      <c r="G77" s="94" t="s">
        <v>4</v>
      </c>
      <c r="H77" s="39">
        <f t="shared" si="12"/>
        <v>35</v>
      </c>
      <c r="I77" s="35">
        <f>User_Input!H44</f>
        <v>26</v>
      </c>
      <c r="J77" s="20" t="s">
        <v>22</v>
      </c>
      <c r="K77" s="5"/>
      <c r="L77" s="5">
        <f t="shared" si="13"/>
        <v>0</v>
      </c>
      <c r="M77" s="41">
        <f t="shared" si="18"/>
        <v>0</v>
      </c>
      <c r="N77" s="19">
        <f t="shared" si="14"/>
        <v>0</v>
      </c>
      <c r="O77" s="79">
        <f t="shared" si="11"/>
        <v>0</v>
      </c>
      <c r="P77" s="75">
        <f t="shared" si="15"/>
        <v>1.0679844444444442E-2</v>
      </c>
      <c r="Q77" s="126"/>
      <c r="AC77" s="275"/>
      <c r="AD77" s="122"/>
      <c r="AE77" s="275"/>
      <c r="AF77" s="275"/>
      <c r="AG77" s="275"/>
      <c r="AI77" s="131"/>
      <c r="AJ77" s="131"/>
      <c r="AK77" s="131"/>
    </row>
    <row r="78" spans="1:38" ht="31.5" thickTop="1" thickBot="1" x14ac:dyDescent="0.3">
      <c r="A78" s="545"/>
      <c r="B78" s="72"/>
      <c r="C78" s="558"/>
      <c r="D78" s="67"/>
      <c r="E78" s="106" t="s">
        <v>82</v>
      </c>
      <c r="F78" s="113">
        <f t="shared" si="19"/>
        <v>1.0333333333333333E-2</v>
      </c>
      <c r="G78" s="109" t="s">
        <v>9</v>
      </c>
      <c r="H78" s="39">
        <f t="shared" si="12"/>
        <v>72</v>
      </c>
      <c r="I78" s="35">
        <f>User_Input!H45</f>
        <v>57</v>
      </c>
      <c r="J78" s="21" t="s">
        <v>22</v>
      </c>
      <c r="K78" s="14"/>
      <c r="L78" s="14">
        <f t="shared" si="13"/>
        <v>0</v>
      </c>
      <c r="M78" s="22">
        <f t="shared" si="18"/>
        <v>0</v>
      </c>
      <c r="N78" s="19">
        <f t="shared" si="14"/>
        <v>0</v>
      </c>
      <c r="O78" s="80">
        <f t="shared" si="11"/>
        <v>0</v>
      </c>
      <c r="P78" s="75">
        <f t="shared" si="15"/>
        <v>0</v>
      </c>
      <c r="Q78" s="126"/>
      <c r="AC78" s="123"/>
      <c r="AD78" s="279"/>
      <c r="AE78" s="123"/>
      <c r="AF78" s="123"/>
      <c r="AG78" s="123"/>
      <c r="AI78" s="131"/>
      <c r="AJ78" s="131"/>
      <c r="AK78" s="131"/>
      <c r="AL78" s="124"/>
    </row>
    <row r="79" spans="1:38" ht="30.75" thickBot="1" x14ac:dyDescent="0.3">
      <c r="A79" s="543" t="s">
        <v>98</v>
      </c>
      <c r="B79" s="70">
        <f>B36</f>
        <v>0.22483333333333333</v>
      </c>
      <c r="C79" s="552" t="s">
        <v>57</v>
      </c>
      <c r="D79" s="67">
        <f>B$36/2</f>
        <v>0.11241666666666666</v>
      </c>
      <c r="E79" s="96" t="s">
        <v>83</v>
      </c>
      <c r="F79" s="113">
        <f t="shared" si="19"/>
        <v>1.0333333333333333E-2</v>
      </c>
      <c r="G79" s="110" t="s">
        <v>10</v>
      </c>
      <c r="H79" s="39">
        <f t="shared" si="12"/>
        <v>1498</v>
      </c>
      <c r="I79" s="35">
        <f>User_Input!H46</f>
        <v>1291</v>
      </c>
      <c r="J79" s="52" t="s">
        <v>22</v>
      </c>
      <c r="K79" s="35"/>
      <c r="L79" s="35">
        <f t="shared" si="13"/>
        <v>0</v>
      </c>
      <c r="M79" s="47">
        <f t="shared" si="18"/>
        <v>0</v>
      </c>
      <c r="N79" s="37">
        <f t="shared" si="14"/>
        <v>0</v>
      </c>
      <c r="O79" s="78">
        <f t="shared" si="11"/>
        <v>0</v>
      </c>
      <c r="P79" s="75">
        <f t="shared" si="15"/>
        <v>5.8093186111111104E-2</v>
      </c>
      <c r="Q79" s="126">
        <f>P$90*B79</f>
        <v>0.11618637222222221</v>
      </c>
      <c r="X79" s="10"/>
      <c r="AC79" s="275"/>
      <c r="AD79" s="122"/>
      <c r="AE79" s="275"/>
      <c r="AF79" s="275"/>
      <c r="AG79" s="275"/>
      <c r="AI79" s="131"/>
      <c r="AJ79" s="131"/>
      <c r="AK79" s="131"/>
    </row>
    <row r="80" spans="1:38" ht="15" customHeight="1" thickTop="1" thickBot="1" x14ac:dyDescent="0.3">
      <c r="A80" s="544"/>
      <c r="B80" s="71"/>
      <c r="C80" s="553"/>
      <c r="D80" s="67"/>
      <c r="E80" s="97" t="s">
        <v>84</v>
      </c>
      <c r="F80" s="113">
        <f t="shared" si="19"/>
        <v>1.0333333333333333E-2</v>
      </c>
      <c r="G80" s="94" t="s">
        <v>18</v>
      </c>
      <c r="H80" s="39">
        <f t="shared" si="12"/>
        <v>1.62</v>
      </c>
      <c r="I80" s="35">
        <f>User_Input!H47</f>
        <v>1.675</v>
      </c>
      <c r="J80" s="20" t="s">
        <v>22</v>
      </c>
      <c r="K80" s="5"/>
      <c r="L80" s="5">
        <f t="shared" si="13"/>
        <v>0</v>
      </c>
      <c r="M80" s="41">
        <f t="shared" si="18"/>
        <v>1</v>
      </c>
      <c r="N80" s="19">
        <f t="shared" si="14"/>
        <v>1</v>
      </c>
      <c r="O80" s="79">
        <f t="shared" si="11"/>
        <v>1.0333333333333333E-2</v>
      </c>
      <c r="P80" s="75">
        <f t="shared" si="15"/>
        <v>0</v>
      </c>
      <c r="Q80" s="126"/>
      <c r="AC80" s="123"/>
      <c r="AD80" s="278"/>
      <c r="AE80" s="123"/>
      <c r="AF80" s="123"/>
      <c r="AG80" s="123"/>
      <c r="AI80" s="131"/>
      <c r="AJ80" s="131"/>
      <c r="AK80" s="131"/>
      <c r="AL80" s="124"/>
    </row>
    <row r="81" spans="1:38" ht="16.5" thickTop="1" thickBot="1" x14ac:dyDescent="0.3">
      <c r="A81" s="544"/>
      <c r="B81" s="71"/>
      <c r="C81" s="553"/>
      <c r="D81" s="67"/>
      <c r="E81" s="97" t="s">
        <v>85</v>
      </c>
      <c r="F81" s="113">
        <f t="shared" si="19"/>
        <v>1.0333333333333333E-2</v>
      </c>
      <c r="G81" s="94" t="s">
        <v>14</v>
      </c>
      <c r="H81" s="39">
        <f t="shared" si="12"/>
        <v>4.5999999999999996</v>
      </c>
      <c r="I81" s="35">
        <f>User_Input!H48</f>
        <v>5</v>
      </c>
      <c r="J81" s="20" t="s">
        <v>22</v>
      </c>
      <c r="K81" s="5"/>
      <c r="L81" s="5">
        <f t="shared" si="13"/>
        <v>0</v>
      </c>
      <c r="M81" s="41">
        <f t="shared" si="18"/>
        <v>1</v>
      </c>
      <c r="N81" s="19">
        <f t="shared" si="14"/>
        <v>1</v>
      </c>
      <c r="O81" s="79">
        <f t="shared" si="11"/>
        <v>1.0333333333333333E-2</v>
      </c>
      <c r="P81" s="75">
        <f t="shared" si="15"/>
        <v>0</v>
      </c>
      <c r="Q81" s="126"/>
      <c r="AC81" s="275"/>
      <c r="AD81" s="122"/>
      <c r="AE81" s="275"/>
      <c r="AF81" s="275"/>
      <c r="AG81" s="275"/>
      <c r="AI81" s="131"/>
      <c r="AJ81" s="131"/>
      <c r="AK81" s="131"/>
    </row>
    <row r="82" spans="1:38" ht="16.5" thickTop="1" thickBot="1" x14ac:dyDescent="0.3">
      <c r="A82" s="544"/>
      <c r="B82" s="71"/>
      <c r="C82" s="554"/>
      <c r="D82" s="67"/>
      <c r="E82" s="97" t="s">
        <v>86</v>
      </c>
      <c r="F82" s="113">
        <f t="shared" si="19"/>
        <v>1.0333333333333333E-2</v>
      </c>
      <c r="G82" s="94" t="s">
        <v>14</v>
      </c>
      <c r="H82" s="39">
        <f>H39</f>
        <v>1.2</v>
      </c>
      <c r="I82" s="35">
        <f>User_Input!H49</f>
        <v>1.125</v>
      </c>
      <c r="J82" s="21" t="s">
        <v>22</v>
      </c>
      <c r="K82" s="14"/>
      <c r="L82" s="5">
        <f t="shared" si="13"/>
        <v>0</v>
      </c>
      <c r="M82" s="41">
        <f t="shared" si="18"/>
        <v>0</v>
      </c>
      <c r="N82" s="19">
        <f t="shared" si="14"/>
        <v>0</v>
      </c>
      <c r="O82" s="80">
        <f t="shared" si="11"/>
        <v>0</v>
      </c>
      <c r="P82" s="75">
        <f t="shared" si="15"/>
        <v>0</v>
      </c>
      <c r="Q82" s="126"/>
      <c r="AC82" s="275"/>
      <c r="AD82" s="122"/>
      <c r="AE82" s="275"/>
      <c r="AF82" s="275"/>
      <c r="AG82" s="275"/>
      <c r="AI82" s="131"/>
      <c r="AJ82" s="131"/>
      <c r="AK82" s="131"/>
    </row>
    <row r="83" spans="1:38" ht="31.5" thickTop="1" thickBot="1" x14ac:dyDescent="0.3">
      <c r="A83" s="545"/>
      <c r="B83" s="72"/>
      <c r="C83" s="50" t="s">
        <v>58</v>
      </c>
      <c r="D83" s="87">
        <f>B$36/2</f>
        <v>0.11241666666666666</v>
      </c>
      <c r="E83" s="106" t="s">
        <v>87</v>
      </c>
      <c r="F83" s="113">
        <f>D83</f>
        <v>0.11241666666666666</v>
      </c>
      <c r="G83" s="109" t="s">
        <v>11</v>
      </c>
      <c r="H83" s="39">
        <f t="shared" si="12"/>
        <v>0.7</v>
      </c>
      <c r="I83" s="35">
        <f>User_Input!H50</f>
        <v>0.48499999999999999</v>
      </c>
      <c r="J83" s="53" t="s">
        <v>22</v>
      </c>
      <c r="K83" s="14"/>
      <c r="L83" s="14">
        <f t="shared" si="13"/>
        <v>0</v>
      </c>
      <c r="M83" s="22">
        <f t="shared" si="18"/>
        <v>0</v>
      </c>
      <c r="N83" s="54">
        <f t="shared" si="14"/>
        <v>0</v>
      </c>
      <c r="O83" s="80">
        <f t="shared" si="11"/>
        <v>0</v>
      </c>
      <c r="P83" s="75">
        <f t="shared" si="15"/>
        <v>5.8093186111111104E-2</v>
      </c>
      <c r="Q83" s="126"/>
      <c r="AC83" s="275"/>
      <c r="AD83" s="122"/>
      <c r="AE83" s="275"/>
      <c r="AF83" s="275"/>
      <c r="AG83" s="275"/>
      <c r="AI83" s="131"/>
      <c r="AJ83" s="131"/>
      <c r="AK83" s="131"/>
    </row>
    <row r="84" spans="1:38" ht="30.75" thickBot="1" x14ac:dyDescent="0.3">
      <c r="A84" s="84" t="s">
        <v>91</v>
      </c>
      <c r="B84" s="85">
        <f>B41</f>
        <v>0.28383333333333333</v>
      </c>
      <c r="C84" s="86" t="s">
        <v>59</v>
      </c>
      <c r="D84" s="88">
        <f>B84</f>
        <v>0.28383333333333333</v>
      </c>
      <c r="E84" s="86" t="s">
        <v>88</v>
      </c>
      <c r="F84" s="114">
        <f>D84</f>
        <v>0.28383333333333333</v>
      </c>
      <c r="G84" s="111" t="s">
        <v>10</v>
      </c>
      <c r="H84" s="39">
        <f t="shared" si="12"/>
        <v>210.5</v>
      </c>
      <c r="I84" s="35">
        <f>User_Input!H51</f>
        <v>184.35</v>
      </c>
      <c r="J84" s="56" t="s">
        <v>21</v>
      </c>
      <c r="K84" s="57">
        <f>IF(H84&gt;I84,1,0)</f>
        <v>1</v>
      </c>
      <c r="L84" s="58">
        <f t="shared" si="13"/>
        <v>0</v>
      </c>
      <c r="M84" s="55"/>
      <c r="N84" s="89">
        <f t="shared" si="14"/>
        <v>1</v>
      </c>
      <c r="O84" s="81">
        <f t="shared" si="11"/>
        <v>0.28383333333333333</v>
      </c>
      <c r="P84" s="75">
        <f t="shared" si="15"/>
        <v>0.14667560555555553</v>
      </c>
      <c r="Q84" s="126">
        <f>P$90*B84</f>
        <v>0.14667560555555553</v>
      </c>
      <c r="AC84" s="275"/>
      <c r="AD84" s="122"/>
      <c r="AE84" s="275"/>
      <c r="AF84" s="275"/>
      <c r="AG84" s="275"/>
      <c r="AI84" s="131"/>
      <c r="AJ84" s="131"/>
      <c r="AK84" s="131"/>
    </row>
    <row r="85" spans="1:38" ht="15" x14ac:dyDescent="0.25">
      <c r="A85" s="13"/>
      <c r="B85" s="13"/>
      <c r="C85" s="13"/>
      <c r="D85" s="13"/>
      <c r="E85" s="16"/>
      <c r="F85" s="355"/>
      <c r="G85" s="17"/>
      <c r="H85" s="16"/>
      <c r="I85" s="17"/>
      <c r="J85" s="17"/>
      <c r="K85" s="17"/>
      <c r="L85" s="17"/>
      <c r="M85" s="17"/>
      <c r="N85" s="18"/>
      <c r="O85" s="18"/>
      <c r="P85" s="18"/>
      <c r="Q85" s="18"/>
      <c r="AC85" s="123"/>
      <c r="AD85" s="279"/>
      <c r="AE85" s="123"/>
      <c r="AF85" s="123"/>
      <c r="AG85" s="123"/>
      <c r="AI85" s="131"/>
      <c r="AJ85" s="131"/>
      <c r="AK85" s="131"/>
      <c r="AL85" s="124"/>
    </row>
    <row r="86" spans="1:38" ht="15" x14ac:dyDescent="0.25">
      <c r="A86" s="15"/>
      <c r="B86" s="69"/>
      <c r="C86" s="15"/>
      <c r="D86" s="15"/>
      <c r="E86" s="18"/>
      <c r="F86" s="73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AC86" s="123"/>
      <c r="AD86" s="279"/>
      <c r="AE86" s="123"/>
      <c r="AF86" s="123"/>
      <c r="AG86" s="123"/>
      <c r="AI86" s="131"/>
      <c r="AJ86" s="131"/>
      <c r="AK86" s="131"/>
      <c r="AL86" s="124"/>
    </row>
    <row r="87" spans="1:38" ht="15" x14ac:dyDescent="0.25">
      <c r="A87" s="18"/>
      <c r="B87" s="18"/>
      <c r="C87" s="18"/>
      <c r="D87" s="18"/>
      <c r="E87" s="18"/>
      <c r="F87" s="73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AC87" s="275"/>
      <c r="AD87" s="122"/>
      <c r="AE87" s="275"/>
      <c r="AF87" s="275"/>
      <c r="AG87" s="275"/>
      <c r="AI87" s="131"/>
      <c r="AJ87" s="131"/>
      <c r="AK87" s="131"/>
    </row>
    <row r="88" spans="1:38" ht="15" x14ac:dyDescent="0.25">
      <c r="C88" s="11"/>
      <c r="D88" s="11"/>
      <c r="E88" s="11"/>
      <c r="F88" s="11"/>
      <c r="G88" s="7"/>
      <c r="H88" s="11"/>
      <c r="I88" s="7"/>
      <c r="J88" s="7"/>
      <c r="K88" s="7"/>
      <c r="L88" s="7"/>
      <c r="M88" s="7"/>
      <c r="N88" s="7"/>
      <c r="O88" s="7"/>
      <c r="P88" s="6"/>
      <c r="AC88" s="275"/>
      <c r="AD88" s="122"/>
      <c r="AE88" s="275"/>
      <c r="AF88" s="275"/>
      <c r="AG88" s="275"/>
      <c r="AI88" s="131"/>
      <c r="AJ88" s="131"/>
      <c r="AK88" s="131"/>
    </row>
    <row r="89" spans="1:38" ht="15" x14ac:dyDescent="0.25">
      <c r="N89" s="60" t="s">
        <v>106</v>
      </c>
      <c r="O89" s="129">
        <f>SUM(O55:O84)</f>
        <v>0.5167666666666666</v>
      </c>
      <c r="P89" s="18"/>
      <c r="Q89" s="17"/>
      <c r="AC89" s="275"/>
      <c r="AD89" s="122"/>
      <c r="AE89" s="275"/>
      <c r="AF89" s="275"/>
      <c r="AG89" s="275"/>
      <c r="AI89" s="131"/>
      <c r="AJ89" s="131"/>
      <c r="AK89" s="131"/>
    </row>
    <row r="90" spans="1:38" ht="15" x14ac:dyDescent="0.25">
      <c r="N90" s="18"/>
      <c r="O90" s="61" t="s">
        <v>107</v>
      </c>
      <c r="P90" s="61">
        <f>SUM(P55:P84)</f>
        <v>0.5167666666666666</v>
      </c>
      <c r="Q90" s="18"/>
      <c r="AC90" s="275"/>
      <c r="AD90" s="122"/>
      <c r="AE90" s="275"/>
      <c r="AF90" s="275"/>
      <c r="AG90" s="275"/>
      <c r="AI90" s="131"/>
      <c r="AJ90" s="131"/>
      <c r="AK90" s="131"/>
    </row>
    <row r="91" spans="1:38" ht="15" x14ac:dyDescent="0.25">
      <c r="N91" s="18"/>
      <c r="O91" s="18"/>
      <c r="P91" s="62" t="s">
        <v>108</v>
      </c>
      <c r="Q91" s="83">
        <f>SUM(Q55:Q84)</f>
        <v>0.5167666666666666</v>
      </c>
      <c r="AC91" s="123"/>
      <c r="AD91" s="280"/>
      <c r="AE91" s="123"/>
      <c r="AF91" s="123"/>
      <c r="AG91" s="123"/>
      <c r="AI91" s="131"/>
      <c r="AJ91" s="131"/>
      <c r="AK91" s="131"/>
      <c r="AL91" s="124"/>
    </row>
    <row r="92" spans="1:38" ht="15" x14ac:dyDescent="0.25">
      <c r="AC92" s="275"/>
      <c r="AD92" s="122"/>
      <c r="AE92" s="275"/>
      <c r="AF92" s="275"/>
      <c r="AG92" s="275"/>
      <c r="AI92" s="131"/>
      <c r="AJ92" s="131"/>
      <c r="AK92" s="131"/>
    </row>
    <row r="93" spans="1:38" ht="15" x14ac:dyDescent="0.25">
      <c r="N93" s="18"/>
      <c r="O93" s="18"/>
      <c r="P93" s="127"/>
      <c r="Q93" s="128"/>
      <c r="AC93" s="275"/>
      <c r="AD93" s="279"/>
      <c r="AE93" s="275"/>
      <c r="AF93" s="275"/>
      <c r="AG93" s="275"/>
      <c r="AI93" s="131"/>
      <c r="AJ93" s="131"/>
      <c r="AK93" s="131"/>
    </row>
    <row r="94" spans="1:38" ht="15" x14ac:dyDescent="0.25">
      <c r="N94" s="18"/>
      <c r="O94" s="18"/>
      <c r="P94" s="127"/>
      <c r="Q94" s="128"/>
      <c r="AC94" s="275"/>
      <c r="AD94" s="279"/>
      <c r="AE94" s="275"/>
      <c r="AF94" s="275"/>
      <c r="AG94" s="275"/>
      <c r="AI94" s="131"/>
      <c r="AJ94" s="131"/>
      <c r="AK94" s="131"/>
    </row>
    <row r="95" spans="1:38" ht="15" x14ac:dyDescent="0.25">
      <c r="A95" s="4"/>
      <c r="N95" s="18"/>
      <c r="O95" s="18"/>
      <c r="P95" s="127"/>
      <c r="Q95" s="128"/>
      <c r="AC95" s="123"/>
      <c r="AD95" s="279"/>
      <c r="AE95" s="123"/>
      <c r="AF95" s="123"/>
      <c r="AG95" s="123"/>
      <c r="AI95" s="131"/>
      <c r="AJ95" s="131"/>
      <c r="AK95" s="131"/>
      <c r="AL95" s="124"/>
    </row>
    <row r="96" spans="1:38" ht="15" x14ac:dyDescent="0.25">
      <c r="A96" s="4" t="s">
        <v>124</v>
      </c>
      <c r="N96" s="18"/>
      <c r="O96" s="18"/>
      <c r="P96" s="127"/>
      <c r="Q96" s="128"/>
      <c r="AC96" s="123"/>
      <c r="AD96" s="279"/>
      <c r="AE96" s="123"/>
      <c r="AF96" s="123"/>
      <c r="AG96" s="123"/>
      <c r="AI96" s="131"/>
      <c r="AJ96" s="131"/>
      <c r="AK96" s="131"/>
      <c r="AL96" s="124"/>
    </row>
    <row r="97" spans="1:38" ht="15" x14ac:dyDescent="0.25">
      <c r="X97" s="124"/>
      <c r="AC97" s="123"/>
      <c r="AD97" s="279"/>
      <c r="AE97" s="123"/>
      <c r="AF97" s="123"/>
      <c r="AG97" s="123"/>
      <c r="AI97" s="131"/>
      <c r="AJ97" s="131"/>
      <c r="AK97" s="131"/>
      <c r="AL97" s="124"/>
    </row>
    <row r="98" spans="1:38" ht="15" x14ac:dyDescent="0.25">
      <c r="A98" s="3" t="s">
        <v>100</v>
      </c>
      <c r="B98" s="3" t="s">
        <v>19</v>
      </c>
      <c r="C98" s="3" t="s">
        <v>176</v>
      </c>
      <c r="D98" s="3" t="s">
        <v>19</v>
      </c>
      <c r="E98" s="3" t="s">
        <v>0</v>
      </c>
      <c r="F98" s="8" t="s">
        <v>19</v>
      </c>
      <c r="G98" s="341" t="s">
        <v>1</v>
      </c>
      <c r="H98" s="8" t="s">
        <v>94</v>
      </c>
      <c r="I98" s="12" t="s">
        <v>31</v>
      </c>
      <c r="J98" s="12" t="s">
        <v>20</v>
      </c>
      <c r="K98" s="546" t="s">
        <v>30</v>
      </c>
      <c r="L98" s="546"/>
      <c r="M98" s="546"/>
      <c r="N98" s="546"/>
      <c r="O98" s="12" t="s">
        <v>119</v>
      </c>
      <c r="P98" s="12" t="s">
        <v>120</v>
      </c>
      <c r="Q98" s="12" t="s">
        <v>121</v>
      </c>
      <c r="AC98" s="123"/>
      <c r="AD98" s="279"/>
      <c r="AE98" s="123"/>
      <c r="AF98" s="123"/>
      <c r="AG98" s="123"/>
      <c r="AI98" s="131"/>
      <c r="AJ98" s="131"/>
      <c r="AK98" s="131"/>
      <c r="AL98" s="124"/>
    </row>
    <row r="99" spans="1:38" ht="15.75" thickBot="1" x14ac:dyDescent="0.3">
      <c r="A99" s="26" t="s">
        <v>102</v>
      </c>
      <c r="B99" s="26" t="s">
        <v>103</v>
      </c>
      <c r="C99" s="26" t="s">
        <v>23</v>
      </c>
      <c r="D99" s="26" t="s">
        <v>24</v>
      </c>
      <c r="E99" s="31" t="s">
        <v>25</v>
      </c>
      <c r="F99" s="32" t="s">
        <v>29</v>
      </c>
      <c r="G99" s="32" t="s">
        <v>26</v>
      </c>
      <c r="H99" s="32" t="s">
        <v>27</v>
      </c>
      <c r="I99" s="32" t="s">
        <v>32</v>
      </c>
      <c r="J99" s="32" t="s">
        <v>28</v>
      </c>
      <c r="K99" s="33" t="s">
        <v>93</v>
      </c>
      <c r="L99" s="33" t="s">
        <v>95</v>
      </c>
      <c r="M99" s="33" t="s">
        <v>96</v>
      </c>
      <c r="N99" s="33" t="s">
        <v>104</v>
      </c>
      <c r="O99" s="32" t="s">
        <v>34</v>
      </c>
      <c r="P99" s="32" t="s">
        <v>35</v>
      </c>
      <c r="Q99" s="32" t="s">
        <v>105</v>
      </c>
      <c r="AC99" s="123"/>
      <c r="AD99" s="279"/>
      <c r="AE99" s="123"/>
      <c r="AF99" s="123"/>
      <c r="AG99" s="123"/>
      <c r="AI99" s="131"/>
      <c r="AJ99" s="131"/>
      <c r="AK99" s="131"/>
      <c r="AL99" s="124"/>
    </row>
    <row r="100" spans="1:38" ht="15.75" thickBot="1" x14ac:dyDescent="0.3">
      <c r="A100" s="543" t="s">
        <v>36</v>
      </c>
      <c r="B100" s="70">
        <f>SUM(D100:D104)</f>
        <v>0.14319565217391303</v>
      </c>
      <c r="C100" s="63" t="s">
        <v>37</v>
      </c>
      <c r="D100" s="67">
        <f>D12</f>
        <v>2.4739130434782607E-2</v>
      </c>
      <c r="E100" s="96" t="s">
        <v>60</v>
      </c>
      <c r="F100" s="112">
        <f>D100</f>
        <v>2.4739130434782607E-2</v>
      </c>
      <c r="G100" s="91" t="s">
        <v>5</v>
      </c>
      <c r="H100" s="39">
        <f>H12</f>
        <v>28.5</v>
      </c>
      <c r="I100" s="35">
        <f>User_Input!H22</f>
        <v>19.399999999999999</v>
      </c>
      <c r="J100" s="36" t="s">
        <v>21</v>
      </c>
      <c r="K100" s="36">
        <f>IF(H100&gt;I100,1,0)</f>
        <v>1</v>
      </c>
      <c r="L100" s="35">
        <f>IF(H100=I100,0.5,0)</f>
        <v>0</v>
      </c>
      <c r="M100" s="35"/>
      <c r="N100" s="37">
        <f>SUM(K100:M100)</f>
        <v>1</v>
      </c>
      <c r="O100" s="74">
        <f t="shared" ref="O100:O129" si="20">N100*F100</f>
        <v>2.4739130434782607E-2</v>
      </c>
      <c r="P100" s="75">
        <f>O$134*D100</f>
        <v>1.0152724007561436E-2</v>
      </c>
      <c r="Q100" s="126">
        <f>P$135*B100</f>
        <v>5.8825016723062375E-2</v>
      </c>
      <c r="AC100" s="123"/>
      <c r="AD100" s="279"/>
      <c r="AE100" s="123"/>
      <c r="AF100" s="123"/>
      <c r="AG100" s="123"/>
      <c r="AI100" s="131"/>
      <c r="AJ100" s="131"/>
      <c r="AK100" s="131"/>
      <c r="AL100" s="124"/>
    </row>
    <row r="101" spans="1:38" ht="16.5" thickTop="1" thickBot="1" x14ac:dyDescent="0.3">
      <c r="A101" s="544"/>
      <c r="B101" s="71"/>
      <c r="C101" s="64" t="s">
        <v>38</v>
      </c>
      <c r="D101" s="67">
        <f t="shared" ref="D101:D129" si="21">D13</f>
        <v>2.7739130434782606E-2</v>
      </c>
      <c r="E101" s="97" t="s">
        <v>61</v>
      </c>
      <c r="F101" s="113">
        <f>D101</f>
        <v>2.7739130434782606E-2</v>
      </c>
      <c r="G101" s="92" t="s">
        <v>2</v>
      </c>
      <c r="H101" s="39">
        <f t="shared" ref="H101:H129" si="22">H13</f>
        <v>4.9000000000000004</v>
      </c>
      <c r="I101" s="35">
        <f>User_Input!H23</f>
        <v>6.6000000000000005</v>
      </c>
      <c r="J101" s="40" t="s">
        <v>22</v>
      </c>
      <c r="K101" s="5"/>
      <c r="L101" s="5">
        <f t="shared" ref="L101:L129" si="23">IF(H101=I101,0.5,0)</f>
        <v>0</v>
      </c>
      <c r="M101" s="41">
        <f>IF(H101&lt;I101,1,0)</f>
        <v>1</v>
      </c>
      <c r="N101" s="19">
        <f t="shared" ref="N101:N129" si="24">SUM(K101:M101)</f>
        <v>1</v>
      </c>
      <c r="O101" s="76">
        <f t="shared" si="20"/>
        <v>2.7739130434782606E-2</v>
      </c>
      <c r="P101" s="75">
        <f t="shared" ref="P101:P129" si="25">O$134*D101</f>
        <v>1.1383897920604914E-2</v>
      </c>
      <c r="Q101" s="126">
        <f t="shared" ref="Q101:Q129" si="26">P$135*B101</f>
        <v>0</v>
      </c>
      <c r="AC101" s="123"/>
      <c r="AD101" s="279"/>
      <c r="AE101" s="123"/>
      <c r="AF101" s="123"/>
      <c r="AG101" s="123"/>
      <c r="AI101" s="131"/>
      <c r="AJ101" s="131"/>
      <c r="AK101" s="131"/>
      <c r="AL101" s="124"/>
    </row>
    <row r="102" spans="1:38" ht="15" customHeight="1" thickTop="1" thickBot="1" x14ac:dyDescent="0.3">
      <c r="A102" s="544"/>
      <c r="B102" s="71"/>
      <c r="C102" s="65" t="s">
        <v>39</v>
      </c>
      <c r="D102" s="67">
        <f t="shared" si="21"/>
        <v>2.8239130434782607E-2</v>
      </c>
      <c r="E102" s="97" t="s">
        <v>62</v>
      </c>
      <c r="F102" s="113">
        <f>D102</f>
        <v>2.8239130434782607E-2</v>
      </c>
      <c r="G102" s="93" t="s">
        <v>3</v>
      </c>
      <c r="H102" s="39">
        <f t="shared" si="22"/>
        <v>3</v>
      </c>
      <c r="I102" s="35">
        <f>User_Input!H24</f>
        <v>3.25</v>
      </c>
      <c r="J102" s="27" t="s">
        <v>21</v>
      </c>
      <c r="K102" s="27">
        <f>IF(H102&gt;I102,1,0)</f>
        <v>0</v>
      </c>
      <c r="L102" s="5">
        <f t="shared" si="23"/>
        <v>0</v>
      </c>
      <c r="M102" s="1"/>
      <c r="N102" s="19">
        <f t="shared" si="24"/>
        <v>0</v>
      </c>
      <c r="O102" s="76">
        <f t="shared" si="20"/>
        <v>0</v>
      </c>
      <c r="P102" s="75">
        <f t="shared" si="25"/>
        <v>1.1589093572778826E-2</v>
      </c>
      <c r="Q102" s="126">
        <f t="shared" si="26"/>
        <v>0</v>
      </c>
      <c r="AC102" s="123"/>
      <c r="AD102" s="279"/>
      <c r="AE102" s="123"/>
      <c r="AF102" s="123"/>
      <c r="AG102" s="123"/>
      <c r="AI102" s="131"/>
      <c r="AJ102" s="131"/>
      <c r="AK102" s="131"/>
      <c r="AL102" s="124"/>
    </row>
    <row r="103" spans="1:38" ht="18" customHeight="1" thickBot="1" x14ac:dyDescent="0.3">
      <c r="A103" s="544"/>
      <c r="B103" s="71"/>
      <c r="C103" s="65" t="s">
        <v>40</v>
      </c>
      <c r="D103" s="67">
        <f t="shared" si="21"/>
        <v>3.0739130434782609E-2</v>
      </c>
      <c r="E103" s="97" t="s">
        <v>63</v>
      </c>
      <c r="F103" s="113">
        <f>D103</f>
        <v>3.0739130434782609E-2</v>
      </c>
      <c r="G103" s="93" t="s">
        <v>16</v>
      </c>
      <c r="H103" s="39">
        <f t="shared" si="22"/>
        <v>844</v>
      </c>
      <c r="I103" s="35">
        <f>User_Input!H25</f>
        <v>762</v>
      </c>
      <c r="J103" s="27" t="s">
        <v>21</v>
      </c>
      <c r="K103" s="27">
        <f>IF(H103&gt;I103,1,0)</f>
        <v>1</v>
      </c>
      <c r="L103" s="5">
        <f t="shared" si="23"/>
        <v>0</v>
      </c>
      <c r="M103" s="1"/>
      <c r="N103" s="19">
        <f t="shared" si="24"/>
        <v>1</v>
      </c>
      <c r="O103" s="76">
        <f t="shared" si="20"/>
        <v>3.0739130434782609E-2</v>
      </c>
      <c r="P103" s="75">
        <f t="shared" si="25"/>
        <v>1.2615071833648392E-2</v>
      </c>
      <c r="Q103" s="126">
        <f t="shared" si="26"/>
        <v>0</v>
      </c>
      <c r="AC103" s="276"/>
      <c r="AD103" s="125"/>
      <c r="AE103" s="276"/>
      <c r="AF103" s="276"/>
      <c r="AG103" s="276"/>
      <c r="AI103" s="131"/>
      <c r="AJ103" s="131"/>
      <c r="AK103" s="131"/>
    </row>
    <row r="104" spans="1:38" ht="16.5" thickTop="1" thickBot="1" x14ac:dyDescent="0.3">
      <c r="A104" s="544"/>
      <c r="B104" s="71"/>
      <c r="C104" s="555" t="s">
        <v>41</v>
      </c>
      <c r="D104" s="67">
        <f t="shared" si="21"/>
        <v>3.173913043478261E-2</v>
      </c>
      <c r="E104" s="98" t="s">
        <v>64</v>
      </c>
      <c r="F104" s="113">
        <f>D$104/2</f>
        <v>1.5869565217391305E-2</v>
      </c>
      <c r="G104" s="94" t="s">
        <v>4</v>
      </c>
      <c r="H104" s="39">
        <f t="shared" si="22"/>
        <v>93.94</v>
      </c>
      <c r="I104" s="35">
        <f>User_Input!H26</f>
        <v>96.015000000000001</v>
      </c>
      <c r="J104" s="40" t="s">
        <v>22</v>
      </c>
      <c r="K104" s="5"/>
      <c r="L104" s="5">
        <f t="shared" si="23"/>
        <v>0</v>
      </c>
      <c r="M104" s="41">
        <f>IF(H104&lt;I104,1,0)</f>
        <v>1</v>
      </c>
      <c r="N104" s="19">
        <f t="shared" si="24"/>
        <v>1</v>
      </c>
      <c r="O104" s="76">
        <f t="shared" si="20"/>
        <v>1.5869565217391305E-2</v>
      </c>
      <c r="P104" s="75">
        <f t="shared" si="25"/>
        <v>1.302546313799622E-2</v>
      </c>
      <c r="Q104" s="126">
        <f t="shared" si="26"/>
        <v>0</v>
      </c>
      <c r="AH104" s="282"/>
      <c r="AI104" s="283"/>
      <c r="AJ104" s="283"/>
      <c r="AK104" s="283"/>
    </row>
    <row r="105" spans="1:38" ht="16.5" thickTop="1" thickBot="1" x14ac:dyDescent="0.3">
      <c r="A105" s="545"/>
      <c r="B105" s="72"/>
      <c r="C105" s="556"/>
      <c r="D105" s="67"/>
      <c r="E105" s="99" t="s">
        <v>65</v>
      </c>
      <c r="F105" s="113">
        <f>D$104/2</f>
        <v>1.5869565217391305E-2</v>
      </c>
      <c r="G105" s="95" t="s">
        <v>4</v>
      </c>
      <c r="H105" s="39">
        <f t="shared" si="22"/>
        <v>6.06</v>
      </c>
      <c r="I105" s="35">
        <f>User_Input!H27</f>
        <v>3.9849999999999999</v>
      </c>
      <c r="J105" s="43" t="s">
        <v>21</v>
      </c>
      <c r="K105" s="43">
        <f>IF(H105&gt;I105,1,0)</f>
        <v>1</v>
      </c>
      <c r="L105" s="14">
        <f t="shared" si="23"/>
        <v>0</v>
      </c>
      <c r="M105" s="44"/>
      <c r="N105" s="19">
        <f t="shared" si="24"/>
        <v>1</v>
      </c>
      <c r="O105" s="77">
        <f t="shared" si="20"/>
        <v>1.5869565217391305E-2</v>
      </c>
      <c r="P105" s="75">
        <f t="shared" si="25"/>
        <v>0</v>
      </c>
      <c r="Q105" s="126">
        <f t="shared" si="26"/>
        <v>0</v>
      </c>
      <c r="AH105" s="284"/>
      <c r="AI105" s="285"/>
      <c r="AJ105" s="285"/>
      <c r="AK105" s="285"/>
    </row>
    <row r="106" spans="1:38" ht="15.75" thickBot="1" x14ac:dyDescent="0.3">
      <c r="A106" s="543" t="s">
        <v>92</v>
      </c>
      <c r="B106" s="70">
        <f>SUM(D106:D108)</f>
        <v>0.10021739130434781</v>
      </c>
      <c r="C106" s="45" t="s">
        <v>42</v>
      </c>
      <c r="D106" s="67">
        <f t="shared" si="21"/>
        <v>2.9239130434782608E-2</v>
      </c>
      <c r="E106" s="100" t="s">
        <v>89</v>
      </c>
      <c r="F106" s="112">
        <f>D106</f>
        <v>2.9239130434782608E-2</v>
      </c>
      <c r="G106" s="103" t="s">
        <v>4</v>
      </c>
      <c r="H106" s="39">
        <f t="shared" si="22"/>
        <v>12.36</v>
      </c>
      <c r="I106" s="35">
        <f>User_Input!H28</f>
        <v>14.709999999999999</v>
      </c>
      <c r="J106" s="46" t="s">
        <v>22</v>
      </c>
      <c r="K106" s="35"/>
      <c r="L106" s="35">
        <f t="shared" si="23"/>
        <v>0</v>
      </c>
      <c r="M106" s="47">
        <f>IF(H106&lt;I106,1,0)</f>
        <v>1</v>
      </c>
      <c r="N106" s="37">
        <f t="shared" si="24"/>
        <v>1</v>
      </c>
      <c r="O106" s="78">
        <f t="shared" si="20"/>
        <v>2.9239130434782608E-2</v>
      </c>
      <c r="P106" s="75">
        <f t="shared" si="25"/>
        <v>1.1999484877126652E-2</v>
      </c>
      <c r="Q106" s="126">
        <f t="shared" si="26"/>
        <v>4.116947428166351E-2</v>
      </c>
    </row>
    <row r="107" spans="1:38" ht="16.5" thickTop="1" thickBot="1" x14ac:dyDescent="0.3">
      <c r="A107" s="544"/>
      <c r="B107" s="71"/>
      <c r="C107" s="29" t="s">
        <v>43</v>
      </c>
      <c r="D107" s="67">
        <f t="shared" si="21"/>
        <v>3.3739130434782605E-2</v>
      </c>
      <c r="E107" s="101" t="s">
        <v>66</v>
      </c>
      <c r="F107" s="113">
        <f>D107</f>
        <v>3.3739130434782605E-2</v>
      </c>
      <c r="G107" s="93" t="s">
        <v>4</v>
      </c>
      <c r="H107" s="39">
        <f t="shared" si="22"/>
        <v>0</v>
      </c>
      <c r="I107" s="35">
        <f>User_Input!H29</f>
        <v>2.44</v>
      </c>
      <c r="J107" s="27" t="s">
        <v>21</v>
      </c>
      <c r="K107" s="27">
        <f>IF(H107&gt;I107,1,0)</f>
        <v>0</v>
      </c>
      <c r="L107" s="5">
        <f t="shared" si="23"/>
        <v>0</v>
      </c>
      <c r="M107" s="1"/>
      <c r="N107" s="19">
        <f t="shared" si="24"/>
        <v>0</v>
      </c>
      <c r="O107" s="79">
        <f t="shared" si="20"/>
        <v>0</v>
      </c>
      <c r="P107" s="75">
        <f t="shared" si="25"/>
        <v>1.3846245746691868E-2</v>
      </c>
      <c r="Q107" s="126">
        <f t="shared" si="26"/>
        <v>0</v>
      </c>
      <c r="X107" s="10"/>
    </row>
    <row r="108" spans="1:38" ht="15.75" thickBot="1" x14ac:dyDescent="0.3">
      <c r="A108" s="544"/>
      <c r="B108" s="71"/>
      <c r="C108" s="568" t="s">
        <v>44</v>
      </c>
      <c r="D108" s="67">
        <f t="shared" si="21"/>
        <v>3.7239130434782608E-2</v>
      </c>
      <c r="E108" s="101" t="s">
        <v>67</v>
      </c>
      <c r="F108" s="113">
        <f>D$108/2</f>
        <v>1.8619565217391304E-2</v>
      </c>
      <c r="G108" s="93" t="s">
        <v>12</v>
      </c>
      <c r="H108" s="39">
        <f t="shared" si="22"/>
        <v>3.92</v>
      </c>
      <c r="I108" s="35">
        <f>User_Input!H30</f>
        <v>1.96</v>
      </c>
      <c r="J108" s="27" t="s">
        <v>21</v>
      </c>
      <c r="K108" s="27">
        <f>IF(H108&gt;I108,1,0)</f>
        <v>1</v>
      </c>
      <c r="L108" s="5">
        <f t="shared" si="23"/>
        <v>0</v>
      </c>
      <c r="M108" s="1"/>
      <c r="N108" s="19">
        <f t="shared" si="24"/>
        <v>1</v>
      </c>
      <c r="O108" s="79">
        <f t="shared" si="20"/>
        <v>1.8619565217391304E-2</v>
      </c>
      <c r="P108" s="75">
        <f t="shared" si="25"/>
        <v>1.5282615311909262E-2</v>
      </c>
      <c r="Q108" s="126">
        <f t="shared" si="26"/>
        <v>0</v>
      </c>
    </row>
    <row r="109" spans="1:38" ht="15.75" thickBot="1" x14ac:dyDescent="0.3">
      <c r="A109" s="545"/>
      <c r="B109" s="72"/>
      <c r="C109" s="569"/>
      <c r="D109" s="67"/>
      <c r="E109" s="102" t="s">
        <v>68</v>
      </c>
      <c r="F109" s="113">
        <f>D$108/2</f>
        <v>1.8619565217391304E-2</v>
      </c>
      <c r="G109" s="95" t="s">
        <v>12</v>
      </c>
      <c r="H109" s="39">
        <f t="shared" si="22"/>
        <v>0.96</v>
      </c>
      <c r="I109" s="35">
        <f>User_Input!H31</f>
        <v>1.35</v>
      </c>
      <c r="J109" s="43" t="s">
        <v>21</v>
      </c>
      <c r="K109" s="43">
        <f>IF(H109&gt;I109,1,0)</f>
        <v>0</v>
      </c>
      <c r="L109" s="14">
        <f t="shared" si="23"/>
        <v>0</v>
      </c>
      <c r="M109" s="44"/>
      <c r="N109" s="19">
        <f t="shared" si="24"/>
        <v>0</v>
      </c>
      <c r="O109" s="80">
        <f t="shared" si="20"/>
        <v>0</v>
      </c>
      <c r="P109" s="75">
        <f t="shared" si="25"/>
        <v>0</v>
      </c>
      <c r="Q109" s="126">
        <f t="shared" si="26"/>
        <v>0</v>
      </c>
    </row>
    <row r="110" spans="1:38" ht="30.75" thickBot="1" x14ac:dyDescent="0.3">
      <c r="A110" s="543" t="s">
        <v>90</v>
      </c>
      <c r="B110" s="70">
        <f>SUM(D110:D113)</f>
        <v>0.14395652173913043</v>
      </c>
      <c r="C110" s="34" t="s">
        <v>45</v>
      </c>
      <c r="D110" s="67">
        <f t="shared" si="21"/>
        <v>3.8239130434782609E-2</v>
      </c>
      <c r="E110" s="104" t="s">
        <v>69</v>
      </c>
      <c r="F110" s="112">
        <f>D110</f>
        <v>3.8239130434782609E-2</v>
      </c>
      <c r="G110" s="91" t="s">
        <v>4</v>
      </c>
      <c r="H110" s="39">
        <f t="shared" si="22"/>
        <v>44</v>
      </c>
      <c r="I110" s="35">
        <f>User_Input!H32</f>
        <v>27.5</v>
      </c>
      <c r="J110" s="36" t="s">
        <v>21</v>
      </c>
      <c r="K110" s="36">
        <f>IF(H110&gt;I110,1,0)</f>
        <v>1</v>
      </c>
      <c r="L110" s="35">
        <f t="shared" si="23"/>
        <v>0</v>
      </c>
      <c r="M110" s="49"/>
      <c r="N110" s="37">
        <f t="shared" si="24"/>
        <v>1</v>
      </c>
      <c r="O110" s="78">
        <f t="shared" si="20"/>
        <v>3.8239130434782609E-2</v>
      </c>
      <c r="P110" s="75">
        <f t="shared" si="25"/>
        <v>1.5693006616257089E-2</v>
      </c>
      <c r="Q110" s="126">
        <f t="shared" si="26"/>
        <v>5.9137583230623812E-2</v>
      </c>
    </row>
    <row r="111" spans="1:38" ht="31.5" thickTop="1" thickBot="1" x14ac:dyDescent="0.3">
      <c r="A111" s="544"/>
      <c r="B111" s="71"/>
      <c r="C111" s="30" t="s">
        <v>46</v>
      </c>
      <c r="D111" s="67">
        <f t="shared" si="21"/>
        <v>3.6739130434782608E-2</v>
      </c>
      <c r="E111" s="101" t="s">
        <v>70</v>
      </c>
      <c r="F111" s="113">
        <f>D111</f>
        <v>3.6739130434782608E-2</v>
      </c>
      <c r="G111" s="94" t="s">
        <v>12</v>
      </c>
      <c r="H111" s="39">
        <f t="shared" si="22"/>
        <v>0.4</v>
      </c>
      <c r="I111" s="35">
        <f>User_Input!H33</f>
        <v>0.55000000000000004</v>
      </c>
      <c r="J111" s="40" t="s">
        <v>22</v>
      </c>
      <c r="K111" s="5"/>
      <c r="L111" s="5">
        <f t="shared" si="23"/>
        <v>0</v>
      </c>
      <c r="M111" s="41">
        <f>IF(H111&lt;I111,1,0)</f>
        <v>1</v>
      </c>
      <c r="N111" s="19">
        <f t="shared" si="24"/>
        <v>1</v>
      </c>
      <c r="O111" s="79">
        <f t="shared" si="20"/>
        <v>3.6739130434782608E-2</v>
      </c>
      <c r="P111" s="75">
        <f t="shared" si="25"/>
        <v>1.5077419659735348E-2</v>
      </c>
      <c r="Q111" s="126">
        <f t="shared" si="26"/>
        <v>0</v>
      </c>
    </row>
    <row r="112" spans="1:38" ht="31.5" thickTop="1" thickBot="1" x14ac:dyDescent="0.3">
      <c r="A112" s="544"/>
      <c r="B112" s="71"/>
      <c r="C112" s="30" t="s">
        <v>47</v>
      </c>
      <c r="D112" s="67">
        <f t="shared" si="21"/>
        <v>3.2739130434782604E-2</v>
      </c>
      <c r="E112" s="101" t="s">
        <v>71</v>
      </c>
      <c r="F112" s="113">
        <f>D112</f>
        <v>3.2739130434782604E-2</v>
      </c>
      <c r="G112" s="94" t="s">
        <v>12</v>
      </c>
      <c r="H112" s="39">
        <f t="shared" si="22"/>
        <v>1.6</v>
      </c>
      <c r="I112" s="35">
        <f>User_Input!H34</f>
        <v>1.55</v>
      </c>
      <c r="J112" s="40" t="s">
        <v>22</v>
      </c>
      <c r="K112" s="5"/>
      <c r="L112" s="5">
        <f t="shared" si="23"/>
        <v>0</v>
      </c>
      <c r="M112" s="22">
        <f>IF(H112&lt;I112,1,0)</f>
        <v>0</v>
      </c>
      <c r="N112" s="19">
        <f t="shared" si="24"/>
        <v>0</v>
      </c>
      <c r="O112" s="79">
        <f t="shared" si="20"/>
        <v>0</v>
      </c>
      <c r="P112" s="75">
        <f t="shared" si="25"/>
        <v>1.3435854442344042E-2</v>
      </c>
      <c r="Q112" s="126">
        <f t="shared" si="26"/>
        <v>0</v>
      </c>
      <c r="AJ112" s="286"/>
    </row>
    <row r="113" spans="1:36" ht="16.5" thickTop="1" thickBot="1" x14ac:dyDescent="0.3">
      <c r="A113" s="544"/>
      <c r="B113" s="71"/>
      <c r="C113" s="568" t="s">
        <v>48</v>
      </c>
      <c r="D113" s="67">
        <f t="shared" si="21"/>
        <v>3.6239130434782607E-2</v>
      </c>
      <c r="E113" s="105" t="s">
        <v>72</v>
      </c>
      <c r="F113" s="113">
        <f>D$113/2</f>
        <v>1.8119565217391304E-2</v>
      </c>
      <c r="G113" s="93" t="s">
        <v>5</v>
      </c>
      <c r="H113" s="39">
        <f t="shared" si="22"/>
        <v>8.9999999999999998E-4</v>
      </c>
      <c r="I113" s="35">
        <f>User_Input!H35</f>
        <v>5.4500000000000009E-3</v>
      </c>
      <c r="J113" s="27" t="s">
        <v>21</v>
      </c>
      <c r="K113" s="27">
        <f>IF(H113&gt;I113,1,0)</f>
        <v>0</v>
      </c>
      <c r="L113" s="5">
        <f t="shared" si="23"/>
        <v>0</v>
      </c>
      <c r="M113" s="1"/>
      <c r="N113" s="19">
        <f t="shared" si="24"/>
        <v>0</v>
      </c>
      <c r="O113" s="79">
        <f t="shared" si="20"/>
        <v>0</v>
      </c>
      <c r="P113" s="75">
        <f t="shared" si="25"/>
        <v>1.4872224007561436E-2</v>
      </c>
      <c r="Q113" s="126">
        <f t="shared" si="26"/>
        <v>0</v>
      </c>
      <c r="AJ113" s="286"/>
    </row>
    <row r="114" spans="1:36" ht="15.75" thickBot="1" x14ac:dyDescent="0.3">
      <c r="A114" s="545"/>
      <c r="B114" s="72"/>
      <c r="C114" s="569"/>
      <c r="D114" s="67"/>
      <c r="E114" s="106" t="s">
        <v>73</v>
      </c>
      <c r="F114" s="113">
        <f>D$113/2</f>
        <v>1.8119565217391304E-2</v>
      </c>
      <c r="G114" s="95" t="s">
        <v>5</v>
      </c>
      <c r="H114" s="39">
        <f t="shared" si="22"/>
        <v>6.3999999999999997E-5</v>
      </c>
      <c r="I114" s="35">
        <f>User_Input!H36</f>
        <v>4.8200000000000001E-4</v>
      </c>
      <c r="J114" s="43" t="s">
        <v>21</v>
      </c>
      <c r="K114" s="43">
        <f>IF(H114&gt;I114,1,0)</f>
        <v>0</v>
      </c>
      <c r="L114" s="14">
        <f t="shared" si="23"/>
        <v>0</v>
      </c>
      <c r="M114" s="44"/>
      <c r="N114" s="19">
        <f t="shared" si="24"/>
        <v>0</v>
      </c>
      <c r="O114" s="80">
        <f t="shared" si="20"/>
        <v>0</v>
      </c>
      <c r="P114" s="75">
        <f t="shared" si="25"/>
        <v>0</v>
      </c>
      <c r="Q114" s="126">
        <f t="shared" si="26"/>
        <v>0</v>
      </c>
    </row>
    <row r="115" spans="1:36" ht="15.75" thickBot="1" x14ac:dyDescent="0.3">
      <c r="A115" s="543" t="s">
        <v>97</v>
      </c>
      <c r="B115" s="70">
        <f>SUM(D115:D122)</f>
        <v>0.36191304347826092</v>
      </c>
      <c r="C115" s="34" t="s">
        <v>49</v>
      </c>
      <c r="D115" s="67">
        <f t="shared" si="21"/>
        <v>4.3739130434782607E-2</v>
      </c>
      <c r="E115" s="107" t="s">
        <v>74</v>
      </c>
      <c r="F115" s="112">
        <f>D115</f>
        <v>4.3739130434782607E-2</v>
      </c>
      <c r="G115" s="91" t="s">
        <v>7</v>
      </c>
      <c r="H115" s="39">
        <f t="shared" si="22"/>
        <v>46</v>
      </c>
      <c r="I115" s="35">
        <f>User_Input!H37</f>
        <v>54.5</v>
      </c>
      <c r="J115" s="36" t="s">
        <v>21</v>
      </c>
      <c r="K115" s="36">
        <f>IF(H115&gt;I115,1,0)</f>
        <v>0</v>
      </c>
      <c r="L115" s="35">
        <f t="shared" si="23"/>
        <v>0</v>
      </c>
      <c r="M115" s="49"/>
      <c r="N115" s="37">
        <f t="shared" si="24"/>
        <v>0</v>
      </c>
      <c r="O115" s="78">
        <f t="shared" si="20"/>
        <v>0</v>
      </c>
      <c r="P115" s="75">
        <f t="shared" si="25"/>
        <v>1.7950158790170131E-2</v>
      </c>
      <c r="Q115" s="126">
        <f t="shared" si="26"/>
        <v>0.14867449193950852</v>
      </c>
    </row>
    <row r="116" spans="1:36" ht="15.75" thickBot="1" x14ac:dyDescent="0.3">
      <c r="A116" s="544"/>
      <c r="B116" s="71"/>
      <c r="C116" s="29" t="s">
        <v>50</v>
      </c>
      <c r="D116" s="67">
        <f t="shared" si="21"/>
        <v>4.2739130434782613E-2</v>
      </c>
      <c r="E116" s="105" t="s">
        <v>75</v>
      </c>
      <c r="F116" s="113">
        <f t="shared" ref="F116:F121" si="27">D116</f>
        <v>4.2739130434782613E-2</v>
      </c>
      <c r="G116" s="93" t="s">
        <v>15</v>
      </c>
      <c r="H116" s="39">
        <f t="shared" si="22"/>
        <v>3.72</v>
      </c>
      <c r="I116" s="35">
        <f>User_Input!H38</f>
        <v>3.7300000000000004</v>
      </c>
      <c r="J116" s="27" t="s">
        <v>21</v>
      </c>
      <c r="K116" s="27">
        <f>IF(H116&gt;I116,1,0)</f>
        <v>0</v>
      </c>
      <c r="L116" s="5">
        <f t="shared" si="23"/>
        <v>0</v>
      </c>
      <c r="M116" s="1"/>
      <c r="N116" s="19">
        <f t="shared" si="24"/>
        <v>0</v>
      </c>
      <c r="O116" s="79">
        <f t="shared" si="20"/>
        <v>0</v>
      </c>
      <c r="P116" s="75">
        <f t="shared" si="25"/>
        <v>1.7539767485822307E-2</v>
      </c>
      <c r="Q116" s="126">
        <f t="shared" si="26"/>
        <v>0</v>
      </c>
    </row>
    <row r="117" spans="1:36" ht="31.5" thickTop="1" thickBot="1" x14ac:dyDescent="0.3">
      <c r="A117" s="544"/>
      <c r="B117" s="71"/>
      <c r="C117" s="30" t="s">
        <v>51</v>
      </c>
      <c r="D117" s="67">
        <f t="shared" si="21"/>
        <v>4.3739130434782607E-2</v>
      </c>
      <c r="E117" s="101" t="s">
        <v>76</v>
      </c>
      <c r="F117" s="113">
        <f t="shared" si="27"/>
        <v>4.3739130434782607E-2</v>
      </c>
      <c r="G117" s="108" t="s">
        <v>6</v>
      </c>
      <c r="H117" s="39">
        <f t="shared" si="22"/>
        <v>37.700000000000003</v>
      </c>
      <c r="I117" s="35">
        <f>User_Input!H39</f>
        <v>34.545000000000002</v>
      </c>
      <c r="J117" s="40" t="s">
        <v>22</v>
      </c>
      <c r="K117" s="5"/>
      <c r="L117" s="5">
        <f t="shared" si="23"/>
        <v>0</v>
      </c>
      <c r="M117" s="24">
        <f>IF(H117&lt;I117,1,0)</f>
        <v>0</v>
      </c>
      <c r="N117" s="19">
        <f t="shared" si="24"/>
        <v>0</v>
      </c>
      <c r="O117" s="79">
        <f t="shared" si="20"/>
        <v>0</v>
      </c>
      <c r="P117" s="75">
        <f t="shared" si="25"/>
        <v>1.7950158790170131E-2</v>
      </c>
      <c r="Q117" s="126">
        <f t="shared" si="26"/>
        <v>0</v>
      </c>
    </row>
    <row r="118" spans="1:36" ht="16.5" thickTop="1" thickBot="1" x14ac:dyDescent="0.3">
      <c r="A118" s="544"/>
      <c r="B118" s="71"/>
      <c r="C118" s="29" t="s">
        <v>52</v>
      </c>
      <c r="D118" s="67">
        <f t="shared" si="21"/>
        <v>4.4739130434782608E-2</v>
      </c>
      <c r="E118" s="105" t="s">
        <v>77</v>
      </c>
      <c r="F118" s="113">
        <f t="shared" si="27"/>
        <v>4.4739130434782608E-2</v>
      </c>
      <c r="G118" s="93" t="s">
        <v>4</v>
      </c>
      <c r="H118" s="39">
        <f t="shared" si="22"/>
        <v>68</v>
      </c>
      <c r="I118" s="35">
        <f>User_Input!H40</f>
        <v>65.5</v>
      </c>
      <c r="J118" s="27" t="s">
        <v>21</v>
      </c>
      <c r="K118" s="27">
        <f>IF(H118&gt;I118,1,0)</f>
        <v>1</v>
      </c>
      <c r="L118" s="5">
        <f t="shared" si="23"/>
        <v>0</v>
      </c>
      <c r="M118" s="1"/>
      <c r="N118" s="19">
        <f t="shared" si="24"/>
        <v>1</v>
      </c>
      <c r="O118" s="79">
        <f t="shared" si="20"/>
        <v>4.4739130434782608E-2</v>
      </c>
      <c r="P118" s="75">
        <f t="shared" si="25"/>
        <v>1.8360550094517956E-2</v>
      </c>
      <c r="Q118" s="126">
        <f t="shared" si="26"/>
        <v>0</v>
      </c>
    </row>
    <row r="119" spans="1:36" ht="15.75" thickBot="1" x14ac:dyDescent="0.3">
      <c r="A119" s="544"/>
      <c r="B119" s="71"/>
      <c r="C119" s="2" t="s">
        <v>53</v>
      </c>
      <c r="D119" s="67">
        <f t="shared" si="21"/>
        <v>5.0239130434782606E-2</v>
      </c>
      <c r="E119" s="105" t="s">
        <v>78</v>
      </c>
      <c r="F119" s="113">
        <f t="shared" si="27"/>
        <v>5.0239130434782606E-2</v>
      </c>
      <c r="G119" s="94" t="s">
        <v>17</v>
      </c>
      <c r="H119" s="39">
        <f t="shared" si="22"/>
        <v>0.13</v>
      </c>
      <c r="I119" s="35">
        <f>User_Input!H41</f>
        <v>0.21</v>
      </c>
      <c r="J119" s="27" t="s">
        <v>21</v>
      </c>
      <c r="K119" s="27">
        <f>IF(H119&gt;I119,1,0)</f>
        <v>0</v>
      </c>
      <c r="L119" s="5">
        <f t="shared" si="23"/>
        <v>0</v>
      </c>
      <c r="M119" s="1"/>
      <c r="N119" s="19">
        <f t="shared" si="24"/>
        <v>0</v>
      </c>
      <c r="O119" s="79">
        <f t="shared" si="20"/>
        <v>0</v>
      </c>
      <c r="P119" s="75">
        <f t="shared" si="25"/>
        <v>2.0617702268430998E-2</v>
      </c>
      <c r="Q119" s="126">
        <f t="shared" si="26"/>
        <v>0</v>
      </c>
    </row>
    <row r="120" spans="1:36" ht="15.75" thickBot="1" x14ac:dyDescent="0.3">
      <c r="A120" s="544"/>
      <c r="B120" s="71"/>
      <c r="C120" s="2" t="s">
        <v>54</v>
      </c>
      <c r="D120" s="67">
        <f t="shared" si="21"/>
        <v>5.5739130434782611E-2</v>
      </c>
      <c r="E120" s="105" t="s">
        <v>79</v>
      </c>
      <c r="F120" s="113">
        <f t="shared" si="27"/>
        <v>5.5739130434782611E-2</v>
      </c>
      <c r="G120" s="94" t="s">
        <v>8</v>
      </c>
      <c r="H120" s="39">
        <f t="shared" si="22"/>
        <v>168</v>
      </c>
      <c r="I120" s="35">
        <f>User_Input!H42</f>
        <v>202.5</v>
      </c>
      <c r="J120" s="28" t="s">
        <v>21</v>
      </c>
      <c r="K120" s="27">
        <f>IF(H120&gt;I120,1,0)</f>
        <v>0</v>
      </c>
      <c r="L120" s="5">
        <f t="shared" si="23"/>
        <v>0</v>
      </c>
      <c r="M120" s="1"/>
      <c r="N120" s="19">
        <f t="shared" si="24"/>
        <v>0</v>
      </c>
      <c r="O120" s="79">
        <f t="shared" si="20"/>
        <v>0</v>
      </c>
      <c r="P120" s="75">
        <f t="shared" si="25"/>
        <v>2.2874854442344043E-2</v>
      </c>
      <c r="Q120" s="126">
        <f t="shared" si="26"/>
        <v>0</v>
      </c>
    </row>
    <row r="121" spans="1:36" ht="16.5" thickTop="1" thickBot="1" x14ac:dyDescent="0.3">
      <c r="A121" s="544"/>
      <c r="B121" s="71"/>
      <c r="C121" s="25" t="s">
        <v>55</v>
      </c>
      <c r="D121" s="67">
        <f t="shared" si="21"/>
        <v>2.6239130434782609E-2</v>
      </c>
      <c r="E121" s="105" t="s">
        <v>80</v>
      </c>
      <c r="F121" s="113">
        <f t="shared" si="27"/>
        <v>2.6239130434782609E-2</v>
      </c>
      <c r="G121" s="94" t="s">
        <v>4</v>
      </c>
      <c r="H121" s="39">
        <f t="shared" si="22"/>
        <v>90</v>
      </c>
      <c r="I121" s="35">
        <f>User_Input!H43</f>
        <v>74.5</v>
      </c>
      <c r="J121" s="20" t="s">
        <v>22</v>
      </c>
      <c r="K121" s="5"/>
      <c r="L121" s="5">
        <f t="shared" si="23"/>
        <v>0</v>
      </c>
      <c r="M121" s="23">
        <f t="shared" ref="M121:M128" si="28">IF(H121&lt;I121,1,0)</f>
        <v>0</v>
      </c>
      <c r="N121" s="19">
        <f t="shared" si="24"/>
        <v>0</v>
      </c>
      <c r="O121" s="79">
        <f t="shared" si="20"/>
        <v>0</v>
      </c>
      <c r="P121" s="75">
        <f t="shared" si="25"/>
        <v>1.0768310964083176E-2</v>
      </c>
      <c r="Q121" s="126">
        <f t="shared" si="26"/>
        <v>0</v>
      </c>
    </row>
    <row r="122" spans="1:36" ht="16.5" thickTop="1" thickBot="1" x14ac:dyDescent="0.3">
      <c r="A122" s="544"/>
      <c r="B122" s="71"/>
      <c r="C122" s="557" t="s">
        <v>56</v>
      </c>
      <c r="D122" s="67">
        <f>D34</f>
        <v>5.473913043478261E-2</v>
      </c>
      <c r="E122" s="105" t="s">
        <v>81</v>
      </c>
      <c r="F122" s="113">
        <f>D$122/2</f>
        <v>2.7369565217391305E-2</v>
      </c>
      <c r="G122" s="94" t="s">
        <v>4</v>
      </c>
      <c r="H122" s="39">
        <f t="shared" si="22"/>
        <v>35</v>
      </c>
      <c r="I122" s="35">
        <f>User_Input!H44</f>
        <v>26</v>
      </c>
      <c r="J122" s="20" t="s">
        <v>22</v>
      </c>
      <c r="K122" s="5"/>
      <c r="L122" s="5">
        <f t="shared" si="23"/>
        <v>0</v>
      </c>
      <c r="M122" s="41">
        <f t="shared" si="28"/>
        <v>0</v>
      </c>
      <c r="N122" s="19">
        <f t="shared" si="24"/>
        <v>0</v>
      </c>
      <c r="O122" s="79">
        <f t="shared" si="20"/>
        <v>0</v>
      </c>
      <c r="P122" s="75">
        <f t="shared" si="25"/>
        <v>2.2464463137996219E-2</v>
      </c>
      <c r="Q122" s="126">
        <f t="shared" si="26"/>
        <v>0</v>
      </c>
    </row>
    <row r="123" spans="1:36" ht="31.5" thickTop="1" thickBot="1" x14ac:dyDescent="0.3">
      <c r="A123" s="545"/>
      <c r="B123" s="72"/>
      <c r="C123" s="558"/>
      <c r="D123" s="67">
        <f t="shared" si="21"/>
        <v>0</v>
      </c>
      <c r="E123" s="106" t="s">
        <v>82</v>
      </c>
      <c r="F123" s="113">
        <f>D$122/2</f>
        <v>2.7369565217391305E-2</v>
      </c>
      <c r="G123" s="109" t="s">
        <v>9</v>
      </c>
      <c r="H123" s="39">
        <f t="shared" si="22"/>
        <v>72</v>
      </c>
      <c r="I123" s="35">
        <f>User_Input!H45</f>
        <v>57</v>
      </c>
      <c r="J123" s="21" t="s">
        <v>22</v>
      </c>
      <c r="K123" s="14"/>
      <c r="L123" s="14">
        <f t="shared" si="23"/>
        <v>0</v>
      </c>
      <c r="M123" s="22">
        <f t="shared" si="28"/>
        <v>0</v>
      </c>
      <c r="N123" s="19">
        <f t="shared" si="24"/>
        <v>0</v>
      </c>
      <c r="O123" s="80">
        <f t="shared" si="20"/>
        <v>0</v>
      </c>
      <c r="P123" s="75">
        <f t="shared" si="25"/>
        <v>0</v>
      </c>
      <c r="Q123" s="126">
        <f t="shared" si="26"/>
        <v>0</v>
      </c>
    </row>
    <row r="124" spans="1:36" ht="30.75" thickBot="1" x14ac:dyDescent="0.3">
      <c r="A124" s="543" t="s">
        <v>98</v>
      </c>
      <c r="B124" s="70">
        <f>SUM(D124,D128)</f>
        <v>0.16147826086956524</v>
      </c>
      <c r="C124" s="552" t="s">
        <v>57</v>
      </c>
      <c r="D124" s="67">
        <f t="shared" si="21"/>
        <v>7.5239130434782614E-2</v>
      </c>
      <c r="E124" s="96" t="s">
        <v>83</v>
      </c>
      <c r="F124" s="112">
        <f>D$124/4</f>
        <v>1.8809782608695653E-2</v>
      </c>
      <c r="G124" s="110" t="s">
        <v>10</v>
      </c>
      <c r="H124" s="39">
        <f t="shared" si="22"/>
        <v>1498</v>
      </c>
      <c r="I124" s="35">
        <f>User_Input!H46</f>
        <v>1291</v>
      </c>
      <c r="J124" s="52" t="s">
        <v>22</v>
      </c>
      <c r="K124" s="35"/>
      <c r="L124" s="35">
        <f t="shared" si="23"/>
        <v>0</v>
      </c>
      <c r="M124" s="47">
        <f t="shared" si="28"/>
        <v>0</v>
      </c>
      <c r="N124" s="37">
        <f t="shared" si="24"/>
        <v>0</v>
      </c>
      <c r="O124" s="78">
        <f t="shared" si="20"/>
        <v>0</v>
      </c>
      <c r="P124" s="75">
        <f>O$134*D124</f>
        <v>3.0877484877126653E-2</v>
      </c>
      <c r="Q124" s="126">
        <f t="shared" si="26"/>
        <v>6.6335543376181486E-2</v>
      </c>
    </row>
    <row r="125" spans="1:36" ht="16.899999999999999" customHeight="1" thickTop="1" thickBot="1" x14ac:dyDescent="0.3">
      <c r="A125" s="544"/>
      <c r="B125" s="71"/>
      <c r="C125" s="553"/>
      <c r="D125" s="67"/>
      <c r="E125" s="97" t="s">
        <v>84</v>
      </c>
      <c r="F125" s="112">
        <f>D$124/4</f>
        <v>1.8809782608695653E-2</v>
      </c>
      <c r="G125" s="94" t="s">
        <v>18</v>
      </c>
      <c r="H125" s="39">
        <f t="shared" si="22"/>
        <v>1.62</v>
      </c>
      <c r="I125" s="35">
        <f>User_Input!H47</f>
        <v>1.675</v>
      </c>
      <c r="J125" s="20" t="s">
        <v>22</v>
      </c>
      <c r="K125" s="5"/>
      <c r="L125" s="5">
        <f t="shared" si="23"/>
        <v>0</v>
      </c>
      <c r="M125" s="41">
        <f t="shared" si="28"/>
        <v>1</v>
      </c>
      <c r="N125" s="19">
        <f t="shared" si="24"/>
        <v>1</v>
      </c>
      <c r="O125" s="79">
        <f t="shared" si="20"/>
        <v>1.8809782608695653E-2</v>
      </c>
      <c r="P125" s="75">
        <f t="shared" si="25"/>
        <v>0</v>
      </c>
      <c r="Q125" s="126">
        <f t="shared" si="26"/>
        <v>0</v>
      </c>
    </row>
    <row r="126" spans="1:36" ht="16.5" thickTop="1" thickBot="1" x14ac:dyDescent="0.3">
      <c r="A126" s="544"/>
      <c r="B126" s="71"/>
      <c r="C126" s="553"/>
      <c r="D126" s="67"/>
      <c r="E126" s="97" t="s">
        <v>85</v>
      </c>
      <c r="F126" s="112">
        <f>D$124/4</f>
        <v>1.8809782608695653E-2</v>
      </c>
      <c r="G126" s="94" t="s">
        <v>14</v>
      </c>
      <c r="H126" s="39">
        <f t="shared" si="22"/>
        <v>4.5999999999999996</v>
      </c>
      <c r="I126" s="35">
        <f>User_Input!H48</f>
        <v>5</v>
      </c>
      <c r="J126" s="20" t="s">
        <v>22</v>
      </c>
      <c r="K126" s="5"/>
      <c r="L126" s="5">
        <f t="shared" si="23"/>
        <v>0</v>
      </c>
      <c r="M126" s="41">
        <f t="shared" si="28"/>
        <v>1</v>
      </c>
      <c r="N126" s="19">
        <f t="shared" si="24"/>
        <v>1</v>
      </c>
      <c r="O126" s="79">
        <f t="shared" si="20"/>
        <v>1.8809782608695653E-2</v>
      </c>
      <c r="P126" s="75">
        <f t="shared" si="25"/>
        <v>0</v>
      </c>
      <c r="Q126" s="126">
        <f t="shared" si="26"/>
        <v>0</v>
      </c>
    </row>
    <row r="127" spans="1:36" ht="16.5" thickTop="1" thickBot="1" x14ac:dyDescent="0.3">
      <c r="A127" s="544"/>
      <c r="B127" s="71"/>
      <c r="C127" s="554"/>
      <c r="D127" s="67"/>
      <c r="E127" s="97" t="s">
        <v>86</v>
      </c>
      <c r="F127" s="112">
        <f>D$124/4</f>
        <v>1.8809782608695653E-2</v>
      </c>
      <c r="G127" s="94" t="s">
        <v>14</v>
      </c>
      <c r="H127" s="39">
        <f t="shared" si="22"/>
        <v>1.2</v>
      </c>
      <c r="I127" s="35">
        <f>User_Input!H49</f>
        <v>1.125</v>
      </c>
      <c r="J127" s="21" t="s">
        <v>22</v>
      </c>
      <c r="K127" s="14"/>
      <c r="L127" s="5">
        <f t="shared" si="23"/>
        <v>0</v>
      </c>
      <c r="M127" s="41">
        <f t="shared" si="28"/>
        <v>0</v>
      </c>
      <c r="N127" s="19">
        <f t="shared" si="24"/>
        <v>0</v>
      </c>
      <c r="O127" s="80">
        <f t="shared" si="20"/>
        <v>0</v>
      </c>
      <c r="P127" s="75">
        <f t="shared" si="25"/>
        <v>0</v>
      </c>
      <c r="Q127" s="126">
        <f t="shared" si="26"/>
        <v>0</v>
      </c>
    </row>
    <row r="128" spans="1:36" ht="31.5" thickTop="1" thickBot="1" x14ac:dyDescent="0.3">
      <c r="A128" s="545"/>
      <c r="B128" s="72"/>
      <c r="C128" s="50" t="s">
        <v>58</v>
      </c>
      <c r="D128" s="67">
        <f t="shared" si="21"/>
        <v>8.623913043478261E-2</v>
      </c>
      <c r="E128" s="106" t="s">
        <v>87</v>
      </c>
      <c r="F128" s="113">
        <f>D128</f>
        <v>8.623913043478261E-2</v>
      </c>
      <c r="G128" s="109" t="s">
        <v>11</v>
      </c>
      <c r="H128" s="39">
        <f t="shared" si="22"/>
        <v>0.7</v>
      </c>
      <c r="I128" s="35">
        <f>User_Input!H50</f>
        <v>0.48499999999999999</v>
      </c>
      <c r="J128" s="53" t="s">
        <v>22</v>
      </c>
      <c r="K128" s="14"/>
      <c r="L128" s="14">
        <f t="shared" si="23"/>
        <v>0</v>
      </c>
      <c r="M128" s="22">
        <f t="shared" si="28"/>
        <v>0</v>
      </c>
      <c r="N128" s="54">
        <f t="shared" si="24"/>
        <v>0</v>
      </c>
      <c r="O128" s="80">
        <f t="shared" si="20"/>
        <v>0</v>
      </c>
      <c r="P128" s="75">
        <f t="shared" si="25"/>
        <v>3.5391789224952737E-2</v>
      </c>
      <c r="Q128" s="126">
        <f t="shared" si="26"/>
        <v>0</v>
      </c>
    </row>
    <row r="129" spans="1:17" ht="30.75" thickBot="1" x14ac:dyDescent="0.3">
      <c r="A129" s="84" t="s">
        <v>91</v>
      </c>
      <c r="B129" s="85">
        <f>SUM(D129)</f>
        <v>9.0239130434782613E-2</v>
      </c>
      <c r="C129" s="86" t="s">
        <v>59</v>
      </c>
      <c r="D129" s="67">
        <f t="shared" si="21"/>
        <v>9.0239130434782613E-2</v>
      </c>
      <c r="E129" s="86" t="s">
        <v>88</v>
      </c>
      <c r="F129" s="114">
        <f>D129</f>
        <v>9.0239130434782613E-2</v>
      </c>
      <c r="G129" s="111" t="s">
        <v>10</v>
      </c>
      <c r="H129" s="39">
        <f t="shared" si="22"/>
        <v>210.5</v>
      </c>
      <c r="I129" s="35">
        <f>User_Input!H51</f>
        <v>184.35</v>
      </c>
      <c r="J129" s="56" t="s">
        <v>21</v>
      </c>
      <c r="K129" s="57">
        <f>IF(H129&gt;I129,1,0)</f>
        <v>1</v>
      </c>
      <c r="L129" s="58">
        <f t="shared" si="23"/>
        <v>0</v>
      </c>
      <c r="M129" s="55"/>
      <c r="N129" s="89">
        <f t="shared" si="24"/>
        <v>1</v>
      </c>
      <c r="O129" s="81">
        <f t="shared" si="20"/>
        <v>9.0239130434782613E-2</v>
      </c>
      <c r="P129" s="82">
        <f t="shared" si="25"/>
        <v>3.7033354442344048E-2</v>
      </c>
      <c r="Q129" s="126">
        <f t="shared" si="26"/>
        <v>3.707038779678639E-2</v>
      </c>
    </row>
    <row r="130" spans="1:17" ht="15" x14ac:dyDescent="0.2">
      <c r="A130" s="13"/>
      <c r="B130" s="13"/>
      <c r="C130" s="13"/>
      <c r="D130" s="13"/>
      <c r="E130" s="16"/>
      <c r="F130" s="16"/>
      <c r="G130" s="17"/>
      <c r="H130" s="16"/>
      <c r="I130" s="17"/>
      <c r="J130" s="17"/>
      <c r="K130" s="17"/>
      <c r="L130" s="17"/>
      <c r="M130" s="17"/>
      <c r="N130" s="18"/>
      <c r="O130" s="18"/>
      <c r="P130" s="18"/>
      <c r="Q130" s="18"/>
    </row>
    <row r="131" spans="1:17" ht="15" x14ac:dyDescent="0.2">
      <c r="A131" s="15"/>
      <c r="B131" s="69"/>
      <c r="C131" s="15"/>
      <c r="D131" s="15"/>
      <c r="E131" s="18"/>
      <c r="F131" s="73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7" ht="14.25" x14ac:dyDescent="0.2">
      <c r="C133" s="11"/>
      <c r="D133" s="11"/>
      <c r="E133" s="11"/>
      <c r="F133" s="11"/>
      <c r="G133" s="7"/>
      <c r="H133" s="11"/>
      <c r="I133" s="7"/>
      <c r="J133" s="7"/>
      <c r="K133" s="7"/>
      <c r="L133" s="7"/>
      <c r="M133" s="7"/>
      <c r="N133" s="7"/>
      <c r="O133" s="7"/>
      <c r="P133" s="6"/>
    </row>
    <row r="134" spans="1:17" ht="15" x14ac:dyDescent="0.2">
      <c r="N134" s="60" t="s">
        <v>106</v>
      </c>
      <c r="O134" s="60">
        <f>SUM(O100:O129)</f>
        <v>0.41039130434782606</v>
      </c>
      <c r="P134" s="18"/>
      <c r="Q134" s="17"/>
    </row>
    <row r="135" spans="1:17" ht="15" x14ac:dyDescent="0.2">
      <c r="N135" s="18"/>
      <c r="O135" s="61" t="s">
        <v>107</v>
      </c>
      <c r="P135" s="61">
        <f>SUM(P100:P129)</f>
        <v>0.41080169565217389</v>
      </c>
      <c r="Q135" s="18"/>
    </row>
    <row r="136" spans="1:17" ht="15" x14ac:dyDescent="0.25">
      <c r="N136" s="18"/>
      <c r="O136" s="18"/>
      <c r="P136" s="62" t="s">
        <v>108</v>
      </c>
      <c r="Q136" s="83">
        <f>SUM(Q100:Q129)</f>
        <v>0.41121249734782611</v>
      </c>
    </row>
    <row r="139" spans="1:17" ht="15" x14ac:dyDescent="0.25">
      <c r="A139" s="4" t="s">
        <v>125</v>
      </c>
      <c r="N139" s="18"/>
      <c r="O139" s="18"/>
      <c r="P139" s="134"/>
      <c r="Q139" s="135"/>
    </row>
    <row r="141" spans="1:17" ht="15" x14ac:dyDescent="0.2">
      <c r="A141" s="3" t="s">
        <v>100</v>
      </c>
      <c r="B141" s="3" t="s">
        <v>19</v>
      </c>
      <c r="C141" s="3" t="s">
        <v>176</v>
      </c>
      <c r="D141" s="3" t="s">
        <v>19</v>
      </c>
      <c r="E141" s="3" t="s">
        <v>0</v>
      </c>
      <c r="F141" s="8" t="s">
        <v>19</v>
      </c>
      <c r="G141" s="341" t="s">
        <v>1</v>
      </c>
      <c r="H141" s="8" t="s">
        <v>94</v>
      </c>
      <c r="I141" s="12" t="s">
        <v>31</v>
      </c>
      <c r="J141" s="12" t="s">
        <v>20</v>
      </c>
      <c r="K141" s="546" t="s">
        <v>30</v>
      </c>
      <c r="L141" s="546"/>
      <c r="M141" s="546"/>
      <c r="N141" s="546"/>
      <c r="O141" s="12" t="s">
        <v>119</v>
      </c>
      <c r="P141" s="12" t="s">
        <v>120</v>
      </c>
      <c r="Q141" s="12" t="s">
        <v>121</v>
      </c>
    </row>
    <row r="142" spans="1:17" ht="15" thickBot="1" x14ac:dyDescent="0.25">
      <c r="A142" s="26" t="s">
        <v>102</v>
      </c>
      <c r="B142" s="26" t="s">
        <v>103</v>
      </c>
      <c r="C142" s="26" t="s">
        <v>23</v>
      </c>
      <c r="D142" s="26" t="s">
        <v>24</v>
      </c>
      <c r="E142" s="31" t="s">
        <v>25</v>
      </c>
      <c r="F142" s="32" t="s">
        <v>29</v>
      </c>
      <c r="G142" s="32" t="s">
        <v>26</v>
      </c>
      <c r="H142" s="32" t="s">
        <v>27</v>
      </c>
      <c r="I142" s="32" t="s">
        <v>32</v>
      </c>
      <c r="J142" s="32" t="s">
        <v>28</v>
      </c>
      <c r="K142" s="33" t="s">
        <v>93</v>
      </c>
      <c r="L142" s="33" t="s">
        <v>95</v>
      </c>
      <c r="M142" s="33" t="s">
        <v>96</v>
      </c>
      <c r="N142" s="33" t="s">
        <v>104</v>
      </c>
      <c r="O142" s="32" t="s">
        <v>34</v>
      </c>
      <c r="P142" s="32" t="s">
        <v>35</v>
      </c>
      <c r="Q142" s="32" t="s">
        <v>105</v>
      </c>
    </row>
    <row r="143" spans="1:17" ht="15.75" thickBot="1" x14ac:dyDescent="0.3">
      <c r="A143" s="543" t="s">
        <v>36</v>
      </c>
      <c r="B143" s="70">
        <f>SUM(D143:D147)</f>
        <v>0.2</v>
      </c>
      <c r="C143" s="63" t="s">
        <v>37</v>
      </c>
      <c r="D143" s="67">
        <f>F143</f>
        <v>3.3333333333333333E-2</v>
      </c>
      <c r="E143" s="96" t="s">
        <v>60</v>
      </c>
      <c r="F143" s="112">
        <f>1/B$4</f>
        <v>3.3333333333333333E-2</v>
      </c>
      <c r="G143" s="91" t="s">
        <v>5</v>
      </c>
      <c r="H143" s="39">
        <f>H12</f>
        <v>28.5</v>
      </c>
      <c r="I143" s="35">
        <f>User_Input!H22</f>
        <v>19.399999999999999</v>
      </c>
      <c r="J143" s="36" t="s">
        <v>21</v>
      </c>
      <c r="K143" s="36">
        <f>IF(H143&gt;I143,1,0)</f>
        <v>1</v>
      </c>
      <c r="L143" s="35">
        <f>IF(H143=I143,0.5,0)</f>
        <v>0</v>
      </c>
      <c r="M143" s="35"/>
      <c r="N143" s="37">
        <f>SUM(K143:M143)</f>
        <v>1</v>
      </c>
      <c r="O143" s="74">
        <f t="shared" ref="O143:O172" si="29">N143*F143</f>
        <v>3.3333333333333333E-2</v>
      </c>
      <c r="P143" s="75">
        <f>O$177*D143</f>
        <v>1.4444444444444442E-2</v>
      </c>
      <c r="Q143" s="126">
        <f>P$178*B143</f>
        <v>8.6666666666666656E-2</v>
      </c>
    </row>
    <row r="144" spans="1:17" ht="16.5" thickTop="1" thickBot="1" x14ac:dyDescent="0.3">
      <c r="A144" s="544"/>
      <c r="B144" s="71"/>
      <c r="C144" s="64" t="s">
        <v>38</v>
      </c>
      <c r="D144" s="67">
        <f>F144</f>
        <v>3.3333333333333333E-2</v>
      </c>
      <c r="E144" s="97" t="s">
        <v>61</v>
      </c>
      <c r="F144" s="112">
        <f t="shared" ref="F144:F172" si="30">1/B$4</f>
        <v>3.3333333333333333E-2</v>
      </c>
      <c r="G144" s="92" t="s">
        <v>2</v>
      </c>
      <c r="H144" s="39">
        <f t="shared" ref="H144:H172" si="31">H13</f>
        <v>4.9000000000000004</v>
      </c>
      <c r="I144" s="35">
        <f>User_Input!H23</f>
        <v>6.6000000000000005</v>
      </c>
      <c r="J144" s="40" t="s">
        <v>22</v>
      </c>
      <c r="K144" s="5"/>
      <c r="L144" s="5">
        <f t="shared" ref="L144:L172" si="32">IF(H144=I144,0.5,0)</f>
        <v>0</v>
      </c>
      <c r="M144" s="41">
        <f>IF(H144&lt;I144,1,0)</f>
        <v>1</v>
      </c>
      <c r="N144" s="19">
        <f t="shared" ref="N144:N172" si="33">SUM(K144:M144)</f>
        <v>1</v>
      </c>
      <c r="O144" s="76">
        <f t="shared" si="29"/>
        <v>3.3333333333333333E-2</v>
      </c>
      <c r="P144" s="75">
        <f t="shared" ref="P144:P172" si="34">O$177*D144</f>
        <v>1.4444444444444442E-2</v>
      </c>
      <c r="Q144" s="126">
        <f t="shared" ref="Q144:Q172" si="35">P$178*B144</f>
        <v>0</v>
      </c>
    </row>
    <row r="145" spans="1:17" ht="31.5" thickTop="1" thickBot="1" x14ac:dyDescent="0.3">
      <c r="A145" s="544"/>
      <c r="B145" s="71"/>
      <c r="C145" s="65" t="s">
        <v>39</v>
      </c>
      <c r="D145" s="67">
        <f>F145</f>
        <v>3.3333333333333333E-2</v>
      </c>
      <c r="E145" s="97" t="s">
        <v>62</v>
      </c>
      <c r="F145" s="112">
        <f t="shared" si="30"/>
        <v>3.3333333333333333E-2</v>
      </c>
      <c r="G145" s="93" t="s">
        <v>3</v>
      </c>
      <c r="H145" s="39">
        <f t="shared" si="31"/>
        <v>3</v>
      </c>
      <c r="I145" s="35">
        <f>User_Input!H24</f>
        <v>3.25</v>
      </c>
      <c r="J145" s="27" t="s">
        <v>21</v>
      </c>
      <c r="K145" s="27">
        <f>IF(H145&gt;I145,1,0)</f>
        <v>0</v>
      </c>
      <c r="L145" s="5">
        <f t="shared" si="32"/>
        <v>0</v>
      </c>
      <c r="M145" s="1"/>
      <c r="N145" s="19">
        <f t="shared" si="33"/>
        <v>0</v>
      </c>
      <c r="O145" s="76">
        <f t="shared" si="29"/>
        <v>0</v>
      </c>
      <c r="P145" s="75">
        <f t="shared" si="34"/>
        <v>1.4444444444444442E-2</v>
      </c>
      <c r="Q145" s="126">
        <f t="shared" si="35"/>
        <v>0</v>
      </c>
    </row>
    <row r="146" spans="1:17" ht="15.75" thickBot="1" x14ac:dyDescent="0.3">
      <c r="A146" s="544"/>
      <c r="B146" s="71"/>
      <c r="C146" s="65" t="s">
        <v>40</v>
      </c>
      <c r="D146" s="67">
        <f>F146</f>
        <v>3.3333333333333333E-2</v>
      </c>
      <c r="E146" s="97" t="s">
        <v>63</v>
      </c>
      <c r="F146" s="112">
        <f t="shared" si="30"/>
        <v>3.3333333333333333E-2</v>
      </c>
      <c r="G146" s="93" t="s">
        <v>16</v>
      </c>
      <c r="H146" s="39">
        <f t="shared" si="31"/>
        <v>844</v>
      </c>
      <c r="I146" s="35">
        <f>User_Input!H25</f>
        <v>762</v>
      </c>
      <c r="J146" s="27" t="s">
        <v>21</v>
      </c>
      <c r="K146" s="27">
        <f>IF(H146&gt;I146,1,0)</f>
        <v>1</v>
      </c>
      <c r="L146" s="5">
        <f t="shared" si="32"/>
        <v>0</v>
      </c>
      <c r="M146" s="1"/>
      <c r="N146" s="19">
        <f t="shared" si="33"/>
        <v>1</v>
      </c>
      <c r="O146" s="76">
        <f t="shared" si="29"/>
        <v>3.3333333333333333E-2</v>
      </c>
      <c r="P146" s="75">
        <f t="shared" si="34"/>
        <v>1.4444444444444442E-2</v>
      </c>
      <c r="Q146" s="126">
        <f t="shared" si="35"/>
        <v>0</v>
      </c>
    </row>
    <row r="147" spans="1:17" ht="16.5" thickTop="1" thickBot="1" x14ac:dyDescent="0.3">
      <c r="A147" s="544"/>
      <c r="B147" s="71"/>
      <c r="C147" s="555" t="s">
        <v>41</v>
      </c>
      <c r="D147" s="67">
        <f>SUM(F147:F148)</f>
        <v>6.6666666666666666E-2</v>
      </c>
      <c r="E147" s="98" t="s">
        <v>64</v>
      </c>
      <c r="F147" s="112">
        <f t="shared" si="30"/>
        <v>3.3333333333333333E-2</v>
      </c>
      <c r="G147" s="94" t="s">
        <v>4</v>
      </c>
      <c r="H147" s="39">
        <f t="shared" si="31"/>
        <v>93.94</v>
      </c>
      <c r="I147" s="35">
        <f>User_Input!H26</f>
        <v>96.015000000000001</v>
      </c>
      <c r="J147" s="40" t="s">
        <v>22</v>
      </c>
      <c r="K147" s="5"/>
      <c r="L147" s="5">
        <f t="shared" si="32"/>
        <v>0</v>
      </c>
      <c r="M147" s="41">
        <f>IF(H147&lt;I147,1,0)</f>
        <v>1</v>
      </c>
      <c r="N147" s="19">
        <f t="shared" si="33"/>
        <v>1</v>
      </c>
      <c r="O147" s="76">
        <f t="shared" si="29"/>
        <v>3.3333333333333333E-2</v>
      </c>
      <c r="P147" s="75">
        <f t="shared" si="34"/>
        <v>2.8888888888888884E-2</v>
      </c>
      <c r="Q147" s="126">
        <f t="shared" si="35"/>
        <v>0</v>
      </c>
    </row>
    <row r="148" spans="1:17" ht="16.5" thickTop="1" thickBot="1" x14ac:dyDescent="0.3">
      <c r="A148" s="545"/>
      <c r="B148" s="72"/>
      <c r="C148" s="556"/>
      <c r="D148" s="68"/>
      <c r="E148" s="99" t="s">
        <v>65</v>
      </c>
      <c r="F148" s="112">
        <f t="shared" si="30"/>
        <v>3.3333333333333333E-2</v>
      </c>
      <c r="G148" s="95" t="s">
        <v>4</v>
      </c>
      <c r="H148" s="39">
        <f t="shared" si="31"/>
        <v>6.06</v>
      </c>
      <c r="I148" s="35">
        <f>User_Input!H27</f>
        <v>3.9849999999999999</v>
      </c>
      <c r="J148" s="43" t="s">
        <v>21</v>
      </c>
      <c r="K148" s="43">
        <f>IF(H148&gt;I148,1,0)</f>
        <v>1</v>
      </c>
      <c r="L148" s="14">
        <f t="shared" si="32"/>
        <v>0</v>
      </c>
      <c r="M148" s="44"/>
      <c r="N148" s="19">
        <f t="shared" si="33"/>
        <v>1</v>
      </c>
      <c r="O148" s="77">
        <f t="shared" si="29"/>
        <v>3.3333333333333333E-2</v>
      </c>
      <c r="P148" s="75">
        <f t="shared" si="34"/>
        <v>0</v>
      </c>
      <c r="Q148" s="126">
        <f t="shared" si="35"/>
        <v>0</v>
      </c>
    </row>
    <row r="149" spans="1:17" ht="15.75" thickBot="1" x14ac:dyDescent="0.3">
      <c r="A149" s="543" t="s">
        <v>92</v>
      </c>
      <c r="B149" s="70">
        <f>SUM(D149:D151)</f>
        <v>0.13333333333333333</v>
      </c>
      <c r="C149" s="45" t="s">
        <v>42</v>
      </c>
      <c r="D149" s="67">
        <f>F149</f>
        <v>3.3333333333333333E-2</v>
      </c>
      <c r="E149" s="100" t="s">
        <v>89</v>
      </c>
      <c r="F149" s="112">
        <f t="shared" si="30"/>
        <v>3.3333333333333333E-2</v>
      </c>
      <c r="G149" s="103" t="s">
        <v>4</v>
      </c>
      <c r="H149" s="39">
        <f t="shared" si="31"/>
        <v>12.36</v>
      </c>
      <c r="I149" s="35">
        <f>User_Input!H28</f>
        <v>14.709999999999999</v>
      </c>
      <c r="J149" s="46" t="s">
        <v>22</v>
      </c>
      <c r="K149" s="35"/>
      <c r="L149" s="35">
        <f t="shared" si="32"/>
        <v>0</v>
      </c>
      <c r="M149" s="47">
        <f>IF(H149&lt;I149,1,0)</f>
        <v>1</v>
      </c>
      <c r="N149" s="37">
        <f t="shared" si="33"/>
        <v>1</v>
      </c>
      <c r="O149" s="78">
        <f t="shared" si="29"/>
        <v>3.3333333333333333E-2</v>
      </c>
      <c r="P149" s="75">
        <f t="shared" si="34"/>
        <v>1.4444444444444442E-2</v>
      </c>
      <c r="Q149" s="126">
        <f t="shared" si="35"/>
        <v>5.7777777777777761E-2</v>
      </c>
    </row>
    <row r="150" spans="1:17" ht="16.5" thickTop="1" thickBot="1" x14ac:dyDescent="0.3">
      <c r="A150" s="544"/>
      <c r="B150" s="71"/>
      <c r="C150" s="29" t="s">
        <v>43</v>
      </c>
      <c r="D150" s="67">
        <f>F150</f>
        <v>3.3333333333333333E-2</v>
      </c>
      <c r="E150" s="101" t="s">
        <v>66</v>
      </c>
      <c r="F150" s="112">
        <f t="shared" si="30"/>
        <v>3.3333333333333333E-2</v>
      </c>
      <c r="G150" s="93" t="s">
        <v>4</v>
      </c>
      <c r="H150" s="39">
        <f t="shared" si="31"/>
        <v>0</v>
      </c>
      <c r="I150" s="35">
        <f>User_Input!H29</f>
        <v>2.44</v>
      </c>
      <c r="J150" s="27" t="s">
        <v>21</v>
      </c>
      <c r="K150" s="27">
        <f>IF(H150&gt;I150,1,0)</f>
        <v>0</v>
      </c>
      <c r="L150" s="5">
        <f t="shared" si="32"/>
        <v>0</v>
      </c>
      <c r="M150" s="1"/>
      <c r="N150" s="19">
        <f t="shared" si="33"/>
        <v>0</v>
      </c>
      <c r="O150" s="79">
        <f t="shared" si="29"/>
        <v>0</v>
      </c>
      <c r="P150" s="75">
        <f t="shared" si="34"/>
        <v>1.4444444444444442E-2</v>
      </c>
      <c r="Q150" s="126">
        <f t="shared" si="35"/>
        <v>0</v>
      </c>
    </row>
    <row r="151" spans="1:17" ht="15.75" thickBot="1" x14ac:dyDescent="0.3">
      <c r="A151" s="544"/>
      <c r="B151" s="71"/>
      <c r="C151" s="568" t="s">
        <v>44</v>
      </c>
      <c r="D151" s="67">
        <f>SUM(F151:F152)</f>
        <v>6.6666666666666666E-2</v>
      </c>
      <c r="E151" s="101" t="s">
        <v>67</v>
      </c>
      <c r="F151" s="112">
        <f t="shared" si="30"/>
        <v>3.3333333333333333E-2</v>
      </c>
      <c r="G151" s="93" t="s">
        <v>12</v>
      </c>
      <c r="H151" s="39">
        <f t="shared" si="31"/>
        <v>3.92</v>
      </c>
      <c r="I151" s="35">
        <f>User_Input!H30</f>
        <v>1.96</v>
      </c>
      <c r="J151" s="27" t="s">
        <v>21</v>
      </c>
      <c r="K151" s="27">
        <f>IF(H151&gt;I151,1,0)</f>
        <v>1</v>
      </c>
      <c r="L151" s="5">
        <f t="shared" si="32"/>
        <v>0</v>
      </c>
      <c r="M151" s="1"/>
      <c r="N151" s="19">
        <f t="shared" si="33"/>
        <v>1</v>
      </c>
      <c r="O151" s="79">
        <f t="shared" si="29"/>
        <v>3.3333333333333333E-2</v>
      </c>
      <c r="P151" s="75">
        <f t="shared" si="34"/>
        <v>2.8888888888888884E-2</v>
      </c>
      <c r="Q151" s="126">
        <f t="shared" si="35"/>
        <v>0</v>
      </c>
    </row>
    <row r="152" spans="1:17" ht="15.75" thickBot="1" x14ac:dyDescent="0.3">
      <c r="A152" s="545"/>
      <c r="B152" s="72"/>
      <c r="C152" s="569"/>
      <c r="D152" s="66"/>
      <c r="E152" s="102" t="s">
        <v>68</v>
      </c>
      <c r="F152" s="112">
        <f t="shared" si="30"/>
        <v>3.3333333333333333E-2</v>
      </c>
      <c r="G152" s="95" t="s">
        <v>12</v>
      </c>
      <c r="H152" s="39">
        <f t="shared" si="31"/>
        <v>0.96</v>
      </c>
      <c r="I152" s="35">
        <f>User_Input!H31</f>
        <v>1.35</v>
      </c>
      <c r="J152" s="43" t="s">
        <v>21</v>
      </c>
      <c r="K152" s="43">
        <f>IF(H152&gt;I152,1,0)</f>
        <v>0</v>
      </c>
      <c r="L152" s="14">
        <f t="shared" si="32"/>
        <v>0</v>
      </c>
      <c r="M152" s="44"/>
      <c r="N152" s="19">
        <f t="shared" si="33"/>
        <v>0</v>
      </c>
      <c r="O152" s="80">
        <f t="shared" si="29"/>
        <v>0</v>
      </c>
      <c r="P152" s="75">
        <f t="shared" si="34"/>
        <v>0</v>
      </c>
      <c r="Q152" s="126">
        <f t="shared" si="35"/>
        <v>0</v>
      </c>
    </row>
    <row r="153" spans="1:17" ht="30.75" thickBot="1" x14ac:dyDescent="0.3">
      <c r="A153" s="543" t="s">
        <v>90</v>
      </c>
      <c r="B153" s="70">
        <f>SUM(D153:D156)</f>
        <v>0.16666666666666669</v>
      </c>
      <c r="C153" s="34" t="s">
        <v>45</v>
      </c>
      <c r="D153" s="67">
        <f>F153</f>
        <v>3.3333333333333333E-2</v>
      </c>
      <c r="E153" s="104" t="s">
        <v>69</v>
      </c>
      <c r="F153" s="112">
        <f t="shared" si="30"/>
        <v>3.3333333333333333E-2</v>
      </c>
      <c r="G153" s="91" t="s">
        <v>4</v>
      </c>
      <c r="H153" s="39">
        <f t="shared" si="31"/>
        <v>44</v>
      </c>
      <c r="I153" s="35">
        <f>User_Input!H32</f>
        <v>27.5</v>
      </c>
      <c r="J153" s="36" t="s">
        <v>21</v>
      </c>
      <c r="K153" s="36">
        <f>IF(H153&gt;I153,1,0)</f>
        <v>1</v>
      </c>
      <c r="L153" s="35">
        <f t="shared" si="32"/>
        <v>0</v>
      </c>
      <c r="M153" s="49"/>
      <c r="N153" s="37">
        <f t="shared" si="33"/>
        <v>1</v>
      </c>
      <c r="O153" s="78">
        <f t="shared" si="29"/>
        <v>3.3333333333333333E-2</v>
      </c>
      <c r="P153" s="75">
        <f t="shared" si="34"/>
        <v>1.4444444444444442E-2</v>
      </c>
      <c r="Q153" s="126">
        <f t="shared" si="35"/>
        <v>7.2222222222222215E-2</v>
      </c>
    </row>
    <row r="154" spans="1:17" ht="31.5" thickTop="1" thickBot="1" x14ac:dyDescent="0.3">
      <c r="A154" s="544"/>
      <c r="B154" s="71"/>
      <c r="C154" s="30" t="s">
        <v>46</v>
      </c>
      <c r="D154" s="67">
        <f>F154</f>
        <v>3.3333333333333333E-2</v>
      </c>
      <c r="E154" s="101" t="s">
        <v>70</v>
      </c>
      <c r="F154" s="112">
        <f t="shared" si="30"/>
        <v>3.3333333333333333E-2</v>
      </c>
      <c r="G154" s="94" t="s">
        <v>12</v>
      </c>
      <c r="H154" s="39">
        <f t="shared" si="31"/>
        <v>0.4</v>
      </c>
      <c r="I154" s="35">
        <f>User_Input!H33</f>
        <v>0.55000000000000004</v>
      </c>
      <c r="J154" s="40" t="s">
        <v>22</v>
      </c>
      <c r="K154" s="5"/>
      <c r="L154" s="5">
        <f t="shared" si="32"/>
        <v>0</v>
      </c>
      <c r="M154" s="41">
        <f>IF(H154&lt;I154,1,0)</f>
        <v>1</v>
      </c>
      <c r="N154" s="19">
        <f t="shared" si="33"/>
        <v>1</v>
      </c>
      <c r="O154" s="79">
        <f t="shared" si="29"/>
        <v>3.3333333333333333E-2</v>
      </c>
      <c r="P154" s="75">
        <f t="shared" si="34"/>
        <v>1.4444444444444442E-2</v>
      </c>
      <c r="Q154" s="126">
        <f t="shared" si="35"/>
        <v>0</v>
      </c>
    </row>
    <row r="155" spans="1:17" ht="31.5" thickTop="1" thickBot="1" x14ac:dyDescent="0.3">
      <c r="A155" s="544"/>
      <c r="B155" s="71"/>
      <c r="C155" s="30" t="s">
        <v>47</v>
      </c>
      <c r="D155" s="67">
        <f>F155</f>
        <v>3.3333333333333333E-2</v>
      </c>
      <c r="E155" s="101" t="s">
        <v>71</v>
      </c>
      <c r="F155" s="112">
        <f t="shared" si="30"/>
        <v>3.3333333333333333E-2</v>
      </c>
      <c r="G155" s="94" t="s">
        <v>12</v>
      </c>
      <c r="H155" s="39">
        <f t="shared" si="31"/>
        <v>1.6</v>
      </c>
      <c r="I155" s="35">
        <f>User_Input!H34</f>
        <v>1.55</v>
      </c>
      <c r="J155" s="40" t="s">
        <v>22</v>
      </c>
      <c r="K155" s="5"/>
      <c r="L155" s="5">
        <f t="shared" si="32"/>
        <v>0</v>
      </c>
      <c r="M155" s="22">
        <f>IF(H155&lt;I155,1,0)</f>
        <v>0</v>
      </c>
      <c r="N155" s="19">
        <f t="shared" si="33"/>
        <v>0</v>
      </c>
      <c r="O155" s="79">
        <f t="shared" si="29"/>
        <v>0</v>
      </c>
      <c r="P155" s="75">
        <f t="shared" si="34"/>
        <v>1.4444444444444442E-2</v>
      </c>
      <c r="Q155" s="126">
        <f t="shared" si="35"/>
        <v>0</v>
      </c>
    </row>
    <row r="156" spans="1:17" ht="16.5" thickTop="1" thickBot="1" x14ac:dyDescent="0.3">
      <c r="A156" s="544"/>
      <c r="B156" s="71"/>
      <c r="C156" s="568" t="s">
        <v>48</v>
      </c>
      <c r="D156" s="67">
        <f>SUM(F156:F157)</f>
        <v>6.6666666666666666E-2</v>
      </c>
      <c r="E156" s="105" t="s">
        <v>72</v>
      </c>
      <c r="F156" s="112">
        <f t="shared" si="30"/>
        <v>3.3333333333333333E-2</v>
      </c>
      <c r="G156" s="93" t="s">
        <v>5</v>
      </c>
      <c r="H156" s="39">
        <f t="shared" si="31"/>
        <v>8.9999999999999998E-4</v>
      </c>
      <c r="I156" s="35">
        <f>User_Input!H35</f>
        <v>5.4500000000000009E-3</v>
      </c>
      <c r="J156" s="27" t="s">
        <v>21</v>
      </c>
      <c r="K156" s="27">
        <f>IF(H156&gt;I156,1,0)</f>
        <v>0</v>
      </c>
      <c r="L156" s="5">
        <f t="shared" si="32"/>
        <v>0</v>
      </c>
      <c r="M156" s="1"/>
      <c r="N156" s="19">
        <f t="shared" si="33"/>
        <v>0</v>
      </c>
      <c r="O156" s="79">
        <f t="shared" si="29"/>
        <v>0</v>
      </c>
      <c r="P156" s="75">
        <f t="shared" si="34"/>
        <v>2.8888888888888884E-2</v>
      </c>
      <c r="Q156" s="126">
        <f t="shared" si="35"/>
        <v>0</v>
      </c>
    </row>
    <row r="157" spans="1:17" ht="15.75" thickBot="1" x14ac:dyDescent="0.3">
      <c r="A157" s="545"/>
      <c r="B157" s="72"/>
      <c r="C157" s="569"/>
      <c r="D157" s="66"/>
      <c r="E157" s="106" t="s">
        <v>73</v>
      </c>
      <c r="F157" s="112">
        <f t="shared" si="30"/>
        <v>3.3333333333333333E-2</v>
      </c>
      <c r="G157" s="95" t="s">
        <v>5</v>
      </c>
      <c r="H157" s="39">
        <f t="shared" si="31"/>
        <v>6.3999999999999997E-5</v>
      </c>
      <c r="I157" s="35">
        <f>User_Input!H36</f>
        <v>4.8200000000000001E-4</v>
      </c>
      <c r="J157" s="43" t="s">
        <v>21</v>
      </c>
      <c r="K157" s="43">
        <f>IF(H157&gt;I157,1,0)</f>
        <v>0</v>
      </c>
      <c r="L157" s="14">
        <f t="shared" si="32"/>
        <v>0</v>
      </c>
      <c r="M157" s="44"/>
      <c r="N157" s="19">
        <f t="shared" si="33"/>
        <v>0</v>
      </c>
      <c r="O157" s="80">
        <f t="shared" si="29"/>
        <v>0</v>
      </c>
      <c r="P157" s="75">
        <f t="shared" si="34"/>
        <v>0</v>
      </c>
      <c r="Q157" s="126">
        <f t="shared" si="35"/>
        <v>0</v>
      </c>
    </row>
    <row r="158" spans="1:17" ht="15.75" thickBot="1" x14ac:dyDescent="0.3">
      <c r="A158" s="543" t="s">
        <v>97</v>
      </c>
      <c r="B158" s="70">
        <f>SUM(D158:D165)</f>
        <v>0.3</v>
      </c>
      <c r="C158" s="34" t="s">
        <v>49</v>
      </c>
      <c r="D158" s="67">
        <f>F158</f>
        <v>3.3333333333333333E-2</v>
      </c>
      <c r="E158" s="107" t="s">
        <v>74</v>
      </c>
      <c r="F158" s="112">
        <f t="shared" si="30"/>
        <v>3.3333333333333333E-2</v>
      </c>
      <c r="G158" s="91" t="s">
        <v>7</v>
      </c>
      <c r="H158" s="39">
        <f t="shared" si="31"/>
        <v>46</v>
      </c>
      <c r="I158" s="35">
        <f>User_Input!H37</f>
        <v>54.5</v>
      </c>
      <c r="J158" s="36" t="s">
        <v>21</v>
      </c>
      <c r="K158" s="36">
        <f>IF(H158&gt;I158,1,0)</f>
        <v>0</v>
      </c>
      <c r="L158" s="35">
        <f t="shared" si="32"/>
        <v>0</v>
      </c>
      <c r="M158" s="49"/>
      <c r="N158" s="37">
        <f t="shared" si="33"/>
        <v>0</v>
      </c>
      <c r="O158" s="78">
        <f t="shared" si="29"/>
        <v>0</v>
      </c>
      <c r="P158" s="75">
        <f t="shared" si="34"/>
        <v>1.4444444444444442E-2</v>
      </c>
      <c r="Q158" s="126">
        <f t="shared" si="35"/>
        <v>0.12999999999999998</v>
      </c>
    </row>
    <row r="159" spans="1:17" ht="15.75" thickBot="1" x14ac:dyDescent="0.3">
      <c r="A159" s="544"/>
      <c r="B159" s="71"/>
      <c r="C159" s="29" t="s">
        <v>50</v>
      </c>
      <c r="D159" s="67">
        <f t="shared" ref="D159:D164" si="36">F159</f>
        <v>3.3333333333333333E-2</v>
      </c>
      <c r="E159" s="105" t="s">
        <v>75</v>
      </c>
      <c r="F159" s="112">
        <f t="shared" si="30"/>
        <v>3.3333333333333333E-2</v>
      </c>
      <c r="G159" s="93" t="s">
        <v>15</v>
      </c>
      <c r="H159" s="39">
        <f t="shared" si="31"/>
        <v>3.72</v>
      </c>
      <c r="I159" s="35">
        <f>User_Input!H38</f>
        <v>3.7300000000000004</v>
      </c>
      <c r="J159" s="27" t="s">
        <v>21</v>
      </c>
      <c r="K159" s="27">
        <f>IF(H159&gt;I159,1,0)</f>
        <v>0</v>
      </c>
      <c r="L159" s="5">
        <f t="shared" si="32"/>
        <v>0</v>
      </c>
      <c r="M159" s="1"/>
      <c r="N159" s="19">
        <f t="shared" si="33"/>
        <v>0</v>
      </c>
      <c r="O159" s="79">
        <f t="shared" si="29"/>
        <v>0</v>
      </c>
      <c r="P159" s="75">
        <f t="shared" si="34"/>
        <v>1.4444444444444442E-2</v>
      </c>
      <c r="Q159" s="126">
        <f t="shared" si="35"/>
        <v>0</v>
      </c>
    </row>
    <row r="160" spans="1:17" ht="31.5" thickTop="1" thickBot="1" x14ac:dyDescent="0.3">
      <c r="A160" s="544"/>
      <c r="B160" s="71"/>
      <c r="C160" s="30" t="s">
        <v>51</v>
      </c>
      <c r="D160" s="67">
        <f t="shared" si="36"/>
        <v>3.3333333333333333E-2</v>
      </c>
      <c r="E160" s="101" t="s">
        <v>76</v>
      </c>
      <c r="F160" s="112">
        <f t="shared" si="30"/>
        <v>3.3333333333333333E-2</v>
      </c>
      <c r="G160" s="108" t="s">
        <v>6</v>
      </c>
      <c r="H160" s="39">
        <f t="shared" si="31"/>
        <v>37.700000000000003</v>
      </c>
      <c r="I160" s="35">
        <f>User_Input!H39</f>
        <v>34.545000000000002</v>
      </c>
      <c r="J160" s="40" t="s">
        <v>22</v>
      </c>
      <c r="K160" s="5"/>
      <c r="L160" s="5">
        <f t="shared" si="32"/>
        <v>0</v>
      </c>
      <c r="M160" s="24">
        <f>IF(H160&lt;I160,1,0)</f>
        <v>0</v>
      </c>
      <c r="N160" s="19">
        <f t="shared" si="33"/>
        <v>0</v>
      </c>
      <c r="O160" s="79">
        <f t="shared" si="29"/>
        <v>0</v>
      </c>
      <c r="P160" s="75">
        <f t="shared" si="34"/>
        <v>1.4444444444444442E-2</v>
      </c>
      <c r="Q160" s="126">
        <f t="shared" si="35"/>
        <v>0</v>
      </c>
    </row>
    <row r="161" spans="1:17" ht="16.5" thickTop="1" thickBot="1" x14ac:dyDescent="0.3">
      <c r="A161" s="544"/>
      <c r="B161" s="71"/>
      <c r="C161" s="29" t="s">
        <v>52</v>
      </c>
      <c r="D161" s="67">
        <f t="shared" si="36"/>
        <v>3.3333333333333333E-2</v>
      </c>
      <c r="E161" s="105" t="s">
        <v>77</v>
      </c>
      <c r="F161" s="112">
        <f t="shared" si="30"/>
        <v>3.3333333333333333E-2</v>
      </c>
      <c r="G161" s="93" t="s">
        <v>4</v>
      </c>
      <c r="H161" s="39">
        <f t="shared" si="31"/>
        <v>68</v>
      </c>
      <c r="I161" s="35">
        <f>User_Input!H40</f>
        <v>65.5</v>
      </c>
      <c r="J161" s="27" t="s">
        <v>21</v>
      </c>
      <c r="K161" s="27">
        <f>IF(H161&gt;I161,1,0)</f>
        <v>1</v>
      </c>
      <c r="L161" s="5">
        <f t="shared" si="32"/>
        <v>0</v>
      </c>
      <c r="M161" s="1"/>
      <c r="N161" s="19">
        <f t="shared" si="33"/>
        <v>1</v>
      </c>
      <c r="O161" s="79">
        <f t="shared" si="29"/>
        <v>3.3333333333333333E-2</v>
      </c>
      <c r="P161" s="75">
        <f t="shared" si="34"/>
        <v>1.4444444444444442E-2</v>
      </c>
      <c r="Q161" s="126">
        <f t="shared" si="35"/>
        <v>0</v>
      </c>
    </row>
    <row r="162" spans="1:17" ht="15.75" thickBot="1" x14ac:dyDescent="0.3">
      <c r="A162" s="544"/>
      <c r="B162" s="71"/>
      <c r="C162" s="2" t="s">
        <v>53</v>
      </c>
      <c r="D162" s="67">
        <f t="shared" si="36"/>
        <v>3.3333333333333333E-2</v>
      </c>
      <c r="E162" s="105" t="s">
        <v>78</v>
      </c>
      <c r="F162" s="112">
        <f t="shared" si="30"/>
        <v>3.3333333333333333E-2</v>
      </c>
      <c r="G162" s="94" t="s">
        <v>17</v>
      </c>
      <c r="H162" s="39">
        <f t="shared" si="31"/>
        <v>0.13</v>
      </c>
      <c r="I162" s="35">
        <f>User_Input!H41</f>
        <v>0.21</v>
      </c>
      <c r="J162" s="27" t="s">
        <v>21</v>
      </c>
      <c r="K162" s="27">
        <f>IF(H162&gt;I162,1,0)</f>
        <v>0</v>
      </c>
      <c r="L162" s="5">
        <f t="shared" si="32"/>
        <v>0</v>
      </c>
      <c r="M162" s="1"/>
      <c r="N162" s="19">
        <f t="shared" si="33"/>
        <v>0</v>
      </c>
      <c r="O162" s="79">
        <f t="shared" si="29"/>
        <v>0</v>
      </c>
      <c r="P162" s="75">
        <f t="shared" si="34"/>
        <v>1.4444444444444442E-2</v>
      </c>
      <c r="Q162" s="126">
        <f t="shared" si="35"/>
        <v>0</v>
      </c>
    </row>
    <row r="163" spans="1:17" ht="15.75" thickBot="1" x14ac:dyDescent="0.3">
      <c r="A163" s="544"/>
      <c r="B163" s="71"/>
      <c r="C163" s="2" t="s">
        <v>54</v>
      </c>
      <c r="D163" s="67">
        <f t="shared" si="36"/>
        <v>3.3333333333333333E-2</v>
      </c>
      <c r="E163" s="105" t="s">
        <v>79</v>
      </c>
      <c r="F163" s="112">
        <f t="shared" si="30"/>
        <v>3.3333333333333333E-2</v>
      </c>
      <c r="G163" s="94" t="s">
        <v>8</v>
      </c>
      <c r="H163" s="39">
        <f t="shared" si="31"/>
        <v>168</v>
      </c>
      <c r="I163" s="35">
        <f>User_Input!H42</f>
        <v>202.5</v>
      </c>
      <c r="J163" s="28" t="s">
        <v>21</v>
      </c>
      <c r="K163" s="27">
        <f>IF(H163&gt;I163,1,0)</f>
        <v>0</v>
      </c>
      <c r="L163" s="5">
        <f t="shared" si="32"/>
        <v>0</v>
      </c>
      <c r="M163" s="1"/>
      <c r="N163" s="19">
        <f t="shared" si="33"/>
        <v>0</v>
      </c>
      <c r="O163" s="79">
        <f t="shared" si="29"/>
        <v>0</v>
      </c>
      <c r="P163" s="75">
        <f t="shared" si="34"/>
        <v>1.4444444444444442E-2</v>
      </c>
      <c r="Q163" s="126">
        <f t="shared" si="35"/>
        <v>0</v>
      </c>
    </row>
    <row r="164" spans="1:17" ht="16.5" thickTop="1" thickBot="1" x14ac:dyDescent="0.3">
      <c r="A164" s="544"/>
      <c r="B164" s="71"/>
      <c r="C164" s="25" t="s">
        <v>55</v>
      </c>
      <c r="D164" s="67">
        <f t="shared" si="36"/>
        <v>3.3333333333333333E-2</v>
      </c>
      <c r="E164" s="105" t="s">
        <v>80</v>
      </c>
      <c r="F164" s="112">
        <f t="shared" si="30"/>
        <v>3.3333333333333333E-2</v>
      </c>
      <c r="G164" s="94" t="s">
        <v>4</v>
      </c>
      <c r="H164" s="39">
        <f t="shared" si="31"/>
        <v>90</v>
      </c>
      <c r="I164" s="35">
        <f>User_Input!H43</f>
        <v>74.5</v>
      </c>
      <c r="J164" s="20" t="s">
        <v>22</v>
      </c>
      <c r="K164" s="5"/>
      <c r="L164" s="5">
        <f t="shared" si="32"/>
        <v>0</v>
      </c>
      <c r="M164" s="23">
        <f t="shared" ref="M164:M171" si="37">IF(H164&lt;I164,1,0)</f>
        <v>0</v>
      </c>
      <c r="N164" s="19">
        <f t="shared" si="33"/>
        <v>0</v>
      </c>
      <c r="O164" s="79">
        <f t="shared" si="29"/>
        <v>0</v>
      </c>
      <c r="P164" s="75">
        <f t="shared" si="34"/>
        <v>1.4444444444444442E-2</v>
      </c>
      <c r="Q164" s="126">
        <f t="shared" si="35"/>
        <v>0</v>
      </c>
    </row>
    <row r="165" spans="1:17" ht="16.5" thickTop="1" thickBot="1" x14ac:dyDescent="0.3">
      <c r="A165" s="544"/>
      <c r="B165" s="71"/>
      <c r="C165" s="557" t="s">
        <v>56</v>
      </c>
      <c r="D165" s="67">
        <f>SUM(F165:F166)</f>
        <v>6.6666666666666666E-2</v>
      </c>
      <c r="E165" s="105" t="s">
        <v>81</v>
      </c>
      <c r="F165" s="112">
        <f t="shared" si="30"/>
        <v>3.3333333333333333E-2</v>
      </c>
      <c r="G165" s="94" t="s">
        <v>4</v>
      </c>
      <c r="H165" s="39">
        <f t="shared" si="31"/>
        <v>35</v>
      </c>
      <c r="I165" s="35">
        <f>User_Input!H44</f>
        <v>26</v>
      </c>
      <c r="J165" s="20" t="s">
        <v>22</v>
      </c>
      <c r="K165" s="5"/>
      <c r="L165" s="5">
        <f t="shared" si="32"/>
        <v>0</v>
      </c>
      <c r="M165" s="41">
        <f t="shared" si="37"/>
        <v>0</v>
      </c>
      <c r="N165" s="19">
        <f t="shared" si="33"/>
        <v>0</v>
      </c>
      <c r="O165" s="79">
        <f t="shared" si="29"/>
        <v>0</v>
      </c>
      <c r="P165" s="75">
        <f t="shared" si="34"/>
        <v>2.8888888888888884E-2</v>
      </c>
      <c r="Q165" s="126">
        <f t="shared" si="35"/>
        <v>0</v>
      </c>
    </row>
    <row r="166" spans="1:17" ht="31.5" thickTop="1" thickBot="1" x14ac:dyDescent="0.3">
      <c r="A166" s="545"/>
      <c r="B166" s="72"/>
      <c r="C166" s="558"/>
      <c r="D166" s="67"/>
      <c r="E166" s="106" t="s">
        <v>82</v>
      </c>
      <c r="F166" s="112">
        <f t="shared" si="30"/>
        <v>3.3333333333333333E-2</v>
      </c>
      <c r="G166" s="109" t="s">
        <v>9</v>
      </c>
      <c r="H166" s="39">
        <f t="shared" si="31"/>
        <v>72</v>
      </c>
      <c r="I166" s="35">
        <f>User_Input!H45</f>
        <v>57</v>
      </c>
      <c r="J166" s="21" t="s">
        <v>22</v>
      </c>
      <c r="K166" s="14"/>
      <c r="L166" s="14">
        <f t="shared" si="32"/>
        <v>0</v>
      </c>
      <c r="M166" s="22">
        <f t="shared" si="37"/>
        <v>0</v>
      </c>
      <c r="N166" s="19">
        <f t="shared" si="33"/>
        <v>0</v>
      </c>
      <c r="O166" s="80">
        <f t="shared" si="29"/>
        <v>0</v>
      </c>
      <c r="P166" s="75">
        <f t="shared" si="34"/>
        <v>0</v>
      </c>
      <c r="Q166" s="126">
        <f t="shared" si="35"/>
        <v>0</v>
      </c>
    </row>
    <row r="167" spans="1:17" ht="30.75" thickBot="1" x14ac:dyDescent="0.3">
      <c r="A167" s="543" t="s">
        <v>98</v>
      </c>
      <c r="B167" s="70">
        <f>SUM(D167,D171)</f>
        <v>0.16666666666666666</v>
      </c>
      <c r="C167" s="552" t="s">
        <v>57</v>
      </c>
      <c r="D167" s="67">
        <f>SUM(F167:F170)</f>
        <v>0.13333333333333333</v>
      </c>
      <c r="E167" s="96" t="s">
        <v>83</v>
      </c>
      <c r="F167" s="112">
        <f t="shared" si="30"/>
        <v>3.3333333333333333E-2</v>
      </c>
      <c r="G167" s="110" t="s">
        <v>10</v>
      </c>
      <c r="H167" s="39">
        <f>H36</f>
        <v>1498</v>
      </c>
      <c r="I167" s="35">
        <f>User_Input!H46</f>
        <v>1291</v>
      </c>
      <c r="J167" s="52" t="s">
        <v>22</v>
      </c>
      <c r="K167" s="35"/>
      <c r="L167" s="35">
        <f t="shared" si="32"/>
        <v>0</v>
      </c>
      <c r="M167" s="47">
        <f t="shared" si="37"/>
        <v>0</v>
      </c>
      <c r="N167" s="37">
        <f t="shared" si="33"/>
        <v>0</v>
      </c>
      <c r="O167" s="78">
        <f t="shared" si="29"/>
        <v>0</v>
      </c>
      <c r="P167" s="75">
        <f t="shared" si="34"/>
        <v>5.7777777777777768E-2</v>
      </c>
      <c r="Q167" s="126">
        <f t="shared" si="35"/>
        <v>7.2222222222222202E-2</v>
      </c>
    </row>
    <row r="168" spans="1:17" ht="14.45" customHeight="1" thickTop="1" thickBot="1" x14ac:dyDescent="0.3">
      <c r="A168" s="544"/>
      <c r="B168" s="71"/>
      <c r="C168" s="553"/>
      <c r="D168" s="67"/>
      <c r="E168" s="97" t="s">
        <v>84</v>
      </c>
      <c r="F168" s="112">
        <f t="shared" si="30"/>
        <v>3.3333333333333333E-2</v>
      </c>
      <c r="G168" s="94" t="s">
        <v>18</v>
      </c>
      <c r="H168" s="39">
        <f t="shared" si="31"/>
        <v>1.62</v>
      </c>
      <c r="I168" s="35">
        <f>User_Input!H47</f>
        <v>1.675</v>
      </c>
      <c r="J168" s="20" t="s">
        <v>22</v>
      </c>
      <c r="K168" s="5"/>
      <c r="L168" s="5">
        <f t="shared" si="32"/>
        <v>0</v>
      </c>
      <c r="M168" s="41">
        <f t="shared" si="37"/>
        <v>1</v>
      </c>
      <c r="N168" s="19">
        <f t="shared" si="33"/>
        <v>1</v>
      </c>
      <c r="O168" s="79">
        <f t="shared" si="29"/>
        <v>3.3333333333333333E-2</v>
      </c>
      <c r="P168" s="75">
        <f t="shared" si="34"/>
        <v>0</v>
      </c>
      <c r="Q168" s="126">
        <f t="shared" si="35"/>
        <v>0</v>
      </c>
    </row>
    <row r="169" spans="1:17" ht="16.5" thickTop="1" thickBot="1" x14ac:dyDescent="0.3">
      <c r="A169" s="544"/>
      <c r="B169" s="71"/>
      <c r="C169" s="553"/>
      <c r="D169" s="67"/>
      <c r="E169" s="97" t="s">
        <v>85</v>
      </c>
      <c r="F169" s="112">
        <f t="shared" si="30"/>
        <v>3.3333333333333333E-2</v>
      </c>
      <c r="G169" s="94" t="s">
        <v>14</v>
      </c>
      <c r="H169" s="39">
        <f t="shared" si="31"/>
        <v>4.5999999999999996</v>
      </c>
      <c r="I169" s="35">
        <f>User_Input!H48</f>
        <v>5</v>
      </c>
      <c r="J169" s="20" t="s">
        <v>22</v>
      </c>
      <c r="K169" s="5"/>
      <c r="L169" s="5">
        <f t="shared" si="32"/>
        <v>0</v>
      </c>
      <c r="M169" s="41">
        <f t="shared" si="37"/>
        <v>1</v>
      </c>
      <c r="N169" s="19">
        <f t="shared" si="33"/>
        <v>1</v>
      </c>
      <c r="O169" s="79">
        <f t="shared" si="29"/>
        <v>3.3333333333333333E-2</v>
      </c>
      <c r="P169" s="75">
        <f t="shared" si="34"/>
        <v>0</v>
      </c>
      <c r="Q169" s="126">
        <f t="shared" si="35"/>
        <v>0</v>
      </c>
    </row>
    <row r="170" spans="1:17" ht="16.5" thickTop="1" thickBot="1" x14ac:dyDescent="0.3">
      <c r="A170" s="544"/>
      <c r="B170" s="71"/>
      <c r="C170" s="554"/>
      <c r="D170" s="67"/>
      <c r="E170" s="97" t="s">
        <v>86</v>
      </c>
      <c r="F170" s="112">
        <f t="shared" si="30"/>
        <v>3.3333333333333333E-2</v>
      </c>
      <c r="G170" s="94" t="s">
        <v>14</v>
      </c>
      <c r="H170" s="39">
        <f t="shared" si="31"/>
        <v>1.2</v>
      </c>
      <c r="I170" s="35">
        <f>User_Input!H49</f>
        <v>1.125</v>
      </c>
      <c r="J170" s="21" t="s">
        <v>22</v>
      </c>
      <c r="K170" s="14"/>
      <c r="L170" s="5">
        <f t="shared" si="32"/>
        <v>0</v>
      </c>
      <c r="M170" s="41">
        <f t="shared" si="37"/>
        <v>0</v>
      </c>
      <c r="N170" s="19">
        <f t="shared" si="33"/>
        <v>0</v>
      </c>
      <c r="O170" s="80">
        <f t="shared" si="29"/>
        <v>0</v>
      </c>
      <c r="P170" s="75">
        <f t="shared" si="34"/>
        <v>0</v>
      </c>
      <c r="Q170" s="126">
        <f t="shared" si="35"/>
        <v>0</v>
      </c>
    </row>
    <row r="171" spans="1:17" ht="16.899999999999999" customHeight="1" thickTop="1" thickBot="1" x14ac:dyDescent="0.3">
      <c r="A171" s="545"/>
      <c r="B171" s="72"/>
      <c r="C171" s="50" t="s">
        <v>58</v>
      </c>
      <c r="D171" s="87">
        <f>F171</f>
        <v>3.3333333333333333E-2</v>
      </c>
      <c r="E171" s="106" t="s">
        <v>87</v>
      </c>
      <c r="F171" s="112">
        <f t="shared" si="30"/>
        <v>3.3333333333333333E-2</v>
      </c>
      <c r="G171" s="109" t="s">
        <v>11</v>
      </c>
      <c r="H171" s="39">
        <f t="shared" si="31"/>
        <v>0.7</v>
      </c>
      <c r="I171" s="35">
        <f>User_Input!H50</f>
        <v>0.48499999999999999</v>
      </c>
      <c r="J171" s="53" t="s">
        <v>22</v>
      </c>
      <c r="K171" s="14"/>
      <c r="L171" s="14">
        <f t="shared" si="32"/>
        <v>0</v>
      </c>
      <c r="M171" s="22">
        <f t="shared" si="37"/>
        <v>0</v>
      </c>
      <c r="N171" s="54">
        <f t="shared" si="33"/>
        <v>0</v>
      </c>
      <c r="O171" s="80">
        <f t="shared" si="29"/>
        <v>0</v>
      </c>
      <c r="P171" s="75">
        <f t="shared" si="34"/>
        <v>1.4444444444444442E-2</v>
      </c>
      <c r="Q171" s="126">
        <f t="shared" si="35"/>
        <v>0</v>
      </c>
    </row>
    <row r="172" spans="1:17" ht="30.75" thickBot="1" x14ac:dyDescent="0.3">
      <c r="A172" s="84" t="s">
        <v>91</v>
      </c>
      <c r="B172" s="85">
        <f>SUM(D172)</f>
        <v>3.3333333333333333E-2</v>
      </c>
      <c r="C172" s="86" t="s">
        <v>59</v>
      </c>
      <c r="D172" s="88">
        <f>F172</f>
        <v>3.3333333333333333E-2</v>
      </c>
      <c r="E172" s="86" t="s">
        <v>88</v>
      </c>
      <c r="F172" s="243">
        <f t="shared" si="30"/>
        <v>3.3333333333333333E-2</v>
      </c>
      <c r="G172" s="111" t="s">
        <v>10</v>
      </c>
      <c r="H172" s="39">
        <f t="shared" si="31"/>
        <v>210.5</v>
      </c>
      <c r="I172" s="35">
        <f>User_Input!H51</f>
        <v>184.35</v>
      </c>
      <c r="J172" s="56" t="s">
        <v>21</v>
      </c>
      <c r="K172" s="57">
        <f>IF(H172&gt;I172,1,0)</f>
        <v>1</v>
      </c>
      <c r="L172" s="58">
        <f t="shared" si="32"/>
        <v>0</v>
      </c>
      <c r="M172" s="55"/>
      <c r="N172" s="89">
        <f t="shared" si="33"/>
        <v>1</v>
      </c>
      <c r="O172" s="81">
        <f t="shared" si="29"/>
        <v>3.3333333333333333E-2</v>
      </c>
      <c r="P172" s="82">
        <f t="shared" si="34"/>
        <v>1.4444444444444442E-2</v>
      </c>
      <c r="Q172" s="82">
        <f t="shared" si="35"/>
        <v>1.444444444444444E-2</v>
      </c>
    </row>
    <row r="177" spans="14:17" ht="15" x14ac:dyDescent="0.2">
      <c r="N177" s="60" t="s">
        <v>106</v>
      </c>
      <c r="O177" s="244">
        <f>SUM(O143:O172)</f>
        <v>0.43333333333333329</v>
      </c>
      <c r="P177" s="18"/>
      <c r="Q177" s="17"/>
    </row>
    <row r="178" spans="14:17" ht="15" x14ac:dyDescent="0.2">
      <c r="N178" s="18"/>
      <c r="O178" s="246" t="s">
        <v>107</v>
      </c>
      <c r="P178" s="246">
        <f>SUM(P143:P172)</f>
        <v>0.43333333333333324</v>
      </c>
      <c r="Q178" s="18"/>
    </row>
    <row r="179" spans="14:17" ht="15" x14ac:dyDescent="0.25">
      <c r="N179" s="18"/>
      <c r="O179" s="18"/>
      <c r="P179" s="245" t="s">
        <v>108</v>
      </c>
      <c r="Q179" s="83">
        <f>SUM(Q143:Q172)</f>
        <v>0.43333333333333324</v>
      </c>
    </row>
  </sheetData>
  <mergeCells count="47">
    <mergeCell ref="A158:A166"/>
    <mergeCell ref="C165:C166"/>
    <mergeCell ref="A167:A171"/>
    <mergeCell ref="C167:C170"/>
    <mergeCell ref="K141:N141"/>
    <mergeCell ref="A143:A148"/>
    <mergeCell ref="C147:C148"/>
    <mergeCell ref="A149:A152"/>
    <mergeCell ref="C151:C152"/>
    <mergeCell ref="A153:A157"/>
    <mergeCell ref="C156:C157"/>
    <mergeCell ref="A110:A114"/>
    <mergeCell ref="C113:C114"/>
    <mergeCell ref="A115:A123"/>
    <mergeCell ref="C122:C123"/>
    <mergeCell ref="A124:A128"/>
    <mergeCell ref="C124:C127"/>
    <mergeCell ref="K53:N53"/>
    <mergeCell ref="A106:A109"/>
    <mergeCell ref="C108:C109"/>
    <mergeCell ref="A61:A64"/>
    <mergeCell ref="C63:C64"/>
    <mergeCell ref="A65:A69"/>
    <mergeCell ref="C68:C69"/>
    <mergeCell ref="A70:A78"/>
    <mergeCell ref="C77:C78"/>
    <mergeCell ref="A79:A83"/>
    <mergeCell ref="C79:C82"/>
    <mergeCell ref="K98:N98"/>
    <mergeCell ref="A100:A105"/>
    <mergeCell ref="C104:C105"/>
    <mergeCell ref="A22:A26"/>
    <mergeCell ref="C25:C26"/>
    <mergeCell ref="A27:A35"/>
    <mergeCell ref="C34:C35"/>
    <mergeCell ref="A36:A40"/>
    <mergeCell ref="C36:C39"/>
    <mergeCell ref="A12:A17"/>
    <mergeCell ref="C16:C17"/>
    <mergeCell ref="A18:A21"/>
    <mergeCell ref="C20:C21"/>
    <mergeCell ref="K10:M10"/>
    <mergeCell ref="Y59:Z59"/>
    <mergeCell ref="Y60:Z60"/>
    <mergeCell ref="Y61:Z61"/>
    <mergeCell ref="A55:A60"/>
    <mergeCell ref="C59:C60"/>
  </mergeCells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F135"/>
  <sheetViews>
    <sheetView topLeftCell="E85" workbookViewId="0">
      <selection activeCell="H136" sqref="H136"/>
    </sheetView>
  </sheetViews>
  <sheetFormatPr defaultRowHeight="12.75" x14ac:dyDescent="0.2"/>
  <cols>
    <col min="2" max="2" width="53.5" bestFit="1" customWidth="1"/>
    <col min="3" max="3" width="12.125" bestFit="1" customWidth="1"/>
    <col min="4" max="4" width="18.875" bestFit="1" customWidth="1"/>
    <col min="5" max="5" width="13.375" bestFit="1" customWidth="1"/>
    <col min="6" max="6" width="53.5" bestFit="1" customWidth="1"/>
    <col min="7" max="7" width="11.875" bestFit="1" customWidth="1"/>
  </cols>
  <sheetData>
    <row r="2" spans="2:5" x14ac:dyDescent="0.2">
      <c r="E2" s="6" t="s">
        <v>230</v>
      </c>
    </row>
    <row r="3" spans="2:5" x14ac:dyDescent="0.2">
      <c r="B3" s="4" t="s">
        <v>100</v>
      </c>
      <c r="C3" s="90" t="s">
        <v>227</v>
      </c>
      <c r="D3" s="90" t="s">
        <v>228</v>
      </c>
      <c r="E3" s="90" t="s">
        <v>229</v>
      </c>
    </row>
    <row r="4" spans="2:5" x14ac:dyDescent="0.2">
      <c r="B4" t="s">
        <v>180</v>
      </c>
      <c r="C4" s="361">
        <f>Compilation_Equal!B12</f>
        <v>0.16666666666666666</v>
      </c>
      <c r="D4" s="361">
        <f>Compilation_Expert!B12</f>
        <v>2.4E-2</v>
      </c>
      <c r="E4" s="361">
        <f>AVERAGE(C4:D4)</f>
        <v>9.5333333333333325E-2</v>
      </c>
    </row>
    <row r="5" spans="2:5" x14ac:dyDescent="0.2">
      <c r="B5" t="s">
        <v>181</v>
      </c>
      <c r="C5" s="361">
        <f>Compilation_Equal!B18</f>
        <v>0.16666666666666666</v>
      </c>
      <c r="D5" s="361">
        <f>Compilation_Expert!B18</f>
        <v>4.3999999999999997E-2</v>
      </c>
      <c r="E5" s="361">
        <f t="shared" ref="E5:E9" si="0">AVERAGE(C5:D5)</f>
        <v>0.10533333333333333</v>
      </c>
    </row>
    <row r="6" spans="2:5" x14ac:dyDescent="0.2">
      <c r="B6" t="s">
        <v>182</v>
      </c>
      <c r="C6" s="361">
        <f>Compilation_Equal!B22</f>
        <v>0.16666666666666666</v>
      </c>
      <c r="D6" s="361">
        <f>Compilation_Expert!B22</f>
        <v>8.4000000000000005E-2</v>
      </c>
      <c r="E6" s="361">
        <f t="shared" si="0"/>
        <v>0.12533333333333332</v>
      </c>
    </row>
    <row r="7" spans="2:5" x14ac:dyDescent="0.2">
      <c r="B7" t="s">
        <v>183</v>
      </c>
      <c r="C7" s="361">
        <f>Compilation_Equal!B27</f>
        <v>0.16666666666666666</v>
      </c>
      <c r="D7" s="361">
        <f>Compilation_Expert!B27</f>
        <v>0.16400000000000001</v>
      </c>
      <c r="E7" s="361">
        <f t="shared" si="0"/>
        <v>0.16533333333333333</v>
      </c>
    </row>
    <row r="8" spans="2:5" x14ac:dyDescent="0.2">
      <c r="B8" t="s">
        <v>184</v>
      </c>
      <c r="C8" s="361">
        <f>Compilation_Equal!B36</f>
        <v>0.16666666666666666</v>
      </c>
      <c r="D8" s="361">
        <f>Compilation_Expert!B36</f>
        <v>0.28299999999999997</v>
      </c>
      <c r="E8" s="361">
        <f t="shared" si="0"/>
        <v>0.22483333333333333</v>
      </c>
    </row>
    <row r="9" spans="2:5" x14ac:dyDescent="0.2">
      <c r="B9" t="s">
        <v>185</v>
      </c>
      <c r="C9" s="361">
        <f>Compilation_Equal!B41</f>
        <v>0.16666666666666666</v>
      </c>
      <c r="D9" s="361">
        <f>Compilation_Expert!B41</f>
        <v>0.40100000000000002</v>
      </c>
      <c r="E9" s="361">
        <f t="shared" si="0"/>
        <v>0.28383333333333333</v>
      </c>
    </row>
    <row r="10" spans="2:5" x14ac:dyDescent="0.2">
      <c r="D10" s="119"/>
      <c r="E10" s="335"/>
    </row>
    <row r="11" spans="2:5" ht="15" x14ac:dyDescent="0.2">
      <c r="D11" s="338"/>
    </row>
    <row r="12" spans="2:5" ht="15" x14ac:dyDescent="0.2">
      <c r="D12" s="338"/>
    </row>
    <row r="13" spans="2:5" ht="15" x14ac:dyDescent="0.2">
      <c r="D13" s="338"/>
    </row>
    <row r="14" spans="2:5" x14ac:dyDescent="0.2">
      <c r="D14" s="119"/>
    </row>
    <row r="15" spans="2:5" ht="15" x14ac:dyDescent="0.2">
      <c r="D15" s="338"/>
    </row>
    <row r="16" spans="2:5" ht="15" x14ac:dyDescent="0.2">
      <c r="D16" s="338"/>
    </row>
    <row r="17" spans="2:5" ht="15" x14ac:dyDescent="0.2">
      <c r="B17" s="4" t="s">
        <v>101</v>
      </c>
      <c r="C17" s="4"/>
      <c r="D17" s="338"/>
    </row>
    <row r="18" spans="2:5" x14ac:dyDescent="0.2">
      <c r="B18" s="6" t="s">
        <v>165</v>
      </c>
      <c r="C18" s="361">
        <f>Compilation_Equal!D12</f>
        <v>4.3478260869565216E-2</v>
      </c>
      <c r="D18" s="361">
        <f>Compilation_Expert!D12</f>
        <v>6.0000000000000001E-3</v>
      </c>
      <c r="E18" s="335">
        <f>AVERAGE(C18:D18)</f>
        <v>2.4739130434782607E-2</v>
      </c>
    </row>
    <row r="19" spans="2:5" x14ac:dyDescent="0.2">
      <c r="B19" s="6" t="s">
        <v>166</v>
      </c>
      <c r="C19" s="361">
        <f>Compilation_Equal!D13</f>
        <v>4.3478260869565216E-2</v>
      </c>
      <c r="D19" s="361">
        <f>Compilation_Expert!D13</f>
        <v>1.2E-2</v>
      </c>
      <c r="E19" s="335">
        <f t="shared" ref="E19:E40" si="1">AVERAGE(C19:D19)</f>
        <v>2.7739130434782606E-2</v>
      </c>
    </row>
    <row r="20" spans="2:5" x14ac:dyDescent="0.2">
      <c r="B20" s="336" t="s">
        <v>167</v>
      </c>
      <c r="C20" s="361">
        <f>Compilation_Equal!D14</f>
        <v>4.3478260869565216E-2</v>
      </c>
      <c r="D20" s="361">
        <f>Compilation_Expert!D14</f>
        <v>1.2999999999999999E-2</v>
      </c>
      <c r="E20" s="335">
        <f t="shared" si="1"/>
        <v>2.8239130434782607E-2</v>
      </c>
    </row>
    <row r="21" spans="2:5" x14ac:dyDescent="0.2">
      <c r="B21" s="6" t="s">
        <v>168</v>
      </c>
      <c r="C21" s="361">
        <f>Compilation_Equal!D15</f>
        <v>4.3478260869565216E-2</v>
      </c>
      <c r="D21" s="361">
        <f>Compilation_Expert!D15</f>
        <v>1.7999999999999999E-2</v>
      </c>
      <c r="E21" s="335">
        <f t="shared" si="1"/>
        <v>3.0739130434782609E-2</v>
      </c>
    </row>
    <row r="22" spans="2:5" x14ac:dyDescent="0.2">
      <c r="B22" s="6" t="s">
        <v>169</v>
      </c>
      <c r="C22" s="361">
        <f>Compilation_Equal!D16</f>
        <v>4.3478260869565216E-2</v>
      </c>
      <c r="D22" s="361">
        <f>Compilation_Expert!D16</f>
        <v>0.02</v>
      </c>
      <c r="E22" s="335">
        <f t="shared" si="1"/>
        <v>3.173913043478261E-2</v>
      </c>
    </row>
    <row r="23" spans="2:5" x14ac:dyDescent="0.2">
      <c r="B23" s="6" t="s">
        <v>177</v>
      </c>
      <c r="C23" s="361">
        <f>Compilation_Equal!D18</f>
        <v>4.3478260869565216E-2</v>
      </c>
      <c r="D23" s="361">
        <f>Compilation_Expert!D18</f>
        <v>1.4999999999999999E-2</v>
      </c>
      <c r="E23" s="335">
        <f>AVERAGE(C23:D23)</f>
        <v>2.9239130434782608E-2</v>
      </c>
    </row>
    <row r="24" spans="2:5" x14ac:dyDescent="0.2">
      <c r="B24" s="6" t="s">
        <v>178</v>
      </c>
      <c r="C24" s="361">
        <f>Compilation_Equal!D19</f>
        <v>4.3478260869565216E-2</v>
      </c>
      <c r="D24" s="361">
        <f>Compilation_Expert!D19</f>
        <v>2.4E-2</v>
      </c>
      <c r="E24" s="335">
        <f t="shared" si="1"/>
        <v>3.3739130434782605E-2</v>
      </c>
    </row>
    <row r="25" spans="2:5" x14ac:dyDescent="0.2">
      <c r="B25" s="6" t="s">
        <v>179</v>
      </c>
      <c r="C25" s="361">
        <f>Compilation_Equal!D20</f>
        <v>4.3478260869565216E-2</v>
      </c>
      <c r="D25" s="361">
        <f>Compilation_Expert!D20</f>
        <v>3.1E-2</v>
      </c>
      <c r="E25" s="335">
        <f t="shared" si="1"/>
        <v>3.7239130434782608E-2</v>
      </c>
    </row>
    <row r="26" spans="2:5" x14ac:dyDescent="0.2">
      <c r="B26" s="6" t="s">
        <v>186</v>
      </c>
      <c r="C26" s="361">
        <f>Compilation_Equal!D22</f>
        <v>4.3478260869565216E-2</v>
      </c>
      <c r="D26" s="361">
        <f>Compilation_Expert!D22</f>
        <v>3.3000000000000002E-2</v>
      </c>
      <c r="E26" s="335">
        <f t="shared" si="1"/>
        <v>3.8239130434782609E-2</v>
      </c>
    </row>
    <row r="27" spans="2:5" x14ac:dyDescent="0.2">
      <c r="B27" s="6" t="s">
        <v>187</v>
      </c>
      <c r="C27" s="361">
        <f>Compilation_Equal!D23</f>
        <v>4.3478260869565216E-2</v>
      </c>
      <c r="D27" s="361">
        <f>Compilation_Expert!D23</f>
        <v>0.03</v>
      </c>
      <c r="E27" s="335">
        <f t="shared" si="1"/>
        <v>3.6739130434782608E-2</v>
      </c>
    </row>
    <row r="28" spans="2:5" x14ac:dyDescent="0.2">
      <c r="B28" s="6" t="s">
        <v>188</v>
      </c>
      <c r="C28" s="361">
        <f>Compilation_Equal!D24</f>
        <v>4.3478260869565216E-2</v>
      </c>
      <c r="D28" s="361">
        <f>Compilation_Expert!D24</f>
        <v>2.1999999999999999E-2</v>
      </c>
      <c r="E28" s="335">
        <f t="shared" si="1"/>
        <v>3.2739130434782604E-2</v>
      </c>
    </row>
    <row r="29" spans="2:5" x14ac:dyDescent="0.2">
      <c r="B29" s="6" t="s">
        <v>223</v>
      </c>
      <c r="C29" s="361">
        <f>Compilation_Equal!D25</f>
        <v>4.3478260869565216E-2</v>
      </c>
      <c r="D29" s="361">
        <f>Compilation_Expert!D25</f>
        <v>2.9000000000000001E-2</v>
      </c>
      <c r="E29" s="335">
        <f t="shared" si="1"/>
        <v>3.6239130434782607E-2</v>
      </c>
    </row>
    <row r="30" spans="2:5" x14ac:dyDescent="0.2">
      <c r="B30" s="6" t="s">
        <v>189</v>
      </c>
      <c r="C30" s="361">
        <f>Compilation_Equal!D27</f>
        <v>4.3478260869565216E-2</v>
      </c>
      <c r="D30" s="361">
        <f>Compilation_Expert!D27</f>
        <v>4.3999999999999997E-2</v>
      </c>
      <c r="E30" s="335">
        <f t="shared" si="1"/>
        <v>4.3739130434782607E-2</v>
      </c>
    </row>
    <row r="31" spans="2:5" x14ac:dyDescent="0.2">
      <c r="B31" s="6" t="s">
        <v>190</v>
      </c>
      <c r="C31" s="361">
        <f>Compilation_Equal!D28</f>
        <v>4.3478260869565216E-2</v>
      </c>
      <c r="D31" s="361">
        <f>Compilation_Expert!D28</f>
        <v>4.2000000000000003E-2</v>
      </c>
      <c r="E31" s="335">
        <f t="shared" si="1"/>
        <v>4.2739130434782613E-2</v>
      </c>
    </row>
    <row r="32" spans="2:5" x14ac:dyDescent="0.2">
      <c r="B32" s="6" t="s">
        <v>191</v>
      </c>
      <c r="C32" s="361">
        <f>Compilation_Equal!D29</f>
        <v>4.3478260869565216E-2</v>
      </c>
      <c r="D32" s="361">
        <f>Compilation_Expert!D29</f>
        <v>4.3999999999999997E-2</v>
      </c>
      <c r="E32" s="335">
        <f t="shared" si="1"/>
        <v>4.3739130434782607E-2</v>
      </c>
    </row>
    <row r="33" spans="2:5" x14ac:dyDescent="0.2">
      <c r="B33" s="6" t="s">
        <v>225</v>
      </c>
      <c r="C33" s="361">
        <f>Compilation_Equal!D30</f>
        <v>4.3478260869565216E-2</v>
      </c>
      <c r="D33" s="361">
        <f>Compilation_Expert!D30</f>
        <v>4.5999999999999999E-2</v>
      </c>
      <c r="E33" s="335">
        <f t="shared" si="1"/>
        <v>4.4739130434782608E-2</v>
      </c>
    </row>
    <row r="34" spans="2:5" x14ac:dyDescent="0.2">
      <c r="B34" s="6" t="s">
        <v>192</v>
      </c>
      <c r="C34" s="361">
        <f>Compilation_Equal!D31</f>
        <v>4.3478260869565216E-2</v>
      </c>
      <c r="D34" s="361">
        <f>Compilation_Expert!D31</f>
        <v>5.7000000000000002E-2</v>
      </c>
      <c r="E34" s="335">
        <f t="shared" si="1"/>
        <v>5.0239130434782606E-2</v>
      </c>
    </row>
    <row r="35" spans="2:5" x14ac:dyDescent="0.2">
      <c r="B35" s="6" t="s">
        <v>193</v>
      </c>
      <c r="C35" s="361">
        <f>Compilation_Equal!D32</f>
        <v>4.3478260869565216E-2</v>
      </c>
      <c r="D35" s="361">
        <f>Compilation_Expert!D32</f>
        <v>6.8000000000000005E-2</v>
      </c>
      <c r="E35" s="335">
        <f t="shared" si="1"/>
        <v>5.5739130434782611E-2</v>
      </c>
    </row>
    <row r="36" spans="2:5" x14ac:dyDescent="0.2">
      <c r="B36" s="6" t="s">
        <v>194</v>
      </c>
      <c r="C36" s="361">
        <f>Compilation_Equal!D33</f>
        <v>4.3478260869565216E-2</v>
      </c>
      <c r="D36" s="361">
        <f>Compilation_Expert!D33</f>
        <v>8.9999999999999993E-3</v>
      </c>
      <c r="E36" s="335">
        <f t="shared" si="1"/>
        <v>2.6239130434782609E-2</v>
      </c>
    </row>
    <row r="37" spans="2:5" x14ac:dyDescent="0.2">
      <c r="B37" s="6" t="s">
        <v>195</v>
      </c>
      <c r="C37" s="361">
        <f>Compilation_Equal!D34</f>
        <v>4.3478260869565216E-2</v>
      </c>
      <c r="D37" s="361">
        <f>Compilation_Expert!D34</f>
        <v>6.6000000000000003E-2</v>
      </c>
      <c r="E37" s="335">
        <f t="shared" si="1"/>
        <v>5.473913043478261E-2</v>
      </c>
    </row>
    <row r="38" spans="2:5" x14ac:dyDescent="0.2">
      <c r="B38" s="6" t="s">
        <v>196</v>
      </c>
      <c r="C38" s="361">
        <f>Compilation_Equal!D36</f>
        <v>4.3478260869565216E-2</v>
      </c>
      <c r="D38" s="361">
        <f>Compilation_Expert!D36</f>
        <v>0.107</v>
      </c>
      <c r="E38" s="335">
        <f t="shared" si="1"/>
        <v>7.5239130434782614E-2</v>
      </c>
    </row>
    <row r="39" spans="2:5" x14ac:dyDescent="0.2">
      <c r="B39" s="6" t="s">
        <v>197</v>
      </c>
      <c r="C39" s="361">
        <f>Compilation_Equal!D40</f>
        <v>4.3478260869565216E-2</v>
      </c>
      <c r="D39" s="361">
        <f>Compilation_Expert!D40</f>
        <v>0.129</v>
      </c>
      <c r="E39" s="335">
        <f t="shared" si="1"/>
        <v>8.623913043478261E-2</v>
      </c>
    </row>
    <row r="40" spans="2:5" x14ac:dyDescent="0.2">
      <c r="B40" s="6" t="s">
        <v>198</v>
      </c>
      <c r="C40" s="361">
        <f>Compilation_Equal!D41</f>
        <v>4.3478260869565216E-2</v>
      </c>
      <c r="D40" s="361">
        <f>Compilation_Expert!D41</f>
        <v>0.13700000000000001</v>
      </c>
      <c r="E40" s="335">
        <f t="shared" si="1"/>
        <v>9.0239130434782613E-2</v>
      </c>
    </row>
    <row r="41" spans="2:5" x14ac:dyDescent="0.2">
      <c r="C41" s="361"/>
      <c r="D41" s="335"/>
      <c r="E41" s="335"/>
    </row>
    <row r="43" spans="2:5" x14ac:dyDescent="0.2">
      <c r="C43" s="361"/>
    </row>
    <row r="44" spans="2:5" x14ac:dyDescent="0.2">
      <c r="C44" s="361"/>
    </row>
    <row r="45" spans="2:5" x14ac:dyDescent="0.2">
      <c r="B45" s="4" t="s">
        <v>0</v>
      </c>
      <c r="C45" s="361"/>
    </row>
    <row r="46" spans="2:5" x14ac:dyDescent="0.2">
      <c r="B46" t="s">
        <v>170</v>
      </c>
      <c r="C46" s="339">
        <f>Compilation_Equal!F12</f>
        <v>3.3333333333333333E-2</v>
      </c>
      <c r="D46" s="339">
        <f>Compilation_Expert!F12</f>
        <v>8.9999999999999993E-3</v>
      </c>
      <c r="E46" s="339">
        <f>AVERAGE(C46:D46)</f>
        <v>2.1166666666666667E-2</v>
      </c>
    </row>
    <row r="47" spans="2:5" x14ac:dyDescent="0.2">
      <c r="B47" t="s">
        <v>171</v>
      </c>
      <c r="C47" s="339">
        <f>Compilation_Equal!F13</f>
        <v>3.3333333333333333E-2</v>
      </c>
      <c r="D47" s="339">
        <f>Compilation_Expert!F13</f>
        <v>1.6E-2</v>
      </c>
      <c r="E47" s="339">
        <f t="shared" ref="E47:E75" si="2">AVERAGE(C47:D47)</f>
        <v>2.4666666666666667E-2</v>
      </c>
    </row>
    <row r="48" spans="2:5" x14ac:dyDescent="0.2">
      <c r="B48" t="s">
        <v>172</v>
      </c>
      <c r="C48" s="339">
        <f>Compilation_Equal!F14</f>
        <v>3.3333333333333333E-2</v>
      </c>
      <c r="D48" s="339">
        <f>Compilation_Expert!F14</f>
        <v>1.4E-2</v>
      </c>
      <c r="E48" s="339">
        <f t="shared" si="2"/>
        <v>2.3666666666666666E-2</v>
      </c>
    </row>
    <row r="49" spans="2:5" x14ac:dyDescent="0.2">
      <c r="B49" t="s">
        <v>173</v>
      </c>
      <c r="C49" s="339">
        <f>Compilation_Equal!F15</f>
        <v>3.3333333333333333E-2</v>
      </c>
      <c r="D49" s="339">
        <f>Compilation_Expert!F15</f>
        <v>0.01</v>
      </c>
      <c r="E49" s="339">
        <f t="shared" si="2"/>
        <v>2.1666666666666667E-2</v>
      </c>
    </row>
    <row r="50" spans="2:5" x14ac:dyDescent="0.2">
      <c r="B50" t="s">
        <v>174</v>
      </c>
      <c r="C50" s="339">
        <f>Compilation_Equal!F16</f>
        <v>3.3333333333333333E-2</v>
      </c>
      <c r="D50" s="339">
        <f>Compilation_Expert!F16</f>
        <v>1.7999999999999999E-2</v>
      </c>
      <c r="E50" s="339">
        <f t="shared" si="2"/>
        <v>2.5666666666666664E-2</v>
      </c>
    </row>
    <row r="51" spans="2:5" x14ac:dyDescent="0.2">
      <c r="B51" t="s">
        <v>175</v>
      </c>
      <c r="C51" s="339">
        <f>Compilation_Equal!F17</f>
        <v>3.3333333333333333E-2</v>
      </c>
      <c r="D51" s="339">
        <f>Compilation_Expert!F17</f>
        <v>1.4E-2</v>
      </c>
      <c r="E51" s="339">
        <f t="shared" si="2"/>
        <v>2.3666666666666666E-2</v>
      </c>
    </row>
    <row r="52" spans="2:5" x14ac:dyDescent="0.2">
      <c r="B52" t="s">
        <v>199</v>
      </c>
      <c r="C52" s="339">
        <f>Compilation_Equal!F18</f>
        <v>3.3333333333333333E-2</v>
      </c>
      <c r="D52" s="339">
        <f>Compilation_Expert!F18</f>
        <v>1.4E-2</v>
      </c>
      <c r="E52" s="339">
        <f t="shared" si="2"/>
        <v>2.3666666666666666E-2</v>
      </c>
    </row>
    <row r="53" spans="2:5" x14ac:dyDescent="0.2">
      <c r="B53" t="s">
        <v>200</v>
      </c>
      <c r="C53" s="339">
        <f>Compilation_Equal!F19</f>
        <v>3.3333333333333333E-2</v>
      </c>
      <c r="D53" s="339">
        <f>Compilation_Expert!F19</f>
        <v>1.6E-2</v>
      </c>
      <c r="E53" s="339">
        <f t="shared" si="2"/>
        <v>2.4666666666666667E-2</v>
      </c>
    </row>
    <row r="54" spans="2:5" x14ac:dyDescent="0.2">
      <c r="B54" t="s">
        <v>201</v>
      </c>
      <c r="C54" s="339">
        <f>Compilation_Equal!F20</f>
        <v>3.3333333333333333E-2</v>
      </c>
      <c r="D54" s="339">
        <f>Compilation_Expert!F20</f>
        <v>1.7999999999999999E-2</v>
      </c>
      <c r="E54" s="339">
        <f t="shared" si="2"/>
        <v>2.5666666666666664E-2</v>
      </c>
    </row>
    <row r="55" spans="2:5" x14ac:dyDescent="0.2">
      <c r="B55" t="s">
        <v>226</v>
      </c>
      <c r="C55" s="339">
        <f>Compilation_Equal!F21</f>
        <v>3.3333333333333333E-2</v>
      </c>
      <c r="D55" s="339">
        <f>Compilation_Expert!F21</f>
        <v>1.2E-2</v>
      </c>
      <c r="E55" s="339">
        <f t="shared" si="2"/>
        <v>2.2666666666666668E-2</v>
      </c>
    </row>
    <row r="56" spans="2:5" x14ac:dyDescent="0.2">
      <c r="B56" t="s">
        <v>203</v>
      </c>
      <c r="C56" s="339">
        <f>Compilation_Equal!F22</f>
        <v>3.3333333333333333E-2</v>
      </c>
      <c r="D56" s="339">
        <f>Compilation_Expert!F22</f>
        <v>8.9999999999999993E-3</v>
      </c>
      <c r="E56" s="339">
        <f t="shared" si="2"/>
        <v>2.1166666666666667E-2</v>
      </c>
    </row>
    <row r="57" spans="2:5" x14ac:dyDescent="0.2">
      <c r="B57" t="s">
        <v>204</v>
      </c>
      <c r="C57" s="339">
        <f>Compilation_Equal!F23</f>
        <v>3.3333333333333333E-2</v>
      </c>
      <c r="D57" s="339">
        <f>Compilation_Expert!F23</f>
        <v>1.6E-2</v>
      </c>
      <c r="E57" s="339">
        <f t="shared" si="2"/>
        <v>2.4666666666666667E-2</v>
      </c>
    </row>
    <row r="58" spans="2:5" x14ac:dyDescent="0.2">
      <c r="B58" t="s">
        <v>205</v>
      </c>
      <c r="C58" s="339">
        <f>Compilation_Equal!F24</f>
        <v>3.3333333333333333E-2</v>
      </c>
      <c r="D58" s="339">
        <f>Compilation_Expert!F24</f>
        <v>2.1000000000000001E-2</v>
      </c>
      <c r="E58" s="339">
        <f t="shared" si="2"/>
        <v>2.7166666666666665E-2</v>
      </c>
    </row>
    <row r="59" spans="2:5" x14ac:dyDescent="0.2">
      <c r="B59" t="s">
        <v>206</v>
      </c>
      <c r="C59" s="339">
        <f>Compilation_Equal!F25</f>
        <v>3.3333333333333333E-2</v>
      </c>
      <c r="D59" s="339">
        <f>Compilation_Expert!F25</f>
        <v>0.01</v>
      </c>
      <c r="E59" s="339">
        <f t="shared" si="2"/>
        <v>2.1666666666666667E-2</v>
      </c>
    </row>
    <row r="60" spans="2:5" x14ac:dyDescent="0.2">
      <c r="B60" t="s">
        <v>207</v>
      </c>
      <c r="C60" s="339">
        <f>Compilation_Equal!F26</f>
        <v>3.3333333333333333E-2</v>
      </c>
      <c r="D60" s="339">
        <f>Compilation_Expert!F26</f>
        <v>2.5999999999999999E-2</v>
      </c>
      <c r="E60" s="339">
        <f t="shared" si="2"/>
        <v>2.9666666666666668E-2</v>
      </c>
    </row>
    <row r="61" spans="2:5" x14ac:dyDescent="0.2">
      <c r="B61" t="s">
        <v>208</v>
      </c>
      <c r="C61" s="339">
        <f>Compilation_Equal!F27</f>
        <v>3.3333333333333333E-2</v>
      </c>
      <c r="D61" s="339">
        <f>Compilation_Expert!F27</f>
        <v>0.02</v>
      </c>
      <c r="E61" s="339">
        <f t="shared" si="2"/>
        <v>2.6666666666666665E-2</v>
      </c>
    </row>
    <row r="62" spans="2:5" x14ac:dyDescent="0.2">
      <c r="B62" t="s">
        <v>209</v>
      </c>
      <c r="C62" s="339">
        <f>Compilation_Equal!F28</f>
        <v>3.3333333333333333E-2</v>
      </c>
      <c r="D62" s="339">
        <f>Compilation_Expert!F28</f>
        <v>3.2000000000000001E-2</v>
      </c>
      <c r="E62" s="339">
        <f t="shared" si="2"/>
        <v>3.2666666666666663E-2</v>
      </c>
    </row>
    <row r="63" spans="2:5" x14ac:dyDescent="0.2">
      <c r="B63" t="s">
        <v>210</v>
      </c>
      <c r="C63" s="339">
        <f>Compilation_Equal!F29</f>
        <v>3.3333333333333333E-2</v>
      </c>
      <c r="D63" s="339">
        <f>Compilation_Expert!F29</f>
        <v>5.2999999999999999E-2</v>
      </c>
      <c r="E63" s="339">
        <f t="shared" si="2"/>
        <v>4.3166666666666666E-2</v>
      </c>
    </row>
    <row r="64" spans="2:5" x14ac:dyDescent="0.2">
      <c r="B64" t="s">
        <v>211</v>
      </c>
      <c r="C64" s="339">
        <f>Compilation_Equal!F30</f>
        <v>3.3333333333333333E-2</v>
      </c>
      <c r="D64" s="339">
        <f>Compilation_Expert!F30</f>
        <v>3.9E-2</v>
      </c>
      <c r="E64" s="339">
        <f t="shared" si="2"/>
        <v>3.6166666666666666E-2</v>
      </c>
    </row>
    <row r="65" spans="2:5" x14ac:dyDescent="0.2">
      <c r="B65" t="s">
        <v>212</v>
      </c>
      <c r="C65" s="339">
        <f>Compilation_Equal!F31</f>
        <v>3.3333333333333333E-2</v>
      </c>
      <c r="D65" s="339">
        <f>Compilation_Expert!F31</f>
        <v>5.1999999999999998E-2</v>
      </c>
      <c r="E65" s="339">
        <f t="shared" si="2"/>
        <v>4.2666666666666665E-2</v>
      </c>
    </row>
    <row r="66" spans="2:5" x14ac:dyDescent="0.2">
      <c r="B66" t="s">
        <v>213</v>
      </c>
      <c r="C66" s="339">
        <f>Compilation_Equal!F32</f>
        <v>3.3333333333333333E-2</v>
      </c>
      <c r="D66" s="339">
        <f>Compilation_Expert!F32</f>
        <v>2.5000000000000001E-2</v>
      </c>
      <c r="E66" s="339">
        <f t="shared" si="2"/>
        <v>2.9166666666666667E-2</v>
      </c>
    </row>
    <row r="67" spans="2:5" x14ac:dyDescent="0.2">
      <c r="B67" t="s">
        <v>214</v>
      </c>
      <c r="C67" s="339">
        <f>Compilation_Equal!F33</f>
        <v>3.3333333333333333E-2</v>
      </c>
      <c r="D67" s="339">
        <f>Compilation_Expert!F33</f>
        <v>4.1000000000000002E-2</v>
      </c>
      <c r="E67" s="339">
        <f t="shared" si="2"/>
        <v>3.7166666666666667E-2</v>
      </c>
    </row>
    <row r="68" spans="2:5" x14ac:dyDescent="0.2">
      <c r="B68" t="s">
        <v>215</v>
      </c>
      <c r="C68" s="339">
        <f>Compilation_Equal!F34</f>
        <v>3.3333333333333333E-2</v>
      </c>
      <c r="D68" s="339">
        <f>Compilation_Expert!F34</f>
        <v>5.1999999999999998E-2</v>
      </c>
      <c r="E68" s="339">
        <f t="shared" si="2"/>
        <v>4.2666666666666665E-2</v>
      </c>
    </row>
    <row r="69" spans="2:5" x14ac:dyDescent="0.2">
      <c r="B69" t="s">
        <v>216</v>
      </c>
      <c r="C69" s="339">
        <f>Compilation_Equal!F35</f>
        <v>3.3333333333333333E-2</v>
      </c>
      <c r="D69" s="339">
        <f>Compilation_Expert!F35</f>
        <v>1.7000000000000001E-2</v>
      </c>
      <c r="E69" s="339">
        <f t="shared" si="2"/>
        <v>2.5166666666666667E-2</v>
      </c>
    </row>
    <row r="70" spans="2:5" x14ac:dyDescent="0.2">
      <c r="B70" t="s">
        <v>217</v>
      </c>
      <c r="C70" s="339">
        <f>Compilation_Equal!F36</f>
        <v>3.3333333333333333E-2</v>
      </c>
      <c r="D70" s="339">
        <f>Compilation_Expert!F36</f>
        <v>0.06</v>
      </c>
      <c r="E70" s="339">
        <f t="shared" si="2"/>
        <v>4.6666666666666662E-2</v>
      </c>
    </row>
    <row r="71" spans="2:5" x14ac:dyDescent="0.2">
      <c r="B71" t="s">
        <v>218</v>
      </c>
      <c r="C71" s="339">
        <f>Compilation_Equal!F37</f>
        <v>3.3333333333333333E-2</v>
      </c>
      <c r="D71" s="339">
        <f>Compilation_Expert!F37</f>
        <v>4.2000000000000003E-2</v>
      </c>
      <c r="E71" s="339">
        <f t="shared" si="2"/>
        <v>3.7666666666666668E-2</v>
      </c>
    </row>
    <row r="72" spans="2:5" x14ac:dyDescent="0.2">
      <c r="B72" t="s">
        <v>219</v>
      </c>
      <c r="C72" s="339">
        <f>Compilation_Equal!F38</f>
        <v>3.3333333333333333E-2</v>
      </c>
      <c r="D72" s="339">
        <f>Compilation_Expert!F38</f>
        <v>7.0999999999999994E-2</v>
      </c>
      <c r="E72" s="339">
        <f t="shared" si="2"/>
        <v>5.2166666666666667E-2</v>
      </c>
    </row>
    <row r="73" spans="2:5" x14ac:dyDescent="0.2">
      <c r="B73" t="s">
        <v>220</v>
      </c>
      <c r="C73" s="339">
        <f>Compilation_Equal!F39</f>
        <v>3.3333333333333333E-2</v>
      </c>
      <c r="D73" s="339">
        <f>Compilation_Expert!F39</f>
        <v>7.8E-2</v>
      </c>
      <c r="E73" s="339">
        <f t="shared" si="2"/>
        <v>5.566666666666667E-2</v>
      </c>
    </row>
    <row r="74" spans="2:5" x14ac:dyDescent="0.2">
      <c r="B74" t="s">
        <v>221</v>
      </c>
      <c r="C74" s="339">
        <f>Compilation_Equal!F40</f>
        <v>3.3333333333333333E-2</v>
      </c>
      <c r="D74" s="339">
        <f>Compilation_Expert!F40</f>
        <v>9.2999999999999999E-2</v>
      </c>
      <c r="E74" s="339">
        <f t="shared" si="2"/>
        <v>6.3166666666666663E-2</v>
      </c>
    </row>
    <row r="75" spans="2:5" x14ac:dyDescent="0.2">
      <c r="B75" t="s">
        <v>222</v>
      </c>
      <c r="C75" s="339">
        <f>Compilation_Equal!F41</f>
        <v>3.3333333333333333E-2</v>
      </c>
      <c r="D75" s="339">
        <f>Compilation_Expert!F41</f>
        <v>0.10299999999999999</v>
      </c>
      <c r="E75" s="339">
        <f t="shared" si="2"/>
        <v>6.8166666666666667E-2</v>
      </c>
    </row>
    <row r="76" spans="2:5" x14ac:dyDescent="0.2">
      <c r="C76" s="335"/>
      <c r="D76" s="337"/>
      <c r="E76" s="335"/>
    </row>
    <row r="81" spans="1:5" x14ac:dyDescent="0.2">
      <c r="C81" s="335"/>
    </row>
    <row r="82" spans="1:5" x14ac:dyDescent="0.2">
      <c r="C82" s="335"/>
    </row>
    <row r="83" spans="1:5" x14ac:dyDescent="0.2">
      <c r="C83" s="335"/>
    </row>
    <row r="84" spans="1:5" x14ac:dyDescent="0.2">
      <c r="C84" s="335"/>
    </row>
    <row r="85" spans="1:5" x14ac:dyDescent="0.2">
      <c r="C85" s="335"/>
    </row>
    <row r="86" spans="1:5" x14ac:dyDescent="0.2">
      <c r="C86" s="335"/>
    </row>
    <row r="87" spans="1:5" x14ac:dyDescent="0.2">
      <c r="C87" s="335"/>
    </row>
    <row r="88" spans="1:5" x14ac:dyDescent="0.2">
      <c r="B88" s="6" t="s">
        <v>243</v>
      </c>
      <c r="C88" s="335"/>
    </row>
    <row r="89" spans="1:5" x14ac:dyDescent="0.2">
      <c r="C89" s="335"/>
    </row>
    <row r="90" spans="1:5" x14ac:dyDescent="0.2">
      <c r="A90" s="4">
        <v>1</v>
      </c>
      <c r="B90" s="6" t="s">
        <v>249</v>
      </c>
      <c r="C90" s="335"/>
    </row>
    <row r="91" spans="1:5" x14ac:dyDescent="0.2">
      <c r="C91" s="352" t="s">
        <v>100</v>
      </c>
      <c r="D91" s="353" t="s">
        <v>176</v>
      </c>
      <c r="E91" s="353" t="s">
        <v>127</v>
      </c>
    </row>
    <row r="92" spans="1:5" x14ac:dyDescent="0.2">
      <c r="B92" s="291" t="s">
        <v>114</v>
      </c>
      <c r="C92" s="354">
        <f>Compilation_Equal!AI43-Compilation_Equal!AI42</f>
        <v>0.17222222222222225</v>
      </c>
      <c r="D92" s="354">
        <f>Compilation_Equal!AJ43-Compilation_Equal!AJ42</f>
        <v>8.6956521739130432E-2</v>
      </c>
      <c r="E92" s="354">
        <f>Compilation_Equal!AK43-Compilation_Equal!AK42</f>
        <v>3.3333333333333326E-2</v>
      </c>
    </row>
    <row r="93" spans="1:5" x14ac:dyDescent="0.2">
      <c r="B93" s="291" t="s">
        <v>115</v>
      </c>
      <c r="C93" s="354">
        <f>Compilation_Expert!AI43-Compilation_Expert!AI42</f>
        <v>0.39846666666666669</v>
      </c>
      <c r="D93" s="354">
        <f>Compilation_Expert!AJ43-Compilation_Expert!AJ42</f>
        <v>0.14500000000000002</v>
      </c>
      <c r="E93" s="354">
        <f>Compilation_Expert!AK43-Compilation_Expert!AK42</f>
        <v>2.5000000000000022E-2</v>
      </c>
    </row>
    <row r="94" spans="1:5" x14ac:dyDescent="0.2">
      <c r="B94" s="291" t="s">
        <v>229</v>
      </c>
      <c r="C94" s="354">
        <f>Compilation_Hybird!AI43-Compilation_Hybird!AI42</f>
        <v>0.28534444444444446</v>
      </c>
      <c r="D94" s="354">
        <f>Compilation_Hybird!AJ43-Compilation_Hybird!AJ42</f>
        <v>0.11597826086956523</v>
      </c>
      <c r="E94" s="354">
        <f>Compilation_Hybird!AK43-Compilation_Hybird!AK42</f>
        <v>3.3333333333333326E-2</v>
      </c>
    </row>
    <row r="95" spans="1:5" x14ac:dyDescent="0.2">
      <c r="C95" s="335"/>
    </row>
    <row r="96" spans="1:5" x14ac:dyDescent="0.2">
      <c r="C96" s="335"/>
    </row>
    <row r="97" spans="2:6" x14ac:dyDescent="0.2">
      <c r="C97" s="335"/>
    </row>
    <row r="98" spans="2:6" x14ac:dyDescent="0.2">
      <c r="C98" s="335"/>
    </row>
    <row r="99" spans="2:6" x14ac:dyDescent="0.2">
      <c r="C99" s="335"/>
    </row>
    <row r="100" spans="2:6" x14ac:dyDescent="0.2">
      <c r="C100" s="335"/>
    </row>
    <row r="101" spans="2:6" x14ac:dyDescent="0.2">
      <c r="C101" s="335"/>
    </row>
    <row r="102" spans="2:6" x14ac:dyDescent="0.2">
      <c r="C102" s="335"/>
    </row>
    <row r="103" spans="2:6" x14ac:dyDescent="0.2">
      <c r="C103" s="335"/>
    </row>
    <row r="109" spans="2:6" x14ac:dyDescent="0.2">
      <c r="B109" s="6"/>
    </row>
    <row r="110" spans="2:6" x14ac:dyDescent="0.2">
      <c r="B110" s="4" t="s">
        <v>250</v>
      </c>
    </row>
    <row r="111" spans="2:6" x14ac:dyDescent="0.2">
      <c r="C111" s="352" t="s">
        <v>244</v>
      </c>
      <c r="D111" s="353" t="s">
        <v>115</v>
      </c>
      <c r="E111" s="353" t="s">
        <v>229</v>
      </c>
      <c r="F111" s="4" t="s">
        <v>246</v>
      </c>
    </row>
    <row r="112" spans="2:6" x14ac:dyDescent="0.2">
      <c r="B112" s="291" t="s">
        <v>176</v>
      </c>
      <c r="C112" s="354">
        <f>Compilation_Equal!AA59/100</f>
        <v>0.5083333333333333</v>
      </c>
      <c r="D112" s="354">
        <f>Compilation_Expert!AA59/100</f>
        <v>0.5252</v>
      </c>
      <c r="E112" s="354">
        <f>Compilation_Hybird!AA59/100</f>
        <v>0.5167666666666666</v>
      </c>
      <c r="F112" s="374">
        <f>AVERAGE(C112:E112)</f>
        <v>0.5167666666666666</v>
      </c>
    </row>
    <row r="113" spans="2:6" x14ac:dyDescent="0.2">
      <c r="B113" s="291" t="s">
        <v>100</v>
      </c>
      <c r="C113" s="354">
        <f>Compilation_Equal!AA60/100</f>
        <v>0.43478260869565216</v>
      </c>
      <c r="D113" s="354">
        <f>Compilation_Expert!AA$60/100</f>
        <v>0.38754554399999991</v>
      </c>
      <c r="E113" s="354">
        <f>Compilation_Hybird!AA60/100</f>
        <v>0.41121249734782611</v>
      </c>
      <c r="F113" s="374">
        <f t="shared" ref="F113:F114" si="3">AVERAGE(C113:E113)</f>
        <v>0.41118021668115939</v>
      </c>
    </row>
    <row r="114" spans="2:6" x14ac:dyDescent="0.2">
      <c r="B114" s="291" t="s">
        <v>127</v>
      </c>
      <c r="C114" s="354">
        <f>Compilation_Equal!AA61/100</f>
        <v>0.43333333333333324</v>
      </c>
      <c r="D114" s="354">
        <f>Compilation_Expert!AA61/100</f>
        <v>0.37975837900000003</v>
      </c>
      <c r="E114" s="354">
        <f>Compilation_Hybird!AA61/100</f>
        <v>0.43333333333333324</v>
      </c>
      <c r="F114" s="374">
        <f t="shared" si="3"/>
        <v>0.41547501522222213</v>
      </c>
    </row>
    <row r="115" spans="2:6" x14ac:dyDescent="0.2">
      <c r="B115" s="376" t="s">
        <v>246</v>
      </c>
      <c r="C115" s="339">
        <f>AVERAGE(C112:C114)</f>
        <v>0.45881642512077292</v>
      </c>
      <c r="D115" s="339">
        <f t="shared" ref="D115:E115" si="4">AVERAGE(D112:D114)</f>
        <v>0.43083464099999996</v>
      </c>
      <c r="E115" s="339">
        <f t="shared" si="4"/>
        <v>0.4537708324492753</v>
      </c>
    </row>
    <row r="116" spans="2:6" x14ac:dyDescent="0.2">
      <c r="C116" s="361"/>
      <c r="D116" s="361"/>
      <c r="E116" s="4" t="s">
        <v>245</v>
      </c>
      <c r="F116" s="375">
        <f>AVERAGE(C115:E115)</f>
        <v>0.44780729952334936</v>
      </c>
    </row>
    <row r="117" spans="2:6" x14ac:dyDescent="0.2">
      <c r="C117" s="361"/>
      <c r="D117" s="361"/>
    </row>
    <row r="118" spans="2:6" x14ac:dyDescent="0.2">
      <c r="C118" s="361"/>
      <c r="D118" s="361"/>
    </row>
    <row r="125" spans="2:6" x14ac:dyDescent="0.2">
      <c r="C125" s="366"/>
      <c r="D125" s="366"/>
      <c r="E125" s="366"/>
    </row>
    <row r="133" spans="3:5" x14ac:dyDescent="0.2">
      <c r="C133" s="366"/>
      <c r="D133" s="366"/>
      <c r="E133" s="366"/>
    </row>
    <row r="134" spans="3:5" x14ac:dyDescent="0.2">
      <c r="C134" s="366"/>
      <c r="D134" s="366"/>
      <c r="E134" s="366"/>
    </row>
    <row r="135" spans="3:5" x14ac:dyDescent="0.2">
      <c r="C135" s="366"/>
      <c r="D135" s="366"/>
      <c r="E135" s="36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topLeftCell="A19" workbookViewId="0">
      <selection activeCell="B16" sqref="B16"/>
    </sheetView>
  </sheetViews>
  <sheetFormatPr defaultRowHeight="12.75" x14ac:dyDescent="0.2"/>
  <cols>
    <col min="2" max="2" width="15.25" customWidth="1"/>
  </cols>
  <sheetData>
    <row r="1" spans="1:2" x14ac:dyDescent="0.2">
      <c r="A1" s="6" t="s">
        <v>268</v>
      </c>
      <c r="B1" s="576" t="s">
        <v>267</v>
      </c>
    </row>
    <row r="2" spans="1:2" x14ac:dyDescent="0.2">
      <c r="B2" s="577"/>
    </row>
    <row r="3" spans="1:2" x14ac:dyDescent="0.2">
      <c r="A3">
        <v>0</v>
      </c>
      <c r="B3">
        <f>A3/100</f>
        <v>0</v>
      </c>
    </row>
    <row r="4" spans="1:2" x14ac:dyDescent="0.2">
      <c r="A4">
        <v>10</v>
      </c>
      <c r="B4">
        <f t="shared" ref="B4:B13" si="0">A4/100</f>
        <v>0.1</v>
      </c>
    </row>
    <row r="5" spans="1:2" x14ac:dyDescent="0.2">
      <c r="A5">
        <v>20</v>
      </c>
      <c r="B5">
        <f t="shared" si="0"/>
        <v>0.2</v>
      </c>
    </row>
    <row r="6" spans="1:2" x14ac:dyDescent="0.2">
      <c r="A6">
        <v>30</v>
      </c>
      <c r="B6">
        <f t="shared" si="0"/>
        <v>0.3</v>
      </c>
    </row>
    <row r="7" spans="1:2" x14ac:dyDescent="0.2">
      <c r="A7">
        <v>40</v>
      </c>
      <c r="B7">
        <f t="shared" si="0"/>
        <v>0.4</v>
      </c>
    </row>
    <row r="8" spans="1:2" x14ac:dyDescent="0.2">
      <c r="A8">
        <v>50</v>
      </c>
      <c r="B8">
        <f t="shared" si="0"/>
        <v>0.5</v>
      </c>
    </row>
    <row r="9" spans="1:2" x14ac:dyDescent="0.2">
      <c r="A9">
        <v>60</v>
      </c>
      <c r="B9">
        <f t="shared" si="0"/>
        <v>0.6</v>
      </c>
    </row>
    <row r="10" spans="1:2" x14ac:dyDescent="0.2">
      <c r="A10">
        <v>70</v>
      </c>
      <c r="B10">
        <f t="shared" si="0"/>
        <v>0.7</v>
      </c>
    </row>
    <row r="11" spans="1:2" x14ac:dyDescent="0.2">
      <c r="A11">
        <v>80</v>
      </c>
      <c r="B11">
        <f t="shared" si="0"/>
        <v>0.8</v>
      </c>
    </row>
    <row r="12" spans="1:2" x14ac:dyDescent="0.2">
      <c r="A12">
        <v>90</v>
      </c>
      <c r="B12">
        <f t="shared" si="0"/>
        <v>0.9</v>
      </c>
    </row>
    <row r="13" spans="1:2" x14ac:dyDescent="0.2">
      <c r="A13">
        <v>100</v>
      </c>
      <c r="B13">
        <f t="shared" si="0"/>
        <v>1</v>
      </c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User_Input</vt:lpstr>
      <vt:lpstr> Result</vt:lpstr>
      <vt:lpstr>Compilation_Equal</vt:lpstr>
      <vt:lpstr>Compilation_Expert</vt:lpstr>
      <vt:lpstr>Compilation_Hybird</vt:lpstr>
      <vt:lpstr>Performance_weight</vt:lpstr>
      <vt:lpstr>List box</vt:lpstr>
      <vt:lpstr>Adjustment_Factor</vt:lpstr>
      <vt:lpstr>Compilation_Equal!Print_Area</vt:lpstr>
      <vt:lpstr>Compilation_Expert!Print_Area</vt:lpstr>
      <vt:lpstr>Compilation_Hybird!Print_Area</vt:lpstr>
    </vt:vector>
  </TitlesOfParts>
  <Company>TU Munich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 Sikder</dc:creator>
  <cp:lastModifiedBy>sikder</cp:lastModifiedBy>
  <cp:lastPrinted>2016-03-30T13:14:39Z</cp:lastPrinted>
  <dcterms:created xsi:type="dcterms:W3CDTF">2013-05-27T14:25:25Z</dcterms:created>
  <dcterms:modified xsi:type="dcterms:W3CDTF">2017-05-10T18:10:45Z</dcterms:modified>
</cp:coreProperties>
</file>