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26331e79e5fd34/MNV/RID/iot มูลบน/Water Management/"/>
    </mc:Choice>
  </mc:AlternateContent>
  <xr:revisionPtr revIDLastSave="0" documentId="8_{841D3D3D-B417-442B-A7F4-B5B28CF661F6}" xr6:coauthVersionLast="47" xr6:coauthVersionMax="47" xr10:uidLastSave="{00000000-0000-0000-0000-000000000000}"/>
  <bookViews>
    <workbookView xWindow="-110" yWindow="-110" windowWidth="19420" windowHeight="10560" xr2:uid="{DB3160D3-E4C4-465C-B837-564387C03FCD}"/>
  </bookViews>
  <sheets>
    <sheet name="Sheet1" sheetId="1" r:id="rId1"/>
    <sheet name="Characteristics" sheetId="2" r:id="rId2"/>
    <sheet name="Experiment" sheetId="3" r:id="rId3"/>
    <sheet name="สบ. 1" sheetId="4" r:id="rId4"/>
    <sheet name="สบ.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T26" i="1"/>
  <c r="T25" i="1"/>
  <c r="T22" i="1"/>
  <c r="T21" i="1"/>
  <c r="T20" i="1"/>
  <c r="S61" i="1"/>
  <c r="S59" i="1"/>
  <c r="S42" i="1"/>
  <c r="S29" i="1"/>
  <c r="S27" i="1"/>
  <c r="S26" i="1"/>
  <c r="S25" i="1"/>
  <c r="S21" i="1"/>
  <c r="S22" i="1"/>
  <c r="S20" i="1"/>
  <c r="Y4" i="1" l="1"/>
  <c r="Y5" i="1"/>
  <c r="Y18" i="1"/>
  <c r="Y19" i="1"/>
  <c r="Y23" i="1"/>
  <c r="Y24" i="1"/>
  <c r="Y30" i="1"/>
  <c r="Y34" i="1"/>
  <c r="Y36" i="1"/>
  <c r="Y38" i="1"/>
  <c r="Y39" i="1"/>
  <c r="Y3" i="1"/>
  <c r="U61" i="1"/>
  <c r="U59" i="1"/>
  <c r="U55" i="1"/>
  <c r="U54" i="1"/>
  <c r="U52" i="1"/>
  <c r="U51" i="1"/>
  <c r="U49" i="1"/>
  <c r="U33" i="1"/>
  <c r="U46" i="1"/>
  <c r="U37" i="1"/>
  <c r="U35" i="1"/>
  <c r="U17" i="1"/>
  <c r="U14" i="1"/>
  <c r="U7" i="1"/>
  <c r="T52" i="1"/>
  <c r="T49" i="1"/>
  <c r="T44" i="1"/>
  <c r="T43" i="1"/>
  <c r="T41" i="1"/>
  <c r="T33" i="1"/>
  <c r="T32" i="1"/>
  <c r="T31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29" i="1" l="1"/>
  <c r="Y29" i="1" s="1"/>
  <c r="R22" i="1"/>
  <c r="Y22" i="1" s="1"/>
  <c r="R21" i="1"/>
  <c r="Y21" i="1" s="1"/>
  <c r="R20" i="1"/>
  <c r="Y20" i="1" s="1"/>
  <c r="R10" i="1"/>
  <c r="Y10" i="1" s="1"/>
  <c r="H29" i="3" l="1"/>
  <c r="G29" i="3"/>
  <c r="D29" i="3"/>
  <c r="E29" i="3" s="1"/>
  <c r="K29" i="3" s="1"/>
  <c r="B29" i="3"/>
  <c r="H28" i="3"/>
  <c r="G28" i="3"/>
  <c r="F28" i="3"/>
  <c r="D28" i="3"/>
  <c r="E28" i="3" s="1"/>
  <c r="I28" i="3" s="1"/>
  <c r="B28" i="3"/>
  <c r="D27" i="3"/>
  <c r="E27" i="3" s="1"/>
  <c r="K27" i="3" s="1"/>
  <c r="L27" i="3" s="1"/>
  <c r="B27" i="3"/>
  <c r="D26" i="3"/>
  <c r="E26" i="3" s="1"/>
  <c r="K26" i="3" s="1"/>
  <c r="L26" i="3" s="1"/>
  <c r="B26" i="3"/>
  <c r="H25" i="3"/>
  <c r="D25" i="3"/>
  <c r="E25" i="3" s="1"/>
  <c r="K25" i="3" s="1"/>
  <c r="L25" i="3" s="1"/>
  <c r="G24" i="3"/>
  <c r="H24" i="3" s="1"/>
  <c r="D24" i="3"/>
  <c r="E24" i="3" s="1"/>
  <c r="J24" i="3" s="1"/>
  <c r="B24" i="3"/>
  <c r="H23" i="3"/>
  <c r="G23" i="3"/>
  <c r="D23" i="3"/>
  <c r="E23" i="3" s="1"/>
  <c r="B23" i="3"/>
  <c r="H22" i="3"/>
  <c r="G22" i="3"/>
  <c r="F22" i="3" s="1"/>
  <c r="D22" i="3"/>
  <c r="E22" i="3" s="1"/>
  <c r="B22" i="3"/>
  <c r="H21" i="3"/>
  <c r="G21" i="3"/>
  <c r="D21" i="3"/>
  <c r="E21" i="3" s="1"/>
  <c r="B21" i="3"/>
  <c r="H20" i="3"/>
  <c r="G20" i="3"/>
  <c r="F20" i="3" s="1"/>
  <c r="E20" i="3"/>
  <c r="K20" i="3" s="1"/>
  <c r="D20" i="3"/>
  <c r="G19" i="3"/>
  <c r="H19" i="3" s="1"/>
  <c r="D19" i="3"/>
  <c r="E19" i="3" s="1"/>
  <c r="B19" i="3"/>
  <c r="H18" i="3"/>
  <c r="G18" i="3"/>
  <c r="F18" i="3"/>
  <c r="D18" i="3"/>
  <c r="E18" i="3" s="1"/>
  <c r="E17" i="3"/>
  <c r="H16" i="3"/>
  <c r="G16" i="3"/>
  <c r="D16" i="3"/>
  <c r="E16" i="3" s="1"/>
  <c r="H15" i="3"/>
  <c r="G15" i="3"/>
  <c r="F15" i="3"/>
  <c r="E15" i="3"/>
  <c r="K15" i="3" s="1"/>
  <c r="D15" i="3"/>
  <c r="G14" i="3"/>
  <c r="H14" i="3" s="1"/>
  <c r="F14" i="3"/>
  <c r="D14" i="3"/>
  <c r="E14" i="3" s="1"/>
  <c r="H13" i="3"/>
  <c r="G13" i="3"/>
  <c r="E13" i="3"/>
  <c r="J13" i="3" s="1"/>
  <c r="D13" i="3"/>
  <c r="B13" i="3"/>
  <c r="G12" i="3"/>
  <c r="F12" i="3" s="1"/>
  <c r="E12" i="3"/>
  <c r="K6" i="3"/>
  <c r="K3" i="3"/>
  <c r="T2" i="3"/>
  <c r="Q1" i="3"/>
  <c r="AE116" i="2"/>
  <c r="AI115" i="2"/>
  <c r="AF115" i="2"/>
  <c r="AG115" i="2" s="1"/>
  <c r="AD115" i="2"/>
  <c r="AC115" i="2"/>
  <c r="I115" i="2"/>
  <c r="AI114" i="2"/>
  <c r="AF114" i="2"/>
  <c r="AG114" i="2" s="1"/>
  <c r="AD114" i="2"/>
  <c r="AC114" i="2"/>
  <c r="I114" i="2"/>
  <c r="AI113" i="2"/>
  <c r="AF113" i="2"/>
  <c r="AG113" i="2" s="1"/>
  <c r="AD113" i="2"/>
  <c r="AC113" i="2"/>
  <c r="I113" i="2"/>
  <c r="L113" i="2" s="1"/>
  <c r="J113" i="2" s="1"/>
  <c r="AI112" i="2"/>
  <c r="AF112" i="2"/>
  <c r="AG112" i="2" s="1"/>
  <c r="AD112" i="2"/>
  <c r="AC112" i="2"/>
  <c r="I112" i="2"/>
  <c r="L112" i="2" s="1"/>
  <c r="J112" i="2" s="1"/>
  <c r="AI111" i="2"/>
  <c r="AF111" i="2"/>
  <c r="AG111" i="2" s="1"/>
  <c r="AH111" i="2" s="1"/>
  <c r="AD111" i="2"/>
  <c r="AC111" i="2"/>
  <c r="I111" i="2"/>
  <c r="L111" i="2" s="1"/>
  <c r="J111" i="2" s="1"/>
  <c r="AE110" i="2"/>
  <c r="AI109" i="2"/>
  <c r="AF109" i="2"/>
  <c r="AG109" i="2" s="1"/>
  <c r="I109" i="2"/>
  <c r="L109" i="2" s="1"/>
  <c r="J109" i="2" s="1"/>
  <c r="H109" i="2" s="1"/>
  <c r="AI108" i="2"/>
  <c r="AF108" i="2"/>
  <c r="AG108" i="2" s="1"/>
  <c r="I108" i="2"/>
  <c r="L108" i="2" s="1"/>
  <c r="J108" i="2" s="1"/>
  <c r="H108" i="2" s="1"/>
  <c r="AI107" i="2"/>
  <c r="AF107" i="2"/>
  <c r="AG107" i="2" s="1"/>
  <c r="I107" i="2"/>
  <c r="L107" i="2" s="1"/>
  <c r="J107" i="2" s="1"/>
  <c r="AI106" i="2"/>
  <c r="AF106" i="2"/>
  <c r="AG106" i="2" s="1"/>
  <c r="I106" i="2"/>
  <c r="L106" i="2" s="1"/>
  <c r="J106" i="2" s="1"/>
  <c r="H106" i="2" s="1"/>
  <c r="AI105" i="2"/>
  <c r="AF105" i="2"/>
  <c r="AG105" i="2" s="1"/>
  <c r="I105" i="2"/>
  <c r="L105" i="2" s="1"/>
  <c r="J105" i="2" s="1"/>
  <c r="H105" i="2" s="1"/>
  <c r="AI104" i="2"/>
  <c r="AF104" i="2"/>
  <c r="AG104" i="2" s="1"/>
  <c r="I104" i="2"/>
  <c r="AI103" i="2"/>
  <c r="AF103" i="2"/>
  <c r="AG103" i="2" s="1"/>
  <c r="I103" i="2"/>
  <c r="L103" i="2" s="1"/>
  <c r="J103" i="2" s="1"/>
  <c r="H103" i="2" s="1"/>
  <c r="AE102" i="2"/>
  <c r="AI101" i="2"/>
  <c r="AG101" i="2"/>
  <c r="AF101" i="2"/>
  <c r="AD101" i="2"/>
  <c r="AC101" i="2"/>
  <c r="I101" i="2"/>
  <c r="L101" i="2" s="1"/>
  <c r="J101" i="2" s="1"/>
  <c r="AI100" i="2"/>
  <c r="AF100" i="2"/>
  <c r="AG100" i="2" s="1"/>
  <c r="AD100" i="2"/>
  <c r="AC100" i="2"/>
  <c r="I100" i="2"/>
  <c r="L100" i="2" s="1"/>
  <c r="J100" i="2" s="1"/>
  <c r="AE99" i="2"/>
  <c r="AI98" i="2"/>
  <c r="AF98" i="2"/>
  <c r="AG98" i="2" s="1"/>
  <c r="AD98" i="2"/>
  <c r="AC98" i="2"/>
  <c r="I98" i="2"/>
  <c r="L98" i="2" s="1"/>
  <c r="J98" i="2" s="1"/>
  <c r="H98" i="2" s="1"/>
  <c r="AI97" i="2"/>
  <c r="AF97" i="2"/>
  <c r="AG97" i="2" s="1"/>
  <c r="AD97" i="2"/>
  <c r="AC97" i="2"/>
  <c r="I97" i="2"/>
  <c r="L97" i="2" s="1"/>
  <c r="J97" i="2" s="1"/>
  <c r="H97" i="2" s="1"/>
  <c r="AI96" i="2"/>
  <c r="AF96" i="2"/>
  <c r="AG96" i="2" s="1"/>
  <c r="AD96" i="2"/>
  <c r="AC96" i="2"/>
  <c r="I96" i="2"/>
  <c r="L96" i="2" s="1"/>
  <c r="J96" i="2" s="1"/>
  <c r="H96" i="2" s="1"/>
  <c r="AE95" i="2"/>
  <c r="AI94" i="2"/>
  <c r="AF94" i="2"/>
  <c r="AG94" i="2" s="1"/>
  <c r="AD94" i="2"/>
  <c r="AC94" i="2"/>
  <c r="I94" i="2"/>
  <c r="AI93" i="2"/>
  <c r="AF93" i="2"/>
  <c r="AG93" i="2" s="1"/>
  <c r="AD93" i="2"/>
  <c r="AC93" i="2"/>
  <c r="I93" i="2"/>
  <c r="AE92" i="2"/>
  <c r="AI91" i="2"/>
  <c r="AF91" i="2"/>
  <c r="AG91" i="2" s="1"/>
  <c r="I91" i="2"/>
  <c r="L91" i="2" s="1"/>
  <c r="J91" i="2" s="1"/>
  <c r="H91" i="2" s="1"/>
  <c r="AI90" i="2"/>
  <c r="AF90" i="2"/>
  <c r="AG90" i="2" s="1"/>
  <c r="I90" i="2"/>
  <c r="L90" i="2" s="1"/>
  <c r="J90" i="2" s="1"/>
  <c r="AI89" i="2"/>
  <c r="AF89" i="2"/>
  <c r="AG89" i="2" s="1"/>
  <c r="I89" i="2"/>
  <c r="L89" i="2" s="1"/>
  <c r="J89" i="2" s="1"/>
  <c r="H89" i="2" s="1"/>
  <c r="AI88" i="2"/>
  <c r="AF88" i="2"/>
  <c r="AG88" i="2" s="1"/>
  <c r="I88" i="2"/>
  <c r="L88" i="2" s="1"/>
  <c r="J88" i="2" s="1"/>
  <c r="H88" i="2" s="1"/>
  <c r="AI87" i="2"/>
  <c r="AF87" i="2"/>
  <c r="AG87" i="2" s="1"/>
  <c r="I87" i="2"/>
  <c r="L87" i="2" s="1"/>
  <c r="J87" i="2" s="1"/>
  <c r="AI86" i="2"/>
  <c r="AF86" i="2"/>
  <c r="AG86" i="2" s="1"/>
  <c r="I86" i="2"/>
  <c r="L86" i="2" s="1"/>
  <c r="J86" i="2" s="1"/>
  <c r="H86" i="2" s="1"/>
  <c r="AI85" i="2"/>
  <c r="AF85" i="2"/>
  <c r="AG85" i="2" s="1"/>
  <c r="AH85" i="2" s="1"/>
  <c r="AH86" i="2" s="1"/>
  <c r="I85" i="2"/>
  <c r="L85" i="2" s="1"/>
  <c r="J85" i="2" s="1"/>
  <c r="H85" i="2" s="1"/>
  <c r="AE84" i="2"/>
  <c r="AI83" i="2"/>
  <c r="AF83" i="2"/>
  <c r="AG83" i="2" s="1"/>
  <c r="I83" i="2"/>
  <c r="L83" i="2" s="1"/>
  <c r="J83" i="2" s="1"/>
  <c r="AI82" i="2"/>
  <c r="AF82" i="2"/>
  <c r="AG82" i="2" s="1"/>
  <c r="I82" i="2"/>
  <c r="L82" i="2" s="1"/>
  <c r="J82" i="2" s="1"/>
  <c r="AI81" i="2"/>
  <c r="AF81" i="2"/>
  <c r="AG81" i="2" s="1"/>
  <c r="I81" i="2"/>
  <c r="AI80" i="2"/>
  <c r="AF80" i="2"/>
  <c r="AG80" i="2" s="1"/>
  <c r="I80" i="2"/>
  <c r="L80" i="2" s="1"/>
  <c r="J80" i="2" s="1"/>
  <c r="AI79" i="2"/>
  <c r="AF79" i="2"/>
  <c r="AG79" i="2" s="1"/>
  <c r="I79" i="2"/>
  <c r="AI78" i="2"/>
  <c r="AF78" i="2"/>
  <c r="AG78" i="2" s="1"/>
  <c r="I78" i="2"/>
  <c r="AI77" i="2"/>
  <c r="AF77" i="2"/>
  <c r="AG77" i="2" s="1"/>
  <c r="I77" i="2"/>
  <c r="L77" i="2" s="1"/>
  <c r="J77" i="2" s="1"/>
  <c r="AI76" i="2"/>
  <c r="AF76" i="2"/>
  <c r="AG76" i="2" s="1"/>
  <c r="AH76" i="2" s="1"/>
  <c r="I76" i="2"/>
  <c r="AE75" i="2"/>
  <c r="AI74" i="2"/>
  <c r="AF74" i="2"/>
  <c r="AG74" i="2" s="1"/>
  <c r="I74" i="2"/>
  <c r="L74" i="2" s="1"/>
  <c r="J74" i="2" s="1"/>
  <c r="H74" i="2" s="1"/>
  <c r="AI73" i="2"/>
  <c r="AF73" i="2"/>
  <c r="AG73" i="2" s="1"/>
  <c r="I73" i="2"/>
  <c r="L73" i="2" s="1"/>
  <c r="J73" i="2" s="1"/>
  <c r="H73" i="2" s="1"/>
  <c r="AI72" i="2"/>
  <c r="AF72" i="2"/>
  <c r="AG72" i="2" s="1"/>
  <c r="I72" i="2"/>
  <c r="AI71" i="2"/>
  <c r="AF71" i="2"/>
  <c r="AG71" i="2" s="1"/>
  <c r="I71" i="2"/>
  <c r="AI70" i="2"/>
  <c r="AF70" i="2"/>
  <c r="AG70" i="2" s="1"/>
  <c r="I70" i="2"/>
  <c r="L70" i="2" s="1"/>
  <c r="J70" i="2" s="1"/>
  <c r="H70" i="2" s="1"/>
  <c r="AI69" i="2"/>
  <c r="AF69" i="2"/>
  <c r="AG69" i="2" s="1"/>
  <c r="I69" i="2"/>
  <c r="L69" i="2" s="1"/>
  <c r="J69" i="2" s="1"/>
  <c r="AE68" i="2"/>
  <c r="AI67" i="2"/>
  <c r="AF67" i="2"/>
  <c r="AG67" i="2" s="1"/>
  <c r="I67" i="2"/>
  <c r="L67" i="2" s="1"/>
  <c r="J67" i="2" s="1"/>
  <c r="H67" i="2" s="1"/>
  <c r="AI66" i="2"/>
  <c r="AF66" i="2"/>
  <c r="AG66" i="2" s="1"/>
  <c r="I66" i="2"/>
  <c r="L66" i="2" s="1"/>
  <c r="J66" i="2" s="1"/>
  <c r="AI65" i="2"/>
  <c r="AF65" i="2"/>
  <c r="AG65" i="2" s="1"/>
  <c r="I65" i="2"/>
  <c r="AI64" i="2"/>
  <c r="AF64" i="2"/>
  <c r="AG64" i="2" s="1"/>
  <c r="AH64" i="2" s="1"/>
  <c r="AH65" i="2" s="1"/>
  <c r="I64" i="2"/>
  <c r="L64" i="2" s="1"/>
  <c r="J64" i="2" s="1"/>
  <c r="H64" i="2" s="1"/>
  <c r="AE63" i="2"/>
  <c r="AI62" i="2"/>
  <c r="AF62" i="2"/>
  <c r="AG62" i="2" s="1"/>
  <c r="I62" i="2"/>
  <c r="L62" i="2" s="1"/>
  <c r="J62" i="2" s="1"/>
  <c r="AI61" i="2"/>
  <c r="AF61" i="2"/>
  <c r="AG61" i="2" s="1"/>
  <c r="I61" i="2"/>
  <c r="L61" i="2" s="1"/>
  <c r="J61" i="2" s="1"/>
  <c r="H61" i="2" s="1"/>
  <c r="AI60" i="2"/>
  <c r="AF60" i="2"/>
  <c r="AG60" i="2" s="1"/>
  <c r="I60" i="2"/>
  <c r="L60" i="2" s="1"/>
  <c r="J60" i="2" s="1"/>
  <c r="H60" i="2" s="1"/>
  <c r="AI59" i="2"/>
  <c r="AF59" i="2"/>
  <c r="AG59" i="2" s="1"/>
  <c r="I59" i="2"/>
  <c r="L59" i="2" s="1"/>
  <c r="J59" i="2" s="1"/>
  <c r="AI58" i="2"/>
  <c r="AF58" i="2"/>
  <c r="AG58" i="2" s="1"/>
  <c r="I58" i="2"/>
  <c r="L58" i="2" s="1"/>
  <c r="J58" i="2" s="1"/>
  <c r="H58" i="2" s="1"/>
  <c r="AI57" i="2"/>
  <c r="AF57" i="2"/>
  <c r="AG57" i="2" s="1"/>
  <c r="I57" i="2"/>
  <c r="L57" i="2" s="1"/>
  <c r="J57" i="2" s="1"/>
  <c r="H57" i="2" s="1"/>
  <c r="AI56" i="2"/>
  <c r="AF56" i="2"/>
  <c r="AG56" i="2" s="1"/>
  <c r="I56" i="2"/>
  <c r="L56" i="2" s="1"/>
  <c r="J56" i="2" s="1"/>
  <c r="AI55" i="2"/>
  <c r="AF55" i="2"/>
  <c r="AG55" i="2" s="1"/>
  <c r="I55" i="2"/>
  <c r="L55" i="2" s="1"/>
  <c r="J55" i="2" s="1"/>
  <c r="H55" i="2" s="1"/>
  <c r="AI54" i="2"/>
  <c r="AF54" i="2"/>
  <c r="AG54" i="2" s="1"/>
  <c r="I54" i="2"/>
  <c r="L54" i="2" s="1"/>
  <c r="J54" i="2" s="1"/>
  <c r="H54" i="2" s="1"/>
  <c r="AI53" i="2"/>
  <c r="AF53" i="2"/>
  <c r="AG53" i="2" s="1"/>
  <c r="I53" i="2"/>
  <c r="L53" i="2" s="1"/>
  <c r="J53" i="2" s="1"/>
  <c r="AI52" i="2"/>
  <c r="AF52" i="2"/>
  <c r="AG52" i="2" s="1"/>
  <c r="I52" i="2"/>
  <c r="L52" i="2" s="1"/>
  <c r="J52" i="2" s="1"/>
  <c r="H52" i="2" s="1"/>
  <c r="AE51" i="2"/>
  <c r="AI50" i="2"/>
  <c r="AF50" i="2"/>
  <c r="AG50" i="2" s="1"/>
  <c r="AD50" i="2"/>
  <c r="AC50" i="2"/>
  <c r="I50" i="2"/>
  <c r="L50" i="2" s="1"/>
  <c r="J50" i="2" s="1"/>
  <c r="AI49" i="2"/>
  <c r="AF49" i="2"/>
  <c r="AG49" i="2" s="1"/>
  <c r="AD49" i="2"/>
  <c r="AC49" i="2"/>
  <c r="I49" i="2"/>
  <c r="AE48" i="2"/>
  <c r="AI47" i="2"/>
  <c r="AF47" i="2"/>
  <c r="AG47" i="2" s="1"/>
  <c r="AD47" i="2"/>
  <c r="AC47" i="2"/>
  <c r="I47" i="2"/>
  <c r="L47" i="2" s="1"/>
  <c r="J47" i="2" s="1"/>
  <c r="H47" i="2" s="1"/>
  <c r="AI46" i="2"/>
  <c r="AF46" i="2"/>
  <c r="AG46" i="2" s="1"/>
  <c r="AD46" i="2"/>
  <c r="AC46" i="2"/>
  <c r="I46" i="2"/>
  <c r="L46" i="2" s="1"/>
  <c r="J46" i="2" s="1"/>
  <c r="H46" i="2" s="1"/>
  <c r="AI45" i="2"/>
  <c r="AF45" i="2"/>
  <c r="AG45" i="2" s="1"/>
  <c r="AD45" i="2"/>
  <c r="AC45" i="2"/>
  <c r="I45" i="2"/>
  <c r="L45" i="2" s="1"/>
  <c r="J45" i="2" s="1"/>
  <c r="H45" i="2" s="1"/>
  <c r="AE44" i="2"/>
  <c r="AI43" i="2"/>
  <c r="AF43" i="2"/>
  <c r="AG43" i="2" s="1"/>
  <c r="I43" i="2"/>
  <c r="L43" i="2" s="1"/>
  <c r="J43" i="2" s="1"/>
  <c r="AI42" i="2"/>
  <c r="AF42" i="2"/>
  <c r="AG42" i="2" s="1"/>
  <c r="I42" i="2"/>
  <c r="L42" i="2" s="1"/>
  <c r="J42" i="2" s="1"/>
  <c r="AI41" i="2"/>
  <c r="AF41" i="2"/>
  <c r="AG41" i="2" s="1"/>
  <c r="I41" i="2"/>
  <c r="AI40" i="2"/>
  <c r="AF40" i="2"/>
  <c r="AG40" i="2" s="1"/>
  <c r="I40" i="2"/>
  <c r="L40" i="2" s="1"/>
  <c r="J40" i="2" s="1"/>
  <c r="AI39" i="2"/>
  <c r="AF39" i="2"/>
  <c r="AG39" i="2" s="1"/>
  <c r="I39" i="2"/>
  <c r="AI38" i="2"/>
  <c r="AF38" i="2"/>
  <c r="AG38" i="2" s="1"/>
  <c r="I38" i="2"/>
  <c r="AI37" i="2"/>
  <c r="AF37" i="2"/>
  <c r="AG37" i="2" s="1"/>
  <c r="I37" i="2"/>
  <c r="L37" i="2" s="1"/>
  <c r="J37" i="2" s="1"/>
  <c r="AI36" i="2"/>
  <c r="AF36" i="2"/>
  <c r="AG36" i="2" s="1"/>
  <c r="I36" i="2"/>
  <c r="L36" i="2" s="1"/>
  <c r="J36" i="2" s="1"/>
  <c r="AI35" i="2"/>
  <c r="AF35" i="2"/>
  <c r="AG35" i="2" s="1"/>
  <c r="I35" i="2"/>
  <c r="AI34" i="2"/>
  <c r="AG34" i="2"/>
  <c r="AF34" i="2"/>
  <c r="I34" i="2"/>
  <c r="L34" i="2" s="1"/>
  <c r="J34" i="2" s="1"/>
  <c r="AI33" i="2"/>
  <c r="AF33" i="2"/>
  <c r="AG33" i="2" s="1"/>
  <c r="I33" i="2"/>
  <c r="AI32" i="2"/>
  <c r="AF32" i="2"/>
  <c r="AG32" i="2" s="1"/>
  <c r="AH32" i="2" s="1"/>
  <c r="I32" i="2"/>
  <c r="AE31" i="2"/>
  <c r="AI30" i="2"/>
  <c r="AF30" i="2"/>
  <c r="AG30" i="2" s="1"/>
  <c r="I30" i="2"/>
  <c r="L30" i="2" s="1"/>
  <c r="J30" i="2" s="1"/>
  <c r="H30" i="2" s="1"/>
  <c r="AI29" i="2"/>
  <c r="AF29" i="2"/>
  <c r="AG29" i="2" s="1"/>
  <c r="I29" i="2"/>
  <c r="L29" i="2" s="1"/>
  <c r="J29" i="2" s="1"/>
  <c r="AI28" i="2"/>
  <c r="AF28" i="2"/>
  <c r="AG28" i="2" s="1"/>
  <c r="I28" i="2"/>
  <c r="L28" i="2" s="1"/>
  <c r="J28" i="2" s="1"/>
  <c r="H28" i="2" s="1"/>
  <c r="AI27" i="2"/>
  <c r="AF27" i="2"/>
  <c r="AG27" i="2" s="1"/>
  <c r="I27" i="2"/>
  <c r="L27" i="2" s="1"/>
  <c r="J27" i="2" s="1"/>
  <c r="H27" i="2" s="1"/>
  <c r="AI26" i="2"/>
  <c r="AF26" i="2"/>
  <c r="AG26" i="2" s="1"/>
  <c r="I26" i="2"/>
  <c r="L26" i="2" s="1"/>
  <c r="J26" i="2" s="1"/>
  <c r="AI25" i="2"/>
  <c r="AF25" i="2"/>
  <c r="AG25" i="2" s="1"/>
  <c r="I25" i="2"/>
  <c r="L25" i="2" s="1"/>
  <c r="J25" i="2" s="1"/>
  <c r="H25" i="2" s="1"/>
  <c r="AI24" i="2"/>
  <c r="AF24" i="2"/>
  <c r="AG24" i="2" s="1"/>
  <c r="I24" i="2"/>
  <c r="L24" i="2" s="1"/>
  <c r="J24" i="2" s="1"/>
  <c r="H24" i="2" s="1"/>
  <c r="AI23" i="2"/>
  <c r="AF23" i="2"/>
  <c r="AG23" i="2" s="1"/>
  <c r="I23" i="2"/>
  <c r="AI22" i="2"/>
  <c r="AF22" i="2"/>
  <c r="AG22" i="2" s="1"/>
  <c r="I22" i="2"/>
  <c r="AI21" i="2"/>
  <c r="AF21" i="2"/>
  <c r="AG21" i="2" s="1"/>
  <c r="I21" i="2"/>
  <c r="L21" i="2" s="1"/>
  <c r="J21" i="2" s="1"/>
  <c r="H21" i="2" s="1"/>
  <c r="AI20" i="2"/>
  <c r="AF20" i="2"/>
  <c r="AG20" i="2" s="1"/>
  <c r="I20" i="2"/>
  <c r="L20" i="2" s="1"/>
  <c r="J20" i="2" s="1"/>
  <c r="AI19" i="2"/>
  <c r="AF19" i="2"/>
  <c r="AG19" i="2" s="1"/>
  <c r="I19" i="2"/>
  <c r="L19" i="2" s="1"/>
  <c r="J19" i="2" s="1"/>
  <c r="H19" i="2" s="1"/>
  <c r="AI18" i="2"/>
  <c r="AF18" i="2"/>
  <c r="AG18" i="2" s="1"/>
  <c r="I18" i="2"/>
  <c r="L18" i="2" s="1"/>
  <c r="J18" i="2" s="1"/>
  <c r="H18" i="2" s="1"/>
  <c r="AI17" i="2"/>
  <c r="AF17" i="2"/>
  <c r="AG17" i="2" s="1"/>
  <c r="I17" i="2"/>
  <c r="AI16" i="2"/>
  <c r="AF16" i="2"/>
  <c r="AG16" i="2" s="1"/>
  <c r="I16" i="2"/>
  <c r="L16" i="2" s="1"/>
  <c r="J16" i="2" s="1"/>
  <c r="AI15" i="2"/>
  <c r="AF15" i="2"/>
  <c r="AG15" i="2" s="1"/>
  <c r="I15" i="2"/>
  <c r="L15" i="2" s="1"/>
  <c r="J15" i="2" s="1"/>
  <c r="H15" i="2" s="1"/>
  <c r="AI14" i="2"/>
  <c r="AF14" i="2"/>
  <c r="AG14" i="2" s="1"/>
  <c r="I14" i="2"/>
  <c r="L14" i="2" s="1"/>
  <c r="J14" i="2" s="1"/>
  <c r="AI13" i="2"/>
  <c r="AF13" i="2"/>
  <c r="AG13" i="2" s="1"/>
  <c r="I13" i="2"/>
  <c r="L13" i="2" s="1"/>
  <c r="J13" i="2" s="1"/>
  <c r="H13" i="2" s="1"/>
  <c r="AI12" i="2"/>
  <c r="AF12" i="2"/>
  <c r="AG12" i="2" s="1"/>
  <c r="I12" i="2"/>
  <c r="L12" i="2" s="1"/>
  <c r="J12" i="2" s="1"/>
  <c r="H12" i="2" s="1"/>
  <c r="AI11" i="2"/>
  <c r="AF11" i="2"/>
  <c r="AG11" i="2" s="1"/>
  <c r="I11" i="2"/>
  <c r="L11" i="2" s="1"/>
  <c r="J11" i="2" s="1"/>
  <c r="AI10" i="2"/>
  <c r="AF10" i="2"/>
  <c r="AG10" i="2" s="1"/>
  <c r="I10" i="2"/>
  <c r="L10" i="2" s="1"/>
  <c r="J10" i="2" s="1"/>
  <c r="H10" i="2" s="1"/>
  <c r="AI9" i="2"/>
  <c r="AF9" i="2"/>
  <c r="AG9" i="2" s="1"/>
  <c r="I9" i="2"/>
  <c r="L9" i="2" s="1"/>
  <c r="J9" i="2" s="1"/>
  <c r="H9" i="2" s="1"/>
  <c r="AI8" i="2"/>
  <c r="AF8" i="2"/>
  <c r="AG8" i="2" s="1"/>
  <c r="L8" i="2"/>
  <c r="J8" i="2" s="1"/>
  <c r="I8" i="2"/>
  <c r="AI7" i="2"/>
  <c r="AF7" i="2"/>
  <c r="AG7" i="2" s="1"/>
  <c r="I7" i="2"/>
  <c r="L7" i="2" s="1"/>
  <c r="J7" i="2" s="1"/>
  <c r="H7" i="2" s="1"/>
  <c r="AI6" i="2"/>
  <c r="AF6" i="2"/>
  <c r="AG6" i="2" s="1"/>
  <c r="I6" i="2"/>
  <c r="L6" i="2" s="1"/>
  <c r="J6" i="2" s="1"/>
  <c r="H6" i="2" s="1"/>
  <c r="AI5" i="2"/>
  <c r="AF5" i="2"/>
  <c r="AG5" i="2" s="1"/>
  <c r="I5" i="2"/>
  <c r="AI4" i="2"/>
  <c r="AG4" i="2"/>
  <c r="AH4" i="2" s="1"/>
  <c r="I22" i="3" l="1"/>
  <c r="K22" i="3"/>
  <c r="J22" i="3"/>
  <c r="AI48" i="2"/>
  <c r="AI102" i="2"/>
  <c r="I12" i="3"/>
  <c r="J12" i="3"/>
  <c r="K13" i="3"/>
  <c r="AH66" i="2"/>
  <c r="AH67" i="2" s="1"/>
  <c r="AI31" i="2"/>
  <c r="AI99" i="2"/>
  <c r="AI92" i="2"/>
  <c r="AI95" i="2"/>
  <c r="AH112" i="2"/>
  <c r="AG99" i="2"/>
  <c r="AH96" i="2"/>
  <c r="AH97" i="2" s="1"/>
  <c r="AH98" i="2" s="1"/>
  <c r="AG116" i="2"/>
  <c r="AH113" i="2"/>
  <c r="AH114" i="2" s="1"/>
  <c r="AH115" i="2" s="1"/>
  <c r="AG102" i="2"/>
  <c r="AH100" i="2"/>
  <c r="AH101" i="2" s="1"/>
  <c r="L115" i="2"/>
  <c r="J115" i="2" s="1"/>
  <c r="H115" i="2" s="1"/>
  <c r="AI110" i="2"/>
  <c r="H40" i="2"/>
  <c r="H43" i="2"/>
  <c r="AG44" i="2"/>
  <c r="L22" i="2"/>
  <c r="J22" i="2" s="1"/>
  <c r="H22" i="2" s="1"/>
  <c r="L71" i="2"/>
  <c r="J71" i="2" s="1"/>
  <c r="H71" i="2" s="1"/>
  <c r="AE117" i="2"/>
  <c r="H72" i="2"/>
  <c r="L5" i="2"/>
  <c r="J5" i="2" s="1"/>
  <c r="H5" i="2" s="1"/>
  <c r="L23" i="2"/>
  <c r="J23" i="2" s="1"/>
  <c r="H23" i="2" s="1"/>
  <c r="AI75" i="2"/>
  <c r="L72" i="2"/>
  <c r="J72" i="2" s="1"/>
  <c r="AI68" i="2"/>
  <c r="H8" i="2"/>
  <c r="H16" i="2"/>
  <c r="H26" i="2"/>
  <c r="AI63" i="2"/>
  <c r="AG92" i="2"/>
  <c r="AH87" i="2"/>
  <c r="AH88" i="2" s="1"/>
  <c r="AH89" i="2" s="1"/>
  <c r="AH90" i="2" s="1"/>
  <c r="AH91" i="2" s="1"/>
  <c r="AH33" i="2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I44" i="2"/>
  <c r="L104" i="2"/>
  <c r="J104" i="2" s="1"/>
  <c r="H104" i="2" s="1"/>
  <c r="AI51" i="2"/>
  <c r="AH77" i="2"/>
  <c r="AH78" i="2" s="1"/>
  <c r="AH79" i="2" s="1"/>
  <c r="AH80" i="2" s="1"/>
  <c r="AH81" i="2" s="1"/>
  <c r="AH82" i="2" s="1"/>
  <c r="AH83" i="2" s="1"/>
  <c r="L17" i="2"/>
  <c r="J17" i="2" s="1"/>
  <c r="H17" i="2" s="1"/>
  <c r="AI84" i="2"/>
  <c r="AI116" i="2"/>
  <c r="H12" i="3"/>
  <c r="K12" i="3" s="1"/>
  <c r="K21" i="3"/>
  <c r="J21" i="3"/>
  <c r="I21" i="3"/>
  <c r="L21" i="3" s="1"/>
  <c r="J19" i="3"/>
  <c r="I19" i="3"/>
  <c r="K19" i="3"/>
  <c r="K23" i="3"/>
  <c r="I23" i="3"/>
  <c r="J23" i="3"/>
  <c r="K16" i="3"/>
  <c r="J16" i="3"/>
  <c r="I16" i="3"/>
  <c r="J14" i="3"/>
  <c r="I14" i="3"/>
  <c r="K14" i="3"/>
  <c r="K18" i="3"/>
  <c r="J18" i="3"/>
  <c r="I18" i="3"/>
  <c r="K28" i="3"/>
  <c r="J28" i="3"/>
  <c r="L28" i="3" s="1"/>
  <c r="I13" i="3"/>
  <c r="L13" i="3" s="1"/>
  <c r="K24" i="3"/>
  <c r="I29" i="3"/>
  <c r="I15" i="3"/>
  <c r="I20" i="3"/>
  <c r="J29" i="3"/>
  <c r="J15" i="3"/>
  <c r="J20" i="3"/>
  <c r="I24" i="3"/>
  <c r="H11" i="2"/>
  <c r="H29" i="2"/>
  <c r="AH49" i="2"/>
  <c r="AH50" i="2" s="1"/>
  <c r="AG51" i="2"/>
  <c r="AG110" i="2"/>
  <c r="AH103" i="2"/>
  <c r="AH104" i="2" s="1"/>
  <c r="AH105" i="2" s="1"/>
  <c r="AH106" i="2" s="1"/>
  <c r="AH107" i="2" s="1"/>
  <c r="AH108" i="2" s="1"/>
  <c r="AH109" i="2" s="1"/>
  <c r="H111" i="2"/>
  <c r="H14" i="2"/>
  <c r="H107" i="2"/>
  <c r="H34" i="2"/>
  <c r="AG48" i="2"/>
  <c r="AH45" i="2"/>
  <c r="AH46" i="2" s="1"/>
  <c r="AH47" i="2" s="1"/>
  <c r="AG95" i="2"/>
  <c r="H20" i="2"/>
  <c r="H37" i="2"/>
  <c r="H69" i="2"/>
  <c r="AG31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G75" i="2"/>
  <c r="AH69" i="2"/>
  <c r="AH70" i="2" s="1"/>
  <c r="AH71" i="2" s="1"/>
  <c r="AH72" i="2" s="1"/>
  <c r="AH73" i="2" s="1"/>
  <c r="AH74" i="2" s="1"/>
  <c r="H112" i="2"/>
  <c r="AH52" i="2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G63" i="2"/>
  <c r="L79" i="2"/>
  <c r="J79" i="2" s="1"/>
  <c r="H79" i="2" s="1"/>
  <c r="L35" i="2"/>
  <c r="J35" i="2" s="1"/>
  <c r="H35" i="2" s="1"/>
  <c r="L81" i="2"/>
  <c r="J81" i="2" s="1"/>
  <c r="H81" i="2" s="1"/>
  <c r="H77" i="2"/>
  <c r="H80" i="2"/>
  <c r="H83" i="2"/>
  <c r="H113" i="2"/>
  <c r="L76" i="2"/>
  <c r="J76" i="2" s="1"/>
  <c r="H76" i="2" s="1"/>
  <c r="L38" i="2"/>
  <c r="J38" i="2" s="1"/>
  <c r="H38" i="2" s="1"/>
  <c r="L41" i="2"/>
  <c r="J41" i="2" s="1"/>
  <c r="H41" i="2" s="1"/>
  <c r="L49" i="2"/>
  <c r="J49" i="2" s="1"/>
  <c r="H49" i="2" s="1"/>
  <c r="AG68" i="2"/>
  <c r="L65" i="2"/>
  <c r="J65" i="2" s="1"/>
  <c r="H65" i="2" s="1"/>
  <c r="L93" i="2"/>
  <c r="J93" i="2" s="1"/>
  <c r="H93" i="2" s="1"/>
  <c r="L114" i="2"/>
  <c r="J114" i="2" s="1"/>
  <c r="H114" i="2" s="1"/>
  <c r="L39" i="2"/>
  <c r="J39" i="2" s="1"/>
  <c r="H39" i="2" s="1"/>
  <c r="L94" i="2"/>
  <c r="J94" i="2" s="1"/>
  <c r="H94" i="2" s="1"/>
  <c r="L33" i="2"/>
  <c r="J33" i="2" s="1"/>
  <c r="H33" i="2" s="1"/>
  <c r="L32" i="2"/>
  <c r="J32" i="2" s="1"/>
  <c r="H32" i="2" s="1"/>
  <c r="L78" i="2"/>
  <c r="J78" i="2" s="1"/>
  <c r="H78" i="2" s="1"/>
  <c r="H53" i="2"/>
  <c r="H56" i="2"/>
  <c r="H59" i="2"/>
  <c r="H62" i="2"/>
  <c r="H87" i="2"/>
  <c r="H90" i="2"/>
  <c r="H36" i="2"/>
  <c r="H42" i="2"/>
  <c r="H82" i="2"/>
  <c r="H101" i="2"/>
  <c r="H50" i="2"/>
  <c r="H66" i="2"/>
  <c r="AH93" i="2"/>
  <c r="AH94" i="2" s="1"/>
  <c r="H100" i="2"/>
  <c r="AG84" i="2"/>
  <c r="R45" i="1"/>
  <c r="Y45" i="1" s="1"/>
  <c r="R54" i="1"/>
  <c r="Y54" i="1" s="1"/>
  <c r="R55" i="1"/>
  <c r="Y55" i="1" s="1"/>
  <c r="R56" i="1"/>
  <c r="Y56" i="1" s="1"/>
  <c r="R57" i="1"/>
  <c r="Y57" i="1" s="1"/>
  <c r="R58" i="1"/>
  <c r="Y58" i="1" s="1"/>
  <c r="R59" i="1"/>
  <c r="Y59" i="1" s="1"/>
  <c r="R60" i="1"/>
  <c r="Y60" i="1" s="1"/>
  <c r="R61" i="1"/>
  <c r="Y61" i="1" s="1"/>
  <c r="R62" i="1"/>
  <c r="Y62" i="1" s="1"/>
  <c r="R7" i="1"/>
  <c r="Y7" i="1" s="1"/>
  <c r="R8" i="1"/>
  <c r="Y8" i="1" s="1"/>
  <c r="R9" i="1"/>
  <c r="Y9" i="1" s="1"/>
  <c r="R11" i="1"/>
  <c r="Y11" i="1" s="1"/>
  <c r="R12" i="1"/>
  <c r="Y12" i="1" s="1"/>
  <c r="R13" i="1"/>
  <c r="Y13" i="1" s="1"/>
  <c r="R14" i="1"/>
  <c r="Y14" i="1" s="1"/>
  <c r="R15" i="1"/>
  <c r="Y15" i="1" s="1"/>
  <c r="R16" i="1"/>
  <c r="Y16" i="1" s="1"/>
  <c r="R17" i="1"/>
  <c r="Y17" i="1" s="1"/>
  <c r="R31" i="1"/>
  <c r="Y31" i="1" s="1"/>
  <c r="R32" i="1"/>
  <c r="Y32" i="1" s="1"/>
  <c r="R33" i="1"/>
  <c r="Y33" i="1" s="1"/>
  <c r="R35" i="1"/>
  <c r="Y35" i="1" s="1"/>
  <c r="R37" i="1"/>
  <c r="Y37" i="1" s="1"/>
  <c r="R40" i="1"/>
  <c r="Y40" i="1" s="1"/>
  <c r="R41" i="1"/>
  <c r="Y41" i="1" s="1"/>
  <c r="R42" i="1"/>
  <c r="Y42" i="1" s="1"/>
  <c r="R46" i="1"/>
  <c r="Y46" i="1" s="1"/>
  <c r="R47" i="1"/>
  <c r="Y47" i="1" s="1"/>
  <c r="R48" i="1"/>
  <c r="Y48" i="1" s="1"/>
  <c r="R49" i="1"/>
  <c r="Y49" i="1" s="1"/>
  <c r="R50" i="1"/>
  <c r="Y50" i="1" s="1"/>
  <c r="R51" i="1"/>
  <c r="Y51" i="1" s="1"/>
  <c r="R52" i="1"/>
  <c r="Y52" i="1" s="1"/>
  <c r="R53" i="1"/>
  <c r="Y53" i="1" s="1"/>
  <c r="R43" i="1"/>
  <c r="Y43" i="1" s="1"/>
  <c r="R44" i="1"/>
  <c r="Y44" i="1" s="1"/>
  <c r="R25" i="1"/>
  <c r="Y25" i="1" s="1"/>
  <c r="R26" i="1"/>
  <c r="Y26" i="1" s="1"/>
  <c r="R27" i="1"/>
  <c r="Y27" i="1" s="1"/>
  <c r="R28" i="1"/>
  <c r="Y28" i="1" s="1"/>
  <c r="R6" i="1"/>
  <c r="Y6" i="1" s="1"/>
  <c r="L18" i="3" l="1"/>
  <c r="L24" i="3"/>
  <c r="L29" i="3"/>
  <c r="L22" i="3"/>
  <c r="AI117" i="2"/>
  <c r="L23" i="3"/>
  <c r="L19" i="3"/>
  <c r="L14" i="3"/>
  <c r="L20" i="3"/>
  <c r="L15" i="3"/>
  <c r="L16" i="3"/>
  <c r="L12" i="3"/>
  <c r="AG117" i="2"/>
</calcChain>
</file>

<file path=xl/sharedStrings.xml><?xml version="1.0" encoding="utf-8"?>
<sst xmlns="http://schemas.openxmlformats.org/spreadsheetml/2006/main" count="1150" uniqueCount="423">
  <si>
    <t>Gate Valve</t>
  </si>
  <si>
    <t>j</t>
  </si>
  <si>
    <t>k</t>
  </si>
  <si>
    <t>l</t>
  </si>
  <si>
    <t>m</t>
  </si>
  <si>
    <t>Note:</t>
  </si>
  <si>
    <t>SC -</t>
  </si>
  <si>
    <t>Secondary Canal</t>
  </si>
  <si>
    <t xml:space="preserve">TC - </t>
  </si>
  <si>
    <t>Tertiary Canal</t>
  </si>
  <si>
    <t xml:space="preserve">QC - </t>
  </si>
  <si>
    <t>Quarternary Canal</t>
  </si>
  <si>
    <t>Zone</t>
  </si>
  <si>
    <t>Area (Rais)</t>
  </si>
  <si>
    <t>Area (sq. m.)</t>
  </si>
  <si>
    <t>km</t>
  </si>
  <si>
    <t>n</t>
  </si>
  <si>
    <t>SC</t>
  </si>
  <si>
    <t>TC</t>
  </si>
  <si>
    <t>Canal Name</t>
  </si>
  <si>
    <t>RMC</t>
  </si>
  <si>
    <t>4L-RMC</t>
  </si>
  <si>
    <t>LMC</t>
  </si>
  <si>
    <t>9R-LMC</t>
  </si>
  <si>
    <t>7R-9R-LMC</t>
  </si>
  <si>
    <t>7L-9R-LMC</t>
  </si>
  <si>
    <t>38R-LMC</t>
  </si>
  <si>
    <t>1R-38R-LMC</t>
  </si>
  <si>
    <t>2R-38R-LMC</t>
  </si>
  <si>
    <t>QC</t>
  </si>
  <si>
    <t>1R-2R-38R-LMC</t>
  </si>
  <si>
    <t>4L-38R-LMC</t>
  </si>
  <si>
    <t>5R-4L-38R-LMC</t>
  </si>
  <si>
    <t>6R-38R-LMC</t>
  </si>
  <si>
    <t>8R-38R-LMC</t>
  </si>
  <si>
    <t>2+420</t>
  </si>
  <si>
    <t>4+520</t>
  </si>
  <si>
    <t>6+780</t>
  </si>
  <si>
    <t>3+000</t>
  </si>
  <si>
    <t>1+000</t>
  </si>
  <si>
    <t>0+000</t>
  </si>
  <si>
    <t>1+850</t>
  </si>
  <si>
    <t>1+620</t>
  </si>
  <si>
    <t>6+880</t>
  </si>
  <si>
    <t>9+200</t>
  </si>
  <si>
    <t>11+800</t>
  </si>
  <si>
    <t>17+000</t>
  </si>
  <si>
    <t>21+000</t>
  </si>
  <si>
    <t>23+315</t>
  </si>
  <si>
    <t>25+700</t>
  </si>
  <si>
    <t>28+300</t>
  </si>
  <si>
    <t>36+010</t>
  </si>
  <si>
    <t>37+859</t>
  </si>
  <si>
    <t>38+100</t>
  </si>
  <si>
    <t>39+050</t>
  </si>
  <si>
    <t>5+750</t>
  </si>
  <si>
    <t>7+900</t>
  </si>
  <si>
    <t>14+500</t>
  </si>
  <si>
    <t>2+500</t>
  </si>
  <si>
    <t>1+720</t>
  </si>
  <si>
    <t>4+500</t>
  </si>
  <si>
    <t>6+620</t>
  </si>
  <si>
    <t>8+900</t>
  </si>
  <si>
    <t>4+000</t>
  </si>
  <si>
    <t>5+000</t>
  </si>
  <si>
    <t>7+000</t>
  </si>
  <si>
    <t>1+950</t>
  </si>
  <si>
    <t>2+550</t>
  </si>
  <si>
    <t>No.</t>
  </si>
  <si>
    <t>40</t>
  </si>
  <si>
    <t>4+550</t>
  </si>
  <si>
    <t>0+540</t>
  </si>
  <si>
    <t>3+880</t>
  </si>
  <si>
    <t>3+200</t>
  </si>
  <si>
    <t>7+780</t>
  </si>
  <si>
    <t>ช่วงคลอง</t>
  </si>
  <si>
    <t>ระยะทาง (เมตร)</t>
  </si>
  <si>
    <t>V</t>
  </si>
  <si>
    <t>ความเร็วน้ำจากการทดลอง (m/s)</t>
  </si>
  <si>
    <t>ข้อมูลคลองส่งน้ำ (อ่างเก็บน้ำมูลบน)</t>
  </si>
  <si>
    <t>ปริมาตรน้ำในคลองส่งน้ำแต่ละช่วง (กรณีส่งน้ำที่ระดับ Full Supply)</t>
  </si>
  <si>
    <t>คลอง</t>
  </si>
  <si>
    <t>กม.</t>
  </si>
  <si>
    <t>ระยะ</t>
  </si>
  <si>
    <r>
      <t>Q</t>
    </r>
    <r>
      <rPr>
        <vertAlign val="subscript"/>
        <sz val="14"/>
        <rFont val="Angsana New"/>
        <family val="1"/>
      </rPr>
      <t>r</t>
    </r>
  </si>
  <si>
    <r>
      <t>Q</t>
    </r>
    <r>
      <rPr>
        <vertAlign val="subscript"/>
        <sz val="14"/>
        <rFont val="Angsana New"/>
        <family val="1"/>
      </rPr>
      <t>d</t>
    </r>
  </si>
  <si>
    <t>A</t>
  </si>
  <si>
    <t>R</t>
  </si>
  <si>
    <t>s</t>
  </si>
  <si>
    <t>B</t>
  </si>
  <si>
    <t>D</t>
  </si>
  <si>
    <t>t</t>
  </si>
  <si>
    <r>
      <t>H</t>
    </r>
    <r>
      <rPr>
        <vertAlign val="subscript"/>
        <sz val="14"/>
        <rFont val="Angsana New"/>
        <family val="1"/>
      </rPr>
      <t>C</t>
    </r>
  </si>
  <si>
    <r>
      <t>H</t>
    </r>
    <r>
      <rPr>
        <vertAlign val="subscript"/>
        <sz val="14"/>
        <rFont val="Angsana New"/>
        <family val="1"/>
      </rPr>
      <t>L</t>
    </r>
  </si>
  <si>
    <r>
      <t>H</t>
    </r>
    <r>
      <rPr>
        <vertAlign val="subscript"/>
        <sz val="14"/>
        <rFont val="Angsana New"/>
        <family val="1"/>
      </rPr>
      <t>R</t>
    </r>
  </si>
  <si>
    <r>
      <t>B</t>
    </r>
    <r>
      <rPr>
        <vertAlign val="subscript"/>
        <sz val="14"/>
        <rFont val="Angsana New"/>
        <family val="1"/>
      </rPr>
      <t>m</t>
    </r>
  </si>
  <si>
    <r>
      <t>T</t>
    </r>
    <r>
      <rPr>
        <vertAlign val="subscript"/>
        <sz val="14"/>
        <rFont val="Angsana New"/>
        <family val="1"/>
      </rPr>
      <t>L</t>
    </r>
  </si>
  <si>
    <r>
      <t>T</t>
    </r>
    <r>
      <rPr>
        <vertAlign val="subscript"/>
        <sz val="14"/>
        <rFont val="Angsana New"/>
        <family val="1"/>
      </rPr>
      <t>R</t>
    </r>
  </si>
  <si>
    <r>
      <t>R</t>
    </r>
    <r>
      <rPr>
        <vertAlign val="subscript"/>
        <sz val="14"/>
        <rFont val="Angsana New"/>
        <family val="1"/>
      </rPr>
      <t>L</t>
    </r>
  </si>
  <si>
    <r>
      <t>R</t>
    </r>
    <r>
      <rPr>
        <vertAlign val="subscript"/>
        <sz val="14"/>
        <rFont val="Angsana New"/>
        <family val="1"/>
      </rPr>
      <t>R</t>
    </r>
  </si>
  <si>
    <t>หมายเหตุ</t>
  </si>
  <si>
    <t>พื้นที่</t>
  </si>
  <si>
    <t>ปริมาตรน้ำ</t>
  </si>
  <si>
    <t>ปริมาตรน้ำสะสม</t>
  </si>
  <si>
    <t>พื้นที่กันเขต</t>
  </si>
  <si>
    <t>เริ่ม</t>
  </si>
  <si>
    <t>สิ้นสุด</t>
  </si>
  <si>
    <t>ม.</t>
  </si>
  <si>
    <r>
      <t>ม.</t>
    </r>
    <r>
      <rPr>
        <vertAlign val="superscript"/>
        <sz val="14"/>
        <rFont val="Angsana New"/>
        <family val="1"/>
      </rPr>
      <t>3</t>
    </r>
    <r>
      <rPr>
        <sz val="14"/>
        <rFont val="Angsana New"/>
        <family val="1"/>
      </rPr>
      <t>/วินาที</t>
    </r>
  </si>
  <si>
    <r>
      <t>ม.</t>
    </r>
    <r>
      <rPr>
        <vertAlign val="superscript"/>
        <sz val="14"/>
        <rFont val="Angsana New"/>
        <family val="1"/>
      </rPr>
      <t>2</t>
    </r>
  </si>
  <si>
    <t>ม./วินาที</t>
  </si>
  <si>
    <t>(ม.)</t>
  </si>
  <si>
    <t>(ตร.ม.)</t>
  </si>
  <si>
    <t>(ลบ.ม.)</t>
  </si>
  <si>
    <t>0+170</t>
  </si>
  <si>
    <t>-</t>
  </si>
  <si>
    <t>Flume</t>
  </si>
  <si>
    <t>คลองดาดคอนกรีต</t>
  </si>
  <si>
    <t>3+500</t>
  </si>
  <si>
    <t>10+500</t>
  </si>
  <si>
    <t>12+720</t>
  </si>
  <si>
    <t>13+420</t>
  </si>
  <si>
    <t>*</t>
  </si>
  <si>
    <t>Hl=3.00-6.00</t>
  </si>
  <si>
    <t>14+000</t>
  </si>
  <si>
    <t>17+500</t>
  </si>
  <si>
    <t>24+500</t>
  </si>
  <si>
    <t>28+000</t>
  </si>
  <si>
    <t>31+270</t>
  </si>
  <si>
    <t>31+500</t>
  </si>
  <si>
    <t>33+650</t>
  </si>
  <si>
    <t>35+000</t>
  </si>
  <si>
    <t>36+190</t>
  </si>
  <si>
    <t>38+340</t>
  </si>
  <si>
    <t>38+500</t>
  </si>
  <si>
    <t>38+700</t>
  </si>
  <si>
    <t>คลองดิน</t>
  </si>
  <si>
    <t>รวม</t>
  </si>
  <si>
    <t>2+850</t>
  </si>
  <si>
    <t>4+465</t>
  </si>
  <si>
    <t>10+050</t>
  </si>
  <si>
    <t>12+100</t>
  </si>
  <si>
    <t>14+400</t>
  </si>
  <si>
    <t>1+500</t>
  </si>
  <si>
    <t>0+800</t>
  </si>
  <si>
    <t>1+010</t>
  </si>
  <si>
    <t>1+200</t>
  </si>
  <si>
    <t>5+260</t>
  </si>
  <si>
    <t>8+780</t>
  </si>
  <si>
    <t>2+050</t>
  </si>
  <si>
    <t>4+200</t>
  </si>
  <si>
    <t>3+020</t>
  </si>
  <si>
    <t>3+650</t>
  </si>
  <si>
    <t>3+850</t>
  </si>
  <si>
    <t>6+280</t>
  </si>
  <si>
    <t>7+720</t>
  </si>
  <si>
    <t xml:space="preserve"> 4L-38R-LMC</t>
  </si>
  <si>
    <t>1+310</t>
  </si>
  <si>
    <t>2+450</t>
  </si>
  <si>
    <t>3+300</t>
  </si>
  <si>
    <t>4+170</t>
  </si>
  <si>
    <t>4+800</t>
  </si>
  <si>
    <t>5+800</t>
  </si>
  <si>
    <t>1+400</t>
  </si>
  <si>
    <t>คลองคาดคอนกรีต</t>
  </si>
  <si>
    <t>1+540</t>
  </si>
  <si>
    <t xml:space="preserve"> 6R-38R-LMC</t>
  </si>
  <si>
    <t>1+100</t>
  </si>
  <si>
    <t>2+250</t>
  </si>
  <si>
    <t>2+600</t>
  </si>
  <si>
    <t>5+500</t>
  </si>
  <si>
    <t>6+600</t>
  </si>
  <si>
    <t>6+700</t>
  </si>
  <si>
    <t>0+750</t>
  </si>
  <si>
    <t>1+390</t>
  </si>
  <si>
    <t>รวมทั้งหมด</t>
  </si>
  <si>
    <t xml:space="preserve">Job ID: </t>
  </si>
  <si>
    <t xml:space="preserve">Test_01_Distribution Open Chanel </t>
  </si>
  <si>
    <t>L_short</t>
  </si>
  <si>
    <t>ศอก</t>
  </si>
  <si>
    <t xml:space="preserve">Date: </t>
  </si>
  <si>
    <t>22/7/2566 -</t>
  </si>
  <si>
    <t>hr</t>
  </si>
  <si>
    <t xml:space="preserve"> min</t>
  </si>
  <si>
    <t>L_Long</t>
  </si>
  <si>
    <t xml:space="preserve">Time: </t>
  </si>
  <si>
    <t>hr.</t>
  </si>
  <si>
    <t>min</t>
  </si>
  <si>
    <t>ม</t>
  </si>
  <si>
    <t>Type of Gate</t>
  </si>
  <si>
    <t>Gate No.:</t>
  </si>
  <si>
    <t>sec</t>
  </si>
  <si>
    <t xml:space="preserve">Position of gate: </t>
  </si>
  <si>
    <t>cm.</t>
  </si>
  <si>
    <t>Flowrate (Q_avg)</t>
  </si>
  <si>
    <t>m^3/s</t>
  </si>
  <si>
    <t>Name of note taker</t>
  </si>
  <si>
    <t>Typ of Open Channel</t>
  </si>
  <si>
    <t>Distance</t>
  </si>
  <si>
    <t>Time (sec.)</t>
  </si>
  <si>
    <t>Velocity (m/s.)</t>
  </si>
  <si>
    <t>Note</t>
  </si>
  <si>
    <t>Start (km)</t>
  </si>
  <si>
    <t>End (km)</t>
  </si>
  <si>
    <t>delta D (km)</t>
  </si>
  <si>
    <t>delta D (m)</t>
  </si>
  <si>
    <t>Duck_01</t>
  </si>
  <si>
    <t>Duck_02</t>
  </si>
  <si>
    <t>Duck_03</t>
  </si>
  <si>
    <t>Avg.</t>
  </si>
  <si>
    <t>1+560</t>
  </si>
  <si>
    <t>ไม้กั้นชาวบ้าน</t>
  </si>
  <si>
    <t>ท่อส่งลอดถนนทดน้ำ</t>
  </si>
  <si>
    <t>2+600 - (38)</t>
  </si>
  <si>
    <t>อาคารน้ำตกตกรางเททดน้ำ</t>
  </si>
  <si>
    <t>2+600-(29.1)</t>
  </si>
  <si>
    <t>อาคารน้ำตกรางเททดน้ำ</t>
  </si>
  <si>
    <t>ท่อลอดถนนทดน้ำ</t>
  </si>
  <si>
    <t>ไปไม่ถึงเนื่องจากขยะเต็มคลองน้ำไม่ไหล</t>
  </si>
  <si>
    <t>33+500</t>
  </si>
  <si>
    <t>36+500</t>
  </si>
  <si>
    <t>37+887.945</t>
  </si>
  <si>
    <t>อาคารทิ้งน้ำปลายคลอง</t>
  </si>
  <si>
    <t>Chara</t>
  </si>
  <si>
    <t>บัญชีอาคารคลองส่งน้ำเขื่อนมูลบน</t>
  </si>
  <si>
    <t>อาคาร</t>
  </si>
  <si>
    <t>กม. ที่ตั้ง</t>
  </si>
  <si>
    <t>ระดับ FSL</t>
  </si>
  <si>
    <t>ระดับธรณี</t>
  </si>
  <si>
    <t>ขนาด</t>
  </si>
  <si>
    <t>ปริมาณน้ำผ่านอาคารสูงสุด</t>
  </si>
  <si>
    <t>ม.รทก.</t>
  </si>
  <si>
    <t>(เมตร)</t>
  </si>
  <si>
    <r>
      <t>ม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/วินาที</t>
    </r>
  </si>
  <si>
    <t>อาคารส่งน้ำ  (Out  let)</t>
  </si>
  <si>
    <t>0+908.500</t>
  </si>
  <si>
    <t>1.82x1.82</t>
  </si>
  <si>
    <t>อาคารทิ้งน้ำ</t>
  </si>
  <si>
    <t>2-1.25x1.25</t>
  </si>
  <si>
    <t>อาคารปากคลอง LMC</t>
  </si>
  <si>
    <t>1-4x4x33.00</t>
  </si>
  <si>
    <t xml:space="preserve">อาคารปากคลอง  RMC </t>
  </si>
  <si>
    <t>1+610</t>
  </si>
  <si>
    <t>1-1.00x1.00x12.00</t>
  </si>
  <si>
    <t>สะพานน้ำ</t>
  </si>
  <si>
    <t>0+000-0+170</t>
  </si>
  <si>
    <t>2.50x17.00</t>
  </si>
  <si>
    <t>หมายเหตุ: แบบหมายเลข 93461</t>
  </si>
  <si>
    <t>0+280-0+520</t>
  </si>
  <si>
    <t>1-2x2x800</t>
  </si>
  <si>
    <t>อาคารลอดคลองส่งน้ำ</t>
  </si>
  <si>
    <t>0+785</t>
  </si>
  <si>
    <t>1-1.50x1.50x23.56</t>
  </si>
  <si>
    <t>1-O0.40x23.56</t>
  </si>
  <si>
    <t>1+360</t>
  </si>
  <si>
    <t>2-O0.80x23.56</t>
  </si>
  <si>
    <t>1+690</t>
  </si>
  <si>
    <t>1-1.25x1.25x23.56</t>
  </si>
  <si>
    <t>1-1.20x1.20x14.50</t>
  </si>
  <si>
    <t>อาคารน้ำตกรางทดน้ำ</t>
  </si>
  <si>
    <t>1-1.20x1.20x26</t>
  </si>
  <si>
    <t>2+740</t>
  </si>
  <si>
    <t>2-O1.00x23.56</t>
  </si>
  <si>
    <t>2-O1.00x22.06</t>
  </si>
  <si>
    <t>3+825</t>
  </si>
  <si>
    <t>1-O1.00x22.06</t>
  </si>
  <si>
    <t>+198.504</t>
  </si>
  <si>
    <t>+197.954</t>
  </si>
  <si>
    <t>1-1.20x1.20x16.80</t>
  </si>
  <si>
    <t>4+450</t>
  </si>
  <si>
    <t>1-O0.60x0.60x13.50</t>
  </si>
  <si>
    <t>5+845</t>
  </si>
  <si>
    <t>2-O1x17.96</t>
  </si>
  <si>
    <t>6+430</t>
  </si>
  <si>
    <t>1-O0.80x17.96</t>
  </si>
  <si>
    <t>อาคารบังคับน้ำปลายคลอง</t>
  </si>
  <si>
    <t>1-0.60x0.60x27.33</t>
  </si>
  <si>
    <t>หมายเหตุ: แบบหมายเลข 93425</t>
  </si>
  <si>
    <t>อาคารบังคับน้ำปากคลอง</t>
  </si>
  <si>
    <t>1-0.80x0.80x7.50</t>
  </si>
  <si>
    <t>0.815</t>
  </si>
  <si>
    <t>0+60</t>
  </si>
  <si>
    <t>1-O0.80x21.96</t>
  </si>
  <si>
    <t>0+320</t>
  </si>
  <si>
    <t>2-O1.00x21.96</t>
  </si>
  <si>
    <t>อาคารน้ำตกทดน้ำ</t>
  </si>
  <si>
    <t>1-0.90x0.80</t>
  </si>
  <si>
    <t>0.670</t>
  </si>
  <si>
    <t>1-0.90x0.80x14.10</t>
  </si>
  <si>
    <t>0.628</t>
  </si>
  <si>
    <t>1+450</t>
  </si>
  <si>
    <t>1.25x1.25x17.00</t>
  </si>
  <si>
    <t>1-0.60x0.70</t>
  </si>
  <si>
    <t>0.397</t>
  </si>
  <si>
    <t>1-0.60x0.60</t>
  </si>
  <si>
    <t>0.205</t>
  </si>
  <si>
    <t>1-0.60x0.60x23.944</t>
  </si>
  <si>
    <t>หมายเหตุ: แบบหมายเลข 93463</t>
  </si>
  <si>
    <t>Qmax (จากแผนรอบเวรส่งน้ำ)</t>
  </si>
  <si>
    <t>Experiment</t>
  </si>
  <si>
    <t>PC/SC/TC/QC</t>
  </si>
  <si>
    <t>PC</t>
  </si>
  <si>
    <t>M(0,0)</t>
  </si>
  <si>
    <t>M(0,1)</t>
  </si>
  <si>
    <t>M(0,2)</t>
  </si>
  <si>
    <t>M(0,3)</t>
  </si>
  <si>
    <t>M(0,4)</t>
  </si>
  <si>
    <t>M(0,5)</t>
  </si>
  <si>
    <t>M(0,6)</t>
  </si>
  <si>
    <t>M(0,7)</t>
  </si>
  <si>
    <t>M(0,8)</t>
  </si>
  <si>
    <t>M(0,9)</t>
  </si>
  <si>
    <t>M(0,10)</t>
  </si>
  <si>
    <t>M(0,11)</t>
  </si>
  <si>
    <t>M(0,12)</t>
  </si>
  <si>
    <t>M(0,13)</t>
  </si>
  <si>
    <t>M(0,14)</t>
  </si>
  <si>
    <t>M(0,15)</t>
  </si>
  <si>
    <t>x</t>
  </si>
  <si>
    <t>y</t>
  </si>
  <si>
    <t>i</t>
  </si>
  <si>
    <t>Outlet</t>
  </si>
  <si>
    <t>0+300</t>
  </si>
  <si>
    <t>M (0,2; 1,0)</t>
  </si>
  <si>
    <t>M (0,2; 1,1)</t>
  </si>
  <si>
    <t>M (0,2; 1,2)</t>
  </si>
  <si>
    <t>FTO337 Rai</t>
  </si>
  <si>
    <t>FTO</t>
  </si>
  <si>
    <t>M(0,2; 1,1; 1,0)</t>
  </si>
  <si>
    <t>M(0,2; 1,1; 1,1)</t>
  </si>
  <si>
    <t>M(0,2; 1,1; 1,2)</t>
  </si>
  <si>
    <t>M(0,2; 1,1; 1,2; 1,0)</t>
  </si>
  <si>
    <t>M(0,2; 1,1; 1,3)</t>
  </si>
  <si>
    <t>M (0,4; 1,0)</t>
  </si>
  <si>
    <t>M (0,4; 1,1)</t>
  </si>
  <si>
    <t>M (0,4; 1,2)</t>
  </si>
  <si>
    <t>M (0,2; 1,3)</t>
  </si>
  <si>
    <t>M (0,4; 1,3)</t>
  </si>
  <si>
    <t>M (0,4; 1,1; 1,0)</t>
  </si>
  <si>
    <t>M (0,4; 1,1; 1,1)</t>
  </si>
  <si>
    <t>M (0,4; 1,1; 2,0)</t>
  </si>
  <si>
    <t>M (0,4; 1,1; 2,1)</t>
  </si>
  <si>
    <t>Primary Canal</t>
  </si>
  <si>
    <t>PC -</t>
  </si>
  <si>
    <t>q_max (m^3/s)</t>
  </si>
  <si>
    <t>M (0,13; 1,0)</t>
  </si>
  <si>
    <t>M (0,13; 1,1)</t>
  </si>
  <si>
    <t>M (0,13; 1,2)</t>
  </si>
  <si>
    <t>M (0,13; 1,3)</t>
  </si>
  <si>
    <t>M (0,13; 1,4)</t>
  </si>
  <si>
    <t>M (0,13; 1,5)</t>
  </si>
  <si>
    <t>M (0,13; 1,0; 1,0)</t>
  </si>
  <si>
    <t>M (0,13; 1,0; 1,1)</t>
  </si>
  <si>
    <t>M (0,13; 1,1; 1,1)</t>
  </si>
  <si>
    <t>M (0,13; 1,1; 1,0)</t>
  </si>
  <si>
    <t>M (0,13; 1,1; 1,2)</t>
  </si>
  <si>
    <t>M (0,13; 1,1; 1,0; 1,0)</t>
  </si>
  <si>
    <t>M (0,13; 1,1; 1,0; 1,1)</t>
  </si>
  <si>
    <t>M (0,13; 1,1; 1,0; 1,2)</t>
  </si>
  <si>
    <t>M (0,13; 1,2; 1,0)</t>
  </si>
  <si>
    <t>M (0,13; 1,2; 1,1)</t>
  </si>
  <si>
    <t>M (0,13; 1,2; 1,2)</t>
  </si>
  <si>
    <t>M (0,13; 1,2; 1,0; 1,0)</t>
  </si>
  <si>
    <t>M (0,13; 1,2; 1,0; 1,1)</t>
  </si>
  <si>
    <t>M (0,13; 1,3; 1,0)</t>
  </si>
  <si>
    <t>M (0,13; 1,3; 1,1)</t>
  </si>
  <si>
    <t>M (0,13; 1,4; 1,0)</t>
  </si>
  <si>
    <t>M (0,13; 1,4; 1,1)</t>
  </si>
  <si>
    <t>RMS Crop ID</t>
  </si>
  <si>
    <t>xxxxxxxx-xxxx-xxxx-xxxx-xxxxxxxxxxxx</t>
  </si>
  <si>
    <t>Required Daily Water (cm)</t>
  </si>
  <si>
    <t>Required Daily Volume (m3)</t>
  </si>
  <si>
    <t>Section (ช่วงคลอง)</t>
  </si>
  <si>
    <t>Km. -&gt; Km.</t>
  </si>
  <si>
    <t xml:space="preserve">1+620 - 6+880 </t>
  </si>
  <si>
    <t>6+880 - 9+200</t>
  </si>
  <si>
    <t>9+200 - 11+800</t>
  </si>
  <si>
    <t>11+800 - 17+000</t>
  </si>
  <si>
    <t>17+000 - 21+000</t>
  </si>
  <si>
    <t>21+000 - 23+315</t>
  </si>
  <si>
    <t>23+315 - 25+700</t>
  </si>
  <si>
    <t>25+700 - 28+300</t>
  </si>
  <si>
    <t>28+300 - 36+010</t>
  </si>
  <si>
    <t>36+010 - 37+859</t>
  </si>
  <si>
    <t>37+859 - 38+100</t>
  </si>
  <si>
    <t>38+100 - 38+700</t>
  </si>
  <si>
    <t>0+000 - 5+700</t>
  </si>
  <si>
    <t>5+700 - 7+900</t>
  </si>
  <si>
    <t>7+900 - 14+400</t>
  </si>
  <si>
    <t>0+000 - 3+000</t>
  </si>
  <si>
    <t>0+000 - 2+500</t>
  </si>
  <si>
    <t>0+000 - 1+720</t>
  </si>
  <si>
    <t>1+720 - 3+000</t>
  </si>
  <si>
    <t>3+000 - 4+500</t>
  </si>
  <si>
    <t>4+500 - 6+620</t>
  </si>
  <si>
    <t>6+620 - 8+780</t>
  </si>
  <si>
    <t>0+000 - 4+200</t>
  </si>
  <si>
    <t>0+000 - 0+540</t>
  </si>
  <si>
    <t>0+540 - 3+650</t>
  </si>
  <si>
    <t>0+000 - 3+200</t>
  </si>
  <si>
    <t>3+200 - 7+720</t>
  </si>
  <si>
    <t>0+000 - 4+800</t>
  </si>
  <si>
    <t>4+800 - 5+800</t>
  </si>
  <si>
    <t>0+000 - 1+400</t>
  </si>
  <si>
    <t>0+000 - 2+250</t>
  </si>
  <si>
    <t xml:space="preserve">0+300 - 1+620  </t>
  </si>
  <si>
    <t>0+170 - 0+300</t>
  </si>
  <si>
    <t>0+000 - 0+170</t>
  </si>
  <si>
    <t>0+000 - 2+420</t>
  </si>
  <si>
    <t>2+420 - 4+520</t>
  </si>
  <si>
    <t>4+520 - 6+780</t>
  </si>
  <si>
    <t>0+000 - 1+850</t>
  </si>
  <si>
    <t>1+850 - 2+600</t>
  </si>
  <si>
    <t>2+600 - 3+000</t>
  </si>
  <si>
    <t>Latitude</t>
  </si>
  <si>
    <t>Longitude</t>
  </si>
  <si>
    <t>14.504712,102.159580</t>
  </si>
  <si>
    <t>14.520290,102.167026</t>
  </si>
  <si>
    <t>14.532162,102.175128</t>
  </si>
  <si>
    <t>14.534367,102.168297</t>
  </si>
  <si>
    <t>14.542187,102.169544</t>
  </si>
  <si>
    <t>14.548503,102.168876</t>
  </si>
  <si>
    <t>14.546393,102.172391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</si>
</sst>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0.000"/>
    <numFmt numFmtId="166" formatCode="#,##0_ ;\-#,##0\ "/>
    <numFmt numFmtId="167" formatCode="_-* #,##0.0000_-;\-* #,##0.0000_-;_-* &quot;-&quot;??_-;_-@_-"/>
    <numFmt numFmtId="168" formatCode="_-* #,##0.00000_-;\-* #,##0.00000_-;_-* &quot;-&quot;??_-;_-@_-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vertAlign val="subscript"/>
      <sz val="14"/>
      <name val="Angsana New"/>
      <family val="1"/>
    </font>
    <font>
      <vertAlign val="superscript"/>
      <sz val="14"/>
      <name val="Angsana New"/>
      <family val="1"/>
    </font>
    <font>
      <sz val="11"/>
      <name val="Cordia New"/>
      <family val="2"/>
      <charset val="222"/>
    </font>
    <font>
      <sz val="14"/>
      <color rgb="FFFF0000"/>
      <name val="Angsana New"/>
      <family val="1"/>
    </font>
    <font>
      <sz val="14"/>
      <color indexed="12"/>
      <name val="Angsana New"/>
      <family val="1"/>
    </font>
    <font>
      <sz val="12"/>
      <name val="Cordia New"/>
      <family val="2"/>
      <charset val="22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4"/>
      <name val="Cordia New"/>
      <family val="2"/>
      <charset val="222"/>
    </font>
    <font>
      <sz val="14"/>
      <name val="Cordia New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9" fillId="0" borderId="0"/>
  </cellStyleXfs>
  <cellXfs count="20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43" fontId="3" fillId="0" borderId="8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43" fontId="3" fillId="0" borderId="8" xfId="1" applyFont="1" applyBorder="1" applyAlignment="1">
      <alignment vertical="center"/>
    </xf>
    <xf numFmtId="43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5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3" fontId="3" fillId="5" borderId="12" xfId="0" applyNumberFormat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166" fontId="3" fillId="5" borderId="3" xfId="0" applyNumberFormat="1" applyFont="1" applyFill="1" applyBorder="1" applyAlignment="1">
      <alignment vertical="center"/>
    </xf>
    <xf numFmtId="43" fontId="3" fillId="5" borderId="3" xfId="0" applyNumberFormat="1" applyFont="1" applyFill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  <xf numFmtId="43" fontId="3" fillId="0" borderId="5" xfId="1" applyFont="1" applyBorder="1" applyAlignment="1">
      <alignment vertical="center"/>
    </xf>
    <xf numFmtId="43" fontId="3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6" fontId="3" fillId="0" borderId="5" xfId="1" applyNumberFormat="1" applyFont="1" applyBorder="1" applyAlignment="1">
      <alignment horizontal="center" vertical="center"/>
    </xf>
    <xf numFmtId="43" fontId="3" fillId="0" borderId="7" xfId="1" applyFont="1" applyBorder="1" applyAlignment="1">
      <alignment vertical="center"/>
    </xf>
    <xf numFmtId="43" fontId="3" fillId="0" borderId="7" xfId="0" applyNumberFormat="1" applyFont="1" applyBorder="1" applyAlignment="1">
      <alignment vertical="center"/>
    </xf>
    <xf numFmtId="165" fontId="8" fillId="0" borderId="8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43" fontId="3" fillId="0" borderId="10" xfId="1" applyFont="1" applyBorder="1" applyAlignment="1">
      <alignment vertical="center"/>
    </xf>
    <xf numFmtId="43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vertical="center"/>
    </xf>
    <xf numFmtId="164" fontId="3" fillId="6" borderId="3" xfId="0" applyNumberFormat="1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43" fontId="3" fillId="6" borderId="3" xfId="0" applyNumberFormat="1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/>
    <xf numFmtId="0" fontId="12" fillId="7" borderId="3" xfId="0" applyFont="1" applyFill="1" applyBorder="1"/>
    <xf numFmtId="0" fontId="13" fillId="0" borderId="12" xfId="0" applyFont="1" applyBorder="1" applyAlignment="1">
      <alignment horizontal="center"/>
    </xf>
    <xf numFmtId="0" fontId="12" fillId="0" borderId="1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top"/>
    </xf>
    <xf numFmtId="0" fontId="12" fillId="11" borderId="15" xfId="0" applyFont="1" applyFill="1" applyBorder="1" applyAlignment="1">
      <alignment horizontal="center"/>
    </xf>
    <xf numFmtId="0" fontId="12" fillId="12" borderId="15" xfId="0" applyFont="1" applyFill="1" applyBorder="1"/>
    <xf numFmtId="2" fontId="12" fillId="7" borderId="15" xfId="0" applyNumberFormat="1" applyFont="1" applyFill="1" applyBorder="1"/>
    <xf numFmtId="0" fontId="12" fillId="0" borderId="16" xfId="0" applyFont="1" applyBorder="1"/>
    <xf numFmtId="0" fontId="12" fillId="11" borderId="3" xfId="0" applyFont="1" applyFill="1" applyBorder="1" applyAlignment="1">
      <alignment horizontal="center"/>
    </xf>
    <xf numFmtId="0" fontId="12" fillId="12" borderId="3" xfId="0" applyFont="1" applyFill="1" applyBorder="1"/>
    <xf numFmtId="2" fontId="12" fillId="7" borderId="3" xfId="0" applyNumberFormat="1" applyFont="1" applyFill="1" applyBorder="1"/>
    <xf numFmtId="0" fontId="12" fillId="0" borderId="18" xfId="0" applyFont="1" applyBorder="1"/>
    <xf numFmtId="0" fontId="14" fillId="11" borderId="20" xfId="0" applyFont="1" applyFill="1" applyBorder="1" applyAlignment="1">
      <alignment horizontal="center"/>
    </xf>
    <xf numFmtId="0" fontId="14" fillId="12" borderId="20" xfId="0" applyFont="1" applyFill="1" applyBorder="1"/>
    <xf numFmtId="2" fontId="14" fillId="7" borderId="20" xfId="0" applyNumberFormat="1" applyFont="1" applyFill="1" applyBorder="1"/>
    <xf numFmtId="0" fontId="14" fillId="0" borderId="21" xfId="0" applyFont="1" applyBorder="1"/>
    <xf numFmtId="0" fontId="13" fillId="0" borderId="17" xfId="0" applyFont="1" applyBorder="1" applyAlignment="1">
      <alignment vertical="top"/>
    </xf>
    <xf numFmtId="0" fontId="12" fillId="12" borderId="0" xfId="0" applyFont="1" applyFill="1"/>
    <xf numFmtId="0" fontId="12" fillId="11" borderId="3" xfId="0" applyFont="1" applyFill="1" applyBorder="1" applyAlignment="1">
      <alignment horizontal="center" vertical="top"/>
    </xf>
    <xf numFmtId="0" fontId="13" fillId="0" borderId="19" xfId="0" applyFont="1" applyBorder="1" applyAlignment="1">
      <alignment vertical="top"/>
    </xf>
    <xf numFmtId="0" fontId="12" fillId="11" borderId="20" xfId="0" applyFont="1" applyFill="1" applyBorder="1" applyAlignment="1">
      <alignment horizontal="center"/>
    </xf>
    <xf numFmtId="0" fontId="12" fillId="12" borderId="20" xfId="0" applyFont="1" applyFill="1" applyBorder="1"/>
    <xf numFmtId="2" fontId="12" fillId="7" borderId="20" xfId="0" applyNumberFormat="1" applyFont="1" applyFill="1" applyBorder="1"/>
    <xf numFmtId="0" fontId="12" fillId="0" borderId="21" xfId="0" applyFont="1" applyBorder="1"/>
    <xf numFmtId="0" fontId="13" fillId="0" borderId="9" xfId="0" applyFont="1" applyBorder="1" applyAlignment="1">
      <alignment vertical="top"/>
    </xf>
    <xf numFmtId="0" fontId="12" fillId="11" borderId="4" xfId="0" applyFont="1" applyFill="1" applyBorder="1" applyAlignment="1">
      <alignment horizontal="center"/>
    </xf>
    <xf numFmtId="0" fontId="12" fillId="12" borderId="4" xfId="0" applyFont="1" applyFill="1" applyBorder="1"/>
    <xf numFmtId="2" fontId="12" fillId="7" borderId="4" xfId="0" applyNumberFormat="1" applyFont="1" applyFill="1" applyBorder="1"/>
    <xf numFmtId="0" fontId="12" fillId="0" borderId="4" xfId="0" applyFont="1" applyBorder="1"/>
    <xf numFmtId="0" fontId="12" fillId="0" borderId="3" xfId="0" applyFont="1" applyBorder="1"/>
    <xf numFmtId="0" fontId="13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5" fillId="0" borderId="1" xfId="0" applyFont="1" applyBorder="1"/>
    <xf numFmtId="0" fontId="0" fillId="0" borderId="2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165" fontId="3" fillId="10" borderId="6" xfId="2" applyNumberFormat="1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165" fontId="3" fillId="10" borderId="8" xfId="2" applyNumberFormat="1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165" fontId="3" fillId="10" borderId="10" xfId="2" applyNumberFormat="1" applyFont="1" applyFill="1" applyBorder="1" applyAlignment="1">
      <alignment horizontal="center" vertical="center"/>
    </xf>
    <xf numFmtId="165" fontId="3" fillId="10" borderId="8" xfId="0" applyNumberFormat="1" applyFont="1" applyFill="1" applyBorder="1" applyAlignment="1">
      <alignment horizontal="center" vertical="center"/>
    </xf>
    <xf numFmtId="165" fontId="3" fillId="10" borderId="10" xfId="0" applyNumberFormat="1" applyFont="1" applyFill="1" applyBorder="1" applyAlignment="1">
      <alignment horizontal="center" vertical="center"/>
    </xf>
    <xf numFmtId="165" fontId="3" fillId="10" borderId="6" xfId="0" applyNumberFormat="1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1" applyNumberFormat="1" applyFont="1" applyFill="1" applyBorder="1"/>
    <xf numFmtId="164" fontId="0" fillId="2" borderId="3" xfId="0" applyNumberFormat="1" applyFill="1" applyBorder="1"/>
    <xf numFmtId="0" fontId="0" fillId="0" borderId="3" xfId="0" quotePrefix="1" applyBorder="1"/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9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quotePrefix="1" applyNumberFormat="1" applyBorder="1" applyAlignment="1">
      <alignment horizontal="center"/>
    </xf>
    <xf numFmtId="165" fontId="0" fillId="0" borderId="11" xfId="0" quotePrefix="1" applyNumberFormat="1" applyBorder="1" applyAlignment="1">
      <alignment horizontal="center"/>
    </xf>
    <xf numFmtId="43" fontId="0" fillId="0" borderId="3" xfId="1" applyFont="1" applyBorder="1"/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0" fontId="0" fillId="14" borderId="3" xfId="0" applyFill="1" applyBorder="1"/>
    <xf numFmtId="0" fontId="0" fillId="14" borderId="3" xfId="0" applyFill="1" applyBorder="1" applyAlignment="1">
      <alignment horizontal="center"/>
    </xf>
    <xf numFmtId="164" fontId="0" fillId="14" borderId="3" xfId="1" applyNumberFormat="1" applyFont="1" applyFill="1" applyBorder="1"/>
    <xf numFmtId="164" fontId="0" fillId="14" borderId="3" xfId="0" applyNumberFormat="1" applyFill="1" applyBorder="1"/>
    <xf numFmtId="43" fontId="0" fillId="14" borderId="3" xfId="1" applyFont="1" applyFill="1" applyBorder="1"/>
    <xf numFmtId="0" fontId="0" fillId="14" borderId="0" xfId="0" applyFill="1"/>
  </cellXfs>
  <cellStyles count="4">
    <cellStyle name="Comma" xfId="1" builtinId="3"/>
    <cellStyle name="Normal" xfId="0" builtinId="0"/>
    <cellStyle name="ปกติ 2" xfId="2" xr:uid="{BD23D3AD-5A21-4BC6-8B7E-7B0FD4F5B371}"/>
    <cellStyle name="ปกติ 3" xfId="3" xr:uid="{4CE89531-C273-4C3A-B0ED-F328F2CF0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142875</xdr:rowOff>
    </xdr:from>
    <xdr:to>
      <xdr:col>22</xdr:col>
      <xdr:colOff>134620</xdr:colOff>
      <xdr:row>52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12630-073C-4433-A7AC-E464D157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8350" y="854075"/>
          <a:ext cx="5240020" cy="87331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5EAA-994C-4B7D-9CD3-F4761AEA3404}">
  <dimension ref="A2:AB68"/>
  <sheetViews>
    <sheetView tabSelected="1" zoomScale="56" zoomScaleNormal="10" workbookViewId="0">
      <selection activeCell="A25" sqref="A25:XFD29"/>
    </sheetView>
  </sheetViews>
  <sheetFormatPr defaultRowHeight="14.5"/>
  <cols>
    <col min="1" max="1" width="3.7265625" bestFit="1" customWidth="1"/>
    <col min="2" max="2" width="13.7265625" bestFit="1" customWidth="1"/>
    <col min="3" max="3" width="17" bestFit="1" customWidth="1"/>
    <col min="4" max="4" width="17" customWidth="1"/>
    <col min="5" max="5" width="16.7265625" customWidth="1"/>
    <col min="6" max="14" width="8.7265625" customWidth="1"/>
    <col min="15" max="15" width="12.6328125" customWidth="1"/>
    <col min="16" max="16" width="10.453125" customWidth="1"/>
    <col min="17" max="17" width="10.08984375" style="2" customWidth="1"/>
    <col min="18" max="18" width="11.54296875" customWidth="1"/>
    <col min="19" max="19" width="8.7265625" style="1" customWidth="1"/>
    <col min="20" max="20" width="13.90625" customWidth="1"/>
    <col min="21" max="21" width="16" customWidth="1"/>
    <col min="22" max="22" width="27.81640625" customWidth="1"/>
    <col min="23" max="23" width="32.90625" customWidth="1"/>
    <col min="24" max="25" width="23" customWidth="1"/>
    <col min="26" max="26" width="11.90625" customWidth="1"/>
    <col min="27" max="27" width="13.7265625" customWidth="1"/>
    <col min="28" max="28" width="20.453125" bestFit="1" customWidth="1"/>
  </cols>
  <sheetData>
    <row r="2" spans="1:27">
      <c r="A2" s="120" t="s">
        <v>68</v>
      </c>
      <c r="B2" s="121" t="s">
        <v>19</v>
      </c>
      <c r="C2" s="199" t="s">
        <v>372</v>
      </c>
      <c r="D2" s="121" t="s">
        <v>373</v>
      </c>
      <c r="E2" s="120" t="s">
        <v>0</v>
      </c>
      <c r="F2" s="121" t="s">
        <v>318</v>
      </c>
      <c r="G2" s="121" t="s">
        <v>319</v>
      </c>
      <c r="H2" s="121" t="s">
        <v>320</v>
      </c>
      <c r="I2" s="121" t="s">
        <v>1</v>
      </c>
      <c r="J2" s="121" t="s">
        <v>2</v>
      </c>
      <c r="K2" s="121" t="s">
        <v>3</v>
      </c>
      <c r="L2" s="121" t="s">
        <v>4</v>
      </c>
      <c r="M2" s="121" t="s">
        <v>16</v>
      </c>
      <c r="N2" s="121" t="s">
        <v>12</v>
      </c>
      <c r="O2" s="120" t="s">
        <v>300</v>
      </c>
      <c r="P2" s="121" t="s">
        <v>15</v>
      </c>
      <c r="Q2" s="146" t="s">
        <v>13</v>
      </c>
      <c r="R2" s="121" t="s">
        <v>14</v>
      </c>
      <c r="S2" s="121" t="s">
        <v>75</v>
      </c>
      <c r="T2" s="121" t="s">
        <v>76</v>
      </c>
      <c r="U2" s="121" t="s">
        <v>344</v>
      </c>
      <c r="V2" s="121" t="s">
        <v>78</v>
      </c>
      <c r="W2" s="121" t="s">
        <v>368</v>
      </c>
      <c r="X2" s="120" t="s">
        <v>370</v>
      </c>
      <c r="Y2" s="120" t="s">
        <v>371</v>
      </c>
      <c r="Z2" s="200" t="s">
        <v>414</v>
      </c>
      <c r="AA2" s="200" t="s">
        <v>415</v>
      </c>
    </row>
    <row r="3" spans="1:27">
      <c r="A3" s="120">
        <v>1</v>
      </c>
      <c r="B3" s="121" t="s">
        <v>321</v>
      </c>
      <c r="C3" s="199"/>
      <c r="D3" s="121" t="s">
        <v>407</v>
      </c>
      <c r="E3" s="120" t="s">
        <v>302</v>
      </c>
      <c r="F3" s="121">
        <v>0</v>
      </c>
      <c r="G3" s="121">
        <v>0</v>
      </c>
      <c r="H3" s="121"/>
      <c r="I3" s="121"/>
      <c r="J3" s="121"/>
      <c r="K3" s="121"/>
      <c r="L3" s="121"/>
      <c r="M3" s="121"/>
      <c r="N3" s="121">
        <v>1</v>
      </c>
      <c r="O3" s="121" t="s">
        <v>301</v>
      </c>
      <c r="P3" s="121" t="s">
        <v>40</v>
      </c>
      <c r="Q3" s="147">
        <v>0</v>
      </c>
      <c r="R3" s="120"/>
      <c r="S3" s="121"/>
      <c r="T3" s="120">
        <f>0.17-0</f>
        <v>0.17</v>
      </c>
      <c r="U3" s="120">
        <v>11.2</v>
      </c>
      <c r="V3" s="120"/>
      <c r="W3" s="120" t="s">
        <v>369</v>
      </c>
      <c r="X3" s="120">
        <v>15</v>
      </c>
      <c r="Y3" s="198">
        <f>X3*R3/100</f>
        <v>0</v>
      </c>
      <c r="Z3" s="199"/>
      <c r="AA3" s="199"/>
    </row>
    <row r="4" spans="1:27">
      <c r="A4" s="120">
        <v>2</v>
      </c>
      <c r="B4" s="121" t="s">
        <v>22</v>
      </c>
      <c r="C4" s="200">
        <v>1</v>
      </c>
      <c r="D4" s="121" t="s">
        <v>406</v>
      </c>
      <c r="E4" s="120" t="s">
        <v>303</v>
      </c>
      <c r="F4" s="121">
        <v>0</v>
      </c>
      <c r="G4" s="121">
        <v>1</v>
      </c>
      <c r="H4" s="121"/>
      <c r="I4" s="121"/>
      <c r="J4" s="121"/>
      <c r="K4" s="121"/>
      <c r="L4" s="121"/>
      <c r="M4" s="121"/>
      <c r="N4" s="121">
        <v>1</v>
      </c>
      <c r="O4" s="121" t="s">
        <v>301</v>
      </c>
      <c r="P4" s="121" t="s">
        <v>114</v>
      </c>
      <c r="Q4" s="148"/>
      <c r="R4" s="120"/>
      <c r="S4" s="121"/>
      <c r="T4" s="120">
        <f>0.3-0.17</f>
        <v>0.12999999999999998</v>
      </c>
      <c r="U4" s="120">
        <v>9.9260000000000002</v>
      </c>
      <c r="V4" s="120"/>
      <c r="W4" s="120"/>
      <c r="X4" s="120">
        <v>10</v>
      </c>
      <c r="Y4" s="198">
        <f t="shared" ref="Y4:Y62" si="0">X4*R4/100</f>
        <v>0</v>
      </c>
      <c r="Z4" s="200">
        <v>14.488723999999999</v>
      </c>
      <c r="AA4" s="200">
        <v>102.14855300000001</v>
      </c>
    </row>
    <row r="5" spans="1:27">
      <c r="A5" s="120">
        <v>3</v>
      </c>
      <c r="B5" s="121" t="s">
        <v>22</v>
      </c>
      <c r="C5" s="200">
        <v>2</v>
      </c>
      <c r="D5" s="121" t="s">
        <v>405</v>
      </c>
      <c r="E5" s="120" t="s">
        <v>304</v>
      </c>
      <c r="F5" s="121">
        <v>0</v>
      </c>
      <c r="G5" s="121">
        <v>2</v>
      </c>
      <c r="H5" s="121"/>
      <c r="I5" s="121"/>
      <c r="J5" s="121"/>
      <c r="K5" s="121"/>
      <c r="L5" s="121"/>
      <c r="M5" s="121"/>
      <c r="N5" s="121">
        <v>1</v>
      </c>
      <c r="O5" s="121" t="s">
        <v>301</v>
      </c>
      <c r="P5" s="121" t="s">
        <v>322</v>
      </c>
      <c r="Q5" s="147"/>
      <c r="R5" s="120"/>
      <c r="S5" s="121"/>
      <c r="T5" s="120">
        <f>1.62-0.3</f>
        <v>1.32</v>
      </c>
      <c r="U5" s="120">
        <v>9.9260000000000002</v>
      </c>
      <c r="V5" s="120"/>
      <c r="W5" s="120"/>
      <c r="X5" s="120">
        <v>7</v>
      </c>
      <c r="Y5" s="198">
        <f t="shared" si="0"/>
        <v>0</v>
      </c>
      <c r="Z5" s="200">
        <v>14.492791</v>
      </c>
      <c r="AA5" s="200">
        <v>102.14966</v>
      </c>
    </row>
    <row r="6" spans="1:27">
      <c r="A6" s="120">
        <v>4</v>
      </c>
      <c r="B6" s="121" t="s">
        <v>22</v>
      </c>
      <c r="C6" s="200">
        <v>3</v>
      </c>
      <c r="D6" s="121" t="s">
        <v>374</v>
      </c>
      <c r="E6" s="120" t="s">
        <v>305</v>
      </c>
      <c r="F6" s="121">
        <v>0</v>
      </c>
      <c r="G6" s="121">
        <v>3</v>
      </c>
      <c r="H6" s="121"/>
      <c r="I6" s="121"/>
      <c r="J6" s="121"/>
      <c r="K6" s="121"/>
      <c r="L6" s="121"/>
      <c r="M6" s="121"/>
      <c r="N6" s="121">
        <v>1</v>
      </c>
      <c r="O6" s="121" t="s">
        <v>301</v>
      </c>
      <c r="P6" s="121" t="s">
        <v>42</v>
      </c>
      <c r="Q6" s="147">
        <v>972</v>
      </c>
      <c r="R6" s="149">
        <f t="shared" ref="R6:R17" si="1">Q6*1600</f>
        <v>1555200</v>
      </c>
      <c r="S6" s="121">
        <v>3</v>
      </c>
      <c r="T6" s="120">
        <f>6.88-1.62</f>
        <v>5.26</v>
      </c>
      <c r="U6" s="120">
        <v>8.7370000000000001</v>
      </c>
      <c r="V6" s="120"/>
      <c r="W6" s="120"/>
      <c r="X6" s="120">
        <v>0</v>
      </c>
      <c r="Y6" s="198">
        <f t="shared" si="0"/>
        <v>0</v>
      </c>
      <c r="Z6" s="200">
        <v>14.52294</v>
      </c>
      <c r="AA6" s="200">
        <v>102.15897</v>
      </c>
    </row>
    <row r="7" spans="1:27">
      <c r="A7" s="120">
        <v>5</v>
      </c>
      <c r="B7" s="121" t="s">
        <v>22</v>
      </c>
      <c r="C7" s="200">
        <v>4</v>
      </c>
      <c r="D7" s="121" t="s">
        <v>375</v>
      </c>
      <c r="E7" s="120" t="s">
        <v>306</v>
      </c>
      <c r="F7" s="121">
        <v>0</v>
      </c>
      <c r="G7" s="121">
        <v>4</v>
      </c>
      <c r="H7" s="121"/>
      <c r="I7" s="121"/>
      <c r="J7" s="121"/>
      <c r="K7" s="121"/>
      <c r="L7" s="121"/>
      <c r="M7" s="121"/>
      <c r="N7" s="121">
        <v>1</v>
      </c>
      <c r="O7" s="121" t="s">
        <v>301</v>
      </c>
      <c r="P7" s="121" t="s">
        <v>43</v>
      </c>
      <c r="Q7" s="147">
        <v>689</v>
      </c>
      <c r="R7" s="149">
        <f t="shared" si="1"/>
        <v>1102400</v>
      </c>
      <c r="S7" s="121">
        <v>4</v>
      </c>
      <c r="T7" s="120">
        <f>9.2-6.88</f>
        <v>2.3199999999999994</v>
      </c>
      <c r="U7" s="120">
        <f>U6</f>
        <v>8.7370000000000001</v>
      </c>
      <c r="V7" s="120"/>
      <c r="W7" s="120"/>
      <c r="X7" s="120">
        <v>12</v>
      </c>
      <c r="Y7" s="198">
        <f>X7*R7/100</f>
        <v>132288</v>
      </c>
      <c r="Z7" s="200">
        <v>14.540649999999999</v>
      </c>
      <c r="AA7" s="200">
        <v>102.15148000000001</v>
      </c>
    </row>
    <row r="8" spans="1:27">
      <c r="A8" s="120">
        <v>6</v>
      </c>
      <c r="B8" s="121" t="s">
        <v>22</v>
      </c>
      <c r="C8" s="200">
        <v>5</v>
      </c>
      <c r="D8" s="121" t="s">
        <v>376</v>
      </c>
      <c r="E8" s="120" t="s">
        <v>307</v>
      </c>
      <c r="F8" s="121">
        <v>0</v>
      </c>
      <c r="G8" s="121">
        <v>5</v>
      </c>
      <c r="H8" s="121"/>
      <c r="I8" s="121"/>
      <c r="J8" s="121"/>
      <c r="K8" s="121"/>
      <c r="L8" s="121"/>
      <c r="M8" s="121"/>
      <c r="N8" s="121">
        <v>1</v>
      </c>
      <c r="O8" s="120"/>
      <c r="P8" s="121" t="s">
        <v>44</v>
      </c>
      <c r="Q8" s="147">
        <v>1778</v>
      </c>
      <c r="R8" s="149">
        <f t="shared" si="1"/>
        <v>2844800</v>
      </c>
      <c r="S8" s="121">
        <v>5</v>
      </c>
      <c r="T8" s="120">
        <f>11.8-9.2</f>
        <v>2.6000000000000014</v>
      </c>
      <c r="U8" s="120">
        <v>5.9630000000000001</v>
      </c>
      <c r="V8" s="120"/>
      <c r="W8" s="120"/>
      <c r="X8" s="120">
        <v>8</v>
      </c>
      <c r="Y8" s="198">
        <f t="shared" si="0"/>
        <v>227584</v>
      </c>
      <c r="Z8" s="200">
        <v>14.56256</v>
      </c>
      <c r="AA8" s="200">
        <v>102.14713</v>
      </c>
    </row>
    <row r="9" spans="1:27">
      <c r="A9" s="120">
        <v>7</v>
      </c>
      <c r="B9" s="121" t="s">
        <v>22</v>
      </c>
      <c r="C9" s="200">
        <v>6</v>
      </c>
      <c r="D9" s="121" t="s">
        <v>377</v>
      </c>
      <c r="E9" s="120" t="s">
        <v>308</v>
      </c>
      <c r="F9" s="121">
        <v>0</v>
      </c>
      <c r="G9" s="121">
        <v>6</v>
      </c>
      <c r="H9" s="121"/>
      <c r="I9" s="121"/>
      <c r="J9" s="121"/>
      <c r="K9" s="121"/>
      <c r="L9" s="121"/>
      <c r="M9" s="121"/>
      <c r="N9" s="121">
        <v>2</v>
      </c>
      <c r="O9" s="121" t="s">
        <v>301</v>
      </c>
      <c r="P9" s="121" t="s">
        <v>45</v>
      </c>
      <c r="Q9" s="147">
        <v>2357</v>
      </c>
      <c r="R9" s="149">
        <f t="shared" si="1"/>
        <v>3771200</v>
      </c>
      <c r="S9" s="121">
        <v>6</v>
      </c>
      <c r="T9" s="120">
        <f>17-11.8</f>
        <v>5.1999999999999993</v>
      </c>
      <c r="U9" s="120">
        <v>5.9630000000000001</v>
      </c>
      <c r="V9" s="120"/>
      <c r="W9" s="120"/>
      <c r="X9" s="120">
        <v>4</v>
      </c>
      <c r="Y9" s="198">
        <f t="shared" si="0"/>
        <v>150848</v>
      </c>
      <c r="Z9" s="200">
        <v>14.587160000000001</v>
      </c>
      <c r="AA9" s="200">
        <v>102.13686</v>
      </c>
    </row>
    <row r="10" spans="1:27">
      <c r="A10" s="120">
        <v>8</v>
      </c>
      <c r="B10" s="121" t="s">
        <v>22</v>
      </c>
      <c r="C10" s="200">
        <v>7</v>
      </c>
      <c r="D10" s="121" t="s">
        <v>378</v>
      </c>
      <c r="E10" s="120" t="s">
        <v>309</v>
      </c>
      <c r="F10" s="121">
        <v>0</v>
      </c>
      <c r="G10" s="121">
        <v>7</v>
      </c>
      <c r="H10" s="121"/>
      <c r="I10" s="121"/>
      <c r="J10" s="121"/>
      <c r="K10" s="121"/>
      <c r="L10" s="121"/>
      <c r="M10" s="121"/>
      <c r="N10" s="121">
        <v>2</v>
      </c>
      <c r="O10" s="121" t="s">
        <v>301</v>
      </c>
      <c r="P10" s="121" t="s">
        <v>46</v>
      </c>
      <c r="Q10" s="147">
        <v>1726</v>
      </c>
      <c r="R10" s="149">
        <f t="shared" si="1"/>
        <v>2761600</v>
      </c>
      <c r="S10" s="121">
        <v>7</v>
      </c>
      <c r="T10" s="120">
        <f>21-17</f>
        <v>4</v>
      </c>
      <c r="U10" s="120">
        <v>5.5789999999999997</v>
      </c>
      <c r="V10" s="120"/>
      <c r="W10" s="120"/>
      <c r="X10" s="120">
        <v>7</v>
      </c>
      <c r="Y10" s="198">
        <f t="shared" si="0"/>
        <v>193312</v>
      </c>
      <c r="Z10" s="200">
        <v>14.607866</v>
      </c>
      <c r="AA10" s="200">
        <v>102.12115900000001</v>
      </c>
    </row>
    <row r="11" spans="1:27">
      <c r="A11" s="120">
        <v>9</v>
      </c>
      <c r="B11" s="121" t="s">
        <v>22</v>
      </c>
      <c r="C11" s="200">
        <v>8</v>
      </c>
      <c r="D11" s="121" t="s">
        <v>379</v>
      </c>
      <c r="E11" s="120" t="s">
        <v>310</v>
      </c>
      <c r="F11" s="121">
        <v>0</v>
      </c>
      <c r="G11" s="121">
        <v>8</v>
      </c>
      <c r="H11" s="121"/>
      <c r="I11" s="121"/>
      <c r="J11" s="121"/>
      <c r="K11" s="121"/>
      <c r="L11" s="121"/>
      <c r="M11" s="121"/>
      <c r="N11" s="121">
        <v>2</v>
      </c>
      <c r="O11" s="121" t="s">
        <v>301</v>
      </c>
      <c r="P11" s="121" t="s">
        <v>47</v>
      </c>
      <c r="Q11" s="147">
        <v>693</v>
      </c>
      <c r="R11" s="149">
        <f t="shared" si="1"/>
        <v>1108800</v>
      </c>
      <c r="S11" s="121">
        <v>8</v>
      </c>
      <c r="T11" s="120">
        <f>23.315-21</f>
        <v>2.3150000000000013</v>
      </c>
      <c r="U11" s="120">
        <v>5.43</v>
      </c>
      <c r="V11" s="120"/>
      <c r="W11" s="120"/>
      <c r="X11" s="120">
        <v>9</v>
      </c>
      <c r="Y11" s="198">
        <f t="shared" si="0"/>
        <v>99792</v>
      </c>
      <c r="Z11" s="200">
        <v>14.615992</v>
      </c>
      <c r="AA11" s="200">
        <v>102.124679</v>
      </c>
    </row>
    <row r="12" spans="1:27">
      <c r="A12" s="120">
        <v>10</v>
      </c>
      <c r="B12" s="121" t="s">
        <v>22</v>
      </c>
      <c r="C12" s="200">
        <v>9</v>
      </c>
      <c r="D12" s="121" t="s">
        <v>380</v>
      </c>
      <c r="E12" s="120" t="s">
        <v>311</v>
      </c>
      <c r="F12" s="121">
        <v>0</v>
      </c>
      <c r="G12" s="121">
        <v>9</v>
      </c>
      <c r="H12" s="121"/>
      <c r="I12" s="121"/>
      <c r="J12" s="121"/>
      <c r="K12" s="121"/>
      <c r="L12" s="121"/>
      <c r="M12" s="121"/>
      <c r="N12" s="121">
        <v>2</v>
      </c>
      <c r="O12" s="121" t="s">
        <v>301</v>
      </c>
      <c r="P12" s="121" t="s">
        <v>48</v>
      </c>
      <c r="Q12" s="148">
        <v>1434</v>
      </c>
      <c r="R12" s="149">
        <f t="shared" si="1"/>
        <v>2294400</v>
      </c>
      <c r="S12" s="121">
        <v>9</v>
      </c>
      <c r="T12" s="120">
        <f>25.7-23.315</f>
        <v>2.384999999999998</v>
      </c>
      <c r="U12" s="120">
        <v>5.43</v>
      </c>
      <c r="V12" s="120"/>
      <c r="W12" s="120"/>
      <c r="X12" s="120">
        <v>5</v>
      </c>
      <c r="Y12" s="198">
        <f t="shared" si="0"/>
        <v>114720</v>
      </c>
      <c r="Z12" s="200">
        <v>14.626438</v>
      </c>
      <c r="AA12" s="200">
        <v>102.135516</v>
      </c>
    </row>
    <row r="13" spans="1:27">
      <c r="A13" s="120">
        <v>11</v>
      </c>
      <c r="B13" s="121" t="s">
        <v>22</v>
      </c>
      <c r="C13" s="200">
        <v>10</v>
      </c>
      <c r="D13" s="121" t="s">
        <v>381</v>
      </c>
      <c r="E13" s="120" t="s">
        <v>312</v>
      </c>
      <c r="F13" s="121">
        <v>0</v>
      </c>
      <c r="G13" s="121">
        <v>10</v>
      </c>
      <c r="H13" s="121"/>
      <c r="I13" s="121"/>
      <c r="J13" s="121"/>
      <c r="K13" s="121"/>
      <c r="L13" s="121"/>
      <c r="M13" s="121"/>
      <c r="N13" s="121">
        <v>2</v>
      </c>
      <c r="O13" s="121" t="s">
        <v>301</v>
      </c>
      <c r="P13" s="121" t="s">
        <v>49</v>
      </c>
      <c r="Q13" s="148">
        <v>1527</v>
      </c>
      <c r="R13" s="149">
        <f t="shared" si="1"/>
        <v>2443200</v>
      </c>
      <c r="S13" s="121">
        <v>10</v>
      </c>
      <c r="T13" s="120">
        <f>28.3-25.7</f>
        <v>2.6000000000000014</v>
      </c>
      <c r="U13" s="120">
        <v>5.0819999999999999</v>
      </c>
      <c r="V13" s="120"/>
      <c r="W13" s="120"/>
      <c r="X13" s="120">
        <v>7</v>
      </c>
      <c r="Y13" s="198">
        <f t="shared" si="0"/>
        <v>171024</v>
      </c>
      <c r="Z13" s="200">
        <v>14.648394</v>
      </c>
      <c r="AA13" s="200">
        <v>102.14499600000001</v>
      </c>
    </row>
    <row r="14" spans="1:27">
      <c r="A14" s="120">
        <v>12</v>
      </c>
      <c r="B14" s="121" t="s">
        <v>22</v>
      </c>
      <c r="C14" s="200">
        <v>11</v>
      </c>
      <c r="D14" s="121" t="s">
        <v>382</v>
      </c>
      <c r="E14" s="120" t="s">
        <v>313</v>
      </c>
      <c r="F14" s="121">
        <v>0</v>
      </c>
      <c r="G14" s="121">
        <v>11</v>
      </c>
      <c r="H14" s="121"/>
      <c r="I14" s="121"/>
      <c r="J14" s="121"/>
      <c r="K14" s="121"/>
      <c r="L14" s="121"/>
      <c r="M14" s="121"/>
      <c r="N14" s="121">
        <v>2</v>
      </c>
      <c r="O14" s="121" t="s">
        <v>301</v>
      </c>
      <c r="P14" s="121" t="s">
        <v>50</v>
      </c>
      <c r="Q14" s="148">
        <v>2611</v>
      </c>
      <c r="R14" s="149">
        <f t="shared" si="1"/>
        <v>4177600</v>
      </c>
      <c r="S14" s="121">
        <v>11</v>
      </c>
      <c r="T14" s="120">
        <f>36.01-28.3</f>
        <v>7.7099999999999973</v>
      </c>
      <c r="U14" s="120">
        <f>(4.486+4.806)/2</f>
        <v>4.6459999999999999</v>
      </c>
      <c r="V14" s="120"/>
      <c r="W14" s="120"/>
      <c r="X14" s="120">
        <v>6</v>
      </c>
      <c r="Y14" s="198">
        <f t="shared" si="0"/>
        <v>250656</v>
      </c>
      <c r="Z14" s="200">
        <v>14.653169</v>
      </c>
      <c r="AA14" s="200">
        <v>102.130342</v>
      </c>
    </row>
    <row r="15" spans="1:27">
      <c r="A15" s="120">
        <v>13</v>
      </c>
      <c r="B15" s="121" t="s">
        <v>22</v>
      </c>
      <c r="C15" s="200">
        <v>12</v>
      </c>
      <c r="D15" s="121" t="s">
        <v>383</v>
      </c>
      <c r="E15" s="120" t="s">
        <v>314</v>
      </c>
      <c r="F15" s="121">
        <v>0</v>
      </c>
      <c r="G15" s="121">
        <v>12</v>
      </c>
      <c r="H15" s="121"/>
      <c r="I15" s="121"/>
      <c r="J15" s="121"/>
      <c r="K15" s="121"/>
      <c r="L15" s="121"/>
      <c r="M15" s="121"/>
      <c r="N15" s="121">
        <v>2</v>
      </c>
      <c r="O15" s="121" t="s">
        <v>301</v>
      </c>
      <c r="P15" s="121" t="s">
        <v>51</v>
      </c>
      <c r="Q15" s="148">
        <v>449</v>
      </c>
      <c r="R15" s="149">
        <f t="shared" si="1"/>
        <v>718400</v>
      </c>
      <c r="S15" s="121">
        <v>12</v>
      </c>
      <c r="T15" s="120">
        <f>37.859-36.01</f>
        <v>1.8490000000000038</v>
      </c>
      <c r="U15" s="120">
        <v>4.1790000000000003</v>
      </c>
      <c r="V15" s="120"/>
      <c r="W15" s="120"/>
      <c r="X15" s="120">
        <v>12</v>
      </c>
      <c r="Y15" s="198">
        <f t="shared" si="0"/>
        <v>86208</v>
      </c>
      <c r="Z15" s="200">
        <v>14.670548</v>
      </c>
      <c r="AA15" s="200">
        <v>102.14128599999999</v>
      </c>
    </row>
    <row r="16" spans="1:27">
      <c r="A16" s="120">
        <v>14</v>
      </c>
      <c r="B16" s="121" t="s">
        <v>22</v>
      </c>
      <c r="C16" s="200">
        <v>13</v>
      </c>
      <c r="D16" s="121" t="s">
        <v>384</v>
      </c>
      <c r="E16" s="120" t="s">
        <v>315</v>
      </c>
      <c r="F16" s="121">
        <v>0</v>
      </c>
      <c r="G16" s="121">
        <v>13</v>
      </c>
      <c r="H16" s="121"/>
      <c r="I16" s="121"/>
      <c r="J16" s="121"/>
      <c r="K16" s="121"/>
      <c r="L16" s="121"/>
      <c r="M16" s="121"/>
      <c r="N16" s="121">
        <v>2</v>
      </c>
      <c r="O16" s="121" t="s">
        <v>301</v>
      </c>
      <c r="P16" s="121" t="s">
        <v>52</v>
      </c>
      <c r="Q16" s="148">
        <v>65</v>
      </c>
      <c r="R16" s="149">
        <f t="shared" si="1"/>
        <v>104000</v>
      </c>
      <c r="S16" s="121">
        <v>13</v>
      </c>
      <c r="T16" s="120">
        <f>38.1-37.859</f>
        <v>0.24099999999999966</v>
      </c>
      <c r="U16" s="120">
        <v>4.1790000000000003</v>
      </c>
      <c r="V16" s="120"/>
      <c r="W16" s="120"/>
      <c r="X16" s="120">
        <v>10</v>
      </c>
      <c r="Y16" s="198">
        <f t="shared" si="0"/>
        <v>10400</v>
      </c>
      <c r="Z16" s="200">
        <v>14.678656</v>
      </c>
      <c r="AA16" s="200">
        <v>102.13997500000001</v>
      </c>
    </row>
    <row r="17" spans="1:28">
      <c r="A17" s="120">
        <v>15</v>
      </c>
      <c r="B17" s="121" t="s">
        <v>22</v>
      </c>
      <c r="C17" s="200">
        <v>14</v>
      </c>
      <c r="D17" s="121" t="s">
        <v>385</v>
      </c>
      <c r="E17" s="120" t="s">
        <v>316</v>
      </c>
      <c r="F17" s="121">
        <v>0</v>
      </c>
      <c r="G17" s="121">
        <v>14</v>
      </c>
      <c r="H17" s="121"/>
      <c r="I17" s="121"/>
      <c r="J17" s="121"/>
      <c r="K17" s="121"/>
      <c r="L17" s="121"/>
      <c r="M17" s="121"/>
      <c r="N17" s="121">
        <v>2</v>
      </c>
      <c r="O17" s="121" t="s">
        <v>301</v>
      </c>
      <c r="P17" s="121" t="s">
        <v>53</v>
      </c>
      <c r="Q17" s="148">
        <v>104</v>
      </c>
      <c r="R17" s="149">
        <f t="shared" si="1"/>
        <v>166400</v>
      </c>
      <c r="S17" s="121">
        <v>14</v>
      </c>
      <c r="T17" s="120">
        <f>39.05-38.1</f>
        <v>0.94999999999999574</v>
      </c>
      <c r="U17" s="120">
        <f>(0.205+0.159)/2</f>
        <v>0.182</v>
      </c>
      <c r="V17" s="120"/>
      <c r="W17" s="120"/>
      <c r="X17" s="120">
        <v>15</v>
      </c>
      <c r="Y17" s="198">
        <f t="shared" si="0"/>
        <v>24960</v>
      </c>
      <c r="Z17" s="200">
        <v>14.682893</v>
      </c>
      <c r="AA17" s="200">
        <v>102.139456</v>
      </c>
    </row>
    <row r="18" spans="1:28">
      <c r="A18" s="120">
        <v>16</v>
      </c>
      <c r="B18" s="121" t="s">
        <v>22</v>
      </c>
      <c r="C18" s="200"/>
      <c r="D18" s="121" t="s">
        <v>135</v>
      </c>
      <c r="E18" s="120" t="s">
        <v>317</v>
      </c>
      <c r="F18" s="121">
        <v>0</v>
      </c>
      <c r="G18" s="121">
        <v>15</v>
      </c>
      <c r="H18" s="121"/>
      <c r="I18" s="121"/>
      <c r="J18" s="121"/>
      <c r="K18" s="121"/>
      <c r="L18" s="121"/>
      <c r="M18" s="121"/>
      <c r="N18" s="121">
        <v>2</v>
      </c>
      <c r="O18" s="121" t="s">
        <v>301</v>
      </c>
      <c r="P18" s="121" t="s">
        <v>54</v>
      </c>
      <c r="Q18" s="148"/>
      <c r="R18" s="120"/>
      <c r="S18" s="121"/>
      <c r="T18" s="120"/>
      <c r="U18" s="120"/>
      <c r="V18" s="120"/>
      <c r="W18" s="120"/>
      <c r="X18" s="120">
        <v>0</v>
      </c>
      <c r="Y18" s="198">
        <f t="shared" si="0"/>
        <v>0</v>
      </c>
      <c r="Z18" s="199"/>
      <c r="AA18" s="199"/>
    </row>
    <row r="19" spans="1:28">
      <c r="A19" s="150"/>
      <c r="B19" s="151"/>
      <c r="C19" s="199"/>
      <c r="D19" s="150"/>
      <c r="E19" s="150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2"/>
      <c r="R19" s="153"/>
      <c r="S19" s="151"/>
      <c r="T19" s="150"/>
      <c r="U19" s="150"/>
      <c r="V19" s="150"/>
      <c r="W19" s="150"/>
      <c r="X19" s="150"/>
      <c r="Y19" s="198">
        <f t="shared" si="0"/>
        <v>0</v>
      </c>
      <c r="Z19" s="199"/>
      <c r="AA19" s="199"/>
    </row>
    <row r="20" spans="1:28">
      <c r="A20" s="120">
        <v>17</v>
      </c>
      <c r="B20" s="121" t="s">
        <v>20</v>
      </c>
      <c r="C20" s="200">
        <v>35</v>
      </c>
      <c r="D20" s="121" t="s">
        <v>408</v>
      </c>
      <c r="E20" s="120" t="s">
        <v>323</v>
      </c>
      <c r="F20" s="121">
        <v>0</v>
      </c>
      <c r="G20" s="121">
        <v>2</v>
      </c>
      <c r="H20" s="121">
        <v>1</v>
      </c>
      <c r="I20" s="121">
        <v>0</v>
      </c>
      <c r="J20" s="121"/>
      <c r="K20" s="121"/>
      <c r="L20" s="121"/>
      <c r="M20" s="121"/>
      <c r="N20" s="121">
        <v>6</v>
      </c>
      <c r="O20" s="121" t="s">
        <v>17</v>
      </c>
      <c r="P20" s="121" t="s">
        <v>40</v>
      </c>
      <c r="Q20" s="147">
        <v>419</v>
      </c>
      <c r="R20" s="149">
        <f>Q20*1600</f>
        <v>670400</v>
      </c>
      <c r="S20" s="121">
        <f>C20</f>
        <v>35</v>
      </c>
      <c r="T20" s="120">
        <f>2.42-0</f>
        <v>2.42</v>
      </c>
      <c r="U20" s="120">
        <v>1.375</v>
      </c>
      <c r="V20" s="120"/>
      <c r="W20" s="120"/>
      <c r="X20" s="120">
        <v>9</v>
      </c>
      <c r="Y20" s="198">
        <f t="shared" si="0"/>
        <v>60336</v>
      </c>
      <c r="Z20" s="200">
        <v>14.504712</v>
      </c>
      <c r="AA20" s="200">
        <v>102.15958000000001</v>
      </c>
      <c r="AB20" t="s">
        <v>416</v>
      </c>
    </row>
    <row r="21" spans="1:28">
      <c r="A21" s="120">
        <v>18</v>
      </c>
      <c r="B21" s="121" t="s">
        <v>20</v>
      </c>
      <c r="C21" s="200">
        <v>36</v>
      </c>
      <c r="D21" s="121" t="s">
        <v>409</v>
      </c>
      <c r="E21" s="120" t="s">
        <v>324</v>
      </c>
      <c r="F21" s="121">
        <v>0</v>
      </c>
      <c r="G21" s="121">
        <v>2</v>
      </c>
      <c r="H21" s="121">
        <v>1</v>
      </c>
      <c r="I21" s="121">
        <v>1</v>
      </c>
      <c r="J21" s="121"/>
      <c r="K21" s="121"/>
      <c r="L21" s="121"/>
      <c r="M21" s="121"/>
      <c r="N21" s="121">
        <v>6</v>
      </c>
      <c r="O21" s="121" t="s">
        <v>17</v>
      </c>
      <c r="P21" s="121" t="s">
        <v>35</v>
      </c>
      <c r="Q21" s="148">
        <v>1242</v>
      </c>
      <c r="R21" s="149">
        <f>Q21*1600</f>
        <v>1987200</v>
      </c>
      <c r="S21" s="121">
        <f t="shared" ref="S21:S22" si="2">C21</f>
        <v>36</v>
      </c>
      <c r="T21" s="120">
        <f>4.52-2.42</f>
        <v>2.0999999999999996</v>
      </c>
      <c r="U21" s="120">
        <v>1.375</v>
      </c>
      <c r="V21" s="120"/>
      <c r="W21" s="120"/>
      <c r="X21" s="120">
        <v>11</v>
      </c>
      <c r="Y21" s="198">
        <f t="shared" si="0"/>
        <v>218592</v>
      </c>
      <c r="Z21" s="200">
        <v>14.520289999999999</v>
      </c>
      <c r="AA21" s="200">
        <v>102.16702600000001</v>
      </c>
      <c r="AB21" t="s">
        <v>417</v>
      </c>
    </row>
    <row r="22" spans="1:28">
      <c r="A22" s="120">
        <v>19</v>
      </c>
      <c r="B22" s="121" t="s">
        <v>20</v>
      </c>
      <c r="C22" s="200">
        <v>37</v>
      </c>
      <c r="D22" s="121" t="s">
        <v>410</v>
      </c>
      <c r="E22" s="120" t="s">
        <v>325</v>
      </c>
      <c r="F22" s="121">
        <v>0</v>
      </c>
      <c r="G22" s="121">
        <v>2</v>
      </c>
      <c r="H22" s="121">
        <v>1</v>
      </c>
      <c r="I22" s="121">
        <v>2</v>
      </c>
      <c r="J22" s="121"/>
      <c r="K22" s="121"/>
      <c r="L22" s="121"/>
      <c r="M22" s="121"/>
      <c r="N22" s="121">
        <v>6</v>
      </c>
      <c r="O22" s="121" t="s">
        <v>17</v>
      </c>
      <c r="P22" s="121" t="s">
        <v>36</v>
      </c>
      <c r="Q22" s="148">
        <v>1728</v>
      </c>
      <c r="R22" s="149">
        <f>Q22*1600</f>
        <v>2764800</v>
      </c>
      <c r="S22" s="121">
        <f t="shared" si="2"/>
        <v>37</v>
      </c>
      <c r="T22" s="120">
        <f>6.78-4.52</f>
        <v>2.2600000000000007</v>
      </c>
      <c r="U22" s="120">
        <v>1.234</v>
      </c>
      <c r="V22" s="120"/>
      <c r="W22" s="120"/>
      <c r="X22" s="120">
        <v>14</v>
      </c>
      <c r="Y22" s="198">
        <f t="shared" si="0"/>
        <v>387072</v>
      </c>
      <c r="Z22" s="200">
        <v>14.532162</v>
      </c>
      <c r="AA22" s="200">
        <v>102.175128</v>
      </c>
      <c r="AB22" t="s">
        <v>418</v>
      </c>
    </row>
    <row r="23" spans="1:28">
      <c r="A23" s="120">
        <v>20</v>
      </c>
      <c r="B23" s="121" t="s">
        <v>20</v>
      </c>
      <c r="C23" s="200"/>
      <c r="D23" s="121" t="s">
        <v>37</v>
      </c>
      <c r="E23" s="120" t="s">
        <v>336</v>
      </c>
      <c r="F23" s="121">
        <v>0</v>
      </c>
      <c r="G23" s="121">
        <v>2</v>
      </c>
      <c r="H23" s="121">
        <v>1</v>
      </c>
      <c r="I23" s="121">
        <v>3</v>
      </c>
      <c r="J23" s="121"/>
      <c r="K23" s="121"/>
      <c r="L23" s="121"/>
      <c r="M23" s="121"/>
      <c r="N23" s="121">
        <v>6</v>
      </c>
      <c r="O23" s="121" t="s">
        <v>17</v>
      </c>
      <c r="P23" s="121" t="s">
        <v>37</v>
      </c>
      <c r="Q23" s="148"/>
      <c r="R23" s="149"/>
      <c r="S23" s="121"/>
      <c r="T23" s="120"/>
      <c r="U23" s="120"/>
      <c r="V23" s="120"/>
      <c r="W23" s="120"/>
      <c r="X23" s="120">
        <v>8</v>
      </c>
      <c r="Y23" s="198">
        <f t="shared" si="0"/>
        <v>0</v>
      </c>
      <c r="Z23" s="199"/>
      <c r="AA23" s="199"/>
    </row>
    <row r="24" spans="1:28">
      <c r="A24" s="150"/>
      <c r="B24" s="151"/>
      <c r="C24" s="200"/>
      <c r="D24" s="151"/>
      <c r="E24" s="150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2"/>
      <c r="R24" s="153"/>
      <c r="S24" s="151"/>
      <c r="T24" s="150"/>
      <c r="U24" s="150"/>
      <c r="V24" s="150"/>
      <c r="W24" s="150"/>
      <c r="X24" s="150"/>
      <c r="Y24" s="198">
        <f t="shared" si="0"/>
        <v>0</v>
      </c>
      <c r="Z24" s="199"/>
      <c r="AA24" s="199"/>
    </row>
    <row r="25" spans="1:28" s="206" customFormat="1">
      <c r="A25" s="201">
        <v>5</v>
      </c>
      <c r="B25" s="202" t="s">
        <v>21</v>
      </c>
      <c r="C25" s="202">
        <v>38</v>
      </c>
      <c r="D25" s="202" t="s">
        <v>411</v>
      </c>
      <c r="E25" s="201" t="s">
        <v>328</v>
      </c>
      <c r="F25" s="202">
        <v>0</v>
      </c>
      <c r="G25" s="202">
        <v>2</v>
      </c>
      <c r="H25" s="202">
        <v>1</v>
      </c>
      <c r="I25" s="202">
        <v>1</v>
      </c>
      <c r="J25" s="202">
        <v>1</v>
      </c>
      <c r="K25" s="202">
        <v>0</v>
      </c>
      <c r="L25" s="202"/>
      <c r="M25" s="202"/>
      <c r="N25" s="202">
        <v>6</v>
      </c>
      <c r="O25" s="202" t="s">
        <v>18</v>
      </c>
      <c r="P25" s="202" t="s">
        <v>40</v>
      </c>
      <c r="Q25" s="203">
        <v>753</v>
      </c>
      <c r="R25" s="204">
        <f t="shared" ref="R25:R29" si="3">Q25*1600</f>
        <v>1204800</v>
      </c>
      <c r="S25" s="202">
        <f>C25</f>
        <v>38</v>
      </c>
      <c r="T25" s="201">
        <f>1.85-0</f>
        <v>1.85</v>
      </c>
      <c r="U25" s="201">
        <v>0.81499999999999995</v>
      </c>
      <c r="V25" s="201"/>
      <c r="W25" s="201"/>
      <c r="X25" s="201">
        <v>12</v>
      </c>
      <c r="Y25" s="205">
        <f t="shared" si="0"/>
        <v>144576</v>
      </c>
      <c r="Z25" s="202">
        <v>14.534367</v>
      </c>
      <c r="AA25" s="202">
        <v>102.168297</v>
      </c>
      <c r="AB25" s="206" t="s">
        <v>419</v>
      </c>
    </row>
    <row r="26" spans="1:28" s="206" customFormat="1">
      <c r="A26" s="201">
        <v>6</v>
      </c>
      <c r="B26" s="202" t="s">
        <v>21</v>
      </c>
      <c r="C26" s="202">
        <v>39</v>
      </c>
      <c r="D26" s="202" t="s">
        <v>412</v>
      </c>
      <c r="E26" s="201" t="s">
        <v>329</v>
      </c>
      <c r="F26" s="202">
        <v>0</v>
      </c>
      <c r="G26" s="202">
        <v>2</v>
      </c>
      <c r="H26" s="202">
        <v>1</v>
      </c>
      <c r="I26" s="202">
        <v>1</v>
      </c>
      <c r="J26" s="202">
        <v>1</v>
      </c>
      <c r="K26" s="202">
        <v>1</v>
      </c>
      <c r="L26" s="202"/>
      <c r="M26" s="202"/>
      <c r="N26" s="202">
        <v>6</v>
      </c>
      <c r="O26" s="202" t="s">
        <v>18</v>
      </c>
      <c r="P26" s="202" t="s">
        <v>41</v>
      </c>
      <c r="Q26" s="203">
        <v>400</v>
      </c>
      <c r="R26" s="204">
        <f t="shared" si="3"/>
        <v>640000</v>
      </c>
      <c r="S26" s="202">
        <f>C26</f>
        <v>39</v>
      </c>
      <c r="T26" s="201">
        <f>2.6-1.85</f>
        <v>0.75</v>
      </c>
      <c r="U26" s="201">
        <v>0.39700000000000002</v>
      </c>
      <c r="V26" s="201"/>
      <c r="W26" s="201"/>
      <c r="X26" s="201">
        <v>10</v>
      </c>
      <c r="Y26" s="205">
        <f t="shared" si="0"/>
        <v>64000</v>
      </c>
      <c r="Z26" s="202">
        <v>14.542187</v>
      </c>
      <c r="AA26" s="202">
        <v>102.169544</v>
      </c>
      <c r="AB26" s="206" t="s">
        <v>420</v>
      </c>
    </row>
    <row r="27" spans="1:28" s="206" customFormat="1">
      <c r="A27" s="201">
        <v>7</v>
      </c>
      <c r="B27" s="202" t="s">
        <v>21</v>
      </c>
      <c r="C27" s="202">
        <v>41</v>
      </c>
      <c r="D27" s="202" t="s">
        <v>413</v>
      </c>
      <c r="E27" s="201" t="s">
        <v>330</v>
      </c>
      <c r="F27" s="202">
        <v>0</v>
      </c>
      <c r="G27" s="202">
        <v>2</v>
      </c>
      <c r="H27" s="202">
        <v>1</v>
      </c>
      <c r="I27" s="202">
        <v>1</v>
      </c>
      <c r="J27" s="202">
        <v>1</v>
      </c>
      <c r="K27" s="202">
        <v>2</v>
      </c>
      <c r="L27" s="202"/>
      <c r="M27" s="202"/>
      <c r="N27" s="202">
        <v>6</v>
      </c>
      <c r="O27" s="202" t="s">
        <v>18</v>
      </c>
      <c r="P27" s="202" t="s">
        <v>169</v>
      </c>
      <c r="Q27" s="203">
        <v>205</v>
      </c>
      <c r="R27" s="204">
        <f t="shared" si="3"/>
        <v>328000</v>
      </c>
      <c r="S27" s="202">
        <f>C27</f>
        <v>41</v>
      </c>
      <c r="T27" s="201">
        <f>3-2.6</f>
        <v>0.39999999999999991</v>
      </c>
      <c r="U27" s="201">
        <v>0.20499999999999999</v>
      </c>
      <c r="V27" s="201"/>
      <c r="W27" s="201"/>
      <c r="X27" s="201">
        <v>2</v>
      </c>
      <c r="Y27" s="205">
        <f t="shared" si="0"/>
        <v>6560</v>
      </c>
      <c r="Z27" s="202">
        <v>14.546393</v>
      </c>
      <c r="AA27" s="202">
        <v>102.172391</v>
      </c>
      <c r="AB27" s="206" t="s">
        <v>422</v>
      </c>
    </row>
    <row r="28" spans="1:28" s="206" customFormat="1">
      <c r="A28" s="201">
        <v>9</v>
      </c>
      <c r="B28" s="202" t="s">
        <v>21</v>
      </c>
      <c r="C28" s="202"/>
      <c r="D28" s="202" t="s">
        <v>38</v>
      </c>
      <c r="E28" s="201" t="s">
        <v>332</v>
      </c>
      <c r="F28" s="202">
        <v>0</v>
      </c>
      <c r="G28" s="202">
        <v>2</v>
      </c>
      <c r="H28" s="202">
        <v>1</v>
      </c>
      <c r="I28" s="202">
        <v>1</v>
      </c>
      <c r="J28" s="202">
        <v>1</v>
      </c>
      <c r="K28" s="202">
        <v>3</v>
      </c>
      <c r="L28" s="202"/>
      <c r="M28" s="202"/>
      <c r="N28" s="202">
        <v>6</v>
      </c>
      <c r="O28" s="202" t="s">
        <v>18</v>
      </c>
      <c r="P28" s="202"/>
      <c r="Q28" s="203"/>
      <c r="R28" s="204">
        <f t="shared" si="3"/>
        <v>0</v>
      </c>
      <c r="S28" s="202"/>
      <c r="T28" s="201"/>
      <c r="U28" s="201"/>
      <c r="V28" s="201"/>
      <c r="W28" s="201"/>
      <c r="X28" s="201">
        <v>5</v>
      </c>
      <c r="Y28" s="205">
        <f t="shared" si="0"/>
        <v>0</v>
      </c>
      <c r="Z28" s="202"/>
      <c r="AA28" s="202"/>
    </row>
    <row r="29" spans="1:28" s="206" customFormat="1">
      <c r="A29" s="201"/>
      <c r="B29" s="202" t="s">
        <v>326</v>
      </c>
      <c r="C29" s="202">
        <v>40</v>
      </c>
      <c r="D29" s="202" t="s">
        <v>412</v>
      </c>
      <c r="E29" s="201" t="s">
        <v>331</v>
      </c>
      <c r="F29" s="202">
        <v>0</v>
      </c>
      <c r="G29" s="202">
        <v>2</v>
      </c>
      <c r="H29" s="202">
        <v>1</v>
      </c>
      <c r="I29" s="202">
        <v>1</v>
      </c>
      <c r="J29" s="202">
        <v>1</v>
      </c>
      <c r="K29" s="202">
        <v>2</v>
      </c>
      <c r="L29" s="202">
        <v>1</v>
      </c>
      <c r="M29" s="202">
        <v>0</v>
      </c>
      <c r="N29" s="202"/>
      <c r="O29" s="202" t="s">
        <v>327</v>
      </c>
      <c r="P29" s="202"/>
      <c r="Q29" s="203">
        <v>337</v>
      </c>
      <c r="R29" s="204">
        <f t="shared" si="3"/>
        <v>539200</v>
      </c>
      <c r="S29" s="202">
        <f>C29</f>
        <v>40</v>
      </c>
      <c r="T29" s="201">
        <v>0.2</v>
      </c>
      <c r="U29" s="201"/>
      <c r="V29" s="201"/>
      <c r="W29" s="201"/>
      <c r="X29" s="201">
        <v>8</v>
      </c>
      <c r="Y29" s="205">
        <f t="shared" si="0"/>
        <v>43136</v>
      </c>
      <c r="Z29" s="202">
        <v>14.548503</v>
      </c>
      <c r="AA29" s="202">
        <v>102.168876</v>
      </c>
      <c r="AB29" s="206" t="s">
        <v>421</v>
      </c>
    </row>
    <row r="30" spans="1:28">
      <c r="A30" s="150"/>
      <c r="B30" s="151"/>
      <c r="C30" s="199"/>
      <c r="D30" s="150"/>
      <c r="E30" s="150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2"/>
      <c r="R30" s="153"/>
      <c r="S30" s="151"/>
      <c r="T30" s="150"/>
      <c r="U30" s="150"/>
      <c r="V30" s="150"/>
      <c r="W30" s="150"/>
      <c r="X30" s="150"/>
      <c r="Y30" s="198">
        <f t="shared" si="0"/>
        <v>0</v>
      </c>
      <c r="Z30" s="199"/>
      <c r="AA30" s="199"/>
    </row>
    <row r="31" spans="1:28">
      <c r="A31" s="120">
        <v>23</v>
      </c>
      <c r="B31" s="121" t="s">
        <v>23</v>
      </c>
      <c r="C31" s="200">
        <v>15</v>
      </c>
      <c r="D31" s="121" t="s">
        <v>386</v>
      </c>
      <c r="E31" s="120" t="s">
        <v>333</v>
      </c>
      <c r="F31" s="121">
        <v>0</v>
      </c>
      <c r="G31" s="121">
        <v>4</v>
      </c>
      <c r="H31" s="121">
        <v>1</v>
      </c>
      <c r="I31" s="121">
        <v>0</v>
      </c>
      <c r="J31" s="121"/>
      <c r="K31" s="121"/>
      <c r="L31" s="121"/>
      <c r="M31" s="121"/>
      <c r="N31" s="121">
        <v>3</v>
      </c>
      <c r="O31" s="121" t="s">
        <v>17</v>
      </c>
      <c r="P31" s="121" t="s">
        <v>40</v>
      </c>
      <c r="Q31" s="147">
        <v>2620</v>
      </c>
      <c r="R31" s="149">
        <f t="shared" ref="R31:R62" si="4">Q31*1600</f>
        <v>4192000</v>
      </c>
      <c r="S31" s="121">
        <v>15</v>
      </c>
      <c r="T31" s="120">
        <f>5.75</f>
        <v>5.75</v>
      </c>
      <c r="U31" s="120">
        <v>2.2010000000000001</v>
      </c>
      <c r="V31" s="120"/>
      <c r="W31" s="120"/>
      <c r="X31" s="120">
        <v>0</v>
      </c>
      <c r="Y31" s="198">
        <f t="shared" si="0"/>
        <v>0</v>
      </c>
      <c r="Z31" s="200">
        <v>14.568059999999999</v>
      </c>
      <c r="AA31" s="200">
        <v>102.16658</v>
      </c>
    </row>
    <row r="32" spans="1:28">
      <c r="A32" s="120">
        <v>24</v>
      </c>
      <c r="B32" s="121" t="s">
        <v>23</v>
      </c>
      <c r="C32" s="200">
        <v>16</v>
      </c>
      <c r="D32" s="121" t="s">
        <v>387</v>
      </c>
      <c r="E32" s="120" t="s">
        <v>334</v>
      </c>
      <c r="F32" s="121">
        <v>0</v>
      </c>
      <c r="G32" s="121">
        <v>4</v>
      </c>
      <c r="H32" s="121">
        <v>1</v>
      </c>
      <c r="I32" s="121">
        <v>1</v>
      </c>
      <c r="J32" s="121"/>
      <c r="K32" s="121"/>
      <c r="L32" s="121"/>
      <c r="M32" s="121"/>
      <c r="N32" s="121">
        <v>3</v>
      </c>
      <c r="O32" s="121" t="s">
        <v>17</v>
      </c>
      <c r="P32" s="121" t="s">
        <v>55</v>
      </c>
      <c r="Q32" s="148">
        <v>1348</v>
      </c>
      <c r="R32" s="149">
        <f t="shared" si="4"/>
        <v>2156800</v>
      </c>
      <c r="S32" s="121">
        <v>16</v>
      </c>
      <c r="T32" s="120">
        <f>7.9-5.75</f>
        <v>2.1500000000000004</v>
      </c>
      <c r="U32" s="120">
        <v>1.927</v>
      </c>
      <c r="V32" s="120"/>
      <c r="W32" s="120"/>
      <c r="X32" s="120">
        <v>2</v>
      </c>
      <c r="Y32" s="198">
        <f t="shared" si="0"/>
        <v>43136</v>
      </c>
      <c r="Z32" s="200">
        <v>14.581917000000001</v>
      </c>
      <c r="AA32" s="200">
        <v>102.16524200000001</v>
      </c>
    </row>
    <row r="33" spans="1:27">
      <c r="A33" s="120">
        <v>25</v>
      </c>
      <c r="B33" s="121" t="s">
        <v>23</v>
      </c>
      <c r="C33" s="200">
        <v>17</v>
      </c>
      <c r="D33" s="121" t="s">
        <v>388</v>
      </c>
      <c r="E33" s="120" t="s">
        <v>335</v>
      </c>
      <c r="F33" s="121">
        <v>0</v>
      </c>
      <c r="G33" s="121">
        <v>4</v>
      </c>
      <c r="H33" s="121">
        <v>1</v>
      </c>
      <c r="I33" s="121">
        <v>2</v>
      </c>
      <c r="J33" s="121"/>
      <c r="K33" s="121"/>
      <c r="L33" s="121"/>
      <c r="M33" s="121"/>
      <c r="N33" s="121">
        <v>3</v>
      </c>
      <c r="O33" s="121" t="s">
        <v>17</v>
      </c>
      <c r="P33" s="121" t="s">
        <v>56</v>
      </c>
      <c r="Q33" s="148">
        <v>5366</v>
      </c>
      <c r="R33" s="149">
        <f t="shared" si="4"/>
        <v>8585600</v>
      </c>
      <c r="S33" s="121">
        <v>17</v>
      </c>
      <c r="T33" s="120">
        <f>14.5-7.9</f>
        <v>6.6</v>
      </c>
      <c r="U33" s="120">
        <f>(1.044+0.542+0.278)/3</f>
        <v>0.6213333333333334</v>
      </c>
      <c r="V33" s="120"/>
      <c r="W33" s="120"/>
      <c r="X33" s="120">
        <v>3</v>
      </c>
      <c r="Y33" s="198">
        <f t="shared" si="0"/>
        <v>257568</v>
      </c>
      <c r="Z33" s="200">
        <v>14.623034000000001</v>
      </c>
      <c r="AA33" s="200">
        <v>102.145365</v>
      </c>
    </row>
    <row r="34" spans="1:27">
      <c r="A34" s="120">
        <v>26</v>
      </c>
      <c r="B34" s="121" t="s">
        <v>23</v>
      </c>
      <c r="C34" s="199"/>
      <c r="D34" s="121" t="s">
        <v>142</v>
      </c>
      <c r="E34" s="120" t="s">
        <v>337</v>
      </c>
      <c r="F34" s="121">
        <v>0</v>
      </c>
      <c r="G34" s="121">
        <v>4</v>
      </c>
      <c r="H34" s="121">
        <v>1</v>
      </c>
      <c r="I34" s="121">
        <v>3</v>
      </c>
      <c r="J34" s="121"/>
      <c r="K34" s="121"/>
      <c r="L34" s="121"/>
      <c r="M34" s="121"/>
      <c r="N34" s="121">
        <v>3</v>
      </c>
      <c r="O34" s="121" t="s">
        <v>17</v>
      </c>
      <c r="P34" s="121" t="s">
        <v>57</v>
      </c>
      <c r="Q34" s="148"/>
      <c r="R34" s="149"/>
      <c r="S34" s="121"/>
      <c r="T34" s="120"/>
      <c r="U34" s="120"/>
      <c r="V34" s="120"/>
      <c r="W34" s="120"/>
      <c r="X34" s="120">
        <v>1</v>
      </c>
      <c r="Y34" s="198">
        <f t="shared" si="0"/>
        <v>0</v>
      </c>
      <c r="Z34" s="200"/>
      <c r="AA34" s="200"/>
    </row>
    <row r="35" spans="1:27">
      <c r="A35" s="120">
        <v>27</v>
      </c>
      <c r="B35" s="121" t="s">
        <v>24</v>
      </c>
      <c r="C35" s="200">
        <v>18</v>
      </c>
      <c r="D35" s="121" t="s">
        <v>389</v>
      </c>
      <c r="E35" s="120" t="s">
        <v>338</v>
      </c>
      <c r="F35" s="121">
        <v>0</v>
      </c>
      <c r="G35" s="121">
        <v>4</v>
      </c>
      <c r="H35" s="121">
        <v>1</v>
      </c>
      <c r="I35" s="121">
        <v>1</v>
      </c>
      <c r="J35" s="121">
        <v>1</v>
      </c>
      <c r="K35" s="121">
        <v>0</v>
      </c>
      <c r="L35" s="121"/>
      <c r="M35" s="121"/>
      <c r="N35" s="121">
        <v>3</v>
      </c>
      <c r="O35" s="121" t="s">
        <v>18</v>
      </c>
      <c r="P35" s="121" t="s">
        <v>40</v>
      </c>
      <c r="Q35" s="148">
        <v>760</v>
      </c>
      <c r="R35" s="149">
        <f t="shared" si="4"/>
        <v>1216000</v>
      </c>
      <c r="S35" s="121">
        <v>18</v>
      </c>
      <c r="T35" s="120">
        <v>3</v>
      </c>
      <c r="U35" s="120">
        <f>(0.397+0.334)/2</f>
        <v>0.36550000000000005</v>
      </c>
      <c r="V35" s="120"/>
      <c r="W35" s="120"/>
      <c r="X35" s="120">
        <v>4</v>
      </c>
      <c r="Y35" s="198">
        <f t="shared" si="0"/>
        <v>48640</v>
      </c>
      <c r="Z35" s="200">
        <v>14.596152999999999</v>
      </c>
      <c r="AA35" s="200">
        <v>102.16225300000001</v>
      </c>
    </row>
    <row r="36" spans="1:27">
      <c r="A36" s="120">
        <v>28</v>
      </c>
      <c r="B36" s="121" t="s">
        <v>24</v>
      </c>
      <c r="C36" s="200"/>
      <c r="D36" s="121" t="s">
        <v>38</v>
      </c>
      <c r="E36" s="120" t="s">
        <v>339</v>
      </c>
      <c r="F36" s="121">
        <v>0</v>
      </c>
      <c r="G36" s="121">
        <v>4</v>
      </c>
      <c r="H36" s="121">
        <v>1</v>
      </c>
      <c r="I36" s="121">
        <v>1</v>
      </c>
      <c r="J36" s="121">
        <v>1</v>
      </c>
      <c r="K36" s="121">
        <v>1</v>
      </c>
      <c r="L36" s="121"/>
      <c r="M36" s="121"/>
      <c r="N36" s="121">
        <v>3</v>
      </c>
      <c r="O36" s="121" t="s">
        <v>18</v>
      </c>
      <c r="P36" s="121" t="s">
        <v>38</v>
      </c>
      <c r="Q36" s="148"/>
      <c r="R36" s="149"/>
      <c r="S36" s="121"/>
      <c r="T36" s="120"/>
      <c r="U36" s="120"/>
      <c r="V36" s="120"/>
      <c r="W36" s="120"/>
      <c r="X36" s="120">
        <v>5</v>
      </c>
      <c r="Y36" s="198">
        <f t="shared" si="0"/>
        <v>0</v>
      </c>
      <c r="Z36" s="200"/>
      <c r="AA36" s="200"/>
    </row>
    <row r="37" spans="1:27">
      <c r="A37" s="120">
        <v>29</v>
      </c>
      <c r="B37" s="121" t="s">
        <v>25</v>
      </c>
      <c r="C37" s="200">
        <v>19</v>
      </c>
      <c r="D37" s="121" t="s">
        <v>390</v>
      </c>
      <c r="E37" s="120" t="s">
        <v>340</v>
      </c>
      <c r="F37" s="121">
        <v>0</v>
      </c>
      <c r="G37" s="121">
        <v>4</v>
      </c>
      <c r="H37" s="121">
        <v>1</v>
      </c>
      <c r="I37" s="121">
        <v>1</v>
      </c>
      <c r="J37" s="121">
        <v>2</v>
      </c>
      <c r="K37" s="121">
        <v>0</v>
      </c>
      <c r="L37" s="121"/>
      <c r="M37" s="121"/>
      <c r="N37" s="121">
        <v>3</v>
      </c>
      <c r="O37" s="121" t="s">
        <v>18</v>
      </c>
      <c r="P37" s="121" t="s">
        <v>40</v>
      </c>
      <c r="Q37" s="148">
        <v>1133</v>
      </c>
      <c r="R37" s="149">
        <f t="shared" si="4"/>
        <v>1812800</v>
      </c>
      <c r="S37" s="121">
        <v>19</v>
      </c>
      <c r="T37" s="120">
        <v>2.5</v>
      </c>
      <c r="U37" s="120">
        <f>(0.334+0.205)/2</f>
        <v>0.26950000000000002</v>
      </c>
      <c r="V37" s="120"/>
      <c r="W37" s="120"/>
      <c r="X37" s="120">
        <v>2</v>
      </c>
      <c r="Y37" s="198">
        <f t="shared" si="0"/>
        <v>36256</v>
      </c>
      <c r="Z37" s="200">
        <v>14.575571999999999</v>
      </c>
      <c r="AA37" s="200">
        <v>102.156921</v>
      </c>
    </row>
    <row r="38" spans="1:27">
      <c r="A38" s="120">
        <v>30</v>
      </c>
      <c r="B38" s="121" t="s">
        <v>25</v>
      </c>
      <c r="C38" s="200"/>
      <c r="D38" s="121" t="s">
        <v>58</v>
      </c>
      <c r="E38" s="120" t="s">
        <v>341</v>
      </c>
      <c r="F38" s="121">
        <v>0</v>
      </c>
      <c r="G38" s="121">
        <v>4</v>
      </c>
      <c r="H38" s="121">
        <v>1</v>
      </c>
      <c r="I38" s="121">
        <v>1</v>
      </c>
      <c r="J38" s="121">
        <v>2</v>
      </c>
      <c r="K38" s="121">
        <v>1</v>
      </c>
      <c r="L38" s="121"/>
      <c r="M38" s="121"/>
      <c r="N38" s="121">
        <v>3</v>
      </c>
      <c r="O38" s="121" t="s">
        <v>18</v>
      </c>
      <c r="P38" s="121" t="s">
        <v>58</v>
      </c>
      <c r="Q38" s="148"/>
      <c r="R38" s="149"/>
      <c r="S38" s="121"/>
      <c r="T38" s="120"/>
      <c r="U38" s="120"/>
      <c r="V38" s="120"/>
      <c r="W38" s="120"/>
      <c r="X38" s="120">
        <v>4</v>
      </c>
      <c r="Y38" s="198">
        <f t="shared" si="0"/>
        <v>0</v>
      </c>
      <c r="Z38" s="200"/>
      <c r="AA38" s="200"/>
    </row>
    <row r="39" spans="1:27">
      <c r="A39" s="150"/>
      <c r="B39" s="151"/>
      <c r="C39" s="199"/>
      <c r="D39" s="150"/>
      <c r="E39" s="150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2"/>
      <c r="R39" s="153"/>
      <c r="S39" s="151"/>
      <c r="T39" s="150"/>
      <c r="U39" s="150"/>
      <c r="V39" s="150"/>
      <c r="W39" s="150"/>
      <c r="X39" s="150"/>
      <c r="Y39" s="198">
        <f t="shared" si="0"/>
        <v>0</v>
      </c>
      <c r="Z39" s="199"/>
      <c r="AA39" s="199"/>
    </row>
    <row r="40" spans="1:27">
      <c r="A40" s="120">
        <v>31</v>
      </c>
      <c r="B40" s="121" t="s">
        <v>26</v>
      </c>
      <c r="C40" s="200">
        <v>20</v>
      </c>
      <c r="D40" s="121" t="s">
        <v>391</v>
      </c>
      <c r="E40" s="120" t="s">
        <v>345</v>
      </c>
      <c r="F40" s="121">
        <v>0</v>
      </c>
      <c r="G40" s="121">
        <v>13</v>
      </c>
      <c r="H40" s="121">
        <v>1</v>
      </c>
      <c r="I40" s="121">
        <v>0</v>
      </c>
      <c r="J40" s="121"/>
      <c r="K40" s="121"/>
      <c r="L40" s="121"/>
      <c r="M40" s="121"/>
      <c r="N40" s="121">
        <v>4</v>
      </c>
      <c r="O40" s="121" t="s">
        <v>17</v>
      </c>
      <c r="P40" s="121" t="s">
        <v>40</v>
      </c>
      <c r="Q40" s="147">
        <v>654</v>
      </c>
      <c r="R40" s="149">
        <f t="shared" si="4"/>
        <v>1046400</v>
      </c>
      <c r="S40" s="121">
        <v>20</v>
      </c>
      <c r="T40" s="120">
        <v>1.72</v>
      </c>
      <c r="U40" s="120">
        <v>3.6520000000000001</v>
      </c>
      <c r="V40" s="120"/>
      <c r="W40" s="120"/>
      <c r="X40" s="120">
        <v>9</v>
      </c>
      <c r="Y40" s="198">
        <f t="shared" si="0"/>
        <v>94176</v>
      </c>
      <c r="Z40" s="200">
        <v>14.681566999999999</v>
      </c>
      <c r="AA40" s="200">
        <v>102.15064099999999</v>
      </c>
    </row>
    <row r="41" spans="1:27">
      <c r="A41" s="120">
        <v>32</v>
      </c>
      <c r="B41" s="121" t="s">
        <v>26</v>
      </c>
      <c r="C41" s="200">
        <v>21</v>
      </c>
      <c r="D41" s="121" t="s">
        <v>392</v>
      </c>
      <c r="E41" s="120" t="s">
        <v>346</v>
      </c>
      <c r="F41" s="121">
        <v>0</v>
      </c>
      <c r="G41" s="121">
        <v>13</v>
      </c>
      <c r="H41" s="121">
        <v>1</v>
      </c>
      <c r="I41" s="121">
        <v>1</v>
      </c>
      <c r="J41" s="121"/>
      <c r="K41" s="121"/>
      <c r="L41" s="121"/>
      <c r="M41" s="121"/>
      <c r="N41" s="121">
        <v>4</v>
      </c>
      <c r="O41" s="121" t="s">
        <v>17</v>
      </c>
      <c r="P41" s="121" t="s">
        <v>59</v>
      </c>
      <c r="Q41" s="148">
        <v>503</v>
      </c>
      <c r="R41" s="149">
        <f t="shared" si="4"/>
        <v>804800</v>
      </c>
      <c r="S41" s="121">
        <v>21</v>
      </c>
      <c r="T41" s="120">
        <f>3-1.72</f>
        <v>1.28</v>
      </c>
      <c r="U41" s="120">
        <v>2.008</v>
      </c>
      <c r="V41" s="120"/>
      <c r="W41" s="120"/>
      <c r="X41" s="120">
        <v>8</v>
      </c>
      <c r="Y41" s="198">
        <f t="shared" si="0"/>
        <v>64384</v>
      </c>
      <c r="Z41" s="200">
        <v>14.686947999999999</v>
      </c>
      <c r="AA41" s="200">
        <v>102.159909</v>
      </c>
    </row>
    <row r="42" spans="1:27">
      <c r="A42" s="120">
        <v>33</v>
      </c>
      <c r="B42" s="121" t="s">
        <v>26</v>
      </c>
      <c r="C42" s="200">
        <v>27</v>
      </c>
      <c r="D42" s="121" t="s">
        <v>393</v>
      </c>
      <c r="E42" s="120" t="s">
        <v>347</v>
      </c>
      <c r="F42" s="121">
        <v>0</v>
      </c>
      <c r="G42" s="121">
        <v>13</v>
      </c>
      <c r="H42" s="121">
        <v>1</v>
      </c>
      <c r="I42" s="121">
        <v>2</v>
      </c>
      <c r="J42" s="121"/>
      <c r="K42" s="121"/>
      <c r="L42" s="121"/>
      <c r="M42" s="121"/>
      <c r="N42" s="121">
        <v>4</v>
      </c>
      <c r="O42" s="121" t="s">
        <v>17</v>
      </c>
      <c r="P42" s="121" t="s">
        <v>38</v>
      </c>
      <c r="Q42" s="148">
        <v>139</v>
      </c>
      <c r="R42" s="149">
        <f t="shared" si="4"/>
        <v>222400</v>
      </c>
      <c r="S42" s="121">
        <f>C42</f>
        <v>27</v>
      </c>
      <c r="T42" s="120">
        <v>1.5</v>
      </c>
      <c r="U42" s="120">
        <v>1.927</v>
      </c>
      <c r="V42" s="120"/>
      <c r="W42" s="120"/>
      <c r="X42" s="120">
        <v>10</v>
      </c>
      <c r="Y42" s="198">
        <f t="shared" si="0"/>
        <v>22240</v>
      </c>
      <c r="Z42" s="200">
        <v>14.694342000000001</v>
      </c>
      <c r="AA42" s="200">
        <v>102.166895</v>
      </c>
    </row>
    <row r="43" spans="1:27">
      <c r="A43" s="120">
        <v>43</v>
      </c>
      <c r="B43" s="121" t="s">
        <v>26</v>
      </c>
      <c r="C43" s="200">
        <v>28</v>
      </c>
      <c r="D43" s="121" t="s">
        <v>394</v>
      </c>
      <c r="E43" s="120" t="s">
        <v>348</v>
      </c>
      <c r="F43" s="121">
        <v>0</v>
      </c>
      <c r="G43" s="121">
        <v>13</v>
      </c>
      <c r="H43" s="121">
        <v>1</v>
      </c>
      <c r="I43" s="121">
        <v>3</v>
      </c>
      <c r="J43" s="121"/>
      <c r="K43" s="121"/>
      <c r="L43" s="121"/>
      <c r="M43" s="121"/>
      <c r="N43" s="121">
        <v>5</v>
      </c>
      <c r="O43" s="121" t="s">
        <v>17</v>
      </c>
      <c r="P43" s="121" t="s">
        <v>60</v>
      </c>
      <c r="Q43" s="148">
        <v>694</v>
      </c>
      <c r="R43" s="149">
        <f>Q43*1600</f>
        <v>1110400</v>
      </c>
      <c r="S43" s="121">
        <v>28</v>
      </c>
      <c r="T43" s="120">
        <f>6.62-4.5</f>
        <v>2.12</v>
      </c>
      <c r="U43" s="120">
        <v>1.1020000000000001</v>
      </c>
      <c r="V43" s="120"/>
      <c r="W43" s="120"/>
      <c r="X43" s="120">
        <v>12</v>
      </c>
      <c r="Y43" s="198">
        <f t="shared" si="0"/>
        <v>133248</v>
      </c>
      <c r="Z43" s="200">
        <v>14.693771999999999</v>
      </c>
      <c r="AA43" s="200">
        <v>102.178651</v>
      </c>
    </row>
    <row r="44" spans="1:27">
      <c r="A44" s="120">
        <v>44</v>
      </c>
      <c r="B44" s="121" t="s">
        <v>26</v>
      </c>
      <c r="C44" s="200">
        <v>29</v>
      </c>
      <c r="D44" s="121" t="s">
        <v>395</v>
      </c>
      <c r="E44" s="120" t="s">
        <v>349</v>
      </c>
      <c r="F44" s="121">
        <v>0</v>
      </c>
      <c r="G44" s="121">
        <v>13</v>
      </c>
      <c r="H44" s="121">
        <v>1</v>
      </c>
      <c r="I44" s="121">
        <v>4</v>
      </c>
      <c r="J44" s="121"/>
      <c r="K44" s="121"/>
      <c r="L44" s="121"/>
      <c r="M44" s="121"/>
      <c r="N44" s="121">
        <v>5</v>
      </c>
      <c r="O44" s="121" t="s">
        <v>17</v>
      </c>
      <c r="P44" s="121" t="s">
        <v>61</v>
      </c>
      <c r="Q44" s="148">
        <v>813</v>
      </c>
      <c r="R44" s="149">
        <f>Q44*1600</f>
        <v>1300800</v>
      </c>
      <c r="S44" s="121">
        <v>29</v>
      </c>
      <c r="T44" s="120">
        <f>8.9-6.62</f>
        <v>2.2800000000000002</v>
      </c>
      <c r="U44" s="120">
        <v>0.67</v>
      </c>
      <c r="V44" s="120"/>
      <c r="W44" s="120"/>
      <c r="X44" s="120">
        <v>11</v>
      </c>
      <c r="Y44" s="198">
        <f t="shared" si="0"/>
        <v>143088</v>
      </c>
      <c r="Z44" s="200">
        <v>14.70623</v>
      </c>
      <c r="AA44" s="200">
        <v>102.18822</v>
      </c>
    </row>
    <row r="45" spans="1:27">
      <c r="A45" s="120">
        <v>45</v>
      </c>
      <c r="B45" s="121" t="s">
        <v>26</v>
      </c>
      <c r="C45" s="200"/>
      <c r="D45" s="121" t="s">
        <v>148</v>
      </c>
      <c r="E45" s="120" t="s">
        <v>350</v>
      </c>
      <c r="F45" s="121">
        <v>0</v>
      </c>
      <c r="G45" s="121">
        <v>13</v>
      </c>
      <c r="H45" s="121">
        <v>1</v>
      </c>
      <c r="I45" s="121">
        <v>5</v>
      </c>
      <c r="J45" s="121"/>
      <c r="K45" s="121"/>
      <c r="L45" s="121"/>
      <c r="M45" s="121"/>
      <c r="N45" s="121">
        <v>5</v>
      </c>
      <c r="O45" s="121" t="s">
        <v>17</v>
      </c>
      <c r="P45" s="121" t="s">
        <v>62</v>
      </c>
      <c r="Q45" s="148"/>
      <c r="R45" s="149">
        <f>Q45*1600</f>
        <v>0</v>
      </c>
      <c r="S45" s="121"/>
      <c r="T45" s="120"/>
      <c r="U45" s="120"/>
      <c r="V45" s="120"/>
      <c r="W45" s="120"/>
      <c r="X45" s="120">
        <v>10</v>
      </c>
      <c r="Y45" s="198">
        <f t="shared" si="0"/>
        <v>0</v>
      </c>
      <c r="Z45" s="200"/>
      <c r="AA45" s="200"/>
    </row>
    <row r="46" spans="1:27">
      <c r="A46" s="120">
        <v>34</v>
      </c>
      <c r="B46" s="121" t="s">
        <v>27</v>
      </c>
      <c r="C46" s="200">
        <v>22</v>
      </c>
      <c r="D46" s="121" t="s">
        <v>396</v>
      </c>
      <c r="E46" s="120" t="s">
        <v>351</v>
      </c>
      <c r="F46" s="121">
        <v>0</v>
      </c>
      <c r="G46" s="121">
        <v>13</v>
      </c>
      <c r="H46" s="121">
        <v>1</v>
      </c>
      <c r="I46" s="121">
        <v>0</v>
      </c>
      <c r="J46" s="121">
        <v>1</v>
      </c>
      <c r="K46" s="121">
        <v>0</v>
      </c>
      <c r="L46" s="121"/>
      <c r="M46" s="121"/>
      <c r="N46" s="121">
        <v>4</v>
      </c>
      <c r="O46" s="121" t="s">
        <v>18</v>
      </c>
      <c r="P46" s="121" t="s">
        <v>40</v>
      </c>
      <c r="Q46" s="147">
        <v>1907</v>
      </c>
      <c r="R46" s="149">
        <f t="shared" si="4"/>
        <v>3051200</v>
      </c>
      <c r="S46" s="121">
        <v>22</v>
      </c>
      <c r="T46" s="120">
        <v>4.55</v>
      </c>
      <c r="U46" s="120">
        <f>(0.431+0.265)/2</f>
        <v>0.34799999999999998</v>
      </c>
      <c r="V46" s="120"/>
      <c r="W46" s="120"/>
      <c r="X46" s="120">
        <v>9</v>
      </c>
      <c r="Y46" s="198">
        <f t="shared" si="0"/>
        <v>274608</v>
      </c>
      <c r="Z46" s="200">
        <v>14.6671</v>
      </c>
      <c r="AA46" s="200">
        <v>102.15993</v>
      </c>
    </row>
    <row r="47" spans="1:27">
      <c r="A47" s="120">
        <v>35</v>
      </c>
      <c r="B47" s="121" t="s">
        <v>27</v>
      </c>
      <c r="C47" s="200"/>
      <c r="D47" s="121" t="s">
        <v>150</v>
      </c>
      <c r="E47" s="120" t="s">
        <v>352</v>
      </c>
      <c r="F47" s="121">
        <v>0</v>
      </c>
      <c r="G47" s="121">
        <v>13</v>
      </c>
      <c r="H47" s="121">
        <v>1</v>
      </c>
      <c r="I47" s="121">
        <v>0</v>
      </c>
      <c r="J47" s="121">
        <v>1</v>
      </c>
      <c r="K47" s="121">
        <v>1</v>
      </c>
      <c r="L47" s="121"/>
      <c r="M47" s="121"/>
      <c r="N47" s="121">
        <v>4</v>
      </c>
      <c r="O47" s="121" t="s">
        <v>18</v>
      </c>
      <c r="P47" s="121" t="s">
        <v>70</v>
      </c>
      <c r="Q47" s="147"/>
      <c r="R47" s="149">
        <f t="shared" si="4"/>
        <v>0</v>
      </c>
      <c r="S47" s="121"/>
      <c r="T47" s="120"/>
      <c r="U47" s="120"/>
      <c r="V47" s="120"/>
      <c r="W47" s="120"/>
      <c r="X47" s="120">
        <v>7</v>
      </c>
      <c r="Y47" s="198">
        <f t="shared" si="0"/>
        <v>0</v>
      </c>
      <c r="Z47" s="200"/>
      <c r="AA47" s="200"/>
    </row>
    <row r="48" spans="1:27">
      <c r="A48" s="120">
        <v>36</v>
      </c>
      <c r="B48" s="121" t="s">
        <v>28</v>
      </c>
      <c r="C48" s="200">
        <v>23</v>
      </c>
      <c r="D48" s="121" t="s">
        <v>397</v>
      </c>
      <c r="E48" s="120" t="s">
        <v>354</v>
      </c>
      <c r="F48" s="121">
        <v>0</v>
      </c>
      <c r="G48" s="121">
        <v>13</v>
      </c>
      <c r="H48" s="121">
        <v>1</v>
      </c>
      <c r="I48" s="121">
        <v>1</v>
      </c>
      <c r="J48" s="121">
        <v>1</v>
      </c>
      <c r="K48" s="121">
        <v>0</v>
      </c>
      <c r="L48" s="121"/>
      <c r="M48" s="121"/>
      <c r="N48" s="121">
        <v>4</v>
      </c>
      <c r="O48" s="121" t="s">
        <v>18</v>
      </c>
      <c r="P48" s="121" t="s">
        <v>40</v>
      </c>
      <c r="Q48" s="147">
        <v>73</v>
      </c>
      <c r="R48" s="149">
        <f t="shared" si="4"/>
        <v>116800</v>
      </c>
      <c r="S48" s="121">
        <v>23</v>
      </c>
      <c r="T48" s="120">
        <v>0.54</v>
      </c>
      <c r="U48" s="120">
        <v>1.2969999999999999</v>
      </c>
      <c r="V48" s="120"/>
      <c r="W48" s="120"/>
      <c r="X48" s="120">
        <v>11</v>
      </c>
      <c r="Y48" s="198">
        <f t="shared" si="0"/>
        <v>12848</v>
      </c>
      <c r="Z48" s="200">
        <v>14.679024</v>
      </c>
      <c r="AA48" s="200">
        <v>102.154371</v>
      </c>
    </row>
    <row r="49" spans="1:27">
      <c r="A49" s="120">
        <v>37</v>
      </c>
      <c r="B49" s="121" t="s">
        <v>28</v>
      </c>
      <c r="C49" s="200">
        <v>24</v>
      </c>
      <c r="D49" s="121" t="s">
        <v>398</v>
      </c>
      <c r="E49" s="120" t="s">
        <v>353</v>
      </c>
      <c r="F49" s="121">
        <v>0</v>
      </c>
      <c r="G49" s="121">
        <v>13</v>
      </c>
      <c r="H49" s="121">
        <v>1</v>
      </c>
      <c r="I49" s="121">
        <v>1</v>
      </c>
      <c r="J49" s="121">
        <v>1</v>
      </c>
      <c r="K49" s="121">
        <v>1</v>
      </c>
      <c r="L49" s="121"/>
      <c r="M49" s="121"/>
      <c r="N49" s="121">
        <v>4</v>
      </c>
      <c r="O49" s="121" t="s">
        <v>18</v>
      </c>
      <c r="P49" s="121" t="s">
        <v>71</v>
      </c>
      <c r="Q49" s="147">
        <v>2124</v>
      </c>
      <c r="R49" s="149">
        <f t="shared" si="4"/>
        <v>3398400</v>
      </c>
      <c r="S49" s="121">
        <v>24</v>
      </c>
      <c r="T49" s="120">
        <f>3.88-0.54</f>
        <v>3.34</v>
      </c>
      <c r="U49" s="120">
        <f>(0.504+0.414+0.25)/3</f>
        <v>0.38933333333333331</v>
      </c>
      <c r="V49" s="120"/>
      <c r="W49" s="120"/>
      <c r="X49" s="120">
        <v>13</v>
      </c>
      <c r="Y49" s="198">
        <f t="shared" si="0"/>
        <v>441792</v>
      </c>
      <c r="Z49" s="200">
        <v>14.6822</v>
      </c>
      <c r="AA49" s="200">
        <v>102.17185000000001</v>
      </c>
    </row>
    <row r="50" spans="1:27">
      <c r="A50" s="120">
        <v>38</v>
      </c>
      <c r="B50" s="121" t="s">
        <v>28</v>
      </c>
      <c r="C50" s="200"/>
      <c r="D50" s="121" t="s">
        <v>152</v>
      </c>
      <c r="E50" s="120" t="s">
        <v>355</v>
      </c>
      <c r="F50" s="121">
        <v>0</v>
      </c>
      <c r="G50" s="121">
        <v>13</v>
      </c>
      <c r="H50" s="121">
        <v>1</v>
      </c>
      <c r="I50" s="121">
        <v>1</v>
      </c>
      <c r="J50" s="121">
        <v>1</v>
      </c>
      <c r="K50" s="121">
        <v>2</v>
      </c>
      <c r="L50" s="121"/>
      <c r="M50" s="121"/>
      <c r="N50" s="121">
        <v>4</v>
      </c>
      <c r="O50" s="121" t="s">
        <v>18</v>
      </c>
      <c r="P50" s="121" t="s">
        <v>72</v>
      </c>
      <c r="Q50" s="147"/>
      <c r="R50" s="149">
        <f t="shared" si="4"/>
        <v>0</v>
      </c>
      <c r="S50" s="121"/>
      <c r="T50" s="120"/>
      <c r="U50" s="120"/>
      <c r="V50" s="120"/>
      <c r="W50" s="120"/>
      <c r="X50" s="120">
        <v>8</v>
      </c>
      <c r="Y50" s="198">
        <f t="shared" si="0"/>
        <v>0</v>
      </c>
      <c r="Z50" s="200"/>
      <c r="AA50" s="200"/>
    </row>
    <row r="51" spans="1:27">
      <c r="A51" s="120">
        <v>39</v>
      </c>
      <c r="B51" s="121" t="s">
        <v>30</v>
      </c>
      <c r="C51" s="200">
        <v>25</v>
      </c>
      <c r="D51" s="121" t="s">
        <v>399</v>
      </c>
      <c r="E51" s="120" t="s">
        <v>356</v>
      </c>
      <c r="F51" s="121">
        <v>0</v>
      </c>
      <c r="G51" s="121">
        <v>13</v>
      </c>
      <c r="H51" s="121">
        <v>1</v>
      </c>
      <c r="I51" s="121">
        <v>1</v>
      </c>
      <c r="J51" s="121">
        <v>1</v>
      </c>
      <c r="K51" s="121">
        <v>0</v>
      </c>
      <c r="L51" s="121">
        <v>1</v>
      </c>
      <c r="M51" s="121">
        <v>0</v>
      </c>
      <c r="N51" s="121">
        <v>4</v>
      </c>
      <c r="O51" s="121" t="s">
        <v>29</v>
      </c>
      <c r="P51" s="121" t="s">
        <v>40</v>
      </c>
      <c r="Q51" s="147">
        <v>1121</v>
      </c>
      <c r="R51" s="149">
        <f t="shared" si="4"/>
        <v>1793600</v>
      </c>
      <c r="S51" s="121">
        <v>25</v>
      </c>
      <c r="T51" s="120">
        <v>3.2</v>
      </c>
      <c r="U51" s="120">
        <f>(0.925+0.768)/2</f>
        <v>0.84650000000000003</v>
      </c>
      <c r="V51" s="120"/>
      <c r="W51" s="120"/>
      <c r="X51" s="120">
        <v>10</v>
      </c>
      <c r="Y51" s="198">
        <f t="shared" si="0"/>
        <v>179360</v>
      </c>
      <c r="Z51" s="200">
        <v>14.675509999999999</v>
      </c>
      <c r="AA51" s="200">
        <v>102.17273</v>
      </c>
    </row>
    <row r="52" spans="1:27">
      <c r="A52" s="154" t="s">
        <v>69</v>
      </c>
      <c r="B52" s="121" t="s">
        <v>30</v>
      </c>
      <c r="C52" s="200">
        <v>26</v>
      </c>
      <c r="D52" s="121" t="s">
        <v>400</v>
      </c>
      <c r="E52" s="120" t="s">
        <v>357</v>
      </c>
      <c r="F52" s="121">
        <v>0</v>
      </c>
      <c r="G52" s="121">
        <v>13</v>
      </c>
      <c r="H52" s="121">
        <v>1</v>
      </c>
      <c r="I52" s="121">
        <v>1</v>
      </c>
      <c r="J52" s="121">
        <v>1</v>
      </c>
      <c r="K52" s="121">
        <v>0</v>
      </c>
      <c r="L52" s="121">
        <v>1</v>
      </c>
      <c r="M52" s="121">
        <v>1</v>
      </c>
      <c r="N52" s="121">
        <v>4</v>
      </c>
      <c r="O52" s="121" t="s">
        <v>29</v>
      </c>
      <c r="P52" s="121" t="s">
        <v>73</v>
      </c>
      <c r="Q52" s="147">
        <v>1555</v>
      </c>
      <c r="R52" s="149">
        <f t="shared" si="4"/>
        <v>2488000</v>
      </c>
      <c r="S52" s="121">
        <v>26</v>
      </c>
      <c r="T52" s="120">
        <f>7.78-3.2</f>
        <v>4.58</v>
      </c>
      <c r="U52" s="120">
        <f>(0.542+0.334+0.205)/3</f>
        <v>0.36033333333333339</v>
      </c>
      <c r="V52" s="120"/>
      <c r="W52" s="120"/>
      <c r="X52" s="120">
        <v>12</v>
      </c>
      <c r="Y52" s="198">
        <f t="shared" si="0"/>
        <v>298560</v>
      </c>
      <c r="Z52" s="200">
        <v>14.6867</v>
      </c>
      <c r="AA52" s="200">
        <v>102.19179</v>
      </c>
    </row>
    <row r="53" spans="1:27">
      <c r="A53" s="120">
        <v>41</v>
      </c>
      <c r="B53" s="121" t="s">
        <v>30</v>
      </c>
      <c r="C53" s="200"/>
      <c r="D53" s="121" t="s">
        <v>155</v>
      </c>
      <c r="E53" s="120" t="s">
        <v>358</v>
      </c>
      <c r="F53" s="121">
        <v>0</v>
      </c>
      <c r="G53" s="121">
        <v>13</v>
      </c>
      <c r="H53" s="121">
        <v>1</v>
      </c>
      <c r="I53" s="121">
        <v>1</v>
      </c>
      <c r="J53" s="121">
        <v>1</v>
      </c>
      <c r="K53" s="121">
        <v>0</v>
      </c>
      <c r="L53" s="121">
        <v>1</v>
      </c>
      <c r="M53" s="121">
        <v>2</v>
      </c>
      <c r="N53" s="121">
        <v>4</v>
      </c>
      <c r="O53" s="121" t="s">
        <v>29</v>
      </c>
      <c r="P53" s="121" t="s">
        <v>74</v>
      </c>
      <c r="Q53" s="147"/>
      <c r="R53" s="149">
        <f t="shared" si="4"/>
        <v>0</v>
      </c>
      <c r="S53" s="121"/>
      <c r="T53" s="120"/>
      <c r="U53" s="120"/>
      <c r="V53" s="120"/>
      <c r="W53" s="120"/>
      <c r="X53" s="120">
        <v>6</v>
      </c>
      <c r="Y53" s="198">
        <f t="shared" si="0"/>
        <v>0</v>
      </c>
      <c r="Z53" s="200"/>
      <c r="AA53" s="200"/>
    </row>
    <row r="54" spans="1:27">
      <c r="A54" s="120">
        <v>46</v>
      </c>
      <c r="B54" s="121" t="s">
        <v>31</v>
      </c>
      <c r="C54" s="200">
        <v>30</v>
      </c>
      <c r="D54" s="121" t="s">
        <v>401</v>
      </c>
      <c r="E54" s="120" t="s">
        <v>359</v>
      </c>
      <c r="F54" s="121">
        <v>0</v>
      </c>
      <c r="G54" s="121">
        <v>13</v>
      </c>
      <c r="H54" s="121">
        <v>1</v>
      </c>
      <c r="I54" s="121">
        <v>2</v>
      </c>
      <c r="J54" s="121">
        <v>1</v>
      </c>
      <c r="K54" s="121">
        <v>0</v>
      </c>
      <c r="L54" s="120"/>
      <c r="M54" s="120"/>
      <c r="N54" s="121">
        <v>5</v>
      </c>
      <c r="O54" s="121" t="s">
        <v>18</v>
      </c>
      <c r="P54" s="121" t="s">
        <v>40</v>
      </c>
      <c r="Q54" s="148">
        <v>1009</v>
      </c>
      <c r="R54" s="149">
        <f t="shared" si="4"/>
        <v>1614400</v>
      </c>
      <c r="S54" s="121">
        <v>30</v>
      </c>
      <c r="T54" s="120">
        <v>4</v>
      </c>
      <c r="U54" s="120">
        <f>(0.768+0.67+0.628+0.542)/4</f>
        <v>0.65200000000000014</v>
      </c>
      <c r="V54" s="120"/>
      <c r="W54" s="120"/>
      <c r="X54" s="120">
        <v>6</v>
      </c>
      <c r="Y54" s="198">
        <f t="shared" si="0"/>
        <v>96864</v>
      </c>
      <c r="Z54" s="200">
        <v>14.70739</v>
      </c>
      <c r="AA54" s="200">
        <v>102.17829999999999</v>
      </c>
    </row>
    <row r="55" spans="1:27">
      <c r="A55" s="120">
        <v>47</v>
      </c>
      <c r="B55" s="121" t="s">
        <v>31</v>
      </c>
      <c r="C55" s="200">
        <v>31</v>
      </c>
      <c r="D55" s="121" t="s">
        <v>402</v>
      </c>
      <c r="E55" s="120" t="s">
        <v>360</v>
      </c>
      <c r="F55" s="121">
        <v>0</v>
      </c>
      <c r="G55" s="121">
        <v>13</v>
      </c>
      <c r="H55" s="121">
        <v>1</v>
      </c>
      <c r="I55" s="121">
        <v>2</v>
      </c>
      <c r="J55" s="121">
        <v>1</v>
      </c>
      <c r="K55" s="121">
        <v>1</v>
      </c>
      <c r="L55" s="120"/>
      <c r="M55" s="120"/>
      <c r="N55" s="121">
        <v>5</v>
      </c>
      <c r="O55" s="121" t="s">
        <v>18</v>
      </c>
      <c r="P55" s="121" t="s">
        <v>63</v>
      </c>
      <c r="Q55" s="148">
        <v>591</v>
      </c>
      <c r="R55" s="149">
        <f t="shared" si="4"/>
        <v>945600</v>
      </c>
      <c r="S55" s="121">
        <v>31</v>
      </c>
      <c r="T55" s="120">
        <v>3</v>
      </c>
      <c r="U55" s="120">
        <f>(0.542+0.431+0.205)/3</f>
        <v>0.39266666666666672</v>
      </c>
      <c r="V55" s="120"/>
      <c r="W55" s="120"/>
      <c r="X55" s="120">
        <v>8</v>
      </c>
      <c r="Y55" s="198">
        <f t="shared" si="0"/>
        <v>75648</v>
      </c>
      <c r="Z55" s="200">
        <v>14.72589</v>
      </c>
      <c r="AA55" s="200">
        <v>102.19177000000001</v>
      </c>
    </row>
    <row r="56" spans="1:27">
      <c r="A56" s="120">
        <v>48</v>
      </c>
      <c r="B56" s="121" t="s">
        <v>31</v>
      </c>
      <c r="C56" s="200"/>
      <c r="D56" s="121" t="s">
        <v>162</v>
      </c>
      <c r="E56" s="120" t="s">
        <v>361</v>
      </c>
      <c r="F56" s="121">
        <v>0</v>
      </c>
      <c r="G56" s="121">
        <v>13</v>
      </c>
      <c r="H56" s="121">
        <v>1</v>
      </c>
      <c r="I56" s="121">
        <v>2</v>
      </c>
      <c r="J56" s="121">
        <v>1</v>
      </c>
      <c r="K56" s="121">
        <v>2</v>
      </c>
      <c r="L56" s="120"/>
      <c r="M56" s="120"/>
      <c r="N56" s="121">
        <v>5</v>
      </c>
      <c r="O56" s="121" t="s">
        <v>18</v>
      </c>
      <c r="P56" s="121" t="s">
        <v>65</v>
      </c>
      <c r="Q56" s="148"/>
      <c r="R56" s="149">
        <f t="shared" si="4"/>
        <v>0</v>
      </c>
      <c r="S56" s="121"/>
      <c r="T56" s="120"/>
      <c r="U56" s="120"/>
      <c r="V56" s="120"/>
      <c r="W56" s="120"/>
      <c r="X56" s="120">
        <v>7</v>
      </c>
      <c r="Y56" s="198">
        <f t="shared" si="0"/>
        <v>0</v>
      </c>
      <c r="Z56" s="200"/>
      <c r="AA56" s="200"/>
    </row>
    <row r="57" spans="1:27">
      <c r="A57" s="120">
        <v>49</v>
      </c>
      <c r="B57" s="121" t="s">
        <v>32</v>
      </c>
      <c r="C57" s="200">
        <v>32</v>
      </c>
      <c r="D57" s="121" t="s">
        <v>403</v>
      </c>
      <c r="E57" s="120" t="s">
        <v>362</v>
      </c>
      <c r="F57" s="121">
        <v>0</v>
      </c>
      <c r="G57" s="121">
        <v>13</v>
      </c>
      <c r="H57" s="121">
        <v>1</v>
      </c>
      <c r="I57" s="121">
        <v>2</v>
      </c>
      <c r="J57" s="121">
        <v>1</v>
      </c>
      <c r="K57" s="121">
        <v>0</v>
      </c>
      <c r="L57" s="121">
        <v>1</v>
      </c>
      <c r="M57" s="121">
        <v>0</v>
      </c>
      <c r="N57" s="121">
        <v>5</v>
      </c>
      <c r="O57" s="121" t="s">
        <v>29</v>
      </c>
      <c r="P57" s="121" t="s">
        <v>40</v>
      </c>
      <c r="Q57" s="148">
        <v>686</v>
      </c>
      <c r="R57" s="149">
        <f t="shared" si="4"/>
        <v>1097600</v>
      </c>
      <c r="S57" s="121">
        <v>32</v>
      </c>
      <c r="T57" s="120">
        <v>1.95</v>
      </c>
      <c r="U57" s="120">
        <v>0.20499999999999999</v>
      </c>
      <c r="V57" s="120"/>
      <c r="W57" s="120"/>
      <c r="X57" s="120">
        <v>10</v>
      </c>
      <c r="Y57" s="198">
        <f t="shared" si="0"/>
        <v>109760</v>
      </c>
      <c r="Z57" s="200">
        <v>14.722630000000001</v>
      </c>
      <c r="AA57" s="200">
        <v>102.19546</v>
      </c>
    </row>
    <row r="58" spans="1:27">
      <c r="A58" s="120">
        <v>50</v>
      </c>
      <c r="B58" s="121" t="s">
        <v>32</v>
      </c>
      <c r="C58" s="200"/>
      <c r="D58" s="121" t="s">
        <v>163</v>
      </c>
      <c r="E58" s="120" t="s">
        <v>363</v>
      </c>
      <c r="F58" s="121">
        <v>0</v>
      </c>
      <c r="G58" s="121">
        <v>13</v>
      </c>
      <c r="H58" s="121">
        <v>1</v>
      </c>
      <c r="I58" s="121">
        <v>2</v>
      </c>
      <c r="J58" s="121">
        <v>1</v>
      </c>
      <c r="K58" s="121">
        <v>0</v>
      </c>
      <c r="L58" s="121">
        <v>1</v>
      </c>
      <c r="M58" s="121">
        <v>1</v>
      </c>
      <c r="N58" s="121">
        <v>5</v>
      </c>
      <c r="O58" s="121" t="s">
        <v>29</v>
      </c>
      <c r="P58" s="121" t="s">
        <v>66</v>
      </c>
      <c r="Q58" s="148"/>
      <c r="R58" s="149">
        <f t="shared" si="4"/>
        <v>0</v>
      </c>
      <c r="S58" s="121"/>
      <c r="T58" s="120"/>
      <c r="U58" s="120"/>
      <c r="V58" s="120"/>
      <c r="W58" s="120"/>
      <c r="X58" s="120">
        <v>9</v>
      </c>
      <c r="Y58" s="198">
        <f t="shared" si="0"/>
        <v>0</v>
      </c>
      <c r="Z58" s="200"/>
      <c r="AA58" s="200"/>
    </row>
    <row r="59" spans="1:27">
      <c r="A59" s="120">
        <v>51</v>
      </c>
      <c r="B59" s="121" t="s">
        <v>33</v>
      </c>
      <c r="C59" s="200">
        <v>33</v>
      </c>
      <c r="D59" s="121" t="s">
        <v>404</v>
      </c>
      <c r="E59" s="120" t="s">
        <v>364</v>
      </c>
      <c r="F59" s="121">
        <v>0</v>
      </c>
      <c r="G59" s="121">
        <v>13</v>
      </c>
      <c r="H59" s="121">
        <v>1</v>
      </c>
      <c r="I59" s="121">
        <v>3</v>
      </c>
      <c r="J59" s="121">
        <v>1</v>
      </c>
      <c r="K59" s="121">
        <v>0</v>
      </c>
      <c r="L59" s="121"/>
      <c r="M59" s="121"/>
      <c r="N59" s="121">
        <v>5</v>
      </c>
      <c r="O59" s="121" t="s">
        <v>18</v>
      </c>
      <c r="P59" s="121" t="s">
        <v>40</v>
      </c>
      <c r="Q59" s="147">
        <v>1185</v>
      </c>
      <c r="R59" s="149">
        <f t="shared" si="4"/>
        <v>1896000</v>
      </c>
      <c r="S59" s="121">
        <f>C59</f>
        <v>33</v>
      </c>
      <c r="T59" s="120">
        <v>2.5499999999999998</v>
      </c>
      <c r="U59" s="120">
        <f>(0.431+0.205)/2</f>
        <v>0.318</v>
      </c>
      <c r="V59" s="120"/>
      <c r="W59" s="120"/>
      <c r="X59" s="120">
        <v>6</v>
      </c>
      <c r="Y59" s="198">
        <f t="shared" si="0"/>
        <v>113760</v>
      </c>
      <c r="Z59" s="200">
        <v>14.702439999999999</v>
      </c>
      <c r="AA59" s="200">
        <v>102.19304</v>
      </c>
    </row>
    <row r="60" spans="1:27">
      <c r="A60" s="120">
        <v>52</v>
      </c>
      <c r="B60" s="121" t="s">
        <v>33</v>
      </c>
      <c r="C60" s="200"/>
      <c r="D60" s="121" t="s">
        <v>168</v>
      </c>
      <c r="E60" s="120" t="s">
        <v>365</v>
      </c>
      <c r="F60" s="121">
        <v>0</v>
      </c>
      <c r="G60" s="121">
        <v>13</v>
      </c>
      <c r="H60" s="121">
        <v>1</v>
      </c>
      <c r="I60" s="121">
        <v>3</v>
      </c>
      <c r="J60" s="121">
        <v>1</v>
      </c>
      <c r="K60" s="121">
        <v>1</v>
      </c>
      <c r="L60" s="121"/>
      <c r="M60" s="121"/>
      <c r="N60" s="121">
        <v>5</v>
      </c>
      <c r="O60" s="121" t="s">
        <v>18</v>
      </c>
      <c r="P60" s="121" t="s">
        <v>67</v>
      </c>
      <c r="Q60" s="147"/>
      <c r="R60" s="149">
        <f t="shared" si="4"/>
        <v>0</v>
      </c>
      <c r="S60" s="121"/>
      <c r="T60" s="120"/>
      <c r="U60" s="120"/>
      <c r="V60" s="120"/>
      <c r="W60" s="120"/>
      <c r="X60" s="120">
        <v>7</v>
      </c>
      <c r="Y60" s="198">
        <f t="shared" si="0"/>
        <v>0</v>
      </c>
      <c r="Z60" s="200"/>
      <c r="AA60" s="200"/>
    </row>
    <row r="61" spans="1:27">
      <c r="A61" s="120">
        <v>53</v>
      </c>
      <c r="B61" s="121" t="s">
        <v>34</v>
      </c>
      <c r="C61" s="200">
        <v>34</v>
      </c>
      <c r="D61" s="121" t="s">
        <v>390</v>
      </c>
      <c r="E61" s="120" t="s">
        <v>366</v>
      </c>
      <c r="F61" s="121">
        <v>0</v>
      </c>
      <c r="G61" s="121">
        <v>13</v>
      </c>
      <c r="H61" s="121">
        <v>1</v>
      </c>
      <c r="I61" s="121">
        <v>4</v>
      </c>
      <c r="J61" s="121">
        <v>1</v>
      </c>
      <c r="K61" s="121">
        <v>0</v>
      </c>
      <c r="L61" s="121"/>
      <c r="M61" s="121"/>
      <c r="N61" s="121">
        <v>5</v>
      </c>
      <c r="O61" s="121" t="s">
        <v>18</v>
      </c>
      <c r="P61" s="121" t="s">
        <v>40</v>
      </c>
      <c r="Q61" s="147">
        <v>1434</v>
      </c>
      <c r="R61" s="149">
        <f t="shared" si="4"/>
        <v>2294400</v>
      </c>
      <c r="S61" s="121">
        <f>C61</f>
        <v>34</v>
      </c>
      <c r="T61" s="120">
        <v>2.5</v>
      </c>
      <c r="U61" s="120">
        <f>(0.431+0.334)/2</f>
        <v>0.38250000000000001</v>
      </c>
      <c r="V61" s="120"/>
      <c r="W61" s="120"/>
      <c r="X61" s="120">
        <v>5</v>
      </c>
      <c r="Y61" s="198">
        <f t="shared" si="0"/>
        <v>114720</v>
      </c>
      <c r="Z61" s="200">
        <v>14.71796</v>
      </c>
      <c r="AA61" s="200">
        <v>102.19919</v>
      </c>
    </row>
    <row r="62" spans="1:27">
      <c r="A62" s="120">
        <v>54</v>
      </c>
      <c r="B62" s="121" t="s">
        <v>34</v>
      </c>
      <c r="C62" s="200"/>
      <c r="D62" s="121" t="s">
        <v>58</v>
      </c>
      <c r="E62" s="120" t="s">
        <v>367</v>
      </c>
      <c r="F62" s="121">
        <v>0</v>
      </c>
      <c r="G62" s="121">
        <v>13</v>
      </c>
      <c r="H62" s="121">
        <v>1</v>
      </c>
      <c r="I62" s="121">
        <v>4</v>
      </c>
      <c r="J62" s="121">
        <v>1</v>
      </c>
      <c r="K62" s="121">
        <v>1</v>
      </c>
      <c r="L62" s="121"/>
      <c r="M62" s="121"/>
      <c r="N62" s="121">
        <v>5</v>
      </c>
      <c r="O62" s="121" t="s">
        <v>18</v>
      </c>
      <c r="P62" s="121" t="s">
        <v>58</v>
      </c>
      <c r="Q62" s="147"/>
      <c r="R62" s="149">
        <f t="shared" si="4"/>
        <v>0</v>
      </c>
      <c r="S62" s="121"/>
      <c r="T62" s="120"/>
      <c r="U62" s="120"/>
      <c r="V62" s="120"/>
      <c r="W62" s="120"/>
      <c r="X62" s="120">
        <v>6</v>
      </c>
      <c r="Y62" s="198">
        <f t="shared" si="0"/>
        <v>0</v>
      </c>
      <c r="Z62" s="199"/>
      <c r="AA62" s="199"/>
    </row>
    <row r="63" spans="1:27">
      <c r="B63" s="1"/>
      <c r="F63" s="1"/>
      <c r="G63" s="1"/>
      <c r="H63" s="1"/>
      <c r="I63" s="1"/>
      <c r="J63" s="1"/>
      <c r="K63" s="1"/>
      <c r="L63" s="1"/>
      <c r="M63" s="1"/>
      <c r="N63" s="1"/>
      <c r="O63" s="1"/>
      <c r="Q63" s="3"/>
    </row>
    <row r="64" spans="1:27">
      <c r="B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3"/>
    </row>
    <row r="65" spans="6:14">
      <c r="F65" t="s">
        <v>343</v>
      </c>
      <c r="G65" t="s">
        <v>342</v>
      </c>
      <c r="N65" t="s">
        <v>5</v>
      </c>
    </row>
    <row r="66" spans="6:14">
      <c r="F66" t="s">
        <v>6</v>
      </c>
      <c r="G66" t="s">
        <v>7</v>
      </c>
    </row>
    <row r="67" spans="6:14">
      <c r="F67" t="s">
        <v>8</v>
      </c>
      <c r="G67" t="s">
        <v>9</v>
      </c>
    </row>
    <row r="68" spans="6:14">
      <c r="F68" t="s">
        <v>10</v>
      </c>
      <c r="G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3F8-D21F-41B1-8336-3F1E88419DFE}">
  <dimension ref="A1:AO322"/>
  <sheetViews>
    <sheetView workbookViewId="0">
      <selection activeCell="J5" sqref="J5"/>
    </sheetView>
  </sheetViews>
  <sheetFormatPr defaultRowHeight="14.5"/>
  <cols>
    <col min="1" max="1" width="2.36328125" customWidth="1"/>
    <col min="2" max="2" width="12.36328125" bestFit="1" customWidth="1"/>
    <col min="3" max="4" width="7.1796875" customWidth="1"/>
    <col min="5" max="5" width="7.81640625" customWidth="1"/>
    <col min="6" max="6" width="7.81640625" hidden="1" customWidth="1"/>
    <col min="7" max="7" width="21.6328125" hidden="1" customWidth="1"/>
    <col min="8" max="9" width="7.26953125" hidden="1" customWidth="1"/>
    <col min="10" max="10" width="7.26953125" customWidth="1"/>
    <col min="11" max="11" width="8.36328125" bestFit="1" customWidth="1"/>
    <col min="12" max="13" width="7.26953125" customWidth="1"/>
    <col min="14" max="14" width="7.36328125" customWidth="1"/>
    <col min="15" max="16" width="7.54296875" customWidth="1"/>
    <col min="17" max="17" width="7.36328125" customWidth="1"/>
    <col min="18" max="23" width="5.453125" customWidth="1"/>
    <col min="24" max="25" width="6" customWidth="1"/>
    <col min="26" max="26" width="12.6328125" bestFit="1" customWidth="1"/>
    <col min="27" max="27" width="2.7265625" customWidth="1"/>
    <col min="28" max="28" width="12.36328125" style="1" bestFit="1" customWidth="1"/>
    <col min="29" max="30" width="6.453125" customWidth="1"/>
    <col min="31" max="31" width="8.81640625" customWidth="1"/>
    <col min="33" max="33" width="9.08984375" bestFit="1" customWidth="1"/>
    <col min="34" max="34" width="12.08984375" bestFit="1" customWidth="1"/>
    <col min="35" max="35" width="10.54296875" customWidth="1"/>
    <col min="36" max="36" width="10.08984375" bestFit="1" customWidth="1"/>
  </cols>
  <sheetData>
    <row r="1" spans="1:41" ht="23.15" customHeight="1">
      <c r="A1" t="s">
        <v>223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4"/>
      <c r="AB1" s="5" t="s">
        <v>80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6"/>
    </row>
    <row r="2" spans="1:41" ht="23.15" customHeight="1">
      <c r="B2" s="157" t="s">
        <v>81</v>
      </c>
      <c r="C2" s="155" t="s">
        <v>82</v>
      </c>
      <c r="D2" s="155"/>
      <c r="E2" s="7" t="s">
        <v>83</v>
      </c>
      <c r="F2" s="8" t="s">
        <v>84</v>
      </c>
      <c r="G2" s="131" t="s">
        <v>298</v>
      </c>
      <c r="H2" s="8" t="s">
        <v>85</v>
      </c>
      <c r="I2" s="8" t="s">
        <v>86</v>
      </c>
      <c r="J2" s="8" t="s">
        <v>77</v>
      </c>
      <c r="K2" s="142" t="s">
        <v>299</v>
      </c>
      <c r="L2" s="8" t="s">
        <v>87</v>
      </c>
      <c r="M2" s="8" t="s">
        <v>16</v>
      </c>
      <c r="N2" s="7" t="s">
        <v>88</v>
      </c>
      <c r="O2" s="8" t="s">
        <v>89</v>
      </c>
      <c r="P2" s="8" t="s">
        <v>90</v>
      </c>
      <c r="Q2" s="8" t="s">
        <v>91</v>
      </c>
      <c r="R2" s="8" t="s">
        <v>92</v>
      </c>
      <c r="S2" s="8" t="s">
        <v>93</v>
      </c>
      <c r="T2" s="8" t="s">
        <v>94</v>
      </c>
      <c r="U2" s="8" t="s">
        <v>95</v>
      </c>
      <c r="V2" s="8" t="s">
        <v>96</v>
      </c>
      <c r="W2" s="8" t="s">
        <v>97</v>
      </c>
      <c r="X2" s="8" t="s">
        <v>98</v>
      </c>
      <c r="Y2" s="8" t="s">
        <v>99</v>
      </c>
      <c r="Z2" s="157" t="s">
        <v>100</v>
      </c>
      <c r="AA2" s="4"/>
      <c r="AB2" s="160" t="s">
        <v>81</v>
      </c>
      <c r="AC2" s="155" t="s">
        <v>82</v>
      </c>
      <c r="AD2" s="155"/>
      <c r="AE2" s="8" t="s">
        <v>83</v>
      </c>
      <c r="AF2" s="8" t="s">
        <v>101</v>
      </c>
      <c r="AG2" s="8" t="s">
        <v>102</v>
      </c>
      <c r="AH2" s="8" t="s">
        <v>103</v>
      </c>
      <c r="AI2" s="8" t="s">
        <v>104</v>
      </c>
      <c r="AJ2" s="4"/>
      <c r="AK2" s="4"/>
      <c r="AL2" s="4"/>
      <c r="AM2" s="4"/>
      <c r="AN2" s="4"/>
      <c r="AO2" s="6"/>
    </row>
    <row r="3" spans="1:41" ht="23.15" customHeight="1">
      <c r="B3" s="158"/>
      <c r="C3" s="10" t="s">
        <v>105</v>
      </c>
      <c r="D3" s="10" t="s">
        <v>106</v>
      </c>
      <c r="E3" s="9" t="s">
        <v>107</v>
      </c>
      <c r="F3" s="11" t="s">
        <v>108</v>
      </c>
      <c r="G3" s="132" t="s">
        <v>108</v>
      </c>
      <c r="H3" s="11" t="s">
        <v>108</v>
      </c>
      <c r="I3" s="11" t="s">
        <v>109</v>
      </c>
      <c r="J3" s="11" t="s">
        <v>110</v>
      </c>
      <c r="K3" s="143" t="s">
        <v>110</v>
      </c>
      <c r="L3" s="11" t="s">
        <v>107</v>
      </c>
      <c r="M3" s="11"/>
      <c r="N3" s="9"/>
      <c r="O3" s="11" t="s">
        <v>107</v>
      </c>
      <c r="P3" s="11" t="s">
        <v>107</v>
      </c>
      <c r="Q3" s="11" t="s">
        <v>107</v>
      </c>
      <c r="R3" s="11" t="s">
        <v>107</v>
      </c>
      <c r="S3" s="11" t="s">
        <v>107</v>
      </c>
      <c r="T3" s="11" t="s">
        <v>107</v>
      </c>
      <c r="U3" s="11" t="s">
        <v>107</v>
      </c>
      <c r="V3" s="11" t="s">
        <v>107</v>
      </c>
      <c r="W3" s="11" t="s">
        <v>107</v>
      </c>
      <c r="X3" s="11" t="s">
        <v>107</v>
      </c>
      <c r="Y3" s="11" t="s">
        <v>107</v>
      </c>
      <c r="Z3" s="159"/>
      <c r="AA3" s="4"/>
      <c r="AB3" s="161"/>
      <c r="AC3" s="10" t="s">
        <v>105</v>
      </c>
      <c r="AD3" s="10" t="s">
        <v>106</v>
      </c>
      <c r="AE3" s="10" t="s">
        <v>111</v>
      </c>
      <c r="AF3" s="10" t="s">
        <v>112</v>
      </c>
      <c r="AG3" s="10" t="s">
        <v>113</v>
      </c>
      <c r="AH3" s="10" t="s">
        <v>113</v>
      </c>
      <c r="AI3" s="10" t="s">
        <v>112</v>
      </c>
      <c r="AJ3" s="4"/>
      <c r="AK3" s="4"/>
      <c r="AL3" s="4"/>
      <c r="AM3" s="4"/>
      <c r="AN3" s="4"/>
      <c r="AO3" s="6"/>
    </row>
    <row r="4" spans="1:41" s="21" customFormat="1" ht="23.15" customHeight="1">
      <c r="B4" s="165" t="s">
        <v>22</v>
      </c>
      <c r="C4" s="12" t="s">
        <v>40</v>
      </c>
      <c r="D4" s="12" t="s">
        <v>114</v>
      </c>
      <c r="E4" s="13">
        <v>170</v>
      </c>
      <c r="F4" s="14" t="s">
        <v>115</v>
      </c>
      <c r="G4" s="133">
        <v>11.2</v>
      </c>
      <c r="H4" s="12">
        <v>11.2</v>
      </c>
      <c r="I4" s="12"/>
      <c r="J4" s="12"/>
      <c r="K4" s="12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116</v>
      </c>
      <c r="AA4" s="4"/>
      <c r="AB4" s="168" t="s">
        <v>22</v>
      </c>
      <c r="AC4" s="16" t="s">
        <v>40</v>
      </c>
      <c r="AD4" s="16" t="s">
        <v>114</v>
      </c>
      <c r="AE4" s="17">
        <v>170</v>
      </c>
      <c r="AF4" s="18"/>
      <c r="AG4" s="19">
        <f>AE4*AF4</f>
        <v>0</v>
      </c>
      <c r="AH4" s="19">
        <f>AG4</f>
        <v>0</v>
      </c>
      <c r="AI4" s="19">
        <f t="shared" ref="AI4:AI15" si="0">(X4+Y4)*AE4</f>
        <v>0</v>
      </c>
      <c r="AJ4" s="4"/>
      <c r="AK4" s="4"/>
      <c r="AL4" s="4"/>
      <c r="AM4" s="4"/>
      <c r="AN4" s="4"/>
      <c r="AO4" s="20"/>
    </row>
    <row r="5" spans="1:41" s="21" customFormat="1" ht="23.15" customHeight="1">
      <c r="B5" s="166"/>
      <c r="C5" s="16" t="s">
        <v>114</v>
      </c>
      <c r="D5" s="16" t="s">
        <v>42</v>
      </c>
      <c r="E5" s="22">
        <v>1450</v>
      </c>
      <c r="F5" s="16" t="s">
        <v>115</v>
      </c>
      <c r="G5" s="134">
        <v>9.9260000000000002</v>
      </c>
      <c r="H5" s="23">
        <f>ROUND(I5*J5,3)</f>
        <v>9.9610000000000003</v>
      </c>
      <c r="I5" s="23">
        <f>ROUND((O5+(1.5*P5))*P5,3)</f>
        <v>11.609</v>
      </c>
      <c r="J5" s="23">
        <f>ROUND((1/M5)*(L5^(2/3))*SQRT(N5),3)</f>
        <v>0.85799999999999998</v>
      </c>
      <c r="K5" s="23"/>
      <c r="L5" s="23">
        <f>ROUND(I5/(O5+(2*P5*SQRT(1+(1.5^2)))),3)</f>
        <v>1.141</v>
      </c>
      <c r="M5" s="23">
        <v>1.7999999999999999E-2</v>
      </c>
      <c r="N5" s="23">
        <v>2.0000000000000001E-4</v>
      </c>
      <c r="O5" s="24">
        <v>3.5</v>
      </c>
      <c r="P5" s="23">
        <v>1.85</v>
      </c>
      <c r="Q5" s="23">
        <v>0.06</v>
      </c>
      <c r="R5" s="24">
        <v>2.2999999999999998</v>
      </c>
      <c r="S5" s="24">
        <v>2.75</v>
      </c>
      <c r="T5" s="24">
        <v>2.75</v>
      </c>
      <c r="U5" s="24">
        <v>2</v>
      </c>
      <c r="V5" s="24">
        <v>6</v>
      </c>
      <c r="W5" s="24">
        <v>6</v>
      </c>
      <c r="X5" s="24">
        <v>30</v>
      </c>
      <c r="Y5" s="24">
        <v>30</v>
      </c>
      <c r="Z5" s="23" t="s">
        <v>117</v>
      </c>
      <c r="AA5" s="4"/>
      <c r="AB5" s="166"/>
      <c r="AC5" s="16" t="s">
        <v>114</v>
      </c>
      <c r="AD5" s="16" t="s">
        <v>42</v>
      </c>
      <c r="AE5" s="17">
        <v>1450</v>
      </c>
      <c r="AF5" s="25">
        <f>(O5+1.5*P5)*P5</f>
        <v>11.608750000000001</v>
      </c>
      <c r="AG5" s="19">
        <f>AE5*AF5</f>
        <v>16832.6875</v>
      </c>
      <c r="AH5" s="19">
        <f>AH4+AG5</f>
        <v>16832.6875</v>
      </c>
      <c r="AI5" s="19">
        <f t="shared" si="0"/>
        <v>87000</v>
      </c>
      <c r="AJ5" s="26"/>
      <c r="AK5" s="4"/>
      <c r="AL5" s="4"/>
      <c r="AM5" s="4"/>
      <c r="AN5" s="4"/>
      <c r="AO5" s="20"/>
    </row>
    <row r="6" spans="1:41" s="21" customFormat="1" ht="23.15" customHeight="1">
      <c r="B6" s="166"/>
      <c r="C6" s="16" t="s">
        <v>42</v>
      </c>
      <c r="D6" s="16" t="s">
        <v>118</v>
      </c>
      <c r="E6" s="22">
        <v>1880</v>
      </c>
      <c r="F6" s="16" t="s">
        <v>115</v>
      </c>
      <c r="G6" s="141"/>
      <c r="H6" s="23">
        <f t="shared" ref="H6:H30" si="1">ROUND(I6*J6,3)</f>
        <v>8.7780000000000005</v>
      </c>
      <c r="I6" s="23">
        <f t="shared" ref="I6:I30" si="2">ROUND((O6+(1.5*P6))*P6,3)</f>
        <v>10.513</v>
      </c>
      <c r="J6" s="23">
        <f t="shared" ref="J6:J30" si="3">ROUND((1/M6)*(L6^(2/3))*SQRT(N6),3)</f>
        <v>0.83499999999999996</v>
      </c>
      <c r="K6" s="23"/>
      <c r="L6" s="23">
        <f>ROUND(I6/(O6+(2*P6*SQRT(1+(1.5^2)))),3)</f>
        <v>1.095</v>
      </c>
      <c r="M6" s="23">
        <v>1.7999999999999999E-2</v>
      </c>
      <c r="N6" s="23">
        <v>2.0000000000000001E-4</v>
      </c>
      <c r="O6" s="24">
        <v>3</v>
      </c>
      <c r="P6" s="23">
        <v>1.83</v>
      </c>
      <c r="Q6" s="23">
        <v>0.06</v>
      </c>
      <c r="R6" s="23">
        <v>2.1800000000000002</v>
      </c>
      <c r="S6" s="24">
        <v>2.68</v>
      </c>
      <c r="T6" s="24">
        <v>2.68</v>
      </c>
      <c r="U6" s="24">
        <v>2</v>
      </c>
      <c r="V6" s="24">
        <v>2</v>
      </c>
      <c r="W6" s="24">
        <v>6</v>
      </c>
      <c r="X6" s="24">
        <v>30</v>
      </c>
      <c r="Y6" s="24">
        <v>30</v>
      </c>
      <c r="Z6" s="23" t="s">
        <v>117</v>
      </c>
      <c r="AA6" s="4"/>
      <c r="AB6" s="166"/>
      <c r="AC6" s="16" t="s">
        <v>42</v>
      </c>
      <c r="AD6" s="16" t="s">
        <v>118</v>
      </c>
      <c r="AE6" s="17">
        <v>1880</v>
      </c>
      <c r="AF6" s="25">
        <f t="shared" ref="AF6:AF30" si="4">(O6+1.5*P6)*P6</f>
        <v>10.513350000000001</v>
      </c>
      <c r="AG6" s="19">
        <f t="shared" ref="AG6:AG30" si="5">AE6*AF6</f>
        <v>19765.098000000002</v>
      </c>
      <c r="AH6" s="19">
        <f t="shared" ref="AH6:AH50" si="6">AH5+AG6</f>
        <v>36597.785499999998</v>
      </c>
      <c r="AI6" s="19">
        <f t="shared" si="0"/>
        <v>112800</v>
      </c>
      <c r="AJ6" s="27"/>
      <c r="AK6" s="4"/>
      <c r="AL6" s="4"/>
      <c r="AM6" s="4"/>
      <c r="AN6" s="4"/>
      <c r="AO6" s="20"/>
    </row>
    <row r="7" spans="1:41" s="21" customFormat="1" ht="23.15" customHeight="1">
      <c r="B7" s="166"/>
      <c r="C7" s="16" t="s">
        <v>118</v>
      </c>
      <c r="D7" s="16" t="s">
        <v>65</v>
      </c>
      <c r="E7" s="22">
        <v>3500</v>
      </c>
      <c r="F7" s="16" t="s">
        <v>115</v>
      </c>
      <c r="G7" s="141"/>
      <c r="H7" s="23">
        <f t="shared" si="1"/>
        <v>8.7780000000000005</v>
      </c>
      <c r="I7" s="23">
        <f t="shared" si="2"/>
        <v>10.513</v>
      </c>
      <c r="J7" s="23">
        <f t="shared" si="3"/>
        <v>0.83499999999999996</v>
      </c>
      <c r="K7" s="145">
        <v>0.94</v>
      </c>
      <c r="L7" s="23">
        <f>ROUND(I7/(O7+(2*P7*SQRT(1+(1.5^2)))),3)</f>
        <v>1.095</v>
      </c>
      <c r="M7" s="23">
        <v>1.7999999999999999E-2</v>
      </c>
      <c r="N7" s="23">
        <v>2.0000000000000001E-4</v>
      </c>
      <c r="O7" s="24">
        <v>3</v>
      </c>
      <c r="P7" s="23">
        <v>1.83</v>
      </c>
      <c r="Q7" s="23">
        <v>0.06</v>
      </c>
      <c r="R7" s="23">
        <v>2.1800000000000002</v>
      </c>
      <c r="S7" s="24">
        <v>2.68</v>
      </c>
      <c r="T7" s="24">
        <v>2.68</v>
      </c>
      <c r="U7" s="24">
        <v>2</v>
      </c>
      <c r="V7" s="24">
        <v>2</v>
      </c>
      <c r="W7" s="24">
        <v>6</v>
      </c>
      <c r="X7" s="24">
        <v>30</v>
      </c>
      <c r="Y7" s="24">
        <v>30</v>
      </c>
      <c r="Z7" s="23" t="s">
        <v>117</v>
      </c>
      <c r="AA7" s="4"/>
      <c r="AB7" s="166"/>
      <c r="AC7" s="16" t="s">
        <v>118</v>
      </c>
      <c r="AD7" s="16" t="s">
        <v>65</v>
      </c>
      <c r="AE7" s="17">
        <v>3500</v>
      </c>
      <c r="AF7" s="25">
        <f t="shared" si="4"/>
        <v>10.513350000000001</v>
      </c>
      <c r="AG7" s="19">
        <f t="shared" si="5"/>
        <v>36796.725000000006</v>
      </c>
      <c r="AH7" s="19">
        <f t="shared" si="6"/>
        <v>73394.510500000004</v>
      </c>
      <c r="AI7" s="19">
        <f t="shared" si="0"/>
        <v>210000</v>
      </c>
      <c r="AJ7" s="4"/>
      <c r="AK7" s="4"/>
      <c r="AL7" s="4"/>
      <c r="AM7" s="4"/>
      <c r="AN7" s="4"/>
      <c r="AO7" s="20"/>
    </row>
    <row r="8" spans="1:41" s="21" customFormat="1" ht="23.15" customHeight="1">
      <c r="B8" s="166"/>
      <c r="C8" s="16" t="s">
        <v>65</v>
      </c>
      <c r="D8" s="16" t="s">
        <v>44</v>
      </c>
      <c r="E8" s="22">
        <v>2200</v>
      </c>
      <c r="F8" s="16" t="s">
        <v>115</v>
      </c>
      <c r="G8" s="134">
        <v>8.7370000000000001</v>
      </c>
      <c r="H8" s="23">
        <f t="shared" si="1"/>
        <v>8.7780000000000005</v>
      </c>
      <c r="I8" s="23">
        <f t="shared" si="2"/>
        <v>10.513</v>
      </c>
      <c r="J8" s="23">
        <f t="shared" si="3"/>
        <v>0.83499999999999996</v>
      </c>
      <c r="K8" s="145">
        <v>0.61</v>
      </c>
      <c r="L8" s="23">
        <f t="shared" ref="L8:L30" si="7">ROUND(I8/(O8+(2*P8*SQRT(1+(1.5^2)))),3)</f>
        <v>1.095</v>
      </c>
      <c r="M8" s="23">
        <v>1.7999999999999999E-2</v>
      </c>
      <c r="N8" s="23">
        <v>2.0000000000000001E-4</v>
      </c>
      <c r="O8" s="24">
        <v>3</v>
      </c>
      <c r="P8" s="23">
        <v>1.83</v>
      </c>
      <c r="Q8" s="23">
        <v>0.06</v>
      </c>
      <c r="R8" s="23">
        <v>2.1800000000000002</v>
      </c>
      <c r="S8" s="24">
        <v>2.68</v>
      </c>
      <c r="T8" s="24">
        <v>2.68</v>
      </c>
      <c r="U8" s="24">
        <v>2</v>
      </c>
      <c r="V8" s="24">
        <v>2</v>
      </c>
      <c r="W8" s="24">
        <v>6</v>
      </c>
      <c r="X8" s="24">
        <v>30</v>
      </c>
      <c r="Y8" s="24">
        <v>30</v>
      </c>
      <c r="Z8" s="23" t="s">
        <v>117</v>
      </c>
      <c r="AA8" s="4"/>
      <c r="AB8" s="166"/>
      <c r="AC8" s="16" t="s">
        <v>65</v>
      </c>
      <c r="AD8" s="16" t="s">
        <v>44</v>
      </c>
      <c r="AE8" s="17">
        <v>2200</v>
      </c>
      <c r="AF8" s="25">
        <f t="shared" si="4"/>
        <v>10.513350000000001</v>
      </c>
      <c r="AG8" s="19">
        <f t="shared" si="5"/>
        <v>23129.370000000003</v>
      </c>
      <c r="AH8" s="19">
        <f t="shared" si="6"/>
        <v>96523.880499999999</v>
      </c>
      <c r="AI8" s="19">
        <f t="shared" si="0"/>
        <v>132000</v>
      </c>
      <c r="AJ8" s="4"/>
      <c r="AK8" s="4"/>
      <c r="AL8" s="4"/>
      <c r="AM8" s="4"/>
      <c r="AN8" s="4"/>
      <c r="AO8" s="20"/>
    </row>
    <row r="9" spans="1:41" s="21" customFormat="1" ht="23.15" customHeight="1">
      <c r="B9" s="166"/>
      <c r="C9" s="16" t="s">
        <v>44</v>
      </c>
      <c r="D9" s="16" t="s">
        <v>119</v>
      </c>
      <c r="E9" s="22">
        <v>1300</v>
      </c>
      <c r="F9" s="16" t="s">
        <v>115</v>
      </c>
      <c r="G9" s="141"/>
      <c r="H9" s="23">
        <f t="shared" si="1"/>
        <v>5.9429999999999996</v>
      </c>
      <c r="I9" s="23">
        <f t="shared" si="2"/>
        <v>7.84</v>
      </c>
      <c r="J9" s="23">
        <f t="shared" si="3"/>
        <v>0.75800000000000001</v>
      </c>
      <c r="K9" s="23"/>
      <c r="L9" s="23">
        <f t="shared" si="7"/>
        <v>0.94799999999999995</v>
      </c>
      <c r="M9" s="23">
        <v>1.7999999999999999E-2</v>
      </c>
      <c r="N9" s="23">
        <v>2.0000000000000001E-4</v>
      </c>
      <c r="O9" s="24">
        <v>2.5</v>
      </c>
      <c r="P9" s="24">
        <v>1.6</v>
      </c>
      <c r="Q9" s="23">
        <v>0.06</v>
      </c>
      <c r="R9" s="24">
        <v>1.9</v>
      </c>
      <c r="S9" s="24">
        <v>2.35</v>
      </c>
      <c r="T9" s="24">
        <v>2.35</v>
      </c>
      <c r="U9" s="24">
        <v>2</v>
      </c>
      <c r="V9" s="24">
        <v>2</v>
      </c>
      <c r="W9" s="24">
        <v>6</v>
      </c>
      <c r="X9" s="24">
        <v>30</v>
      </c>
      <c r="Y9" s="24">
        <v>30</v>
      </c>
      <c r="Z9" s="23" t="s">
        <v>117</v>
      </c>
      <c r="AA9" s="4"/>
      <c r="AB9" s="166"/>
      <c r="AC9" s="16" t="s">
        <v>44</v>
      </c>
      <c r="AD9" s="16" t="s">
        <v>119</v>
      </c>
      <c r="AE9" s="17">
        <v>1300</v>
      </c>
      <c r="AF9" s="25">
        <f t="shared" si="4"/>
        <v>7.8400000000000007</v>
      </c>
      <c r="AG9" s="19">
        <f t="shared" si="5"/>
        <v>10192.000000000002</v>
      </c>
      <c r="AH9" s="19">
        <f t="shared" si="6"/>
        <v>106715.8805</v>
      </c>
      <c r="AI9" s="19">
        <f t="shared" si="0"/>
        <v>78000</v>
      </c>
      <c r="AJ9" s="4"/>
      <c r="AK9" s="4"/>
      <c r="AL9" s="4"/>
      <c r="AM9" s="4"/>
      <c r="AN9" s="4"/>
      <c r="AO9" s="20"/>
    </row>
    <row r="10" spans="1:41" s="21" customFormat="1" ht="23.15" customHeight="1">
      <c r="B10" s="166"/>
      <c r="C10" s="16" t="s">
        <v>119</v>
      </c>
      <c r="D10" s="16" t="s">
        <v>120</v>
      </c>
      <c r="E10" s="22">
        <v>2220</v>
      </c>
      <c r="F10" s="16" t="s">
        <v>115</v>
      </c>
      <c r="G10" s="134">
        <v>5.9630000000000001</v>
      </c>
      <c r="H10" s="23">
        <f t="shared" si="1"/>
        <v>5.9429999999999996</v>
      </c>
      <c r="I10" s="23">
        <f t="shared" si="2"/>
        <v>7.84</v>
      </c>
      <c r="J10" s="23">
        <f t="shared" si="3"/>
        <v>0.75800000000000001</v>
      </c>
      <c r="K10" s="145">
        <v>0.68</v>
      </c>
      <c r="L10" s="23">
        <f t="shared" si="7"/>
        <v>0.94799999999999995</v>
      </c>
      <c r="M10" s="23">
        <v>1.7999999999999999E-2</v>
      </c>
      <c r="N10" s="23">
        <v>2.0000000000000001E-4</v>
      </c>
      <c r="O10" s="24">
        <v>2.5</v>
      </c>
      <c r="P10" s="24">
        <v>1.6</v>
      </c>
      <c r="Q10" s="23">
        <v>0.06</v>
      </c>
      <c r="R10" s="24">
        <v>1.9</v>
      </c>
      <c r="S10" s="24">
        <v>2.35</v>
      </c>
      <c r="T10" s="24">
        <v>2.35</v>
      </c>
      <c r="U10" s="24">
        <v>2</v>
      </c>
      <c r="V10" s="24">
        <v>2</v>
      </c>
      <c r="W10" s="24">
        <v>6</v>
      </c>
      <c r="X10" s="24">
        <v>30</v>
      </c>
      <c r="Y10" s="24">
        <v>30</v>
      </c>
      <c r="Z10" s="23" t="s">
        <v>117</v>
      </c>
      <c r="AA10" s="4"/>
      <c r="AB10" s="166"/>
      <c r="AC10" s="16" t="s">
        <v>119</v>
      </c>
      <c r="AD10" s="16" t="s">
        <v>120</v>
      </c>
      <c r="AE10" s="17">
        <v>2220</v>
      </c>
      <c r="AF10" s="25">
        <f t="shared" si="4"/>
        <v>7.8400000000000007</v>
      </c>
      <c r="AG10" s="19">
        <f t="shared" si="5"/>
        <v>17404.800000000003</v>
      </c>
      <c r="AH10" s="19">
        <f t="shared" si="6"/>
        <v>124120.6805</v>
      </c>
      <c r="AI10" s="19">
        <f t="shared" si="0"/>
        <v>133200</v>
      </c>
      <c r="AJ10" s="4"/>
      <c r="AK10" s="4"/>
      <c r="AL10" s="4"/>
      <c r="AM10" s="4"/>
      <c r="AN10" s="4"/>
      <c r="AO10" s="20"/>
    </row>
    <row r="11" spans="1:41" s="21" customFormat="1" ht="23.15" customHeight="1">
      <c r="B11" s="166"/>
      <c r="C11" s="16" t="s">
        <v>120</v>
      </c>
      <c r="D11" s="16" t="s">
        <v>121</v>
      </c>
      <c r="E11" s="22">
        <v>700</v>
      </c>
      <c r="F11" s="16" t="s">
        <v>115</v>
      </c>
      <c r="G11" s="134">
        <v>5.9630000000000001</v>
      </c>
      <c r="H11" s="23">
        <f t="shared" si="1"/>
        <v>5.9429999999999996</v>
      </c>
      <c r="I11" s="23">
        <f t="shared" si="2"/>
        <v>7.84</v>
      </c>
      <c r="J11" s="23">
        <f t="shared" si="3"/>
        <v>0.75800000000000001</v>
      </c>
      <c r="K11" s="23"/>
      <c r="L11" s="23">
        <f t="shared" si="7"/>
        <v>0.94799999999999995</v>
      </c>
      <c r="M11" s="23">
        <v>1.7999999999999999E-2</v>
      </c>
      <c r="N11" s="23">
        <v>2.0000000000000001E-4</v>
      </c>
      <c r="O11" s="24">
        <v>2.5</v>
      </c>
      <c r="P11" s="24">
        <v>1.6</v>
      </c>
      <c r="Q11" s="23">
        <v>0.06</v>
      </c>
      <c r="R11" s="24">
        <v>1.9</v>
      </c>
      <c r="S11" s="24" t="s">
        <v>122</v>
      </c>
      <c r="T11" s="24">
        <v>2.35</v>
      </c>
      <c r="U11" s="24">
        <v>2</v>
      </c>
      <c r="V11" s="24">
        <v>2</v>
      </c>
      <c r="W11" s="24">
        <v>6</v>
      </c>
      <c r="X11" s="24">
        <v>30</v>
      </c>
      <c r="Y11" s="24">
        <v>30</v>
      </c>
      <c r="Z11" s="24" t="s">
        <v>123</v>
      </c>
      <c r="AA11" s="4"/>
      <c r="AB11" s="166"/>
      <c r="AC11" s="16" t="s">
        <v>120</v>
      </c>
      <c r="AD11" s="16" t="s">
        <v>121</v>
      </c>
      <c r="AE11" s="17">
        <v>700</v>
      </c>
      <c r="AF11" s="25">
        <f t="shared" si="4"/>
        <v>7.8400000000000007</v>
      </c>
      <c r="AG11" s="19">
        <f t="shared" si="5"/>
        <v>5488.0000000000009</v>
      </c>
      <c r="AH11" s="19">
        <f t="shared" si="6"/>
        <v>129608.6805</v>
      </c>
      <c r="AI11" s="19">
        <f t="shared" si="0"/>
        <v>42000</v>
      </c>
      <c r="AJ11" s="4"/>
      <c r="AK11" s="4"/>
      <c r="AL11" s="4"/>
      <c r="AM11" s="4"/>
      <c r="AN11" s="4"/>
      <c r="AO11" s="20"/>
    </row>
    <row r="12" spans="1:41" s="21" customFormat="1" ht="23.15" customHeight="1">
      <c r="B12" s="166"/>
      <c r="C12" s="16" t="s">
        <v>121</v>
      </c>
      <c r="D12" s="16" t="s">
        <v>124</v>
      </c>
      <c r="E12" s="22">
        <v>580</v>
      </c>
      <c r="F12" s="16" t="s">
        <v>115</v>
      </c>
      <c r="G12" s="141"/>
      <c r="H12" s="23">
        <f t="shared" si="1"/>
        <v>5.9429999999999996</v>
      </c>
      <c r="I12" s="23">
        <f t="shared" si="2"/>
        <v>7.84</v>
      </c>
      <c r="J12" s="23">
        <f t="shared" si="3"/>
        <v>0.75800000000000001</v>
      </c>
      <c r="K12" s="23"/>
      <c r="L12" s="23">
        <f t="shared" si="7"/>
        <v>0.94799999999999995</v>
      </c>
      <c r="M12" s="23">
        <v>1.7999999999999999E-2</v>
      </c>
      <c r="N12" s="23">
        <v>2.0000000000000001E-4</v>
      </c>
      <c r="O12" s="24">
        <v>2.5</v>
      </c>
      <c r="P12" s="24">
        <v>1.6</v>
      </c>
      <c r="Q12" s="23">
        <v>0.06</v>
      </c>
      <c r="R12" s="24">
        <v>1.9</v>
      </c>
      <c r="S12" s="24">
        <v>2.35</v>
      </c>
      <c r="T12" s="24">
        <v>2.35</v>
      </c>
      <c r="U12" s="24">
        <v>2</v>
      </c>
      <c r="V12" s="24">
        <v>2</v>
      </c>
      <c r="W12" s="24">
        <v>6</v>
      </c>
      <c r="X12" s="24">
        <v>30</v>
      </c>
      <c r="Y12" s="24">
        <v>30</v>
      </c>
      <c r="Z12" s="23" t="s">
        <v>117</v>
      </c>
      <c r="AA12" s="4"/>
      <c r="AB12" s="166"/>
      <c r="AC12" s="16" t="s">
        <v>121</v>
      </c>
      <c r="AD12" s="16" t="s">
        <v>124</v>
      </c>
      <c r="AE12" s="17">
        <v>580</v>
      </c>
      <c r="AF12" s="25">
        <f t="shared" si="4"/>
        <v>7.8400000000000007</v>
      </c>
      <c r="AG12" s="19">
        <f t="shared" si="5"/>
        <v>4547.2000000000007</v>
      </c>
      <c r="AH12" s="19">
        <f t="shared" si="6"/>
        <v>134155.8805</v>
      </c>
      <c r="AI12" s="19">
        <f t="shared" si="0"/>
        <v>34800</v>
      </c>
      <c r="AJ12" s="4"/>
      <c r="AK12" s="4"/>
      <c r="AL12" s="4"/>
      <c r="AM12" s="4"/>
      <c r="AN12" s="4"/>
      <c r="AO12" s="20"/>
    </row>
    <row r="13" spans="1:41" s="21" customFormat="1" ht="23.15" customHeight="1">
      <c r="B13" s="166"/>
      <c r="C13" s="16" t="s">
        <v>124</v>
      </c>
      <c r="D13" s="16" t="s">
        <v>46</v>
      </c>
      <c r="E13" s="22">
        <v>3000</v>
      </c>
      <c r="F13" s="16" t="s">
        <v>115</v>
      </c>
      <c r="G13" s="134">
        <v>5.9630000000000001</v>
      </c>
      <c r="H13" s="23">
        <f t="shared" si="1"/>
        <v>5.9429999999999996</v>
      </c>
      <c r="I13" s="23">
        <f t="shared" si="2"/>
        <v>7.84</v>
      </c>
      <c r="J13" s="23">
        <f t="shared" si="3"/>
        <v>0.75800000000000001</v>
      </c>
      <c r="K13" s="145">
        <v>0.69</v>
      </c>
      <c r="L13" s="23">
        <f t="shared" si="7"/>
        <v>0.94799999999999995</v>
      </c>
      <c r="M13" s="23">
        <v>1.7999999999999999E-2</v>
      </c>
      <c r="N13" s="23">
        <v>2.0000000000000001E-4</v>
      </c>
      <c r="O13" s="24">
        <v>2.5</v>
      </c>
      <c r="P13" s="24">
        <v>1.6</v>
      </c>
      <c r="Q13" s="23">
        <v>0.06</v>
      </c>
      <c r="R13" s="24">
        <v>1.9</v>
      </c>
      <c r="S13" s="24">
        <v>2.35</v>
      </c>
      <c r="T13" s="24">
        <v>2.35</v>
      </c>
      <c r="U13" s="24">
        <v>2</v>
      </c>
      <c r="V13" s="24">
        <v>2</v>
      </c>
      <c r="W13" s="24">
        <v>6</v>
      </c>
      <c r="X13" s="24">
        <v>30</v>
      </c>
      <c r="Y13" s="24">
        <v>30</v>
      </c>
      <c r="Z13" s="23" t="s">
        <v>117</v>
      </c>
      <c r="AA13" s="4"/>
      <c r="AB13" s="166"/>
      <c r="AC13" s="16" t="s">
        <v>124</v>
      </c>
      <c r="AD13" s="16" t="s">
        <v>46</v>
      </c>
      <c r="AE13" s="17">
        <v>3000</v>
      </c>
      <c r="AF13" s="25">
        <f t="shared" si="4"/>
        <v>7.8400000000000007</v>
      </c>
      <c r="AG13" s="19">
        <f t="shared" si="5"/>
        <v>23520.000000000004</v>
      </c>
      <c r="AH13" s="19">
        <f t="shared" si="6"/>
        <v>157675.8805</v>
      </c>
      <c r="AI13" s="19">
        <f t="shared" si="0"/>
        <v>180000</v>
      </c>
      <c r="AJ13" s="4"/>
      <c r="AK13" s="4"/>
      <c r="AL13" s="4"/>
      <c r="AM13" s="4"/>
      <c r="AN13" s="4"/>
      <c r="AO13" s="20"/>
    </row>
    <row r="14" spans="1:41" s="21" customFormat="1" ht="23.15" customHeight="1">
      <c r="B14" s="166"/>
      <c r="C14" s="16" t="s">
        <v>46</v>
      </c>
      <c r="D14" s="16" t="s">
        <v>125</v>
      </c>
      <c r="E14" s="22">
        <v>500</v>
      </c>
      <c r="F14" s="16" t="s">
        <v>115</v>
      </c>
      <c r="G14" s="141"/>
      <c r="H14" s="23">
        <f t="shared" si="1"/>
        <v>5.5789999999999997</v>
      </c>
      <c r="I14" s="23">
        <f t="shared" si="2"/>
        <v>7.4790000000000001</v>
      </c>
      <c r="J14" s="23">
        <f t="shared" si="3"/>
        <v>0.746</v>
      </c>
      <c r="K14" s="23"/>
      <c r="L14" s="23">
        <f t="shared" si="7"/>
        <v>0.92500000000000004</v>
      </c>
      <c r="M14" s="23">
        <v>1.7999999999999999E-2</v>
      </c>
      <c r="N14" s="23">
        <v>2.0000000000000001E-4</v>
      </c>
      <c r="O14" s="24">
        <v>2.5</v>
      </c>
      <c r="P14" s="23">
        <v>1.55</v>
      </c>
      <c r="Q14" s="23">
        <v>0.06</v>
      </c>
      <c r="R14" s="23">
        <v>1.85</v>
      </c>
      <c r="S14" s="24">
        <v>2.35</v>
      </c>
      <c r="T14" s="24">
        <v>2.35</v>
      </c>
      <c r="U14" s="24">
        <v>2</v>
      </c>
      <c r="V14" s="24">
        <v>2</v>
      </c>
      <c r="W14" s="24">
        <v>6</v>
      </c>
      <c r="X14" s="24">
        <v>30</v>
      </c>
      <c r="Y14" s="24">
        <v>30</v>
      </c>
      <c r="Z14" s="23" t="s">
        <v>117</v>
      </c>
      <c r="AA14" s="4"/>
      <c r="AB14" s="166"/>
      <c r="AC14" s="16" t="s">
        <v>46</v>
      </c>
      <c r="AD14" s="16" t="s">
        <v>125</v>
      </c>
      <c r="AE14" s="17">
        <v>500</v>
      </c>
      <c r="AF14" s="25">
        <f t="shared" si="4"/>
        <v>7.4787500000000007</v>
      </c>
      <c r="AG14" s="19">
        <f t="shared" si="5"/>
        <v>3739.3750000000005</v>
      </c>
      <c r="AH14" s="19">
        <f t="shared" si="6"/>
        <v>161415.2555</v>
      </c>
      <c r="AI14" s="19">
        <f t="shared" si="0"/>
        <v>30000</v>
      </c>
      <c r="AJ14" s="4"/>
      <c r="AK14" s="4"/>
      <c r="AL14" s="4"/>
      <c r="AM14" s="4"/>
      <c r="AN14" s="4"/>
      <c r="AO14" s="20"/>
    </row>
    <row r="15" spans="1:41" s="21" customFormat="1" ht="23.15" customHeight="1">
      <c r="B15" s="166"/>
      <c r="C15" s="16" t="s">
        <v>125</v>
      </c>
      <c r="D15" s="16" t="s">
        <v>47</v>
      </c>
      <c r="E15" s="22">
        <v>3500</v>
      </c>
      <c r="F15" s="16" t="s">
        <v>115</v>
      </c>
      <c r="G15" s="134">
        <v>5.5789999999999997</v>
      </c>
      <c r="H15" s="23">
        <f t="shared" si="1"/>
        <v>5.5789999999999997</v>
      </c>
      <c r="I15" s="23">
        <f t="shared" si="2"/>
        <v>7.4790000000000001</v>
      </c>
      <c r="J15" s="23">
        <f t="shared" si="3"/>
        <v>0.746</v>
      </c>
      <c r="K15" s="145">
        <v>0.81</v>
      </c>
      <c r="L15" s="23">
        <f t="shared" si="7"/>
        <v>0.92500000000000004</v>
      </c>
      <c r="M15" s="23">
        <v>1.7999999999999999E-2</v>
      </c>
      <c r="N15" s="23">
        <v>2.0000000000000001E-4</v>
      </c>
      <c r="O15" s="24">
        <v>2.5</v>
      </c>
      <c r="P15" s="23">
        <v>1.55</v>
      </c>
      <c r="Q15" s="23">
        <v>0.06</v>
      </c>
      <c r="R15" s="23">
        <v>1.85</v>
      </c>
      <c r="S15" s="24">
        <v>2.35</v>
      </c>
      <c r="T15" s="24">
        <v>2.35</v>
      </c>
      <c r="U15" s="24">
        <v>2</v>
      </c>
      <c r="V15" s="24">
        <v>2</v>
      </c>
      <c r="W15" s="24">
        <v>6</v>
      </c>
      <c r="X15" s="24">
        <v>30</v>
      </c>
      <c r="Y15" s="24">
        <v>30</v>
      </c>
      <c r="Z15" s="23" t="s">
        <v>117</v>
      </c>
      <c r="AA15" s="4"/>
      <c r="AB15" s="166"/>
      <c r="AC15" s="16" t="s">
        <v>125</v>
      </c>
      <c r="AD15" s="16" t="s">
        <v>47</v>
      </c>
      <c r="AE15" s="17">
        <v>3500</v>
      </c>
      <c r="AF15" s="25">
        <f t="shared" si="4"/>
        <v>7.4787500000000007</v>
      </c>
      <c r="AG15" s="19">
        <f t="shared" si="5"/>
        <v>26175.625000000004</v>
      </c>
      <c r="AH15" s="19">
        <f t="shared" si="6"/>
        <v>187590.8805</v>
      </c>
      <c r="AI15" s="19">
        <f t="shared" si="0"/>
        <v>210000</v>
      </c>
      <c r="AJ15" s="4"/>
      <c r="AK15" s="4"/>
      <c r="AL15" s="4"/>
      <c r="AM15" s="4"/>
      <c r="AN15" s="4"/>
      <c r="AO15" s="20"/>
    </row>
    <row r="16" spans="1:41" s="21" customFormat="1" ht="23.15" customHeight="1">
      <c r="B16" s="166"/>
      <c r="C16" s="16" t="s">
        <v>47</v>
      </c>
      <c r="D16" s="16" t="s">
        <v>48</v>
      </c>
      <c r="E16" s="22">
        <v>2315</v>
      </c>
      <c r="F16" s="16">
        <v>5.319</v>
      </c>
      <c r="G16" s="141"/>
      <c r="H16" s="23">
        <f>ROUND(I16*J16,3)</f>
        <v>5.4340000000000002</v>
      </c>
      <c r="I16" s="16">
        <f t="shared" si="2"/>
        <v>7.3239999999999998</v>
      </c>
      <c r="J16" s="16">
        <f t="shared" si="3"/>
        <v>0.74199999999999999</v>
      </c>
      <c r="K16" s="144">
        <v>0.75</v>
      </c>
      <c r="L16" s="23">
        <f t="shared" si="7"/>
        <v>0.91700000000000004</v>
      </c>
      <c r="M16" s="16">
        <v>1.7999999999999999E-2</v>
      </c>
      <c r="N16" s="23">
        <v>2.0000000000000001E-4</v>
      </c>
      <c r="O16" s="24">
        <v>2.4</v>
      </c>
      <c r="P16" s="23">
        <v>1.55</v>
      </c>
      <c r="Q16" s="23">
        <v>0.06</v>
      </c>
      <c r="R16" s="23">
        <v>1.85</v>
      </c>
      <c r="S16" s="24">
        <v>2.2999999999999998</v>
      </c>
      <c r="T16" s="24">
        <v>2.2999999999999998</v>
      </c>
      <c r="U16" s="24">
        <v>2</v>
      </c>
      <c r="V16" s="24">
        <v>2</v>
      </c>
      <c r="W16" s="24">
        <v>6</v>
      </c>
      <c r="X16" s="24">
        <v>20</v>
      </c>
      <c r="Y16" s="24">
        <v>25</v>
      </c>
      <c r="Z16" s="23" t="s">
        <v>117</v>
      </c>
      <c r="AA16" s="4"/>
      <c r="AB16" s="166"/>
      <c r="AC16" s="16" t="s">
        <v>47</v>
      </c>
      <c r="AD16" s="16" t="s">
        <v>48</v>
      </c>
      <c r="AE16" s="17">
        <v>2315</v>
      </c>
      <c r="AF16" s="25">
        <f t="shared" si="4"/>
        <v>7.3237499999999995</v>
      </c>
      <c r="AG16" s="19">
        <f t="shared" si="5"/>
        <v>16954.481250000001</v>
      </c>
      <c r="AH16" s="19">
        <f t="shared" si="6"/>
        <v>204545.36175000001</v>
      </c>
      <c r="AI16" s="19">
        <f>(X16+Y16)*AE16</f>
        <v>104175</v>
      </c>
      <c r="AJ16" s="4"/>
      <c r="AK16" s="4"/>
      <c r="AL16" s="4"/>
      <c r="AM16" s="4"/>
      <c r="AN16" s="4"/>
      <c r="AO16" s="20"/>
    </row>
    <row r="17" spans="2:41" s="21" customFormat="1" ht="23.15" customHeight="1">
      <c r="B17" s="166"/>
      <c r="C17" s="16" t="s">
        <v>48</v>
      </c>
      <c r="D17" s="16" t="s">
        <v>126</v>
      </c>
      <c r="E17" s="22">
        <v>1185</v>
      </c>
      <c r="F17" s="16">
        <v>5.1180000000000003</v>
      </c>
      <c r="G17" s="141"/>
      <c r="H17" s="23">
        <f t="shared" si="1"/>
        <v>5.4340000000000002</v>
      </c>
      <c r="I17" s="16">
        <f t="shared" si="2"/>
        <v>7.3239999999999998</v>
      </c>
      <c r="J17" s="16">
        <f t="shared" si="3"/>
        <v>0.74199999999999999</v>
      </c>
      <c r="K17" s="16"/>
      <c r="L17" s="23">
        <f t="shared" si="7"/>
        <v>0.91700000000000004</v>
      </c>
      <c r="M17" s="16">
        <v>1.7999999999999999E-2</v>
      </c>
      <c r="N17" s="23">
        <v>2.0000000000000001E-4</v>
      </c>
      <c r="O17" s="24">
        <v>2.4</v>
      </c>
      <c r="P17" s="23">
        <v>1.55</v>
      </c>
      <c r="Q17" s="23">
        <v>0.06</v>
      </c>
      <c r="R17" s="23">
        <v>1.85</v>
      </c>
      <c r="S17" s="24">
        <v>2.2999999999999998</v>
      </c>
      <c r="T17" s="24">
        <v>2.2999999999999998</v>
      </c>
      <c r="U17" s="24">
        <v>2</v>
      </c>
      <c r="V17" s="24">
        <v>2</v>
      </c>
      <c r="W17" s="24">
        <v>6</v>
      </c>
      <c r="X17" s="24">
        <v>20</v>
      </c>
      <c r="Y17" s="24">
        <v>25</v>
      </c>
      <c r="Z17" s="23" t="s">
        <v>117</v>
      </c>
      <c r="AA17" s="4"/>
      <c r="AB17" s="166"/>
      <c r="AC17" s="16" t="s">
        <v>48</v>
      </c>
      <c r="AD17" s="16" t="s">
        <v>126</v>
      </c>
      <c r="AE17" s="17">
        <v>1185</v>
      </c>
      <c r="AF17" s="25">
        <f t="shared" si="4"/>
        <v>7.3237499999999995</v>
      </c>
      <c r="AG17" s="19">
        <f t="shared" si="5"/>
        <v>8678.6437499999993</v>
      </c>
      <c r="AH17" s="19">
        <f t="shared" si="6"/>
        <v>213224.0055</v>
      </c>
      <c r="AI17" s="19">
        <f t="shared" ref="AI17:AI80" si="8">(X17+Y17)*AE17</f>
        <v>53325</v>
      </c>
      <c r="AJ17" s="4"/>
      <c r="AK17" s="4"/>
      <c r="AL17" s="4"/>
      <c r="AM17" s="4"/>
      <c r="AN17" s="4"/>
      <c r="AO17" s="20"/>
    </row>
    <row r="18" spans="2:41" s="21" customFormat="1" ht="23.15" customHeight="1">
      <c r="B18" s="166"/>
      <c r="C18" s="16" t="s">
        <v>126</v>
      </c>
      <c r="D18" s="16" t="s">
        <v>49</v>
      </c>
      <c r="E18" s="22">
        <v>1200</v>
      </c>
      <c r="F18" s="16">
        <v>5.1180000000000003</v>
      </c>
      <c r="G18" s="135">
        <v>5.43</v>
      </c>
      <c r="H18" s="23">
        <f t="shared" si="1"/>
        <v>5.4340000000000002</v>
      </c>
      <c r="I18" s="16">
        <f t="shared" si="2"/>
        <v>7.3239999999999998</v>
      </c>
      <c r="J18" s="16">
        <f t="shared" si="3"/>
        <v>0.74199999999999999</v>
      </c>
      <c r="K18" s="144">
        <v>0.67</v>
      </c>
      <c r="L18" s="23">
        <f t="shared" si="7"/>
        <v>0.91700000000000004</v>
      </c>
      <c r="M18" s="16">
        <v>1.7999999999999999E-2</v>
      </c>
      <c r="N18" s="23">
        <v>2.0000000000000001E-4</v>
      </c>
      <c r="O18" s="24">
        <v>2.4</v>
      </c>
      <c r="P18" s="23">
        <v>1.55</v>
      </c>
      <c r="Q18" s="23">
        <v>0.06</v>
      </c>
      <c r="R18" s="23">
        <v>1.85</v>
      </c>
      <c r="S18" s="24">
        <v>2.2999999999999998</v>
      </c>
      <c r="T18" s="24">
        <v>2.2999999999999998</v>
      </c>
      <c r="U18" s="24">
        <v>2</v>
      </c>
      <c r="V18" s="24">
        <v>2</v>
      </c>
      <c r="W18" s="24">
        <v>6</v>
      </c>
      <c r="X18" s="24">
        <v>20</v>
      </c>
      <c r="Y18" s="24">
        <v>25</v>
      </c>
      <c r="Z18" s="23" t="s">
        <v>117</v>
      </c>
      <c r="AA18" s="4"/>
      <c r="AB18" s="166"/>
      <c r="AC18" s="16" t="s">
        <v>126</v>
      </c>
      <c r="AD18" s="16" t="s">
        <v>49</v>
      </c>
      <c r="AE18" s="17">
        <v>1200</v>
      </c>
      <c r="AF18" s="25">
        <f t="shared" si="4"/>
        <v>7.3237499999999995</v>
      </c>
      <c r="AG18" s="19">
        <f t="shared" si="5"/>
        <v>8788.5</v>
      </c>
      <c r="AH18" s="19">
        <f t="shared" si="6"/>
        <v>222012.5055</v>
      </c>
      <c r="AI18" s="19">
        <f t="shared" si="8"/>
        <v>54000</v>
      </c>
      <c r="AJ18" s="4"/>
      <c r="AK18" s="4"/>
      <c r="AL18" s="4"/>
      <c r="AM18" s="4"/>
      <c r="AN18" s="4"/>
      <c r="AO18" s="20"/>
    </row>
    <row r="19" spans="2:41" s="21" customFormat="1" ht="23.15" customHeight="1">
      <c r="B19" s="166"/>
      <c r="C19" s="16" t="s">
        <v>49</v>
      </c>
      <c r="D19" s="16" t="s">
        <v>127</v>
      </c>
      <c r="E19" s="22">
        <v>2300</v>
      </c>
      <c r="F19" s="16">
        <v>4.9560000000000004</v>
      </c>
      <c r="G19" s="16"/>
      <c r="H19" s="23">
        <f t="shared" si="1"/>
        <v>5.085</v>
      </c>
      <c r="I19" s="23">
        <f t="shared" si="2"/>
        <v>6.9749999999999996</v>
      </c>
      <c r="J19" s="23">
        <f t="shared" si="3"/>
        <v>0.72899999999999998</v>
      </c>
      <c r="K19" s="23"/>
      <c r="L19" s="23">
        <f t="shared" si="7"/>
        <v>0.89300000000000002</v>
      </c>
      <c r="M19" s="23">
        <v>1.7999999999999999E-2</v>
      </c>
      <c r="N19" s="23">
        <v>2.0000000000000001E-4</v>
      </c>
      <c r="O19" s="24">
        <v>2.4</v>
      </c>
      <c r="P19" s="24">
        <v>1.5</v>
      </c>
      <c r="Q19" s="23">
        <v>0.06</v>
      </c>
      <c r="R19" s="24">
        <v>1.8</v>
      </c>
      <c r="S19" s="24">
        <v>2.25</v>
      </c>
      <c r="T19" s="24">
        <v>2.25</v>
      </c>
      <c r="U19" s="24">
        <v>2</v>
      </c>
      <c r="V19" s="24">
        <v>2</v>
      </c>
      <c r="W19" s="24">
        <v>6</v>
      </c>
      <c r="X19" s="24">
        <v>20</v>
      </c>
      <c r="Y19" s="24">
        <v>25</v>
      </c>
      <c r="Z19" s="23" t="s">
        <v>117</v>
      </c>
      <c r="AA19" s="4"/>
      <c r="AB19" s="166"/>
      <c r="AC19" s="16" t="s">
        <v>49</v>
      </c>
      <c r="AD19" s="16" t="s">
        <v>127</v>
      </c>
      <c r="AE19" s="17">
        <v>2300</v>
      </c>
      <c r="AF19" s="25">
        <f t="shared" si="4"/>
        <v>6.9750000000000005</v>
      </c>
      <c r="AG19" s="19">
        <f t="shared" si="5"/>
        <v>16042.500000000002</v>
      </c>
      <c r="AH19" s="19">
        <f t="shared" si="6"/>
        <v>238055.0055</v>
      </c>
      <c r="AI19" s="19">
        <f t="shared" si="8"/>
        <v>103500</v>
      </c>
      <c r="AJ19" s="4"/>
      <c r="AK19" s="4"/>
      <c r="AL19" s="4"/>
      <c r="AM19" s="4"/>
      <c r="AN19" s="4"/>
      <c r="AO19" s="20"/>
    </row>
    <row r="20" spans="2:41" s="21" customFormat="1" ht="23.15" customHeight="1">
      <c r="B20" s="166"/>
      <c r="C20" s="16" t="s">
        <v>127</v>
      </c>
      <c r="D20" s="16" t="s">
        <v>50</v>
      </c>
      <c r="E20" s="22">
        <v>300</v>
      </c>
      <c r="F20" s="16">
        <v>4.9560000000000004</v>
      </c>
      <c r="G20" s="134">
        <v>5.0819999999999999</v>
      </c>
      <c r="H20" s="23">
        <f t="shared" si="1"/>
        <v>5.085</v>
      </c>
      <c r="I20" s="23">
        <f t="shared" si="2"/>
        <v>6.9749999999999996</v>
      </c>
      <c r="J20" s="23">
        <f t="shared" si="3"/>
        <v>0.72899999999999998</v>
      </c>
      <c r="K20" s="145">
        <v>0.65</v>
      </c>
      <c r="L20" s="23">
        <f t="shared" si="7"/>
        <v>0.89300000000000002</v>
      </c>
      <c r="M20" s="23">
        <v>1.7999999999999999E-2</v>
      </c>
      <c r="N20" s="23">
        <v>2.0000000000000001E-4</v>
      </c>
      <c r="O20" s="24">
        <v>2.4</v>
      </c>
      <c r="P20" s="24">
        <v>1.5</v>
      </c>
      <c r="Q20" s="23">
        <v>0.06</v>
      </c>
      <c r="R20" s="24">
        <v>1.8</v>
      </c>
      <c r="S20" s="24">
        <v>2.25</v>
      </c>
      <c r="T20" s="24">
        <v>2.25</v>
      </c>
      <c r="U20" s="24">
        <v>2</v>
      </c>
      <c r="V20" s="24">
        <v>2</v>
      </c>
      <c r="W20" s="24">
        <v>6</v>
      </c>
      <c r="X20" s="24">
        <v>20</v>
      </c>
      <c r="Y20" s="24">
        <v>25</v>
      </c>
      <c r="Z20" s="23" t="s">
        <v>117</v>
      </c>
      <c r="AA20" s="4"/>
      <c r="AB20" s="166"/>
      <c r="AC20" s="16" t="s">
        <v>127</v>
      </c>
      <c r="AD20" s="16" t="s">
        <v>50</v>
      </c>
      <c r="AE20" s="17">
        <v>300</v>
      </c>
      <c r="AF20" s="25">
        <f t="shared" si="4"/>
        <v>6.9750000000000005</v>
      </c>
      <c r="AG20" s="19">
        <f t="shared" si="5"/>
        <v>2092.5</v>
      </c>
      <c r="AH20" s="19">
        <f t="shared" si="6"/>
        <v>240147.5055</v>
      </c>
      <c r="AI20" s="19">
        <f t="shared" si="8"/>
        <v>13500</v>
      </c>
      <c r="AJ20" s="4"/>
      <c r="AK20" s="4"/>
      <c r="AL20" s="4"/>
      <c r="AM20" s="4"/>
      <c r="AN20" s="4"/>
      <c r="AO20" s="20"/>
    </row>
    <row r="21" spans="2:41" s="21" customFormat="1" ht="23.15" customHeight="1">
      <c r="B21" s="166"/>
      <c r="C21" s="16" t="s">
        <v>50</v>
      </c>
      <c r="D21" s="16" t="s">
        <v>128</v>
      </c>
      <c r="E21" s="22">
        <v>2970</v>
      </c>
      <c r="F21" s="16">
        <v>4.5789999999999997</v>
      </c>
      <c r="G21" s="134">
        <v>4.806</v>
      </c>
      <c r="H21" s="23">
        <f t="shared" si="1"/>
        <v>4.806</v>
      </c>
      <c r="I21" s="23">
        <f t="shared" si="2"/>
        <v>6.6749999999999998</v>
      </c>
      <c r="J21" s="16">
        <f t="shared" si="3"/>
        <v>0.72</v>
      </c>
      <c r="K21" s="144">
        <v>0.6</v>
      </c>
      <c r="L21" s="23">
        <f t="shared" si="7"/>
        <v>0.877</v>
      </c>
      <c r="M21" s="23">
        <v>1.7999999999999999E-2</v>
      </c>
      <c r="N21" s="23">
        <v>2.0000000000000001E-4</v>
      </c>
      <c r="O21" s="24">
        <v>2.2000000000000002</v>
      </c>
      <c r="P21" s="24">
        <v>1.5</v>
      </c>
      <c r="Q21" s="23">
        <v>0.06</v>
      </c>
      <c r="R21" s="24">
        <v>1.8</v>
      </c>
      <c r="S21" s="24">
        <v>2.2000000000000002</v>
      </c>
      <c r="T21" s="24">
        <v>2.2000000000000002</v>
      </c>
      <c r="U21" s="24">
        <v>2</v>
      </c>
      <c r="V21" s="24">
        <v>2</v>
      </c>
      <c r="W21" s="24">
        <v>6</v>
      </c>
      <c r="X21" s="24">
        <v>20</v>
      </c>
      <c r="Y21" s="24">
        <v>25</v>
      </c>
      <c r="Z21" s="23" t="s">
        <v>117</v>
      </c>
      <c r="AA21" s="4"/>
      <c r="AB21" s="166"/>
      <c r="AC21" s="16" t="s">
        <v>50</v>
      </c>
      <c r="AD21" s="16" t="s">
        <v>128</v>
      </c>
      <c r="AE21" s="17">
        <v>2970</v>
      </c>
      <c r="AF21" s="25">
        <f t="shared" si="4"/>
        <v>6.6750000000000007</v>
      </c>
      <c r="AG21" s="19">
        <f t="shared" si="5"/>
        <v>19824.750000000004</v>
      </c>
      <c r="AH21" s="19">
        <f t="shared" si="6"/>
        <v>259972.2555</v>
      </c>
      <c r="AI21" s="19">
        <f t="shared" si="8"/>
        <v>133650</v>
      </c>
      <c r="AJ21" s="4"/>
      <c r="AK21" s="4"/>
      <c r="AL21" s="4"/>
      <c r="AM21" s="4"/>
      <c r="AN21" s="4"/>
      <c r="AO21" s="20"/>
    </row>
    <row r="22" spans="2:41" s="21" customFormat="1" ht="23.15" customHeight="1">
      <c r="B22" s="166"/>
      <c r="C22" s="16" t="s">
        <v>128</v>
      </c>
      <c r="D22" s="16" t="s">
        <v>129</v>
      </c>
      <c r="E22" s="22">
        <v>230</v>
      </c>
      <c r="F22" s="16">
        <v>4.2939999999999996</v>
      </c>
      <c r="G22" s="16"/>
      <c r="H22" s="23">
        <f t="shared" si="1"/>
        <v>4.4850000000000003</v>
      </c>
      <c r="I22" s="23">
        <f t="shared" si="2"/>
        <v>6.3440000000000003</v>
      </c>
      <c r="J22" s="16">
        <f t="shared" si="3"/>
        <v>0.70699999999999996</v>
      </c>
      <c r="K22" s="16"/>
      <c r="L22" s="23">
        <f t="shared" si="7"/>
        <v>0.85399999999999998</v>
      </c>
      <c r="M22" s="23">
        <v>1.7999999999999999E-2</v>
      </c>
      <c r="N22" s="23">
        <v>2.0000000000000001E-4</v>
      </c>
      <c r="O22" s="24">
        <v>2.2000000000000002</v>
      </c>
      <c r="P22" s="23">
        <v>1.45</v>
      </c>
      <c r="Q22" s="23">
        <v>0.06</v>
      </c>
      <c r="R22" s="24">
        <v>1.7</v>
      </c>
      <c r="S22" s="24">
        <v>2.15</v>
      </c>
      <c r="T22" s="24">
        <v>2.15</v>
      </c>
      <c r="U22" s="24">
        <v>2</v>
      </c>
      <c r="V22" s="24">
        <v>2</v>
      </c>
      <c r="W22" s="24">
        <v>6</v>
      </c>
      <c r="X22" s="24">
        <v>20</v>
      </c>
      <c r="Y22" s="24">
        <v>25</v>
      </c>
      <c r="Z22" s="23" t="s">
        <v>117</v>
      </c>
      <c r="AA22" s="4"/>
      <c r="AB22" s="166"/>
      <c r="AC22" s="16" t="s">
        <v>128</v>
      </c>
      <c r="AD22" s="16" t="s">
        <v>129</v>
      </c>
      <c r="AE22" s="17">
        <v>230</v>
      </c>
      <c r="AF22" s="25">
        <f t="shared" si="4"/>
        <v>6.34375</v>
      </c>
      <c r="AG22" s="19">
        <f t="shared" si="5"/>
        <v>1459.0625</v>
      </c>
      <c r="AH22" s="19">
        <f t="shared" si="6"/>
        <v>261431.318</v>
      </c>
      <c r="AI22" s="19">
        <f t="shared" si="8"/>
        <v>10350</v>
      </c>
      <c r="AJ22" s="4"/>
      <c r="AK22" s="4"/>
      <c r="AL22" s="4"/>
      <c r="AM22" s="4"/>
      <c r="AN22" s="4"/>
      <c r="AO22" s="20"/>
    </row>
    <row r="23" spans="2:41" s="21" customFormat="1" ht="23.15" customHeight="1">
      <c r="B23" s="166"/>
      <c r="C23" s="16" t="s">
        <v>129</v>
      </c>
      <c r="D23" s="16" t="s">
        <v>130</v>
      </c>
      <c r="E23" s="22">
        <v>2150</v>
      </c>
      <c r="F23" s="16">
        <v>4.2939999999999996</v>
      </c>
      <c r="G23" s="134">
        <v>4.4859999999999998</v>
      </c>
      <c r="H23" s="23">
        <f t="shared" si="1"/>
        <v>4.4850000000000003</v>
      </c>
      <c r="I23" s="23">
        <f t="shared" si="2"/>
        <v>6.3440000000000003</v>
      </c>
      <c r="J23" s="16">
        <f t="shared" si="3"/>
        <v>0.70699999999999996</v>
      </c>
      <c r="K23" s="144">
        <v>0.56000000000000005</v>
      </c>
      <c r="L23" s="23">
        <f t="shared" si="7"/>
        <v>0.85399999999999998</v>
      </c>
      <c r="M23" s="23">
        <v>1.7999999999999999E-2</v>
      </c>
      <c r="N23" s="23">
        <v>2.0000000000000001E-4</v>
      </c>
      <c r="O23" s="24">
        <v>2.2000000000000002</v>
      </c>
      <c r="P23" s="23">
        <v>1.45</v>
      </c>
      <c r="Q23" s="23">
        <v>0.06</v>
      </c>
      <c r="R23" s="24">
        <v>1.7</v>
      </c>
      <c r="S23" s="24">
        <v>2.15</v>
      </c>
      <c r="T23" s="24">
        <v>2.15</v>
      </c>
      <c r="U23" s="24">
        <v>2</v>
      </c>
      <c r="V23" s="24">
        <v>2</v>
      </c>
      <c r="W23" s="24">
        <v>6</v>
      </c>
      <c r="X23" s="24">
        <v>20</v>
      </c>
      <c r="Y23" s="24">
        <v>25</v>
      </c>
      <c r="Z23" s="23" t="s">
        <v>117</v>
      </c>
      <c r="AA23" s="4"/>
      <c r="AB23" s="166"/>
      <c r="AC23" s="16" t="s">
        <v>129</v>
      </c>
      <c r="AD23" s="16" t="s">
        <v>130</v>
      </c>
      <c r="AE23" s="17">
        <v>2150</v>
      </c>
      <c r="AF23" s="25">
        <f t="shared" si="4"/>
        <v>6.34375</v>
      </c>
      <c r="AG23" s="19">
        <f t="shared" si="5"/>
        <v>13639.0625</v>
      </c>
      <c r="AH23" s="19">
        <f t="shared" si="6"/>
        <v>275070.38049999997</v>
      </c>
      <c r="AI23" s="19">
        <f t="shared" si="8"/>
        <v>96750</v>
      </c>
      <c r="AJ23" s="4"/>
      <c r="AK23" s="4"/>
      <c r="AL23" s="4"/>
      <c r="AM23" s="4"/>
      <c r="AN23" s="4"/>
      <c r="AO23" s="20"/>
    </row>
    <row r="24" spans="2:41" s="21" customFormat="1" ht="23.15" customHeight="1">
      <c r="B24" s="166"/>
      <c r="C24" s="16" t="s">
        <v>130</v>
      </c>
      <c r="D24" s="16" t="s">
        <v>131</v>
      </c>
      <c r="E24" s="22">
        <v>1350</v>
      </c>
      <c r="F24" s="16">
        <v>4.2110000000000003</v>
      </c>
      <c r="G24" s="16"/>
      <c r="H24" s="23">
        <f t="shared" si="1"/>
        <v>4.4850000000000003</v>
      </c>
      <c r="I24" s="23">
        <f t="shared" si="2"/>
        <v>6.3440000000000003</v>
      </c>
      <c r="J24" s="16">
        <f t="shared" si="3"/>
        <v>0.70699999999999996</v>
      </c>
      <c r="K24" s="16"/>
      <c r="L24" s="23">
        <f t="shared" si="7"/>
        <v>0.85399999999999998</v>
      </c>
      <c r="M24" s="23">
        <v>1.7999999999999999E-2</v>
      </c>
      <c r="N24" s="23">
        <v>2.0000000000000001E-4</v>
      </c>
      <c r="O24" s="24">
        <v>2.2000000000000002</v>
      </c>
      <c r="P24" s="23">
        <v>1.45</v>
      </c>
      <c r="Q24" s="23">
        <v>0.06</v>
      </c>
      <c r="R24" s="24">
        <v>1.7</v>
      </c>
      <c r="S24" s="24">
        <v>2.15</v>
      </c>
      <c r="T24" s="24">
        <v>2.15</v>
      </c>
      <c r="U24" s="24">
        <v>2</v>
      </c>
      <c r="V24" s="24">
        <v>2</v>
      </c>
      <c r="W24" s="24">
        <v>6</v>
      </c>
      <c r="X24" s="24">
        <v>15</v>
      </c>
      <c r="Y24" s="24">
        <v>20</v>
      </c>
      <c r="Z24" s="23" t="s">
        <v>117</v>
      </c>
      <c r="AA24" s="4"/>
      <c r="AB24" s="166"/>
      <c r="AC24" s="16" t="s">
        <v>130</v>
      </c>
      <c r="AD24" s="16" t="s">
        <v>131</v>
      </c>
      <c r="AE24" s="17">
        <v>1350</v>
      </c>
      <c r="AF24" s="25">
        <f t="shared" si="4"/>
        <v>6.34375</v>
      </c>
      <c r="AG24" s="19">
        <f t="shared" si="5"/>
        <v>8564.0625</v>
      </c>
      <c r="AH24" s="19">
        <f t="shared" si="6"/>
        <v>283634.44299999997</v>
      </c>
      <c r="AI24" s="19">
        <f t="shared" si="8"/>
        <v>47250</v>
      </c>
      <c r="AJ24" s="4"/>
      <c r="AK24" s="4"/>
      <c r="AL24" s="4"/>
      <c r="AM24" s="4"/>
      <c r="AN24" s="4"/>
      <c r="AO24" s="20"/>
    </row>
    <row r="25" spans="2:41" s="21" customFormat="1" ht="23.15" customHeight="1">
      <c r="B25" s="166"/>
      <c r="C25" s="16" t="s">
        <v>131</v>
      </c>
      <c r="D25" s="16" t="s">
        <v>132</v>
      </c>
      <c r="E25" s="22">
        <v>1190</v>
      </c>
      <c r="F25" s="16">
        <v>4.2110000000000003</v>
      </c>
      <c r="G25" s="134">
        <v>4.4859999999999998</v>
      </c>
      <c r="H25" s="23">
        <f t="shared" si="1"/>
        <v>4.4850000000000003</v>
      </c>
      <c r="I25" s="23">
        <f t="shared" si="2"/>
        <v>6.3440000000000003</v>
      </c>
      <c r="J25" s="23">
        <f t="shared" si="3"/>
        <v>0.70699999999999996</v>
      </c>
      <c r="K25" s="145">
        <v>0.57999999999999996</v>
      </c>
      <c r="L25" s="23">
        <f t="shared" si="7"/>
        <v>0.85399999999999998</v>
      </c>
      <c r="M25" s="23">
        <v>1.7999999999999999E-2</v>
      </c>
      <c r="N25" s="23">
        <v>2.0000000000000001E-4</v>
      </c>
      <c r="O25" s="24">
        <v>2.2000000000000002</v>
      </c>
      <c r="P25" s="23">
        <v>1.45</v>
      </c>
      <c r="Q25" s="23">
        <v>0.06</v>
      </c>
      <c r="R25" s="24">
        <v>1.7</v>
      </c>
      <c r="S25" s="24">
        <v>2.15</v>
      </c>
      <c r="T25" s="24">
        <v>2.15</v>
      </c>
      <c r="U25" s="24">
        <v>2</v>
      </c>
      <c r="V25" s="24">
        <v>2</v>
      </c>
      <c r="W25" s="24">
        <v>6</v>
      </c>
      <c r="X25" s="24">
        <v>15</v>
      </c>
      <c r="Y25" s="24">
        <v>20</v>
      </c>
      <c r="Z25" s="23" t="s">
        <v>117</v>
      </c>
      <c r="AA25" s="4"/>
      <c r="AB25" s="166"/>
      <c r="AC25" s="16" t="s">
        <v>131</v>
      </c>
      <c r="AD25" s="16" t="s">
        <v>132</v>
      </c>
      <c r="AE25" s="17">
        <v>1190</v>
      </c>
      <c r="AF25" s="25">
        <f t="shared" si="4"/>
        <v>6.34375</v>
      </c>
      <c r="AG25" s="19">
        <f t="shared" si="5"/>
        <v>7549.0625</v>
      </c>
      <c r="AH25" s="19">
        <f t="shared" si="6"/>
        <v>291183.50549999997</v>
      </c>
      <c r="AI25" s="19">
        <f t="shared" si="8"/>
        <v>41650</v>
      </c>
      <c r="AJ25" s="4"/>
      <c r="AK25" s="4"/>
      <c r="AL25" s="4"/>
      <c r="AM25" s="4"/>
      <c r="AN25" s="4"/>
      <c r="AO25" s="20"/>
    </row>
    <row r="26" spans="2:41" s="21" customFormat="1" ht="23.15" customHeight="1">
      <c r="B26" s="166"/>
      <c r="C26" s="16" t="s">
        <v>132</v>
      </c>
      <c r="D26" s="16" t="s">
        <v>53</v>
      </c>
      <c r="E26" s="22">
        <v>1910</v>
      </c>
      <c r="F26" s="16">
        <v>3.899</v>
      </c>
      <c r="G26" s="134">
        <v>4.1790000000000003</v>
      </c>
      <c r="H26" s="23">
        <f t="shared" si="1"/>
        <v>4.1779999999999999</v>
      </c>
      <c r="I26" s="16">
        <f t="shared" si="2"/>
        <v>6.02</v>
      </c>
      <c r="J26" s="23">
        <f t="shared" si="3"/>
        <v>0.69399999999999995</v>
      </c>
      <c r="K26" s="145">
        <v>0.59</v>
      </c>
      <c r="L26" s="23">
        <f t="shared" si="7"/>
        <v>0.83099999999999996</v>
      </c>
      <c r="M26" s="23">
        <v>1.7999999999999999E-2</v>
      </c>
      <c r="N26" s="23">
        <v>2.0000000000000001E-4</v>
      </c>
      <c r="O26" s="24">
        <v>2.2000000000000002</v>
      </c>
      <c r="P26" s="24">
        <v>1.4</v>
      </c>
      <c r="Q26" s="23">
        <v>0.06</v>
      </c>
      <c r="R26" s="23">
        <v>1.65</v>
      </c>
      <c r="S26" s="24">
        <v>2.1</v>
      </c>
      <c r="T26" s="24">
        <v>2.1</v>
      </c>
      <c r="U26" s="24">
        <v>2</v>
      </c>
      <c r="V26" s="24">
        <v>2</v>
      </c>
      <c r="W26" s="24">
        <v>6</v>
      </c>
      <c r="X26" s="24">
        <v>15</v>
      </c>
      <c r="Y26" s="24">
        <v>20</v>
      </c>
      <c r="Z26" s="23" t="s">
        <v>117</v>
      </c>
      <c r="AA26" s="4"/>
      <c r="AB26" s="166"/>
      <c r="AC26" s="16" t="s">
        <v>132</v>
      </c>
      <c r="AD26" s="16" t="s">
        <v>53</v>
      </c>
      <c r="AE26" s="17">
        <v>1910</v>
      </c>
      <c r="AF26" s="25">
        <f t="shared" si="4"/>
        <v>6.02</v>
      </c>
      <c r="AG26" s="19">
        <f t="shared" si="5"/>
        <v>11498.199999999999</v>
      </c>
      <c r="AH26" s="19">
        <f t="shared" si="6"/>
        <v>302681.70549999998</v>
      </c>
      <c r="AI26" s="19">
        <f t="shared" si="8"/>
        <v>66850</v>
      </c>
      <c r="AJ26" s="4"/>
      <c r="AK26" s="4"/>
      <c r="AL26" s="4"/>
      <c r="AM26" s="4"/>
      <c r="AN26" s="4"/>
      <c r="AO26" s="20"/>
    </row>
    <row r="27" spans="2:41" s="21" customFormat="1" ht="23.15" customHeight="1">
      <c r="B27" s="166"/>
      <c r="C27" s="16" t="s">
        <v>53</v>
      </c>
      <c r="D27" s="16" t="s">
        <v>133</v>
      </c>
      <c r="E27" s="22">
        <v>240</v>
      </c>
      <c r="F27" s="16">
        <v>0.19900000000000001</v>
      </c>
      <c r="G27" s="16"/>
      <c r="H27" s="23">
        <f t="shared" si="1"/>
        <v>0.20599999999999999</v>
      </c>
      <c r="I27" s="16">
        <f t="shared" si="2"/>
        <v>0.625</v>
      </c>
      <c r="J27" s="23">
        <f t="shared" si="3"/>
        <v>0.32900000000000001</v>
      </c>
      <c r="K27" s="23"/>
      <c r="L27" s="23">
        <f t="shared" si="7"/>
        <v>0.27100000000000002</v>
      </c>
      <c r="M27" s="23">
        <v>1.7999999999999999E-2</v>
      </c>
      <c r="N27" s="23">
        <v>2.0000000000000001E-4</v>
      </c>
      <c r="O27" s="24">
        <v>0.5</v>
      </c>
      <c r="P27" s="24">
        <v>0.5</v>
      </c>
      <c r="Q27" s="23">
        <v>0.06</v>
      </c>
      <c r="R27" s="23">
        <v>0.65</v>
      </c>
      <c r="S27" s="24">
        <v>0.9</v>
      </c>
      <c r="T27" s="24">
        <v>0.9</v>
      </c>
      <c r="U27" s="24" t="s">
        <v>115</v>
      </c>
      <c r="V27" s="24">
        <v>2</v>
      </c>
      <c r="W27" s="24">
        <v>5</v>
      </c>
      <c r="X27" s="24">
        <v>15</v>
      </c>
      <c r="Y27" s="24">
        <v>20</v>
      </c>
      <c r="Z27" s="23" t="s">
        <v>117</v>
      </c>
      <c r="AA27" s="4"/>
      <c r="AB27" s="166"/>
      <c r="AC27" s="16" t="s">
        <v>53</v>
      </c>
      <c r="AD27" s="16" t="s">
        <v>133</v>
      </c>
      <c r="AE27" s="17">
        <v>240</v>
      </c>
      <c r="AF27" s="25">
        <f t="shared" si="4"/>
        <v>0.625</v>
      </c>
      <c r="AG27" s="19">
        <f t="shared" si="5"/>
        <v>150</v>
      </c>
      <c r="AH27" s="19">
        <f t="shared" si="6"/>
        <v>302831.70549999998</v>
      </c>
      <c r="AI27" s="19">
        <f t="shared" si="8"/>
        <v>8400</v>
      </c>
      <c r="AJ27" s="4"/>
      <c r="AK27" s="4"/>
      <c r="AL27" s="4"/>
      <c r="AM27" s="4"/>
      <c r="AN27" s="4"/>
      <c r="AO27" s="20"/>
    </row>
    <row r="28" spans="2:41" s="21" customFormat="1" ht="23.15" customHeight="1">
      <c r="B28" s="166"/>
      <c r="C28" s="16" t="s">
        <v>133</v>
      </c>
      <c r="D28" s="16" t="s">
        <v>134</v>
      </c>
      <c r="E28" s="22">
        <v>160</v>
      </c>
      <c r="F28" s="16">
        <v>0.11</v>
      </c>
      <c r="G28" s="16"/>
      <c r="H28" s="23">
        <f t="shared" si="1"/>
        <v>0.20599999999999999</v>
      </c>
      <c r="I28" s="16">
        <f t="shared" si="2"/>
        <v>0.625</v>
      </c>
      <c r="J28" s="23">
        <f t="shared" si="3"/>
        <v>0.32900000000000001</v>
      </c>
      <c r="K28" s="23"/>
      <c r="L28" s="23">
        <f t="shared" si="7"/>
        <v>0.27100000000000002</v>
      </c>
      <c r="M28" s="23">
        <v>1.7999999999999999E-2</v>
      </c>
      <c r="N28" s="23">
        <v>2.0000000000000001E-4</v>
      </c>
      <c r="O28" s="24">
        <v>0.5</v>
      </c>
      <c r="P28" s="24">
        <v>0.5</v>
      </c>
      <c r="Q28" s="23">
        <v>0.06</v>
      </c>
      <c r="R28" s="23">
        <v>0.65</v>
      </c>
      <c r="S28" s="24">
        <v>0.9</v>
      </c>
      <c r="T28" s="24">
        <v>0.9</v>
      </c>
      <c r="U28" s="24" t="s">
        <v>115</v>
      </c>
      <c r="V28" s="24">
        <v>2</v>
      </c>
      <c r="W28" s="24">
        <v>5</v>
      </c>
      <c r="X28" s="24">
        <v>15</v>
      </c>
      <c r="Y28" s="24">
        <v>20</v>
      </c>
      <c r="Z28" s="23" t="s">
        <v>117</v>
      </c>
      <c r="AA28" s="4"/>
      <c r="AB28" s="166"/>
      <c r="AC28" s="16" t="s">
        <v>133</v>
      </c>
      <c r="AD28" s="16" t="s">
        <v>134</v>
      </c>
      <c r="AE28" s="17">
        <v>160</v>
      </c>
      <c r="AF28" s="25">
        <f t="shared" si="4"/>
        <v>0.625</v>
      </c>
      <c r="AG28" s="19">
        <f t="shared" si="5"/>
        <v>100</v>
      </c>
      <c r="AH28" s="19">
        <f t="shared" si="6"/>
        <v>302931.70549999998</v>
      </c>
      <c r="AI28" s="19">
        <f t="shared" si="8"/>
        <v>5600</v>
      </c>
      <c r="AJ28" s="4"/>
      <c r="AK28" s="4"/>
      <c r="AL28" s="4"/>
      <c r="AM28" s="4"/>
      <c r="AN28" s="4"/>
      <c r="AO28" s="20"/>
    </row>
    <row r="29" spans="2:41" s="21" customFormat="1" ht="23.15" customHeight="1">
      <c r="B29" s="166"/>
      <c r="C29" s="16" t="s">
        <v>134</v>
      </c>
      <c r="D29" s="28" t="s">
        <v>135</v>
      </c>
      <c r="E29" s="29">
        <v>200</v>
      </c>
      <c r="F29" s="16">
        <v>0.11</v>
      </c>
      <c r="G29" s="134">
        <v>0.20499999999999999</v>
      </c>
      <c r="H29" s="23">
        <f t="shared" si="1"/>
        <v>0.20599999999999999</v>
      </c>
      <c r="I29" s="16">
        <f t="shared" si="2"/>
        <v>0.625</v>
      </c>
      <c r="J29" s="23">
        <f t="shared" si="3"/>
        <v>0.32900000000000001</v>
      </c>
      <c r="K29" s="23"/>
      <c r="L29" s="16">
        <f t="shared" si="7"/>
        <v>0.27100000000000002</v>
      </c>
      <c r="M29" s="23">
        <v>1.7999999999999999E-2</v>
      </c>
      <c r="N29" s="23">
        <v>2.0000000000000001E-4</v>
      </c>
      <c r="O29" s="24">
        <v>0.5</v>
      </c>
      <c r="P29" s="24">
        <v>0.5</v>
      </c>
      <c r="Q29" s="23">
        <v>0.06</v>
      </c>
      <c r="R29" s="23">
        <v>0.65</v>
      </c>
      <c r="S29" s="24">
        <v>0.9</v>
      </c>
      <c r="T29" s="24">
        <v>0.9</v>
      </c>
      <c r="U29" s="24" t="s">
        <v>115</v>
      </c>
      <c r="V29" s="24">
        <v>2</v>
      </c>
      <c r="W29" s="24">
        <v>5</v>
      </c>
      <c r="X29" s="24">
        <v>15</v>
      </c>
      <c r="Y29" s="24">
        <v>20</v>
      </c>
      <c r="Z29" s="23" t="s">
        <v>117</v>
      </c>
      <c r="AA29" s="4"/>
      <c r="AB29" s="166"/>
      <c r="AC29" s="28" t="s">
        <v>134</v>
      </c>
      <c r="AD29" s="28" t="s">
        <v>135</v>
      </c>
      <c r="AE29" s="30">
        <v>200</v>
      </c>
      <c r="AF29" s="25">
        <f t="shared" si="4"/>
        <v>0.625</v>
      </c>
      <c r="AG29" s="19">
        <f t="shared" si="5"/>
        <v>125</v>
      </c>
      <c r="AH29" s="19">
        <f t="shared" si="6"/>
        <v>303056.70549999998</v>
      </c>
      <c r="AI29" s="19">
        <f t="shared" si="8"/>
        <v>7000</v>
      </c>
      <c r="AJ29" s="4"/>
      <c r="AK29" s="4"/>
      <c r="AL29" s="4"/>
      <c r="AM29" s="4"/>
      <c r="AN29" s="4"/>
      <c r="AO29" s="20"/>
    </row>
    <row r="30" spans="2:41" s="21" customFormat="1" ht="23.15" customHeight="1">
      <c r="B30" s="167"/>
      <c r="C30" s="16" t="s">
        <v>135</v>
      </c>
      <c r="D30" s="31" t="s">
        <v>54</v>
      </c>
      <c r="E30" s="32">
        <v>350</v>
      </c>
      <c r="F30" s="31" t="s">
        <v>115</v>
      </c>
      <c r="G30" s="136">
        <v>0.159</v>
      </c>
      <c r="H30" s="33">
        <f t="shared" si="1"/>
        <v>0.151</v>
      </c>
      <c r="I30" s="33">
        <f t="shared" si="2"/>
        <v>0.625</v>
      </c>
      <c r="J30" s="33">
        <f t="shared" si="3"/>
        <v>0.24199999999999999</v>
      </c>
      <c r="K30" s="33"/>
      <c r="L30" s="33">
        <f t="shared" si="7"/>
        <v>0.27100000000000002</v>
      </c>
      <c r="M30" s="31">
        <v>0.03</v>
      </c>
      <c r="N30" s="33">
        <v>2.9999999999999997E-4</v>
      </c>
      <c r="O30" s="34">
        <v>0.5</v>
      </c>
      <c r="P30" s="34">
        <v>0.5</v>
      </c>
      <c r="Q30" s="34" t="s">
        <v>115</v>
      </c>
      <c r="R30" s="34" t="s">
        <v>115</v>
      </c>
      <c r="S30" s="34" t="s">
        <v>115</v>
      </c>
      <c r="T30" s="34" t="s">
        <v>115</v>
      </c>
      <c r="U30" s="34" t="s">
        <v>115</v>
      </c>
      <c r="V30" s="34" t="s">
        <v>115</v>
      </c>
      <c r="W30" s="34" t="s">
        <v>115</v>
      </c>
      <c r="X30" s="34">
        <v>15</v>
      </c>
      <c r="Y30" s="34">
        <v>15</v>
      </c>
      <c r="Z30" s="34" t="s">
        <v>136</v>
      </c>
      <c r="AA30" s="4"/>
      <c r="AB30" s="167"/>
      <c r="AC30" s="28" t="s">
        <v>135</v>
      </c>
      <c r="AD30" s="28" t="s">
        <v>54</v>
      </c>
      <c r="AE30" s="30">
        <v>350</v>
      </c>
      <c r="AF30" s="25">
        <f t="shared" si="4"/>
        <v>0.625</v>
      </c>
      <c r="AG30" s="19">
        <f t="shared" si="5"/>
        <v>218.75</v>
      </c>
      <c r="AH30" s="19">
        <f t="shared" si="6"/>
        <v>303275.45549999998</v>
      </c>
      <c r="AI30" s="19">
        <f t="shared" si="8"/>
        <v>10500</v>
      </c>
      <c r="AJ30" s="4"/>
      <c r="AK30" s="4"/>
      <c r="AL30" s="4"/>
      <c r="AM30" s="4"/>
      <c r="AN30" s="4"/>
      <c r="AO30" s="20"/>
    </row>
    <row r="31" spans="2:41" s="21" customFormat="1" ht="23.15" customHeight="1">
      <c r="B31" s="35"/>
      <c r="C31" s="36"/>
      <c r="D31" s="36"/>
      <c r="E31" s="3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8"/>
      <c r="AA31" s="4"/>
      <c r="AB31" s="162" t="s">
        <v>137</v>
      </c>
      <c r="AC31" s="163"/>
      <c r="AD31" s="164"/>
      <c r="AE31" s="39">
        <f>SUM(AE4:AE30)</f>
        <v>39050</v>
      </c>
      <c r="AF31" s="36"/>
      <c r="AG31" s="40">
        <f>SUM(AG4:AG30)</f>
        <v>303275.45549999998</v>
      </c>
      <c r="AH31" s="38"/>
      <c r="AI31" s="40">
        <f>SUM(AI4:AI30)</f>
        <v>2006300</v>
      </c>
      <c r="AJ31" s="4"/>
      <c r="AK31" s="4"/>
      <c r="AL31" s="4"/>
      <c r="AM31" s="4"/>
      <c r="AN31" s="4"/>
      <c r="AO31" s="20"/>
    </row>
    <row r="32" spans="2:41" s="21" customFormat="1" ht="23.15" customHeight="1">
      <c r="B32" s="165" t="s">
        <v>23</v>
      </c>
      <c r="C32" s="12" t="s">
        <v>40</v>
      </c>
      <c r="D32" s="12" t="s">
        <v>138</v>
      </c>
      <c r="E32" s="13">
        <v>2850</v>
      </c>
      <c r="F32" s="12">
        <v>2.4079999999999999</v>
      </c>
      <c r="G32" s="133">
        <v>2.4079999999999999</v>
      </c>
      <c r="H32" s="12">
        <f t="shared" ref="H32:H43" si="9">ROUND(I32*J32,3)</f>
        <v>2.4079999999999999</v>
      </c>
      <c r="I32" s="12">
        <f t="shared" ref="I32:I43" si="10">ROUND((O32+(1.5*P32))*P32,3)</f>
        <v>3.96</v>
      </c>
      <c r="J32" s="12">
        <f t="shared" ref="J32:J43" si="11">ROUND((1/M32)*(L32^(2/3))*SQRT(N32),3)</f>
        <v>0.60799999999999998</v>
      </c>
      <c r="K32" s="12"/>
      <c r="L32" s="12">
        <f t="shared" ref="L32:L43" si="12">ROUND(I32/(O32+(2*P32*SQRT(1+(1.5^2)))),3)</f>
        <v>0.68</v>
      </c>
      <c r="M32" s="12">
        <v>1.7999999999999999E-2</v>
      </c>
      <c r="N32" s="15">
        <v>2.0000000000000001E-4</v>
      </c>
      <c r="O32" s="41">
        <v>1.5</v>
      </c>
      <c r="P32" s="41">
        <v>1.2</v>
      </c>
      <c r="Q32" s="23">
        <v>0.06</v>
      </c>
      <c r="R32" s="41">
        <v>1.4</v>
      </c>
      <c r="S32" s="41">
        <v>1.8</v>
      </c>
      <c r="T32" s="41">
        <v>1.8</v>
      </c>
      <c r="U32" s="41">
        <v>1</v>
      </c>
      <c r="V32" s="41">
        <v>5</v>
      </c>
      <c r="W32" s="41">
        <v>2</v>
      </c>
      <c r="X32" s="41">
        <v>25</v>
      </c>
      <c r="Y32" s="41">
        <v>25</v>
      </c>
      <c r="Z32" s="23" t="s">
        <v>117</v>
      </c>
      <c r="AA32" s="4"/>
      <c r="AB32" s="165" t="s">
        <v>23</v>
      </c>
      <c r="AC32" s="12" t="s">
        <v>40</v>
      </c>
      <c r="AD32" s="12" t="s">
        <v>138</v>
      </c>
      <c r="AE32" s="13">
        <v>2850</v>
      </c>
      <c r="AF32" s="42">
        <f t="shared" ref="AF32:AF43" si="13">(O32+1.5*P32)*P32</f>
        <v>3.9599999999999995</v>
      </c>
      <c r="AG32" s="43">
        <f t="shared" ref="AG32:AG103" si="14">AE32*AF32</f>
        <v>11285.999999999998</v>
      </c>
      <c r="AH32" s="43">
        <f>AG32</f>
        <v>11285.999999999998</v>
      </c>
      <c r="AI32" s="43">
        <f t="shared" si="8"/>
        <v>142500</v>
      </c>
      <c r="AJ32" s="4"/>
      <c r="AK32" s="4"/>
      <c r="AL32" s="4"/>
      <c r="AM32" s="4"/>
      <c r="AN32" s="4"/>
      <c r="AO32" s="20"/>
    </row>
    <row r="33" spans="2:41" s="21" customFormat="1" ht="23.15" customHeight="1">
      <c r="B33" s="166"/>
      <c r="C33" s="16" t="s">
        <v>138</v>
      </c>
      <c r="D33" s="16" t="s">
        <v>118</v>
      </c>
      <c r="E33" s="22">
        <v>650</v>
      </c>
      <c r="F33" s="16">
        <v>2.1560000000000001</v>
      </c>
      <c r="G33" s="16"/>
      <c r="H33" s="16">
        <f t="shared" si="9"/>
        <v>2.2029999999999998</v>
      </c>
      <c r="I33" s="16">
        <f t="shared" si="10"/>
        <v>3.7090000000000001</v>
      </c>
      <c r="J33" s="16">
        <f t="shared" si="11"/>
        <v>0.59399999999999997</v>
      </c>
      <c r="K33" s="16"/>
      <c r="L33" s="16">
        <f t="shared" si="12"/>
        <v>0.65700000000000003</v>
      </c>
      <c r="M33" s="16">
        <v>1.7999999999999999E-2</v>
      </c>
      <c r="N33" s="23">
        <v>2.0000000000000001E-4</v>
      </c>
      <c r="O33" s="24">
        <v>1.5</v>
      </c>
      <c r="P33" s="24">
        <v>1.1499999999999999</v>
      </c>
      <c r="Q33" s="23">
        <v>0.06</v>
      </c>
      <c r="R33" s="24">
        <v>1.35</v>
      </c>
      <c r="S33" s="24">
        <v>1.75</v>
      </c>
      <c r="T33" s="24">
        <v>1.75</v>
      </c>
      <c r="U33" s="24">
        <v>1</v>
      </c>
      <c r="V33" s="24">
        <v>5</v>
      </c>
      <c r="W33" s="24">
        <v>2</v>
      </c>
      <c r="X33" s="24">
        <v>25</v>
      </c>
      <c r="Y33" s="24">
        <v>20</v>
      </c>
      <c r="Z33" s="23" t="s">
        <v>117</v>
      </c>
      <c r="AA33" s="4"/>
      <c r="AB33" s="166"/>
      <c r="AC33" s="16" t="s">
        <v>138</v>
      </c>
      <c r="AD33" s="16" t="s">
        <v>118</v>
      </c>
      <c r="AE33" s="22">
        <v>650</v>
      </c>
      <c r="AF33" s="25">
        <f t="shared" si="13"/>
        <v>3.7087499999999993</v>
      </c>
      <c r="AG33" s="19">
        <f t="shared" si="14"/>
        <v>2410.6874999999995</v>
      </c>
      <c r="AH33" s="19">
        <f t="shared" si="6"/>
        <v>13696.687499999998</v>
      </c>
      <c r="AI33" s="19">
        <f t="shared" si="8"/>
        <v>29250</v>
      </c>
      <c r="AJ33" s="4"/>
      <c r="AK33" s="4"/>
      <c r="AL33" s="4"/>
      <c r="AM33" s="4"/>
      <c r="AN33" s="4"/>
      <c r="AO33" s="20"/>
    </row>
    <row r="34" spans="2:41" s="21" customFormat="1" ht="23.15" customHeight="1">
      <c r="B34" s="166"/>
      <c r="C34" s="16" t="s">
        <v>118</v>
      </c>
      <c r="D34" s="16" t="s">
        <v>139</v>
      </c>
      <c r="E34" s="22">
        <v>965</v>
      </c>
      <c r="F34" s="16">
        <v>2.1560000000000001</v>
      </c>
      <c r="G34" s="135">
        <v>2.2010000000000001</v>
      </c>
      <c r="H34" s="16">
        <f t="shared" si="9"/>
        <v>2.2029999999999998</v>
      </c>
      <c r="I34" s="16">
        <f t="shared" si="10"/>
        <v>3.7090000000000001</v>
      </c>
      <c r="J34" s="16">
        <f t="shared" si="11"/>
        <v>0.59399999999999997</v>
      </c>
      <c r="K34" s="16"/>
      <c r="L34" s="16">
        <f t="shared" si="12"/>
        <v>0.65700000000000003</v>
      </c>
      <c r="M34" s="16">
        <v>1.7999999999999999E-2</v>
      </c>
      <c r="N34" s="23">
        <v>2.0000000000000001E-4</v>
      </c>
      <c r="O34" s="24">
        <v>1.5</v>
      </c>
      <c r="P34" s="24">
        <v>1.1499999999999999</v>
      </c>
      <c r="Q34" s="23">
        <v>0.06</v>
      </c>
      <c r="R34" s="24">
        <v>1.35</v>
      </c>
      <c r="S34" s="24">
        <v>1.75</v>
      </c>
      <c r="T34" s="24">
        <v>1.75</v>
      </c>
      <c r="U34" s="24">
        <v>1</v>
      </c>
      <c r="V34" s="24">
        <v>5</v>
      </c>
      <c r="W34" s="24">
        <v>2</v>
      </c>
      <c r="X34" s="24">
        <v>25</v>
      </c>
      <c r="Y34" s="24">
        <v>20</v>
      </c>
      <c r="Z34" s="23" t="s">
        <v>117</v>
      </c>
      <c r="AA34" s="4"/>
      <c r="AB34" s="166"/>
      <c r="AC34" s="16" t="s">
        <v>118</v>
      </c>
      <c r="AD34" s="16" t="s">
        <v>139</v>
      </c>
      <c r="AE34" s="22">
        <v>965</v>
      </c>
      <c r="AF34" s="25">
        <f t="shared" si="13"/>
        <v>3.7087499999999993</v>
      </c>
      <c r="AG34" s="19">
        <f t="shared" si="14"/>
        <v>3578.9437499999995</v>
      </c>
      <c r="AH34" s="19">
        <f t="shared" si="6"/>
        <v>17275.631249999999</v>
      </c>
      <c r="AI34" s="19">
        <f t="shared" si="8"/>
        <v>43425</v>
      </c>
      <c r="AJ34" s="4"/>
      <c r="AK34" s="4"/>
      <c r="AL34" s="4"/>
      <c r="AM34" s="4"/>
      <c r="AN34" s="4"/>
      <c r="AO34" s="20"/>
    </row>
    <row r="35" spans="2:41" s="21" customFormat="1" ht="23.15" customHeight="1">
      <c r="B35" s="166"/>
      <c r="C35" s="16" t="s">
        <v>139</v>
      </c>
      <c r="D35" s="16" t="s">
        <v>55</v>
      </c>
      <c r="E35" s="22">
        <v>1285</v>
      </c>
      <c r="F35" s="16">
        <v>2.044</v>
      </c>
      <c r="G35" s="135">
        <v>2.2010000000000001</v>
      </c>
      <c r="H35" s="16">
        <f t="shared" si="9"/>
        <v>2.2029999999999998</v>
      </c>
      <c r="I35" s="16">
        <f t="shared" si="10"/>
        <v>3.7090000000000001</v>
      </c>
      <c r="J35" s="16">
        <f t="shared" si="11"/>
        <v>0.59399999999999997</v>
      </c>
      <c r="K35" s="16"/>
      <c r="L35" s="16">
        <f t="shared" si="12"/>
        <v>0.65700000000000003</v>
      </c>
      <c r="M35" s="16">
        <v>1.7999999999999999E-2</v>
      </c>
      <c r="N35" s="23">
        <v>2.0000000000000001E-4</v>
      </c>
      <c r="O35" s="24">
        <v>1.5</v>
      </c>
      <c r="P35" s="24">
        <v>1.1499999999999999</v>
      </c>
      <c r="Q35" s="23">
        <v>0.06</v>
      </c>
      <c r="R35" s="24">
        <v>1.35</v>
      </c>
      <c r="S35" s="24">
        <v>1.75</v>
      </c>
      <c r="T35" s="24">
        <v>1.75</v>
      </c>
      <c r="U35" s="24">
        <v>1</v>
      </c>
      <c r="V35" s="24">
        <v>5</v>
      </c>
      <c r="W35" s="24">
        <v>5</v>
      </c>
      <c r="X35" s="24">
        <v>20</v>
      </c>
      <c r="Y35" s="24">
        <v>20</v>
      </c>
      <c r="Z35" s="23" t="s">
        <v>117</v>
      </c>
      <c r="AA35" s="4"/>
      <c r="AB35" s="166"/>
      <c r="AC35" s="16" t="s">
        <v>139</v>
      </c>
      <c r="AD35" s="16" t="s">
        <v>55</v>
      </c>
      <c r="AE35" s="22">
        <v>1285</v>
      </c>
      <c r="AF35" s="25">
        <f t="shared" si="13"/>
        <v>3.7087499999999993</v>
      </c>
      <c r="AG35" s="19">
        <f t="shared" si="14"/>
        <v>4765.7437499999987</v>
      </c>
      <c r="AH35" s="19">
        <f t="shared" si="6"/>
        <v>22041.374999999996</v>
      </c>
      <c r="AI35" s="19">
        <f t="shared" si="8"/>
        <v>51400</v>
      </c>
      <c r="AJ35" s="4"/>
      <c r="AK35" s="4"/>
      <c r="AL35" s="4"/>
      <c r="AM35" s="4"/>
      <c r="AN35" s="4"/>
      <c r="AO35" s="20"/>
    </row>
    <row r="36" spans="2:41" s="21" customFormat="1" ht="23.15" customHeight="1">
      <c r="B36" s="166"/>
      <c r="C36" s="16" t="s">
        <v>55</v>
      </c>
      <c r="D36" s="16" t="s">
        <v>65</v>
      </c>
      <c r="E36" s="22">
        <v>1250</v>
      </c>
      <c r="F36" s="16">
        <v>1.7889999999999999</v>
      </c>
      <c r="G36" s="16"/>
      <c r="H36" s="16">
        <f t="shared" si="9"/>
        <v>1.9259999999999999</v>
      </c>
      <c r="I36" s="16">
        <f t="shared" si="10"/>
        <v>3.355</v>
      </c>
      <c r="J36" s="16">
        <f t="shared" si="11"/>
        <v>0.57399999999999995</v>
      </c>
      <c r="K36" s="16"/>
      <c r="L36" s="16">
        <f t="shared" si="12"/>
        <v>0.625</v>
      </c>
      <c r="M36" s="16">
        <v>1.7999999999999999E-2</v>
      </c>
      <c r="N36" s="23">
        <v>2.0000000000000001E-4</v>
      </c>
      <c r="O36" s="24">
        <v>1.4</v>
      </c>
      <c r="P36" s="24">
        <v>1.1000000000000001</v>
      </c>
      <c r="Q36" s="23">
        <v>0.06</v>
      </c>
      <c r="R36" s="24">
        <v>1.3</v>
      </c>
      <c r="S36" s="24">
        <v>1.65</v>
      </c>
      <c r="T36" s="24">
        <v>1.65</v>
      </c>
      <c r="U36" s="24">
        <v>1</v>
      </c>
      <c r="V36" s="24">
        <v>5</v>
      </c>
      <c r="W36" s="24">
        <v>5</v>
      </c>
      <c r="X36" s="24">
        <v>20</v>
      </c>
      <c r="Y36" s="24">
        <v>20</v>
      </c>
      <c r="Z36" s="23" t="s">
        <v>117</v>
      </c>
      <c r="AA36" s="4"/>
      <c r="AB36" s="166"/>
      <c r="AC36" s="16" t="s">
        <v>55</v>
      </c>
      <c r="AD36" s="16" t="s">
        <v>65</v>
      </c>
      <c r="AE36" s="22">
        <v>1250</v>
      </c>
      <c r="AF36" s="25">
        <f t="shared" si="13"/>
        <v>3.355</v>
      </c>
      <c r="AG36" s="19">
        <f t="shared" si="14"/>
        <v>4193.75</v>
      </c>
      <c r="AH36" s="19">
        <f t="shared" si="6"/>
        <v>26235.124999999996</v>
      </c>
      <c r="AI36" s="19">
        <f t="shared" si="8"/>
        <v>50000</v>
      </c>
      <c r="AJ36" s="4"/>
      <c r="AK36" s="4"/>
      <c r="AL36" s="4"/>
      <c r="AM36" s="4"/>
      <c r="AN36" s="4"/>
      <c r="AO36" s="20"/>
    </row>
    <row r="37" spans="2:41" s="21" customFormat="1" ht="23.15" customHeight="1">
      <c r="B37" s="166"/>
      <c r="C37" s="16" t="s">
        <v>65</v>
      </c>
      <c r="D37" s="16" t="s">
        <v>56</v>
      </c>
      <c r="E37" s="22">
        <v>900</v>
      </c>
      <c r="F37" s="16">
        <v>1.7889999999999999</v>
      </c>
      <c r="G37" s="135">
        <v>1.927</v>
      </c>
      <c r="H37" s="16">
        <f t="shared" si="9"/>
        <v>1.9259999999999999</v>
      </c>
      <c r="I37" s="16">
        <f t="shared" si="10"/>
        <v>3.355</v>
      </c>
      <c r="J37" s="16">
        <f t="shared" si="11"/>
        <v>0.57399999999999995</v>
      </c>
      <c r="K37" s="16"/>
      <c r="L37" s="16">
        <f t="shared" si="12"/>
        <v>0.625</v>
      </c>
      <c r="M37" s="16">
        <v>1.7999999999999999E-2</v>
      </c>
      <c r="N37" s="23">
        <v>2.0000000000000001E-4</v>
      </c>
      <c r="O37" s="24">
        <v>1.4</v>
      </c>
      <c r="P37" s="24">
        <v>1.1000000000000001</v>
      </c>
      <c r="Q37" s="23">
        <v>0.06</v>
      </c>
      <c r="R37" s="24">
        <v>1.3</v>
      </c>
      <c r="S37" s="24">
        <v>1.65</v>
      </c>
      <c r="T37" s="24">
        <v>1.65</v>
      </c>
      <c r="U37" s="24">
        <v>1</v>
      </c>
      <c r="V37" s="24">
        <v>5</v>
      </c>
      <c r="W37" s="24">
        <v>5</v>
      </c>
      <c r="X37" s="24">
        <v>20</v>
      </c>
      <c r="Y37" s="24">
        <v>20</v>
      </c>
      <c r="Z37" s="23" t="s">
        <v>117</v>
      </c>
      <c r="AA37" s="4"/>
      <c r="AB37" s="166"/>
      <c r="AC37" s="16" t="s">
        <v>65</v>
      </c>
      <c r="AD37" s="16" t="s">
        <v>56</v>
      </c>
      <c r="AE37" s="22">
        <v>900</v>
      </c>
      <c r="AF37" s="25">
        <f t="shared" si="13"/>
        <v>3.355</v>
      </c>
      <c r="AG37" s="19">
        <f t="shared" si="14"/>
        <v>3019.5</v>
      </c>
      <c r="AH37" s="19">
        <f t="shared" si="6"/>
        <v>29254.624999999996</v>
      </c>
      <c r="AI37" s="19">
        <f t="shared" si="8"/>
        <v>36000</v>
      </c>
      <c r="AJ37" s="4"/>
      <c r="AK37" s="4"/>
      <c r="AL37" s="4"/>
      <c r="AM37" s="4"/>
      <c r="AN37" s="4"/>
      <c r="AO37" s="20"/>
    </row>
    <row r="38" spans="2:41" s="21" customFormat="1" ht="23.15" customHeight="1">
      <c r="B38" s="166"/>
      <c r="C38" s="16" t="s">
        <v>56</v>
      </c>
      <c r="D38" s="16" t="s">
        <v>140</v>
      </c>
      <c r="E38" s="22">
        <v>2150</v>
      </c>
      <c r="F38" s="16">
        <v>0.95399999999999996</v>
      </c>
      <c r="G38" s="135">
        <v>1.044</v>
      </c>
      <c r="H38" s="16">
        <f t="shared" si="9"/>
        <v>1.0449999999999999</v>
      </c>
      <c r="I38" s="16">
        <f t="shared" si="10"/>
        <v>2.1150000000000002</v>
      </c>
      <c r="J38" s="16">
        <f t="shared" si="11"/>
        <v>0.49399999999999999</v>
      </c>
      <c r="K38" s="16"/>
      <c r="L38" s="16">
        <f t="shared" si="12"/>
        <v>0.498</v>
      </c>
      <c r="M38" s="16">
        <v>1.7999999999999999E-2</v>
      </c>
      <c r="N38" s="23">
        <v>2.0000000000000001E-4</v>
      </c>
      <c r="O38" s="24">
        <v>1</v>
      </c>
      <c r="P38" s="24">
        <v>0.9</v>
      </c>
      <c r="Q38" s="23">
        <v>0.06</v>
      </c>
      <c r="R38" s="24">
        <v>1.1000000000000001</v>
      </c>
      <c r="S38" s="24">
        <v>1.4</v>
      </c>
      <c r="T38" s="24">
        <v>1.4</v>
      </c>
      <c r="U38" s="24">
        <v>1</v>
      </c>
      <c r="V38" s="24">
        <v>5</v>
      </c>
      <c r="W38" s="24">
        <v>5</v>
      </c>
      <c r="X38" s="24">
        <v>20</v>
      </c>
      <c r="Y38" s="24">
        <v>20</v>
      </c>
      <c r="Z38" s="23" t="s">
        <v>117</v>
      </c>
      <c r="AA38" s="4"/>
      <c r="AB38" s="166"/>
      <c r="AC38" s="16" t="s">
        <v>56</v>
      </c>
      <c r="AD38" s="16" t="s">
        <v>140</v>
      </c>
      <c r="AE38" s="22">
        <v>2150</v>
      </c>
      <c r="AF38" s="25">
        <f t="shared" si="13"/>
        <v>2.1150000000000002</v>
      </c>
      <c r="AG38" s="19">
        <f t="shared" si="14"/>
        <v>4547.2500000000009</v>
      </c>
      <c r="AH38" s="19">
        <f t="shared" si="6"/>
        <v>33801.875</v>
      </c>
      <c r="AI38" s="19">
        <f t="shared" si="8"/>
        <v>86000</v>
      </c>
      <c r="AJ38" s="4"/>
      <c r="AK38" s="4"/>
      <c r="AL38" s="4"/>
      <c r="AM38" s="4"/>
      <c r="AN38" s="4"/>
      <c r="AO38" s="20"/>
    </row>
    <row r="39" spans="2:41" s="21" customFormat="1" ht="23.15" customHeight="1">
      <c r="B39" s="166"/>
      <c r="C39" s="16" t="s">
        <v>140</v>
      </c>
      <c r="D39" s="16" t="s">
        <v>119</v>
      </c>
      <c r="E39" s="22">
        <v>450</v>
      </c>
      <c r="F39" s="16">
        <v>0.501</v>
      </c>
      <c r="G39" s="16"/>
      <c r="H39" s="16">
        <f t="shared" si="9"/>
        <v>0.54300000000000004</v>
      </c>
      <c r="I39" s="16">
        <f t="shared" si="10"/>
        <v>1.2949999999999999</v>
      </c>
      <c r="J39" s="16">
        <f t="shared" si="11"/>
        <v>0.41899999999999998</v>
      </c>
      <c r="K39" s="16"/>
      <c r="L39" s="16">
        <f t="shared" si="12"/>
        <v>0.39</v>
      </c>
      <c r="M39" s="16">
        <v>1.7999999999999999E-2</v>
      </c>
      <c r="N39" s="23">
        <v>2.0000000000000001E-4</v>
      </c>
      <c r="O39" s="24">
        <v>0.8</v>
      </c>
      <c r="P39" s="24">
        <v>0.7</v>
      </c>
      <c r="Q39" s="23">
        <v>0.06</v>
      </c>
      <c r="R39" s="24">
        <v>0.85</v>
      </c>
      <c r="S39" s="24">
        <v>1.1499999999999999</v>
      </c>
      <c r="T39" s="24">
        <v>1.1499999999999999</v>
      </c>
      <c r="U39" s="24">
        <v>1</v>
      </c>
      <c r="V39" s="24">
        <v>5</v>
      </c>
      <c r="W39" s="24">
        <v>2</v>
      </c>
      <c r="X39" s="24">
        <v>15</v>
      </c>
      <c r="Y39" s="24">
        <v>15</v>
      </c>
      <c r="Z39" s="23" t="s">
        <v>117</v>
      </c>
      <c r="AA39" s="4"/>
      <c r="AB39" s="166"/>
      <c r="AC39" s="16" t="s">
        <v>140</v>
      </c>
      <c r="AD39" s="16" t="s">
        <v>119</v>
      </c>
      <c r="AE39" s="22">
        <v>450</v>
      </c>
      <c r="AF39" s="25">
        <f t="shared" si="13"/>
        <v>1.2949999999999999</v>
      </c>
      <c r="AG39" s="19">
        <f t="shared" si="14"/>
        <v>582.75</v>
      </c>
      <c r="AH39" s="19">
        <f t="shared" si="6"/>
        <v>34384.625</v>
      </c>
      <c r="AI39" s="19">
        <f t="shared" si="8"/>
        <v>13500</v>
      </c>
      <c r="AJ39" s="4"/>
      <c r="AK39" s="4"/>
      <c r="AL39" s="4"/>
      <c r="AM39" s="4"/>
      <c r="AN39" s="4"/>
      <c r="AO39" s="20"/>
    </row>
    <row r="40" spans="2:41" s="21" customFormat="1" ht="23.15" customHeight="1">
      <c r="B40" s="166"/>
      <c r="C40" s="16" t="s">
        <v>119</v>
      </c>
      <c r="D40" s="16" t="s">
        <v>141</v>
      </c>
      <c r="E40" s="22">
        <v>1600</v>
      </c>
      <c r="F40" s="16">
        <v>0.501</v>
      </c>
      <c r="G40" s="135">
        <v>0.54200000000000004</v>
      </c>
      <c r="H40" s="16">
        <f t="shared" si="9"/>
        <v>0.54300000000000004</v>
      </c>
      <c r="I40" s="16">
        <f t="shared" si="10"/>
        <v>1.2949999999999999</v>
      </c>
      <c r="J40" s="16">
        <f t="shared" si="11"/>
        <v>0.41899999999999998</v>
      </c>
      <c r="K40" s="16"/>
      <c r="L40" s="16">
        <f t="shared" si="12"/>
        <v>0.39</v>
      </c>
      <c r="M40" s="16">
        <v>1.7999999999999999E-2</v>
      </c>
      <c r="N40" s="23">
        <v>2.0000000000000001E-4</v>
      </c>
      <c r="O40" s="24">
        <v>0.8</v>
      </c>
      <c r="P40" s="24">
        <v>0.7</v>
      </c>
      <c r="Q40" s="23">
        <v>0.06</v>
      </c>
      <c r="R40" s="24">
        <v>0.85</v>
      </c>
      <c r="S40" s="24">
        <v>1.1499999999999999</v>
      </c>
      <c r="T40" s="24">
        <v>1.1499999999999999</v>
      </c>
      <c r="U40" s="24">
        <v>1</v>
      </c>
      <c r="V40" s="24">
        <v>5</v>
      </c>
      <c r="W40" s="24">
        <v>2</v>
      </c>
      <c r="X40" s="24">
        <v>15</v>
      </c>
      <c r="Y40" s="24">
        <v>15</v>
      </c>
      <c r="Z40" s="23" t="s">
        <v>117</v>
      </c>
      <c r="AA40" s="4"/>
      <c r="AB40" s="166"/>
      <c r="AC40" s="16" t="s">
        <v>119</v>
      </c>
      <c r="AD40" s="16" t="s">
        <v>141</v>
      </c>
      <c r="AE40" s="22">
        <v>1600</v>
      </c>
      <c r="AF40" s="25">
        <f t="shared" si="13"/>
        <v>1.2949999999999999</v>
      </c>
      <c r="AG40" s="19">
        <f t="shared" si="14"/>
        <v>2072</v>
      </c>
      <c r="AH40" s="19">
        <f t="shared" si="6"/>
        <v>36456.625</v>
      </c>
      <c r="AI40" s="19">
        <f t="shared" si="8"/>
        <v>48000</v>
      </c>
      <c r="AJ40" s="4"/>
      <c r="AK40" s="4"/>
      <c r="AL40" s="4"/>
      <c r="AM40" s="4"/>
      <c r="AN40" s="4"/>
      <c r="AO40" s="20"/>
    </row>
    <row r="41" spans="2:41" s="21" customFormat="1" ht="23.15" customHeight="1">
      <c r="B41" s="166"/>
      <c r="C41" s="16" t="s">
        <v>141</v>
      </c>
      <c r="D41" s="16" t="s">
        <v>124</v>
      </c>
      <c r="E41" s="22">
        <v>1900</v>
      </c>
      <c r="F41" s="16">
        <v>0.26700000000000002</v>
      </c>
      <c r="G41" s="16"/>
      <c r="H41" s="16">
        <f t="shared" si="9"/>
        <v>0.27800000000000002</v>
      </c>
      <c r="I41" s="16">
        <f t="shared" si="10"/>
        <v>0.78400000000000003</v>
      </c>
      <c r="J41" s="16">
        <f t="shared" si="11"/>
        <v>0.35499999999999998</v>
      </c>
      <c r="K41" s="16"/>
      <c r="L41" s="16">
        <f t="shared" si="12"/>
        <v>0.30399999999999999</v>
      </c>
      <c r="M41" s="16">
        <v>1.7999999999999999E-2</v>
      </c>
      <c r="N41" s="23">
        <v>2.0000000000000001E-4</v>
      </c>
      <c r="O41" s="24">
        <v>0.6</v>
      </c>
      <c r="P41" s="24">
        <v>0.55000000000000004</v>
      </c>
      <c r="Q41" s="23">
        <v>0.06</v>
      </c>
      <c r="R41" s="24">
        <v>0.7</v>
      </c>
      <c r="S41" s="24">
        <v>0.95</v>
      </c>
      <c r="T41" s="24">
        <v>0.95</v>
      </c>
      <c r="U41" s="24" t="s">
        <v>115</v>
      </c>
      <c r="V41" s="24">
        <v>5</v>
      </c>
      <c r="W41" s="24">
        <v>2</v>
      </c>
      <c r="X41" s="24">
        <v>15</v>
      </c>
      <c r="Y41" s="24">
        <v>15</v>
      </c>
      <c r="Z41" s="23" t="s">
        <v>117</v>
      </c>
      <c r="AA41" s="4"/>
      <c r="AB41" s="166"/>
      <c r="AC41" s="16" t="s">
        <v>141</v>
      </c>
      <c r="AD41" s="16" t="s">
        <v>124</v>
      </c>
      <c r="AE41" s="22">
        <v>1900</v>
      </c>
      <c r="AF41" s="25">
        <f t="shared" si="13"/>
        <v>0.78375000000000006</v>
      </c>
      <c r="AG41" s="19">
        <f t="shared" si="14"/>
        <v>1489.125</v>
      </c>
      <c r="AH41" s="19">
        <f t="shared" si="6"/>
        <v>37945.75</v>
      </c>
      <c r="AI41" s="19">
        <f t="shared" si="8"/>
        <v>57000</v>
      </c>
      <c r="AJ41" s="4"/>
      <c r="AK41" s="4"/>
      <c r="AL41" s="4"/>
      <c r="AM41" s="4"/>
      <c r="AN41" s="4"/>
      <c r="AO41" s="20"/>
    </row>
    <row r="42" spans="2:41" s="21" customFormat="1" ht="23.15" customHeight="1">
      <c r="B42" s="166"/>
      <c r="C42" s="16" t="s">
        <v>124</v>
      </c>
      <c r="D42" s="28" t="s">
        <v>142</v>
      </c>
      <c r="E42" s="29">
        <v>400</v>
      </c>
      <c r="F42" s="16">
        <v>0.26700000000000002</v>
      </c>
      <c r="G42" s="135">
        <v>0.27800000000000002</v>
      </c>
      <c r="H42" s="16">
        <f t="shared" si="9"/>
        <v>0.27800000000000002</v>
      </c>
      <c r="I42" s="16">
        <f t="shared" si="10"/>
        <v>0.78400000000000003</v>
      </c>
      <c r="J42" s="16">
        <f t="shared" si="11"/>
        <v>0.35499999999999998</v>
      </c>
      <c r="K42" s="16"/>
      <c r="L42" s="16">
        <f t="shared" si="12"/>
        <v>0.30399999999999999</v>
      </c>
      <c r="M42" s="16">
        <v>1.7999999999999999E-2</v>
      </c>
      <c r="N42" s="23">
        <v>2.0000000000000001E-4</v>
      </c>
      <c r="O42" s="24">
        <v>0.6</v>
      </c>
      <c r="P42" s="24">
        <v>0.55000000000000004</v>
      </c>
      <c r="Q42" s="23">
        <v>0.06</v>
      </c>
      <c r="R42" s="24">
        <v>0.7</v>
      </c>
      <c r="S42" s="24">
        <v>0.95</v>
      </c>
      <c r="T42" s="24">
        <v>0.95</v>
      </c>
      <c r="U42" s="24" t="s">
        <v>115</v>
      </c>
      <c r="V42" s="24">
        <v>5</v>
      </c>
      <c r="W42" s="24">
        <v>2</v>
      </c>
      <c r="X42" s="24">
        <v>15</v>
      </c>
      <c r="Y42" s="24">
        <v>15</v>
      </c>
      <c r="Z42" s="23" t="s">
        <v>117</v>
      </c>
      <c r="AA42" s="4"/>
      <c r="AB42" s="166"/>
      <c r="AC42" s="16" t="s">
        <v>124</v>
      </c>
      <c r="AD42" s="28" t="s">
        <v>142</v>
      </c>
      <c r="AE42" s="29">
        <v>400</v>
      </c>
      <c r="AF42" s="25">
        <f t="shared" si="13"/>
        <v>0.78375000000000006</v>
      </c>
      <c r="AG42" s="19">
        <f t="shared" si="14"/>
        <v>313.5</v>
      </c>
      <c r="AH42" s="19">
        <f t="shared" si="6"/>
        <v>38259.25</v>
      </c>
      <c r="AI42" s="19">
        <f t="shared" si="8"/>
        <v>12000</v>
      </c>
      <c r="AJ42" s="4"/>
      <c r="AK42" s="4"/>
      <c r="AL42" s="4"/>
      <c r="AM42" s="4"/>
      <c r="AN42" s="4"/>
      <c r="AO42" s="20"/>
    </row>
    <row r="43" spans="2:41" s="21" customFormat="1" ht="23.15" customHeight="1">
      <c r="B43" s="167"/>
      <c r="C43" s="16" t="s">
        <v>142</v>
      </c>
      <c r="D43" s="31" t="s">
        <v>57</v>
      </c>
      <c r="E43" s="32">
        <v>100</v>
      </c>
      <c r="F43" s="31" t="s">
        <v>115</v>
      </c>
      <c r="G43" s="137">
        <v>0.159</v>
      </c>
      <c r="H43" s="31">
        <f t="shared" si="9"/>
        <v>0.151</v>
      </c>
      <c r="I43" s="31">
        <f t="shared" si="10"/>
        <v>0.625</v>
      </c>
      <c r="J43" s="31">
        <f t="shared" si="11"/>
        <v>0.24199999999999999</v>
      </c>
      <c r="K43" s="31"/>
      <c r="L43" s="31">
        <f t="shared" si="12"/>
        <v>0.27100000000000002</v>
      </c>
      <c r="M43" s="31">
        <v>0.03</v>
      </c>
      <c r="N43" s="33">
        <v>2.9999999999999997E-4</v>
      </c>
      <c r="O43" s="34">
        <v>0.5</v>
      </c>
      <c r="P43" s="34">
        <v>0.5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15</v>
      </c>
      <c r="Y43" s="34">
        <v>15</v>
      </c>
      <c r="Z43" s="33" t="s">
        <v>136</v>
      </c>
      <c r="AA43" s="4"/>
      <c r="AB43" s="167"/>
      <c r="AC43" s="16" t="s">
        <v>142</v>
      </c>
      <c r="AD43" s="31" t="s">
        <v>57</v>
      </c>
      <c r="AE43" s="32">
        <v>100</v>
      </c>
      <c r="AF43" s="25">
        <f t="shared" si="13"/>
        <v>0.625</v>
      </c>
      <c r="AG43" s="19">
        <f t="shared" si="14"/>
        <v>62.5</v>
      </c>
      <c r="AH43" s="19">
        <f t="shared" si="6"/>
        <v>38321.75</v>
      </c>
      <c r="AI43" s="19">
        <f t="shared" si="8"/>
        <v>3000</v>
      </c>
      <c r="AJ43" s="4"/>
      <c r="AK43" s="4"/>
      <c r="AL43" s="4"/>
      <c r="AM43" s="4"/>
      <c r="AN43" s="4"/>
      <c r="AO43" s="20"/>
    </row>
    <row r="44" spans="2:41" s="21" customFormat="1" ht="23.15" customHeight="1">
      <c r="B44" s="35"/>
      <c r="C44" s="36"/>
      <c r="D44" s="36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8"/>
      <c r="AA44" s="4"/>
      <c r="AB44" s="162" t="s">
        <v>137</v>
      </c>
      <c r="AC44" s="163"/>
      <c r="AD44" s="164"/>
      <c r="AE44" s="39">
        <f>SUM(AE32:AE43)</f>
        <v>14500</v>
      </c>
      <c r="AF44" s="36"/>
      <c r="AG44" s="40">
        <f>SUM(AG32:AG43)</f>
        <v>38321.75</v>
      </c>
      <c r="AH44" s="38"/>
      <c r="AI44" s="40">
        <f>SUM(AI32:AI43)</f>
        <v>572075</v>
      </c>
      <c r="AJ44" s="4"/>
      <c r="AK44" s="4"/>
      <c r="AL44" s="4"/>
      <c r="AM44" s="4"/>
      <c r="AN44" s="4"/>
      <c r="AO44" s="20"/>
    </row>
    <row r="45" spans="2:41" s="21" customFormat="1" ht="23.15" customHeight="1">
      <c r="B45" s="165" t="s">
        <v>24</v>
      </c>
      <c r="C45" s="12" t="s">
        <v>40</v>
      </c>
      <c r="D45" s="12" t="s">
        <v>143</v>
      </c>
      <c r="E45" s="13">
        <v>1500</v>
      </c>
      <c r="F45" s="12">
        <v>0.33900000000000002</v>
      </c>
      <c r="G45" s="133">
        <v>0.379</v>
      </c>
      <c r="H45" s="12">
        <f t="shared" ref="H45:H47" si="15">ROUND(I45*J45,3)</f>
        <v>0.39800000000000002</v>
      </c>
      <c r="I45" s="12">
        <f t="shared" ref="I45:I47" si="16">ROUND((O45+(1.5*P45))*P45,3)</f>
        <v>1.024</v>
      </c>
      <c r="J45" s="12">
        <f t="shared" ref="J45:J47" si="17">ROUND((1/M45)*(L45^(2/3))*SQRT(N45),3)</f>
        <v>0.38900000000000001</v>
      </c>
      <c r="K45" s="12"/>
      <c r="L45" s="12">
        <f t="shared" ref="L45:L47" si="18">ROUND(I45/(O45+(2*P45*SQRT(1+(1.5^2)))),3)</f>
        <v>0.34799999999999998</v>
      </c>
      <c r="M45" s="12">
        <v>1.7999999999999999E-2</v>
      </c>
      <c r="N45" s="15">
        <v>2.0000000000000001E-4</v>
      </c>
      <c r="O45" s="41">
        <v>0.6</v>
      </c>
      <c r="P45" s="41">
        <v>0.65</v>
      </c>
      <c r="Q45" s="41">
        <v>0.06</v>
      </c>
      <c r="R45" s="41">
        <v>0.08</v>
      </c>
      <c r="S45" s="41">
        <v>1.05</v>
      </c>
      <c r="T45" s="41">
        <v>1.05</v>
      </c>
      <c r="U45" s="41">
        <v>0</v>
      </c>
      <c r="V45" s="41">
        <v>5</v>
      </c>
      <c r="W45" s="41">
        <v>2</v>
      </c>
      <c r="X45" s="41">
        <v>20</v>
      </c>
      <c r="Y45" s="41">
        <v>15</v>
      </c>
      <c r="Z45" s="23" t="s">
        <v>117</v>
      </c>
      <c r="AA45" s="4"/>
      <c r="AB45" s="165" t="s">
        <v>24</v>
      </c>
      <c r="AC45" s="44" t="str">
        <f t="shared" ref="AC45:AD47" si="19">C45</f>
        <v>0+000</v>
      </c>
      <c r="AD45" s="44" t="str">
        <f t="shared" si="19"/>
        <v>1+500</v>
      </c>
      <c r="AE45" s="45">
        <v>1500</v>
      </c>
      <c r="AF45" s="42">
        <f>(O45+1.5*P45)*P45</f>
        <v>1.0237500000000002</v>
      </c>
      <c r="AG45" s="43">
        <f t="shared" si="14"/>
        <v>1535.6250000000002</v>
      </c>
      <c r="AH45" s="43">
        <f>AG45</f>
        <v>1535.6250000000002</v>
      </c>
      <c r="AI45" s="43">
        <f t="shared" si="8"/>
        <v>52500</v>
      </c>
      <c r="AJ45" s="4"/>
      <c r="AK45" s="4"/>
      <c r="AL45" s="4"/>
      <c r="AM45" s="4"/>
      <c r="AN45" s="4"/>
      <c r="AO45" s="20"/>
    </row>
    <row r="46" spans="2:41" s="21" customFormat="1" ht="23.15" customHeight="1">
      <c r="B46" s="166"/>
      <c r="C46" s="16" t="s">
        <v>143</v>
      </c>
      <c r="D46" s="16" t="s">
        <v>38</v>
      </c>
      <c r="E46" s="22">
        <v>1500</v>
      </c>
      <c r="F46" s="16">
        <v>0.29199999999999998</v>
      </c>
      <c r="G46" s="135">
        <v>0.33400000000000002</v>
      </c>
      <c r="H46" s="16">
        <f t="shared" si="15"/>
        <v>0.33500000000000002</v>
      </c>
      <c r="I46" s="16">
        <f t="shared" si="16"/>
        <v>0.9</v>
      </c>
      <c r="J46" s="16">
        <f t="shared" si="17"/>
        <v>0.372</v>
      </c>
      <c r="K46" s="16"/>
      <c r="L46" s="16">
        <f t="shared" si="18"/>
        <v>0.32600000000000001</v>
      </c>
      <c r="M46" s="16">
        <v>1.7999999999999999E-2</v>
      </c>
      <c r="N46" s="23">
        <v>2.0000000000000001E-4</v>
      </c>
      <c r="O46" s="24">
        <v>0.6</v>
      </c>
      <c r="P46" s="24">
        <v>0.6</v>
      </c>
      <c r="Q46" s="24">
        <v>0.06</v>
      </c>
      <c r="R46" s="24">
        <v>0.75</v>
      </c>
      <c r="S46" s="24">
        <v>1</v>
      </c>
      <c r="T46" s="24">
        <v>1</v>
      </c>
      <c r="U46" s="24">
        <v>0</v>
      </c>
      <c r="V46" s="24">
        <v>5</v>
      </c>
      <c r="W46" s="24">
        <v>2</v>
      </c>
      <c r="X46" s="24">
        <v>15</v>
      </c>
      <c r="Y46" s="24">
        <v>15</v>
      </c>
      <c r="Z46" s="23" t="s">
        <v>117</v>
      </c>
      <c r="AA46" s="4"/>
      <c r="AB46" s="166"/>
      <c r="AC46" s="16" t="str">
        <f t="shared" si="19"/>
        <v>1+500</v>
      </c>
      <c r="AD46" s="16" t="str">
        <f t="shared" si="19"/>
        <v>3+000</v>
      </c>
      <c r="AE46" s="17">
        <v>1500</v>
      </c>
      <c r="AF46" s="25">
        <f>(O46+1.5*P46)*P46</f>
        <v>0.89999999999999991</v>
      </c>
      <c r="AG46" s="19">
        <f t="shared" si="14"/>
        <v>1349.9999999999998</v>
      </c>
      <c r="AH46" s="19">
        <f t="shared" si="6"/>
        <v>2885.625</v>
      </c>
      <c r="AI46" s="19">
        <f t="shared" si="8"/>
        <v>45000</v>
      </c>
      <c r="AJ46" s="4"/>
      <c r="AK46" s="4"/>
      <c r="AL46" s="4"/>
      <c r="AM46" s="4"/>
      <c r="AN46" s="4"/>
      <c r="AO46" s="20"/>
    </row>
    <row r="47" spans="2:41" s="21" customFormat="1" ht="23.15" customHeight="1">
      <c r="B47" s="169"/>
      <c r="C47" s="16" t="s">
        <v>38</v>
      </c>
      <c r="D47" s="16" t="s">
        <v>73</v>
      </c>
      <c r="E47" s="22">
        <v>200</v>
      </c>
      <c r="F47" s="16" t="s">
        <v>115</v>
      </c>
      <c r="G47" s="135">
        <v>0.159</v>
      </c>
      <c r="H47" s="16">
        <f t="shared" si="15"/>
        <v>0.151</v>
      </c>
      <c r="I47" s="16">
        <f t="shared" si="16"/>
        <v>0.625</v>
      </c>
      <c r="J47" s="16">
        <f t="shared" si="17"/>
        <v>0.24199999999999999</v>
      </c>
      <c r="K47" s="16"/>
      <c r="L47" s="16">
        <f t="shared" si="18"/>
        <v>0.27100000000000002</v>
      </c>
      <c r="M47" s="16">
        <v>0.03</v>
      </c>
      <c r="N47" s="23">
        <v>2.9999999999999997E-4</v>
      </c>
      <c r="O47" s="24">
        <v>0.5</v>
      </c>
      <c r="P47" s="24">
        <v>0.5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15</v>
      </c>
      <c r="Y47" s="24">
        <v>15</v>
      </c>
      <c r="Z47" s="23" t="s">
        <v>136</v>
      </c>
      <c r="AA47" s="4"/>
      <c r="AB47" s="166"/>
      <c r="AC47" s="28" t="str">
        <f t="shared" si="19"/>
        <v>3+000</v>
      </c>
      <c r="AD47" s="28" t="str">
        <f t="shared" si="19"/>
        <v>3+200</v>
      </c>
      <c r="AE47" s="30">
        <v>200</v>
      </c>
      <c r="AF47" s="46">
        <f>(O47+1.5*P47)*P47</f>
        <v>0.625</v>
      </c>
      <c r="AG47" s="47">
        <f t="shared" si="14"/>
        <v>125</v>
      </c>
      <c r="AH47" s="47">
        <f t="shared" si="6"/>
        <v>3010.625</v>
      </c>
      <c r="AI47" s="47">
        <f t="shared" si="8"/>
        <v>6000</v>
      </c>
      <c r="AJ47" s="4"/>
      <c r="AK47" s="4"/>
      <c r="AL47" s="4"/>
      <c r="AM47" s="4"/>
      <c r="AN47" s="4"/>
      <c r="AO47" s="20"/>
    </row>
    <row r="48" spans="2:41" s="21" customFormat="1" ht="23.15" customHeight="1">
      <c r="B48" s="35"/>
      <c r="C48" s="36"/>
      <c r="D48" s="36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8"/>
      <c r="AA48" s="4"/>
      <c r="AB48" s="162" t="s">
        <v>137</v>
      </c>
      <c r="AC48" s="163"/>
      <c r="AD48" s="164"/>
      <c r="AE48" s="39">
        <f>SUM(AE45:AE47)</f>
        <v>3200</v>
      </c>
      <c r="AF48" s="36"/>
      <c r="AG48" s="40">
        <f>SUM(AG45:AG47)</f>
        <v>3010.625</v>
      </c>
      <c r="AH48" s="38"/>
      <c r="AI48" s="40">
        <f>SUM(AI45:AI47)</f>
        <v>103500</v>
      </c>
      <c r="AJ48" s="4"/>
      <c r="AK48" s="4"/>
      <c r="AL48" s="4"/>
      <c r="AM48" s="4"/>
      <c r="AN48" s="4"/>
      <c r="AO48" s="20"/>
    </row>
    <row r="49" spans="2:41" s="21" customFormat="1" ht="23.15" customHeight="1">
      <c r="B49" s="168" t="s">
        <v>25</v>
      </c>
      <c r="C49" s="16" t="s">
        <v>40</v>
      </c>
      <c r="D49" s="16" t="s">
        <v>144</v>
      </c>
      <c r="E49" s="22">
        <v>800</v>
      </c>
      <c r="F49" s="16">
        <v>9.1999999999999998E-2</v>
      </c>
      <c r="G49" s="135">
        <v>0.33400000000000002</v>
      </c>
      <c r="H49" s="16">
        <f t="shared" ref="H49:H50" si="20">ROUND(I49*J49,3)</f>
        <v>0.33500000000000002</v>
      </c>
      <c r="I49" s="16">
        <f t="shared" ref="I49:I50" si="21">ROUND((O49+(1.5*P49))*P49,3)</f>
        <v>0.9</v>
      </c>
      <c r="J49" s="16">
        <f t="shared" ref="J49:J50" si="22">ROUND((1/M49)*(L49^(2/3))*SQRT(N49),3)</f>
        <v>0.372</v>
      </c>
      <c r="K49" s="16"/>
      <c r="L49" s="16">
        <f t="shared" ref="L49:L50" si="23">ROUND(I49/(O49+(2*P49*SQRT(1+(1.5^2)))),3)</f>
        <v>0.32600000000000001</v>
      </c>
      <c r="M49" s="16">
        <v>1.7999999999999999E-2</v>
      </c>
      <c r="N49" s="23">
        <v>2.0000000000000001E-4</v>
      </c>
      <c r="O49" s="24">
        <v>0.6</v>
      </c>
      <c r="P49" s="24">
        <v>0.6</v>
      </c>
      <c r="Q49" s="24">
        <v>0.06</v>
      </c>
      <c r="R49" s="24">
        <v>0.75</v>
      </c>
      <c r="S49" s="24">
        <v>1</v>
      </c>
      <c r="T49" s="24">
        <v>1</v>
      </c>
      <c r="U49" s="24">
        <v>0</v>
      </c>
      <c r="V49" s="24">
        <v>2</v>
      </c>
      <c r="W49" s="24">
        <v>5</v>
      </c>
      <c r="X49" s="24">
        <v>15</v>
      </c>
      <c r="Y49" s="24">
        <v>15</v>
      </c>
      <c r="Z49" s="23" t="s">
        <v>117</v>
      </c>
      <c r="AA49" s="4"/>
      <c r="AB49" s="166" t="s">
        <v>25</v>
      </c>
      <c r="AC49" s="44" t="str">
        <f>C49</f>
        <v>0+000</v>
      </c>
      <c r="AD49" s="44" t="str">
        <f>D49</f>
        <v>0+800</v>
      </c>
      <c r="AE49" s="45">
        <v>800</v>
      </c>
      <c r="AF49" s="42">
        <f>(O49+1.5*P49)*P49</f>
        <v>0.89999999999999991</v>
      </c>
      <c r="AG49" s="43">
        <f t="shared" si="14"/>
        <v>719.99999999999989</v>
      </c>
      <c r="AH49" s="43">
        <f>AG49</f>
        <v>719.99999999999989</v>
      </c>
      <c r="AI49" s="43">
        <f t="shared" si="8"/>
        <v>24000</v>
      </c>
      <c r="AJ49" s="4"/>
      <c r="AK49" s="4"/>
      <c r="AL49" s="4"/>
      <c r="AM49" s="4"/>
      <c r="AN49" s="4"/>
      <c r="AO49" s="20"/>
    </row>
    <row r="50" spans="2:41" s="21" customFormat="1" ht="23.15" customHeight="1">
      <c r="B50" s="167"/>
      <c r="C50" s="31" t="s">
        <v>144</v>
      </c>
      <c r="D50" s="31" t="s">
        <v>58</v>
      </c>
      <c r="E50" s="32">
        <v>1700</v>
      </c>
      <c r="F50" s="31">
        <v>0.20100000000000001</v>
      </c>
      <c r="G50" s="137">
        <v>0.20499999999999999</v>
      </c>
      <c r="H50" s="31">
        <f t="shared" si="20"/>
        <v>0.20599999999999999</v>
      </c>
      <c r="I50" s="31">
        <f t="shared" si="21"/>
        <v>0.625</v>
      </c>
      <c r="J50" s="31">
        <f t="shared" si="22"/>
        <v>0.32900000000000001</v>
      </c>
      <c r="K50" s="31"/>
      <c r="L50" s="31">
        <f t="shared" si="23"/>
        <v>0.27100000000000002</v>
      </c>
      <c r="M50" s="31">
        <v>1.7999999999999999E-2</v>
      </c>
      <c r="N50" s="33">
        <v>2.0000000000000001E-4</v>
      </c>
      <c r="O50" s="34">
        <v>0.5</v>
      </c>
      <c r="P50" s="34">
        <v>0.5</v>
      </c>
      <c r="Q50" s="34">
        <v>0.06</v>
      </c>
      <c r="R50" s="34">
        <v>0.65</v>
      </c>
      <c r="S50" s="34">
        <v>0.9</v>
      </c>
      <c r="T50" s="34">
        <v>0.9</v>
      </c>
      <c r="U50" s="34">
        <v>0</v>
      </c>
      <c r="V50" s="34">
        <v>2</v>
      </c>
      <c r="W50" s="34">
        <v>5</v>
      </c>
      <c r="X50" s="34">
        <v>15</v>
      </c>
      <c r="Y50" s="34">
        <v>15</v>
      </c>
      <c r="Z50" s="23" t="s">
        <v>117</v>
      </c>
      <c r="AA50" s="4"/>
      <c r="AB50" s="167"/>
      <c r="AC50" s="28" t="str">
        <f>C50</f>
        <v>0+800</v>
      </c>
      <c r="AD50" s="28" t="str">
        <f>D50</f>
        <v>2+500</v>
      </c>
      <c r="AE50" s="30">
        <v>1700</v>
      </c>
      <c r="AF50" s="46">
        <f>(O50+1.5*P50)*P50</f>
        <v>0.625</v>
      </c>
      <c r="AG50" s="47">
        <f t="shared" si="14"/>
        <v>1062.5</v>
      </c>
      <c r="AH50" s="47">
        <f t="shared" si="6"/>
        <v>1782.5</v>
      </c>
      <c r="AI50" s="47">
        <f t="shared" si="8"/>
        <v>51000</v>
      </c>
      <c r="AJ50" s="4"/>
      <c r="AK50" s="4"/>
      <c r="AL50" s="4"/>
      <c r="AM50" s="4"/>
      <c r="AN50" s="4"/>
      <c r="AO50" s="20"/>
    </row>
    <row r="51" spans="2:41" s="21" customFormat="1" ht="23.15" customHeight="1">
      <c r="B51" s="35"/>
      <c r="C51" s="36"/>
      <c r="D51" s="36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8"/>
      <c r="AA51" s="4"/>
      <c r="AB51" s="162" t="s">
        <v>137</v>
      </c>
      <c r="AC51" s="163"/>
      <c r="AD51" s="164"/>
      <c r="AE51" s="39">
        <f>SUM(AE49:AE50)</f>
        <v>2500</v>
      </c>
      <c r="AF51" s="36"/>
      <c r="AG51" s="40">
        <f>SUM(AG49:AG50)</f>
        <v>1782.5</v>
      </c>
      <c r="AH51" s="38"/>
      <c r="AI51" s="40">
        <f>SUM(AI49:AI50)</f>
        <v>75000</v>
      </c>
      <c r="AJ51" s="4"/>
      <c r="AK51" s="4"/>
      <c r="AL51" s="4"/>
      <c r="AM51" s="4"/>
      <c r="AN51" s="4"/>
      <c r="AO51" s="20"/>
    </row>
    <row r="52" spans="2:41" s="21" customFormat="1" ht="23.15" customHeight="1">
      <c r="B52" s="165" t="s">
        <v>26</v>
      </c>
      <c r="C52" s="12" t="s">
        <v>40</v>
      </c>
      <c r="D52" s="12" t="s">
        <v>145</v>
      </c>
      <c r="E52" s="13">
        <v>1010</v>
      </c>
      <c r="F52" s="12">
        <v>3.4929999999999999</v>
      </c>
      <c r="G52" s="133">
        <v>3.6520000000000001</v>
      </c>
      <c r="H52" s="12">
        <f t="shared" ref="H52:H62" si="24">ROUND(I52*J52,3)</f>
        <v>3.6520000000000001</v>
      </c>
      <c r="I52" s="12">
        <f t="shared" ref="I52:I62" si="25">ROUND((O52+(1.5*P52))*P52,3)</f>
        <v>5.4340000000000002</v>
      </c>
      <c r="J52" s="12">
        <f t="shared" ref="J52:J62" si="26">ROUND((1/M52)*(L52^(2/3))*SQRT(N52),3)</f>
        <v>0.67200000000000004</v>
      </c>
      <c r="K52" s="12"/>
      <c r="L52" s="12">
        <f t="shared" ref="L52:L62" si="27">ROUND(I52/(O52+(2*P52*SQRT(1+(1.5^2)))),3)</f>
        <v>0.79100000000000004</v>
      </c>
      <c r="M52" s="12">
        <v>1.7999999999999999E-2</v>
      </c>
      <c r="N52" s="15">
        <v>2.0000000000000001E-4</v>
      </c>
      <c r="O52" s="41">
        <v>2</v>
      </c>
      <c r="P52" s="41">
        <v>1.35</v>
      </c>
      <c r="Q52" s="41">
        <v>0.06</v>
      </c>
      <c r="R52" s="41">
        <v>1.6</v>
      </c>
      <c r="S52" s="41">
        <v>2</v>
      </c>
      <c r="T52" s="41">
        <v>2</v>
      </c>
      <c r="U52" s="41">
        <v>2</v>
      </c>
      <c r="V52" s="41">
        <v>2</v>
      </c>
      <c r="W52" s="41">
        <v>5</v>
      </c>
      <c r="X52" s="41">
        <v>20</v>
      </c>
      <c r="Y52" s="41">
        <v>20</v>
      </c>
      <c r="Z52" s="23" t="s">
        <v>117</v>
      </c>
      <c r="AA52" s="4"/>
      <c r="AB52" s="165" t="s">
        <v>26</v>
      </c>
      <c r="AC52" s="12" t="s">
        <v>40</v>
      </c>
      <c r="AD52" s="12" t="s">
        <v>145</v>
      </c>
      <c r="AE52" s="13">
        <v>1010</v>
      </c>
      <c r="AF52" s="42">
        <f t="shared" ref="AF52:AF62" si="28">(O52+1.5*P52)*P52</f>
        <v>5.4337500000000007</v>
      </c>
      <c r="AG52" s="43">
        <f t="shared" si="14"/>
        <v>5488.0875000000005</v>
      </c>
      <c r="AH52" s="43">
        <f>AG52</f>
        <v>5488.0875000000005</v>
      </c>
      <c r="AI52" s="43">
        <f t="shared" si="8"/>
        <v>40400</v>
      </c>
      <c r="AJ52" s="4"/>
      <c r="AK52" s="4"/>
      <c r="AL52" s="4"/>
      <c r="AM52" s="4"/>
      <c r="AN52" s="4"/>
      <c r="AO52" s="20"/>
    </row>
    <row r="53" spans="2:41" s="21" customFormat="1" ht="23.15" customHeight="1">
      <c r="B53" s="166"/>
      <c r="C53" s="16" t="s">
        <v>145</v>
      </c>
      <c r="D53" s="16" t="s">
        <v>146</v>
      </c>
      <c r="E53" s="22">
        <v>190</v>
      </c>
      <c r="F53" s="16">
        <v>3.4929999999999999</v>
      </c>
      <c r="G53" s="16"/>
      <c r="H53" s="16">
        <f t="shared" si="24"/>
        <v>3.6520000000000001</v>
      </c>
      <c r="I53" s="44">
        <f t="shared" si="25"/>
        <v>5.4340000000000002</v>
      </c>
      <c r="J53" s="44">
        <f t="shared" si="26"/>
        <v>0.67200000000000004</v>
      </c>
      <c r="K53" s="44"/>
      <c r="L53" s="44">
        <f t="shared" si="27"/>
        <v>0.79100000000000004</v>
      </c>
      <c r="M53" s="44">
        <v>1.7999999999999999E-2</v>
      </c>
      <c r="N53" s="23">
        <v>2.0000000000000001E-4</v>
      </c>
      <c r="O53" s="24">
        <v>2</v>
      </c>
      <c r="P53" s="24">
        <v>1.35</v>
      </c>
      <c r="Q53" s="24">
        <v>0.06</v>
      </c>
      <c r="R53" s="24">
        <v>1.6</v>
      </c>
      <c r="S53" s="24">
        <v>2</v>
      </c>
      <c r="T53" s="24">
        <v>2</v>
      </c>
      <c r="U53" s="24">
        <v>2</v>
      </c>
      <c r="V53" s="24">
        <v>5</v>
      </c>
      <c r="W53" s="24">
        <v>5</v>
      </c>
      <c r="X53" s="24">
        <v>20</v>
      </c>
      <c r="Y53" s="24">
        <v>20</v>
      </c>
      <c r="Z53" s="23" t="s">
        <v>117</v>
      </c>
      <c r="AA53" s="4"/>
      <c r="AB53" s="166"/>
      <c r="AC53" s="16" t="s">
        <v>145</v>
      </c>
      <c r="AD53" s="16" t="s">
        <v>146</v>
      </c>
      <c r="AE53" s="22">
        <v>190</v>
      </c>
      <c r="AF53" s="25">
        <f t="shared" si="28"/>
        <v>5.4337500000000007</v>
      </c>
      <c r="AG53" s="19">
        <f t="shared" si="14"/>
        <v>1032.4125000000001</v>
      </c>
      <c r="AH53" s="19">
        <f t="shared" ref="AH53:AH62" si="29">AH52+AG53</f>
        <v>6520.5000000000009</v>
      </c>
      <c r="AI53" s="19">
        <f t="shared" si="8"/>
        <v>7600</v>
      </c>
      <c r="AJ53" s="4"/>
      <c r="AK53" s="4"/>
      <c r="AL53" s="4"/>
      <c r="AM53" s="4"/>
      <c r="AN53" s="4"/>
      <c r="AO53" s="20"/>
    </row>
    <row r="54" spans="2:41" s="21" customFormat="1" ht="23.15" customHeight="1">
      <c r="B54" s="166"/>
      <c r="C54" s="16" t="s">
        <v>146</v>
      </c>
      <c r="D54" s="16" t="s">
        <v>59</v>
      </c>
      <c r="E54" s="22">
        <v>520</v>
      </c>
      <c r="F54" s="16">
        <v>3.4209999999999998</v>
      </c>
      <c r="G54" s="135">
        <v>3.6520000000000001</v>
      </c>
      <c r="H54" s="16">
        <f t="shared" si="24"/>
        <v>3.6520000000000001</v>
      </c>
      <c r="I54" s="44">
        <f t="shared" si="25"/>
        <v>5.4340000000000002</v>
      </c>
      <c r="J54" s="44">
        <f t="shared" si="26"/>
        <v>0.67200000000000004</v>
      </c>
      <c r="K54" s="44"/>
      <c r="L54" s="44">
        <f t="shared" si="27"/>
        <v>0.79100000000000004</v>
      </c>
      <c r="M54" s="44">
        <v>1.7999999999999999E-2</v>
      </c>
      <c r="N54" s="23">
        <v>2.0000000000000001E-4</v>
      </c>
      <c r="O54" s="24">
        <v>2</v>
      </c>
      <c r="P54" s="24">
        <v>1.35</v>
      </c>
      <c r="Q54" s="24">
        <v>0.06</v>
      </c>
      <c r="R54" s="24">
        <v>1.6</v>
      </c>
      <c r="S54" s="24">
        <v>2</v>
      </c>
      <c r="T54" s="24">
        <v>2</v>
      </c>
      <c r="U54" s="24">
        <v>2</v>
      </c>
      <c r="V54" s="24">
        <v>5</v>
      </c>
      <c r="W54" s="24">
        <v>5</v>
      </c>
      <c r="X54" s="24">
        <v>20</v>
      </c>
      <c r="Y54" s="24">
        <v>20</v>
      </c>
      <c r="Z54" s="23" t="s">
        <v>117</v>
      </c>
      <c r="AA54" s="4"/>
      <c r="AB54" s="166"/>
      <c r="AC54" s="16" t="s">
        <v>146</v>
      </c>
      <c r="AD54" s="16" t="s">
        <v>59</v>
      </c>
      <c r="AE54" s="22">
        <v>520</v>
      </c>
      <c r="AF54" s="25">
        <f t="shared" si="28"/>
        <v>5.4337500000000007</v>
      </c>
      <c r="AG54" s="19">
        <f t="shared" si="14"/>
        <v>2825.55</v>
      </c>
      <c r="AH54" s="19">
        <f t="shared" si="29"/>
        <v>9346.0500000000011</v>
      </c>
      <c r="AI54" s="19">
        <f t="shared" si="8"/>
        <v>20800</v>
      </c>
      <c r="AJ54" s="4"/>
      <c r="AK54" s="4"/>
      <c r="AL54" s="4"/>
      <c r="AM54" s="4"/>
      <c r="AN54" s="4"/>
      <c r="AO54" s="20"/>
    </row>
    <row r="55" spans="2:41" s="21" customFormat="1" ht="23.15" customHeight="1">
      <c r="B55" s="166"/>
      <c r="C55" s="16" t="s">
        <v>59</v>
      </c>
      <c r="D55" s="16" t="s">
        <v>38</v>
      </c>
      <c r="E55" s="22">
        <v>1280</v>
      </c>
      <c r="F55" s="16">
        <v>1.9390000000000001</v>
      </c>
      <c r="G55" s="135">
        <v>2.008</v>
      </c>
      <c r="H55" s="16">
        <f t="shared" si="24"/>
        <v>2.0099999999999998</v>
      </c>
      <c r="I55" s="16">
        <f t="shared" si="25"/>
        <v>3.4649999999999999</v>
      </c>
      <c r="J55" s="16">
        <f t="shared" si="26"/>
        <v>0.57999999999999996</v>
      </c>
      <c r="K55" s="16"/>
      <c r="L55" s="16">
        <f t="shared" si="27"/>
        <v>0.63400000000000001</v>
      </c>
      <c r="M55" s="16">
        <v>1.7999999999999999E-2</v>
      </c>
      <c r="N55" s="23">
        <v>2.0000000000000001E-4</v>
      </c>
      <c r="O55" s="24">
        <v>1.5</v>
      </c>
      <c r="P55" s="24">
        <v>1.1000000000000001</v>
      </c>
      <c r="Q55" s="24">
        <v>0.06</v>
      </c>
      <c r="R55" s="24">
        <v>1.3</v>
      </c>
      <c r="S55" s="24">
        <v>1.7</v>
      </c>
      <c r="T55" s="24">
        <v>1.7</v>
      </c>
      <c r="U55" s="24">
        <v>1</v>
      </c>
      <c r="V55" s="24">
        <v>5</v>
      </c>
      <c r="W55" s="24">
        <v>5</v>
      </c>
      <c r="X55" s="24">
        <v>20</v>
      </c>
      <c r="Y55" s="24">
        <v>20</v>
      </c>
      <c r="Z55" s="23" t="s">
        <v>117</v>
      </c>
      <c r="AA55" s="4"/>
      <c r="AB55" s="166"/>
      <c r="AC55" s="16" t="s">
        <v>59</v>
      </c>
      <c r="AD55" s="16" t="s">
        <v>38</v>
      </c>
      <c r="AE55" s="22">
        <v>1280</v>
      </c>
      <c r="AF55" s="25">
        <f t="shared" si="28"/>
        <v>3.4650000000000007</v>
      </c>
      <c r="AG55" s="19">
        <f t="shared" si="14"/>
        <v>4435.2000000000007</v>
      </c>
      <c r="AH55" s="19">
        <f t="shared" si="29"/>
        <v>13781.250000000002</v>
      </c>
      <c r="AI55" s="19">
        <f t="shared" si="8"/>
        <v>51200</v>
      </c>
      <c r="AJ55" s="4"/>
      <c r="AK55" s="4"/>
      <c r="AL55" s="4"/>
      <c r="AM55" s="4"/>
      <c r="AN55" s="4"/>
      <c r="AO55" s="20"/>
    </row>
    <row r="56" spans="2:41" s="21" customFormat="1" ht="23.15" customHeight="1">
      <c r="B56" s="166"/>
      <c r="C56" s="16" t="s">
        <v>38</v>
      </c>
      <c r="D56" s="16" t="s">
        <v>118</v>
      </c>
      <c r="E56" s="22">
        <v>500</v>
      </c>
      <c r="F56" s="16">
        <v>1.8149999999999999</v>
      </c>
      <c r="G56" s="16"/>
      <c r="H56" s="16">
        <f t="shared" si="24"/>
        <v>1.9259999999999999</v>
      </c>
      <c r="I56" s="16">
        <f t="shared" si="25"/>
        <v>3.355</v>
      </c>
      <c r="J56" s="16">
        <f t="shared" si="26"/>
        <v>0.57399999999999995</v>
      </c>
      <c r="K56" s="16"/>
      <c r="L56" s="16">
        <f t="shared" si="27"/>
        <v>0.625</v>
      </c>
      <c r="M56" s="16">
        <v>1.7999999999999999E-2</v>
      </c>
      <c r="N56" s="23">
        <v>2.0000000000000001E-4</v>
      </c>
      <c r="O56" s="24">
        <v>1.4</v>
      </c>
      <c r="P56" s="24">
        <v>1.1000000000000001</v>
      </c>
      <c r="Q56" s="24">
        <v>0.06</v>
      </c>
      <c r="R56" s="24">
        <v>1.3</v>
      </c>
      <c r="S56" s="24">
        <v>1.65</v>
      </c>
      <c r="T56" s="24">
        <v>1.65</v>
      </c>
      <c r="U56" s="24">
        <v>1</v>
      </c>
      <c r="V56" s="24">
        <v>5</v>
      </c>
      <c r="W56" s="24">
        <v>5</v>
      </c>
      <c r="X56" s="24">
        <v>20</v>
      </c>
      <c r="Y56" s="24">
        <v>20</v>
      </c>
      <c r="Z56" s="23" t="s">
        <v>117</v>
      </c>
      <c r="AA56" s="4"/>
      <c r="AB56" s="166"/>
      <c r="AC56" s="16" t="s">
        <v>38</v>
      </c>
      <c r="AD56" s="16" t="s">
        <v>118</v>
      </c>
      <c r="AE56" s="22">
        <v>500</v>
      </c>
      <c r="AF56" s="25">
        <f t="shared" si="28"/>
        <v>3.355</v>
      </c>
      <c r="AG56" s="19">
        <f t="shared" si="14"/>
        <v>1677.5</v>
      </c>
      <c r="AH56" s="19">
        <f t="shared" si="29"/>
        <v>15458.750000000002</v>
      </c>
      <c r="AI56" s="19">
        <f t="shared" si="8"/>
        <v>20000</v>
      </c>
      <c r="AJ56" s="4"/>
      <c r="AK56" s="4"/>
      <c r="AL56" s="4"/>
      <c r="AM56" s="4"/>
      <c r="AN56" s="4"/>
      <c r="AO56" s="20"/>
    </row>
    <row r="57" spans="2:41" s="21" customFormat="1" ht="23.15" customHeight="1">
      <c r="B57" s="166"/>
      <c r="C57" s="16" t="s">
        <v>118</v>
      </c>
      <c r="D57" s="16" t="s">
        <v>60</v>
      </c>
      <c r="E57" s="22">
        <v>1000</v>
      </c>
      <c r="F57" s="16">
        <v>1.8149999999999999</v>
      </c>
      <c r="G57" s="135">
        <v>1.927</v>
      </c>
      <c r="H57" s="16">
        <f t="shared" si="24"/>
        <v>1.9259999999999999</v>
      </c>
      <c r="I57" s="16">
        <f t="shared" si="25"/>
        <v>3.355</v>
      </c>
      <c r="J57" s="16">
        <f t="shared" si="26"/>
        <v>0.57399999999999995</v>
      </c>
      <c r="K57" s="16"/>
      <c r="L57" s="16">
        <f t="shared" si="27"/>
        <v>0.625</v>
      </c>
      <c r="M57" s="16">
        <v>1.7999999999999999E-2</v>
      </c>
      <c r="N57" s="23">
        <v>2.0000000000000001E-4</v>
      </c>
      <c r="O57" s="24">
        <v>1.4</v>
      </c>
      <c r="P57" s="24">
        <v>1.1000000000000001</v>
      </c>
      <c r="Q57" s="24">
        <v>0.06</v>
      </c>
      <c r="R57" s="24">
        <v>1.3</v>
      </c>
      <c r="S57" s="24">
        <v>1.65</v>
      </c>
      <c r="T57" s="24">
        <v>1.65</v>
      </c>
      <c r="U57" s="24">
        <v>1</v>
      </c>
      <c r="V57" s="24">
        <v>5</v>
      </c>
      <c r="W57" s="24">
        <v>5</v>
      </c>
      <c r="X57" s="24">
        <v>20</v>
      </c>
      <c r="Y57" s="24">
        <v>20</v>
      </c>
      <c r="Z57" s="23" t="s">
        <v>117</v>
      </c>
      <c r="AA57" s="4"/>
      <c r="AB57" s="166"/>
      <c r="AC57" s="16" t="s">
        <v>118</v>
      </c>
      <c r="AD57" s="16" t="s">
        <v>60</v>
      </c>
      <c r="AE57" s="22">
        <v>1000</v>
      </c>
      <c r="AF57" s="25">
        <f t="shared" si="28"/>
        <v>3.355</v>
      </c>
      <c r="AG57" s="19">
        <f t="shared" si="14"/>
        <v>3355</v>
      </c>
      <c r="AH57" s="19">
        <f t="shared" si="29"/>
        <v>18813.75</v>
      </c>
      <c r="AI57" s="19">
        <f t="shared" si="8"/>
        <v>40000</v>
      </c>
      <c r="AJ57" s="4"/>
      <c r="AK57" s="4"/>
      <c r="AL57" s="4"/>
      <c r="AM57" s="4"/>
      <c r="AN57" s="4"/>
      <c r="AO57" s="20"/>
    </row>
    <row r="58" spans="2:41" s="21" customFormat="1" ht="23.15" customHeight="1">
      <c r="B58" s="166"/>
      <c r="C58" s="16" t="s">
        <v>60</v>
      </c>
      <c r="D58" s="16" t="s">
        <v>147</v>
      </c>
      <c r="E58" s="22">
        <v>760</v>
      </c>
      <c r="F58" s="16">
        <v>1.1020000000000001</v>
      </c>
      <c r="G58" s="16"/>
      <c r="H58" s="16">
        <f t="shared" si="24"/>
        <v>1.103</v>
      </c>
      <c r="I58" s="16">
        <f t="shared" si="25"/>
        <v>2.2050000000000001</v>
      </c>
      <c r="J58" s="16">
        <f t="shared" si="26"/>
        <v>0.5</v>
      </c>
      <c r="K58" s="16"/>
      <c r="L58" s="16">
        <f t="shared" si="27"/>
        <v>0.50700000000000001</v>
      </c>
      <c r="M58" s="16">
        <v>1.7999999999999999E-2</v>
      </c>
      <c r="N58" s="23">
        <v>2.0000000000000001E-4</v>
      </c>
      <c r="O58" s="24">
        <v>1.1000000000000001</v>
      </c>
      <c r="P58" s="24">
        <v>0.9</v>
      </c>
      <c r="Q58" s="24">
        <v>0.06</v>
      </c>
      <c r="R58" s="24">
        <v>1.1000000000000001</v>
      </c>
      <c r="S58" s="24">
        <v>1.4</v>
      </c>
      <c r="T58" s="24">
        <v>1.4</v>
      </c>
      <c r="U58" s="24">
        <v>1</v>
      </c>
      <c r="V58" s="24">
        <v>2</v>
      </c>
      <c r="W58" s="24">
        <v>5</v>
      </c>
      <c r="X58" s="24">
        <v>15</v>
      </c>
      <c r="Y58" s="24">
        <v>15</v>
      </c>
      <c r="Z58" s="23" t="s">
        <v>117</v>
      </c>
      <c r="AA58" s="4"/>
      <c r="AB58" s="166"/>
      <c r="AC58" s="16" t="s">
        <v>60</v>
      </c>
      <c r="AD58" s="16" t="s">
        <v>147</v>
      </c>
      <c r="AE58" s="22">
        <v>760</v>
      </c>
      <c r="AF58" s="25">
        <f t="shared" si="28"/>
        <v>2.2050000000000001</v>
      </c>
      <c r="AG58" s="19">
        <f t="shared" si="14"/>
        <v>1675.8</v>
      </c>
      <c r="AH58" s="19">
        <f t="shared" si="29"/>
        <v>20489.55</v>
      </c>
      <c r="AI58" s="19">
        <f t="shared" si="8"/>
        <v>22800</v>
      </c>
      <c r="AJ58" s="4"/>
      <c r="AK58" s="4"/>
      <c r="AL58" s="4"/>
      <c r="AM58" s="4"/>
      <c r="AN58" s="4"/>
      <c r="AO58" s="20"/>
    </row>
    <row r="59" spans="2:41" s="21" customFormat="1" ht="23.15" customHeight="1">
      <c r="B59" s="166"/>
      <c r="C59" s="16" t="s">
        <v>147</v>
      </c>
      <c r="D59" s="16" t="s">
        <v>61</v>
      </c>
      <c r="E59" s="22">
        <v>1360</v>
      </c>
      <c r="F59" s="16">
        <v>1.0429999999999999</v>
      </c>
      <c r="G59" s="135">
        <v>1.1020000000000001</v>
      </c>
      <c r="H59" s="16">
        <f t="shared" si="24"/>
        <v>1.103</v>
      </c>
      <c r="I59" s="16">
        <f t="shared" si="25"/>
        <v>2.2050000000000001</v>
      </c>
      <c r="J59" s="16">
        <f t="shared" si="26"/>
        <v>0.5</v>
      </c>
      <c r="K59" s="16"/>
      <c r="L59" s="16">
        <f t="shared" si="27"/>
        <v>0.50700000000000001</v>
      </c>
      <c r="M59" s="16">
        <v>1.7999999999999999E-2</v>
      </c>
      <c r="N59" s="23">
        <v>2.0000000000000001E-4</v>
      </c>
      <c r="O59" s="24">
        <v>1.1000000000000001</v>
      </c>
      <c r="P59" s="24">
        <v>0.9</v>
      </c>
      <c r="Q59" s="24">
        <v>0.06</v>
      </c>
      <c r="R59" s="24">
        <v>1.1000000000000001</v>
      </c>
      <c r="S59" s="24">
        <v>1.4</v>
      </c>
      <c r="T59" s="24">
        <v>1.4</v>
      </c>
      <c r="U59" s="24">
        <v>1</v>
      </c>
      <c r="V59" s="24">
        <v>2</v>
      </c>
      <c r="W59" s="24">
        <v>5</v>
      </c>
      <c r="X59" s="24">
        <v>15</v>
      </c>
      <c r="Y59" s="24">
        <v>15</v>
      </c>
      <c r="Z59" s="23" t="s">
        <v>117</v>
      </c>
      <c r="AA59" s="4"/>
      <c r="AB59" s="166"/>
      <c r="AC59" s="16" t="s">
        <v>147</v>
      </c>
      <c r="AD59" s="16" t="s">
        <v>61</v>
      </c>
      <c r="AE59" s="22">
        <v>1360</v>
      </c>
      <c r="AF59" s="25">
        <f t="shared" si="28"/>
        <v>2.2050000000000001</v>
      </c>
      <c r="AG59" s="19">
        <f t="shared" si="14"/>
        <v>2998.8</v>
      </c>
      <c r="AH59" s="19">
        <f t="shared" si="29"/>
        <v>23488.35</v>
      </c>
      <c r="AI59" s="19">
        <f t="shared" si="8"/>
        <v>40800</v>
      </c>
      <c r="AJ59" s="4"/>
      <c r="AK59" s="4"/>
      <c r="AL59" s="4"/>
      <c r="AM59" s="4"/>
      <c r="AN59" s="4"/>
      <c r="AO59" s="20"/>
    </row>
    <row r="60" spans="2:41" s="21" customFormat="1" ht="23.15" customHeight="1">
      <c r="B60" s="166"/>
      <c r="C60" s="16" t="s">
        <v>61</v>
      </c>
      <c r="D60" s="16" t="s">
        <v>65</v>
      </c>
      <c r="E60" s="22">
        <v>380</v>
      </c>
      <c r="F60" s="16">
        <v>0.66900000000000004</v>
      </c>
      <c r="G60" s="16"/>
      <c r="H60" s="16">
        <f t="shared" si="24"/>
        <v>0.67</v>
      </c>
      <c r="I60" s="16">
        <f t="shared" si="25"/>
        <v>1.5189999999999999</v>
      </c>
      <c r="J60" s="16">
        <f t="shared" si="26"/>
        <v>0.441</v>
      </c>
      <c r="K60" s="16"/>
      <c r="L60" s="16">
        <f t="shared" si="27"/>
        <v>0.42099999999999999</v>
      </c>
      <c r="M60" s="16">
        <v>1.7999999999999999E-2</v>
      </c>
      <c r="N60" s="23">
        <v>2.0000000000000001E-4</v>
      </c>
      <c r="O60" s="24">
        <v>0.9</v>
      </c>
      <c r="P60" s="24">
        <v>0.75</v>
      </c>
      <c r="Q60" s="24">
        <v>0.06</v>
      </c>
      <c r="R60" s="24">
        <v>0.9</v>
      </c>
      <c r="S60" s="24">
        <v>1.2</v>
      </c>
      <c r="T60" s="24">
        <v>1.2</v>
      </c>
      <c r="U60" s="24">
        <v>1</v>
      </c>
      <c r="V60" s="24">
        <v>2</v>
      </c>
      <c r="W60" s="24">
        <v>5</v>
      </c>
      <c r="X60" s="24">
        <v>15</v>
      </c>
      <c r="Y60" s="24">
        <v>15</v>
      </c>
      <c r="Z60" s="23" t="s">
        <v>117</v>
      </c>
      <c r="AA60" s="4"/>
      <c r="AB60" s="166"/>
      <c r="AC60" s="16" t="s">
        <v>61</v>
      </c>
      <c r="AD60" s="16" t="s">
        <v>65</v>
      </c>
      <c r="AE60" s="22">
        <v>380</v>
      </c>
      <c r="AF60" s="25">
        <f t="shared" si="28"/>
        <v>1.5187499999999998</v>
      </c>
      <c r="AG60" s="19">
        <f t="shared" si="14"/>
        <v>577.12499999999989</v>
      </c>
      <c r="AH60" s="19">
        <f t="shared" si="29"/>
        <v>24065.474999999999</v>
      </c>
      <c r="AI60" s="19">
        <f t="shared" si="8"/>
        <v>11400</v>
      </c>
      <c r="AJ60" s="4"/>
      <c r="AK60" s="4"/>
      <c r="AL60" s="4"/>
      <c r="AM60" s="4"/>
      <c r="AN60" s="4"/>
      <c r="AO60" s="20"/>
    </row>
    <row r="61" spans="2:41" s="21" customFormat="1" ht="23.15" customHeight="1">
      <c r="B61" s="166"/>
      <c r="C61" s="16" t="s">
        <v>65</v>
      </c>
      <c r="D61" s="28" t="s">
        <v>148</v>
      </c>
      <c r="E61" s="29">
        <v>1780</v>
      </c>
      <c r="F61" s="16">
        <v>0.66900000000000004</v>
      </c>
      <c r="G61" s="135">
        <v>0.67</v>
      </c>
      <c r="H61" s="16">
        <f t="shared" si="24"/>
        <v>0.67</v>
      </c>
      <c r="I61" s="16">
        <f t="shared" si="25"/>
        <v>1.5189999999999999</v>
      </c>
      <c r="J61" s="16">
        <f t="shared" si="26"/>
        <v>0.441</v>
      </c>
      <c r="K61" s="16"/>
      <c r="L61" s="16">
        <f t="shared" si="27"/>
        <v>0.42099999999999999</v>
      </c>
      <c r="M61" s="16">
        <v>1.7999999999999999E-2</v>
      </c>
      <c r="N61" s="23">
        <v>2.0000000000000001E-4</v>
      </c>
      <c r="O61" s="24">
        <v>0.9</v>
      </c>
      <c r="P61" s="24">
        <v>0.75</v>
      </c>
      <c r="Q61" s="24">
        <v>0.06</v>
      </c>
      <c r="R61" s="24">
        <v>0.9</v>
      </c>
      <c r="S61" s="24">
        <v>1.2</v>
      </c>
      <c r="T61" s="24">
        <v>1.2</v>
      </c>
      <c r="U61" s="24">
        <v>1</v>
      </c>
      <c r="V61" s="24">
        <v>2</v>
      </c>
      <c r="W61" s="24">
        <v>5</v>
      </c>
      <c r="X61" s="24">
        <v>15</v>
      </c>
      <c r="Y61" s="24">
        <v>15</v>
      </c>
      <c r="Z61" s="23" t="s">
        <v>117</v>
      </c>
      <c r="AA61" s="4"/>
      <c r="AB61" s="166"/>
      <c r="AC61" s="16" t="s">
        <v>65</v>
      </c>
      <c r="AD61" s="28" t="s">
        <v>148</v>
      </c>
      <c r="AE61" s="29">
        <v>1780</v>
      </c>
      <c r="AF61" s="25">
        <f t="shared" si="28"/>
        <v>1.5187499999999998</v>
      </c>
      <c r="AG61" s="19">
        <f t="shared" si="14"/>
        <v>2703.3749999999995</v>
      </c>
      <c r="AH61" s="19">
        <f t="shared" si="29"/>
        <v>26768.85</v>
      </c>
      <c r="AI61" s="19">
        <f t="shared" si="8"/>
        <v>53400</v>
      </c>
      <c r="AJ61" s="4"/>
      <c r="AK61" s="4"/>
      <c r="AL61" s="4"/>
      <c r="AM61" s="4"/>
      <c r="AN61" s="4"/>
      <c r="AO61" s="20"/>
    </row>
    <row r="62" spans="2:41" s="21" customFormat="1" ht="23.15" customHeight="1">
      <c r="B62" s="167"/>
      <c r="C62" s="16" t="s">
        <v>148</v>
      </c>
      <c r="D62" s="31" t="s">
        <v>62</v>
      </c>
      <c r="E62" s="32">
        <v>120</v>
      </c>
      <c r="F62" s="31" t="s">
        <v>115</v>
      </c>
      <c r="G62" s="137">
        <v>0.159</v>
      </c>
      <c r="H62" s="31">
        <f t="shared" si="24"/>
        <v>0.151</v>
      </c>
      <c r="I62" s="31">
        <f t="shared" si="25"/>
        <v>0.625</v>
      </c>
      <c r="J62" s="31">
        <f t="shared" si="26"/>
        <v>0.24199999999999999</v>
      </c>
      <c r="K62" s="31"/>
      <c r="L62" s="31">
        <f t="shared" si="27"/>
        <v>0.27100000000000002</v>
      </c>
      <c r="M62" s="31">
        <v>0.03</v>
      </c>
      <c r="N62" s="33">
        <v>2.9999999999999997E-4</v>
      </c>
      <c r="O62" s="34">
        <v>0.5</v>
      </c>
      <c r="P62" s="34">
        <v>0.5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15</v>
      </c>
      <c r="Y62" s="34">
        <v>15</v>
      </c>
      <c r="Z62" s="33" t="s">
        <v>136</v>
      </c>
      <c r="AA62" s="4"/>
      <c r="AB62" s="167"/>
      <c r="AC62" s="16" t="s">
        <v>148</v>
      </c>
      <c r="AD62" s="31" t="s">
        <v>62</v>
      </c>
      <c r="AE62" s="32">
        <v>120</v>
      </c>
      <c r="AF62" s="25">
        <f t="shared" si="28"/>
        <v>0.625</v>
      </c>
      <c r="AG62" s="19">
        <f t="shared" si="14"/>
        <v>75</v>
      </c>
      <c r="AH62" s="19">
        <f t="shared" si="29"/>
        <v>26843.85</v>
      </c>
      <c r="AI62" s="19">
        <f t="shared" si="8"/>
        <v>3600</v>
      </c>
      <c r="AJ62" s="4"/>
      <c r="AK62" s="4"/>
      <c r="AL62" s="4"/>
      <c r="AM62" s="4"/>
      <c r="AN62" s="4"/>
      <c r="AO62" s="20"/>
    </row>
    <row r="63" spans="2:41" s="21" customFormat="1" ht="23.15" customHeight="1">
      <c r="B63" s="35"/>
      <c r="C63" s="36"/>
      <c r="D63" s="36"/>
      <c r="E63" s="3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8"/>
      <c r="AA63" s="4"/>
      <c r="AB63" s="162" t="s">
        <v>137</v>
      </c>
      <c r="AC63" s="163"/>
      <c r="AD63" s="164"/>
      <c r="AE63" s="39">
        <f>SUM(AE52:AE62)</f>
        <v>8900</v>
      </c>
      <c r="AF63" s="36"/>
      <c r="AG63" s="40">
        <f>SUM(AG52:AG62)</f>
        <v>26843.85</v>
      </c>
      <c r="AH63" s="38"/>
      <c r="AI63" s="40">
        <f>SUM(AI52:AI62)</f>
        <v>312000</v>
      </c>
      <c r="AJ63" s="4"/>
      <c r="AK63" s="4"/>
      <c r="AL63" s="4"/>
      <c r="AM63" s="4"/>
      <c r="AN63" s="4"/>
      <c r="AO63" s="20"/>
    </row>
    <row r="64" spans="2:41" s="21" customFormat="1" ht="23.15" customHeight="1">
      <c r="B64" s="165" t="s">
        <v>27</v>
      </c>
      <c r="C64" s="12" t="s">
        <v>40</v>
      </c>
      <c r="D64" s="12" t="s">
        <v>149</v>
      </c>
      <c r="E64" s="13">
        <v>2050</v>
      </c>
      <c r="F64" s="12">
        <v>0.41699999999999998</v>
      </c>
      <c r="G64" s="133">
        <v>0.43099999999999999</v>
      </c>
      <c r="H64" s="12">
        <f t="shared" ref="H64:H67" si="30">ROUND(I64*J64,3)</f>
        <v>0.436</v>
      </c>
      <c r="I64" s="12">
        <f t="shared" ref="I64:I67" si="31">ROUND((O64+(1.5*P64))*P64,3)</f>
        <v>1.099</v>
      </c>
      <c r="J64" s="12">
        <f t="shared" ref="J64:J67" si="32">ROUND((1/M64)*(L64^(2/3))*SQRT(N64),3)</f>
        <v>0.39700000000000002</v>
      </c>
      <c r="K64" s="12"/>
      <c r="L64" s="12">
        <f t="shared" ref="L64:L67" si="33">ROUND(I64/(O64+(2*P64*SQRT(1+(1.5^2)))),3)</f>
        <v>0.35899999999999999</v>
      </c>
      <c r="M64" s="12">
        <v>1.7999999999999999E-2</v>
      </c>
      <c r="N64" s="15">
        <v>2.0000000000000001E-4</v>
      </c>
      <c r="O64" s="41">
        <v>0.7</v>
      </c>
      <c r="P64" s="41">
        <v>0.65400000000000003</v>
      </c>
      <c r="Q64" s="41">
        <v>0.06</v>
      </c>
      <c r="R64" s="41">
        <v>0.8</v>
      </c>
      <c r="S64" s="41">
        <v>1.05</v>
      </c>
      <c r="T64" s="41">
        <v>1.05</v>
      </c>
      <c r="U64" s="41">
        <v>0</v>
      </c>
      <c r="V64" s="41">
        <v>5</v>
      </c>
      <c r="W64" s="41">
        <v>2</v>
      </c>
      <c r="X64" s="41">
        <v>15</v>
      </c>
      <c r="Y64" s="41">
        <v>15</v>
      </c>
      <c r="Z64" s="23" t="s">
        <v>117</v>
      </c>
      <c r="AA64" s="4"/>
      <c r="AB64" s="165" t="s">
        <v>27</v>
      </c>
      <c r="AC64" s="12" t="s">
        <v>40</v>
      </c>
      <c r="AD64" s="12" t="s">
        <v>149</v>
      </c>
      <c r="AE64" s="13">
        <v>2050</v>
      </c>
      <c r="AF64" s="42">
        <f>(O64+1.5*P64)*P64</f>
        <v>1.0993740000000001</v>
      </c>
      <c r="AG64" s="43">
        <f t="shared" si="14"/>
        <v>2253.7166999999999</v>
      </c>
      <c r="AH64" s="43">
        <f>AG64</f>
        <v>2253.7166999999999</v>
      </c>
      <c r="AI64" s="43">
        <f t="shared" si="8"/>
        <v>61500</v>
      </c>
      <c r="AJ64" s="4"/>
      <c r="AK64" s="4"/>
      <c r="AL64" s="4"/>
      <c r="AM64" s="4"/>
      <c r="AN64" s="4"/>
      <c r="AO64" s="20"/>
    </row>
    <row r="65" spans="2:41" s="21" customFormat="1" ht="23.15" customHeight="1">
      <c r="B65" s="166"/>
      <c r="C65" s="16" t="s">
        <v>149</v>
      </c>
      <c r="D65" s="16" t="s">
        <v>118</v>
      </c>
      <c r="E65" s="22">
        <v>1450</v>
      </c>
      <c r="F65" s="16">
        <v>0.254</v>
      </c>
      <c r="G65" s="16"/>
      <c r="H65" s="16">
        <f t="shared" si="30"/>
        <v>0.26500000000000001</v>
      </c>
      <c r="I65" s="16">
        <f t="shared" si="31"/>
        <v>0.75600000000000001</v>
      </c>
      <c r="J65" s="16">
        <f t="shared" si="32"/>
        <v>0.35099999999999998</v>
      </c>
      <c r="K65" s="16"/>
      <c r="L65" s="16">
        <f t="shared" si="33"/>
        <v>0.29799999999999999</v>
      </c>
      <c r="M65" s="16">
        <v>1.7999999999999999E-2</v>
      </c>
      <c r="N65" s="23">
        <v>2.0000000000000001E-4</v>
      </c>
      <c r="O65" s="24">
        <v>0.55000000000000004</v>
      </c>
      <c r="P65" s="24">
        <v>0.55000000000000004</v>
      </c>
      <c r="Q65" s="24">
        <v>0.06</v>
      </c>
      <c r="R65" s="24">
        <v>0.7</v>
      </c>
      <c r="S65" s="24">
        <v>0.95</v>
      </c>
      <c r="T65" s="24">
        <v>0.95</v>
      </c>
      <c r="U65" s="24">
        <v>0</v>
      </c>
      <c r="V65" s="24">
        <v>5</v>
      </c>
      <c r="W65" s="24">
        <v>2</v>
      </c>
      <c r="X65" s="24">
        <v>15</v>
      </c>
      <c r="Y65" s="24">
        <v>15</v>
      </c>
      <c r="Z65" s="23" t="s">
        <v>117</v>
      </c>
      <c r="AA65" s="4"/>
      <c r="AB65" s="166"/>
      <c r="AC65" s="16" t="s">
        <v>149</v>
      </c>
      <c r="AD65" s="16" t="s">
        <v>118</v>
      </c>
      <c r="AE65" s="22">
        <v>1450</v>
      </c>
      <c r="AF65" s="25">
        <f>(O65+1.5*P65)*P65</f>
        <v>0.75625000000000009</v>
      </c>
      <c r="AG65" s="19">
        <f t="shared" si="14"/>
        <v>1096.5625000000002</v>
      </c>
      <c r="AH65" s="19">
        <f t="shared" ref="AH65:AH67" si="34">AH64+AG65</f>
        <v>3350.2791999999999</v>
      </c>
      <c r="AI65" s="19">
        <f t="shared" si="8"/>
        <v>43500</v>
      </c>
      <c r="AJ65" s="4"/>
      <c r="AK65" s="4"/>
      <c r="AL65" s="4"/>
      <c r="AM65" s="4"/>
      <c r="AN65" s="4"/>
      <c r="AO65" s="20"/>
    </row>
    <row r="66" spans="2:41" s="21" customFormat="1" ht="23.15" customHeight="1">
      <c r="B66" s="166"/>
      <c r="C66" s="28" t="s">
        <v>118</v>
      </c>
      <c r="D66" s="28" t="s">
        <v>150</v>
      </c>
      <c r="E66" s="29">
        <v>700</v>
      </c>
      <c r="F66" s="16">
        <v>0.254</v>
      </c>
      <c r="G66" s="135">
        <v>0.26500000000000001</v>
      </c>
      <c r="H66" s="16">
        <f t="shared" si="30"/>
        <v>0.26500000000000001</v>
      </c>
      <c r="I66" s="16">
        <f t="shared" si="31"/>
        <v>0.75600000000000001</v>
      </c>
      <c r="J66" s="16">
        <f t="shared" si="32"/>
        <v>0.35099999999999998</v>
      </c>
      <c r="K66" s="16"/>
      <c r="L66" s="16">
        <f t="shared" si="33"/>
        <v>0.29799999999999999</v>
      </c>
      <c r="M66" s="16">
        <v>1.7999999999999999E-2</v>
      </c>
      <c r="N66" s="23">
        <v>2.0000000000000001E-4</v>
      </c>
      <c r="O66" s="24">
        <v>0.55000000000000004</v>
      </c>
      <c r="P66" s="24">
        <v>0.55000000000000004</v>
      </c>
      <c r="Q66" s="24">
        <v>0.06</v>
      </c>
      <c r="R66" s="24">
        <v>0.7</v>
      </c>
      <c r="S66" s="24">
        <v>0.95</v>
      </c>
      <c r="T66" s="24">
        <v>0.95</v>
      </c>
      <c r="U66" s="24">
        <v>0</v>
      </c>
      <c r="V66" s="24">
        <v>5</v>
      </c>
      <c r="W66" s="24">
        <v>2</v>
      </c>
      <c r="X66" s="24">
        <v>15</v>
      </c>
      <c r="Y66" s="24">
        <v>15</v>
      </c>
      <c r="Z66" s="23" t="s">
        <v>117</v>
      </c>
      <c r="AA66" s="4"/>
      <c r="AB66" s="166"/>
      <c r="AC66" s="28" t="s">
        <v>118</v>
      </c>
      <c r="AD66" s="28" t="s">
        <v>150</v>
      </c>
      <c r="AE66" s="29">
        <v>700</v>
      </c>
      <c r="AF66" s="25">
        <f t="shared" ref="AF66:AF67" si="35">(O66+1.5*P66)*P66</f>
        <v>0.75625000000000009</v>
      </c>
      <c r="AG66" s="19">
        <f t="shared" si="14"/>
        <v>529.37500000000011</v>
      </c>
      <c r="AH66" s="19">
        <f t="shared" si="34"/>
        <v>3879.6541999999999</v>
      </c>
      <c r="AI66" s="19">
        <f t="shared" si="8"/>
        <v>21000</v>
      </c>
      <c r="AJ66" s="4"/>
      <c r="AK66" s="4"/>
      <c r="AL66" s="4"/>
      <c r="AM66" s="4"/>
      <c r="AN66" s="4"/>
      <c r="AO66" s="20"/>
    </row>
    <row r="67" spans="2:41" s="21" customFormat="1" ht="23.15" customHeight="1">
      <c r="B67" s="167"/>
      <c r="C67" s="31" t="s">
        <v>150</v>
      </c>
      <c r="D67" s="31" t="s">
        <v>70</v>
      </c>
      <c r="E67" s="32">
        <v>350</v>
      </c>
      <c r="F67" s="31" t="s">
        <v>115</v>
      </c>
      <c r="G67" s="137">
        <v>0.159</v>
      </c>
      <c r="H67" s="31">
        <f t="shared" si="30"/>
        <v>0.151</v>
      </c>
      <c r="I67" s="31">
        <f t="shared" si="31"/>
        <v>0.625</v>
      </c>
      <c r="J67" s="31">
        <f t="shared" si="32"/>
        <v>0.24199999999999999</v>
      </c>
      <c r="K67" s="31"/>
      <c r="L67" s="31">
        <f t="shared" si="33"/>
        <v>0.27100000000000002</v>
      </c>
      <c r="M67" s="31">
        <v>0.03</v>
      </c>
      <c r="N67" s="33">
        <v>2.9999999999999997E-4</v>
      </c>
      <c r="O67" s="34">
        <v>0.5</v>
      </c>
      <c r="P67" s="34">
        <v>0.5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15</v>
      </c>
      <c r="Y67" s="34">
        <v>15</v>
      </c>
      <c r="Z67" s="33" t="s">
        <v>136</v>
      </c>
      <c r="AA67" s="4"/>
      <c r="AB67" s="167"/>
      <c r="AC67" s="31" t="s">
        <v>150</v>
      </c>
      <c r="AD67" s="31" t="s">
        <v>70</v>
      </c>
      <c r="AE67" s="32">
        <v>350</v>
      </c>
      <c r="AF67" s="25">
        <f t="shared" si="35"/>
        <v>0.625</v>
      </c>
      <c r="AG67" s="19">
        <f t="shared" si="14"/>
        <v>218.75</v>
      </c>
      <c r="AH67" s="19">
        <f t="shared" si="34"/>
        <v>4098.4041999999999</v>
      </c>
      <c r="AI67" s="19">
        <f t="shared" si="8"/>
        <v>10500</v>
      </c>
      <c r="AJ67" s="4"/>
      <c r="AK67" s="4"/>
      <c r="AL67" s="4"/>
      <c r="AM67" s="4"/>
      <c r="AN67" s="4"/>
      <c r="AO67" s="20"/>
    </row>
    <row r="68" spans="2:41" s="21" customFormat="1" ht="23.15" customHeight="1">
      <c r="B68" s="35"/>
      <c r="C68" s="36"/>
      <c r="D68" s="36"/>
      <c r="E68" s="3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8"/>
      <c r="AA68" s="4"/>
      <c r="AB68" s="162" t="s">
        <v>137</v>
      </c>
      <c r="AC68" s="163"/>
      <c r="AD68" s="164"/>
      <c r="AE68" s="39">
        <f>SUM(AE64:AE67)</f>
        <v>4550</v>
      </c>
      <c r="AF68" s="36"/>
      <c r="AG68" s="40">
        <f>SUM(AG64:AG67)</f>
        <v>4098.4041999999999</v>
      </c>
      <c r="AH68" s="38"/>
      <c r="AI68" s="40">
        <f>SUM(AI64:AI67)</f>
        <v>136500</v>
      </c>
      <c r="AJ68" s="4"/>
      <c r="AK68" s="4"/>
      <c r="AL68" s="4"/>
      <c r="AM68" s="4"/>
      <c r="AN68" s="4"/>
      <c r="AO68" s="20"/>
    </row>
    <row r="69" spans="2:41" s="21" customFormat="1" ht="23.15" customHeight="1">
      <c r="B69" s="165" t="s">
        <v>28</v>
      </c>
      <c r="C69" s="12" t="s">
        <v>40</v>
      </c>
      <c r="D69" s="12" t="s">
        <v>71</v>
      </c>
      <c r="E69" s="13">
        <v>540</v>
      </c>
      <c r="F69" s="12">
        <v>1.2889999999999999</v>
      </c>
      <c r="G69" s="133">
        <v>1.2969999999999999</v>
      </c>
      <c r="H69" s="12">
        <f t="shared" ref="H69:H74" si="36">ROUND(I69*J69,3)</f>
        <v>1.2969999999999999</v>
      </c>
      <c r="I69" s="12">
        <f t="shared" ref="I69:I74" si="37">ROUND((O69+(1.5*P69))*P69,3)</f>
        <v>2.4940000000000002</v>
      </c>
      <c r="J69" s="12">
        <f t="shared" ref="J69:J74" si="38">ROUND((1/M69)*(L69^(2/3))*SQRT(N69),3)</f>
        <v>0.52</v>
      </c>
      <c r="K69" s="12"/>
      <c r="L69" s="12">
        <f t="shared" ref="L69:L74" si="39">ROUND(I69/(O69+(2*P69*SQRT(1+(1.5^2)))),3)</f>
        <v>0.53900000000000003</v>
      </c>
      <c r="M69" s="12">
        <v>1.7999999999999999E-2</v>
      </c>
      <c r="N69" s="15">
        <v>2.0000000000000001E-4</v>
      </c>
      <c r="O69" s="41">
        <v>1.2</v>
      </c>
      <c r="P69" s="41">
        <v>0.95</v>
      </c>
      <c r="Q69" s="41">
        <v>0.06</v>
      </c>
      <c r="R69" s="41">
        <v>1.1499999999999999</v>
      </c>
      <c r="S69" s="41">
        <v>1.45</v>
      </c>
      <c r="T69" s="41">
        <v>1.45</v>
      </c>
      <c r="U69" s="41">
        <v>1</v>
      </c>
      <c r="V69" s="41">
        <v>5</v>
      </c>
      <c r="W69" s="41">
        <v>5</v>
      </c>
      <c r="X69" s="41">
        <v>15</v>
      </c>
      <c r="Y69" s="41">
        <v>15</v>
      </c>
      <c r="Z69" s="23" t="s">
        <v>117</v>
      </c>
      <c r="AA69" s="4"/>
      <c r="AB69" s="165" t="s">
        <v>28</v>
      </c>
      <c r="AC69" s="12" t="s">
        <v>40</v>
      </c>
      <c r="AD69" s="12" t="s">
        <v>71</v>
      </c>
      <c r="AE69" s="13">
        <v>540</v>
      </c>
      <c r="AF69" s="42">
        <f>(O69+1.5*P69)*P69</f>
        <v>2.4937499999999999</v>
      </c>
      <c r="AG69" s="43">
        <f t="shared" si="14"/>
        <v>1346.625</v>
      </c>
      <c r="AH69" s="43">
        <f>AG69</f>
        <v>1346.625</v>
      </c>
      <c r="AI69" s="43">
        <f t="shared" si="8"/>
        <v>16200</v>
      </c>
      <c r="AJ69" s="4"/>
      <c r="AK69" s="4"/>
      <c r="AL69" s="4"/>
      <c r="AM69" s="4"/>
      <c r="AN69" s="4"/>
      <c r="AO69" s="20"/>
    </row>
    <row r="70" spans="2:41" s="21" customFormat="1" ht="23.15" customHeight="1">
      <c r="B70" s="166"/>
      <c r="C70" s="16" t="s">
        <v>71</v>
      </c>
      <c r="D70" s="16" t="s">
        <v>146</v>
      </c>
      <c r="E70" s="22">
        <v>660</v>
      </c>
      <c r="F70" s="16">
        <v>0.436</v>
      </c>
      <c r="G70" s="135">
        <v>0.504</v>
      </c>
      <c r="H70" s="16">
        <f t="shared" si="36"/>
        <v>0.505</v>
      </c>
      <c r="I70" s="16">
        <f t="shared" si="37"/>
        <v>1.2250000000000001</v>
      </c>
      <c r="J70" s="16">
        <f t="shared" si="38"/>
        <v>0.41199999999999998</v>
      </c>
      <c r="K70" s="16"/>
      <c r="L70" s="16">
        <f t="shared" si="39"/>
        <v>0.38</v>
      </c>
      <c r="M70" s="16">
        <v>1.7999999999999999E-2</v>
      </c>
      <c r="N70" s="23">
        <v>2.0000000000000001E-4</v>
      </c>
      <c r="O70" s="24">
        <v>0.7</v>
      </c>
      <c r="P70" s="24">
        <v>0.7</v>
      </c>
      <c r="Q70" s="24">
        <v>0.06</v>
      </c>
      <c r="R70" s="24">
        <v>0.85</v>
      </c>
      <c r="S70" s="24">
        <v>1.1499999999999999</v>
      </c>
      <c r="T70" s="24">
        <v>1.1499999999999999</v>
      </c>
      <c r="U70" s="24">
        <v>1</v>
      </c>
      <c r="V70" s="24">
        <v>5</v>
      </c>
      <c r="W70" s="24">
        <v>5</v>
      </c>
      <c r="X70" s="24">
        <v>15</v>
      </c>
      <c r="Y70" s="24">
        <v>15</v>
      </c>
      <c r="Z70" s="23" t="s">
        <v>117</v>
      </c>
      <c r="AA70" s="4"/>
      <c r="AB70" s="166"/>
      <c r="AC70" s="16" t="s">
        <v>71</v>
      </c>
      <c r="AD70" s="16" t="s">
        <v>146</v>
      </c>
      <c r="AE70" s="22">
        <v>660</v>
      </c>
      <c r="AF70" s="25">
        <f>(O70+1.5*P70)*P70</f>
        <v>1.2249999999999999</v>
      </c>
      <c r="AG70" s="19">
        <f t="shared" si="14"/>
        <v>808.49999999999989</v>
      </c>
      <c r="AH70" s="19">
        <f t="shared" ref="AH70:AH74" si="40">AH69+AG70</f>
        <v>2155.125</v>
      </c>
      <c r="AI70" s="19">
        <f t="shared" si="8"/>
        <v>19800</v>
      </c>
      <c r="AJ70" s="4"/>
      <c r="AK70" s="4"/>
      <c r="AL70" s="4"/>
      <c r="AM70" s="4"/>
      <c r="AN70" s="4"/>
      <c r="AO70" s="20"/>
    </row>
    <row r="71" spans="2:41" s="21" customFormat="1" ht="23.15" customHeight="1">
      <c r="B71" s="166"/>
      <c r="C71" s="16" t="s">
        <v>146</v>
      </c>
      <c r="D71" s="16" t="s">
        <v>151</v>
      </c>
      <c r="E71" s="22">
        <v>1820</v>
      </c>
      <c r="F71" s="16">
        <v>0.35599999999999998</v>
      </c>
      <c r="G71" s="135">
        <v>0.41399999999999998</v>
      </c>
      <c r="H71" s="16">
        <f t="shared" si="36"/>
        <v>0.41399999999999998</v>
      </c>
      <c r="I71" s="16">
        <f t="shared" si="37"/>
        <v>1.056</v>
      </c>
      <c r="J71" s="16">
        <f t="shared" si="38"/>
        <v>0.39200000000000002</v>
      </c>
      <c r="K71" s="16"/>
      <c r="L71" s="16">
        <f t="shared" si="39"/>
        <v>0.35299999999999998</v>
      </c>
      <c r="M71" s="16">
        <v>1.7999999999999999E-2</v>
      </c>
      <c r="N71" s="23">
        <v>2.0000000000000001E-4</v>
      </c>
      <c r="O71" s="24">
        <v>0.65</v>
      </c>
      <c r="P71" s="24">
        <v>0.65</v>
      </c>
      <c r="Q71" s="24">
        <v>0.06</v>
      </c>
      <c r="R71" s="24">
        <v>0.8</v>
      </c>
      <c r="S71" s="24">
        <v>1.05</v>
      </c>
      <c r="T71" s="24">
        <v>1.05</v>
      </c>
      <c r="U71" s="24">
        <v>0</v>
      </c>
      <c r="V71" s="24">
        <v>5</v>
      </c>
      <c r="W71" s="24">
        <v>5</v>
      </c>
      <c r="X71" s="24">
        <v>15</v>
      </c>
      <c r="Y71" s="24">
        <v>15</v>
      </c>
      <c r="Z71" s="23" t="s">
        <v>117</v>
      </c>
      <c r="AA71" s="4"/>
      <c r="AB71" s="166"/>
      <c r="AC71" s="16" t="s">
        <v>146</v>
      </c>
      <c r="AD71" s="16" t="s">
        <v>151</v>
      </c>
      <c r="AE71" s="22">
        <v>1820</v>
      </c>
      <c r="AF71" s="25">
        <f t="shared" ref="AF71:AF74" si="41">(O71+1.5*P71)*P71</f>
        <v>1.0562500000000001</v>
      </c>
      <c r="AG71" s="19">
        <f t="shared" si="14"/>
        <v>1922.3750000000002</v>
      </c>
      <c r="AH71" s="19">
        <f t="shared" si="40"/>
        <v>4077.5</v>
      </c>
      <c r="AI71" s="19">
        <f t="shared" si="8"/>
        <v>54600</v>
      </c>
      <c r="AJ71" s="4"/>
      <c r="AK71" s="4"/>
      <c r="AL71" s="4"/>
      <c r="AM71" s="4"/>
      <c r="AN71" s="4"/>
      <c r="AO71" s="20"/>
    </row>
    <row r="72" spans="2:41" s="21" customFormat="1" ht="23.15" customHeight="1">
      <c r="B72" s="166"/>
      <c r="C72" s="16" t="s">
        <v>151</v>
      </c>
      <c r="D72" s="16" t="s">
        <v>118</v>
      </c>
      <c r="E72" s="22">
        <v>480</v>
      </c>
      <c r="F72" s="16">
        <v>0.11</v>
      </c>
      <c r="G72" s="16"/>
      <c r="H72" s="16">
        <f t="shared" si="36"/>
        <v>0.20599999999999999</v>
      </c>
      <c r="I72" s="16">
        <f t="shared" si="37"/>
        <v>0.625</v>
      </c>
      <c r="J72" s="16">
        <f t="shared" si="38"/>
        <v>0.32900000000000001</v>
      </c>
      <c r="K72" s="16"/>
      <c r="L72" s="16">
        <f t="shared" si="39"/>
        <v>0.27100000000000002</v>
      </c>
      <c r="M72" s="16">
        <v>1.7999999999999999E-2</v>
      </c>
      <c r="N72" s="23">
        <v>2.0000000000000001E-4</v>
      </c>
      <c r="O72" s="24">
        <v>0.5</v>
      </c>
      <c r="P72" s="24">
        <v>0.5</v>
      </c>
      <c r="Q72" s="24">
        <v>0.06</v>
      </c>
      <c r="R72" s="24">
        <v>0.65</v>
      </c>
      <c r="S72" s="24">
        <v>0.9</v>
      </c>
      <c r="T72" s="24">
        <v>0.9</v>
      </c>
      <c r="U72" s="24">
        <v>0</v>
      </c>
      <c r="V72" s="24">
        <v>2</v>
      </c>
      <c r="W72" s="24">
        <v>5</v>
      </c>
      <c r="X72" s="24">
        <v>15</v>
      </c>
      <c r="Y72" s="24">
        <v>15</v>
      </c>
      <c r="Z72" s="23" t="s">
        <v>117</v>
      </c>
      <c r="AA72" s="4"/>
      <c r="AB72" s="166"/>
      <c r="AC72" s="16" t="s">
        <v>151</v>
      </c>
      <c r="AD72" s="16" t="s">
        <v>118</v>
      </c>
      <c r="AE72" s="22">
        <v>480</v>
      </c>
      <c r="AF72" s="25">
        <f t="shared" si="41"/>
        <v>0.625</v>
      </c>
      <c r="AG72" s="19">
        <f t="shared" si="14"/>
        <v>300</v>
      </c>
      <c r="AH72" s="19">
        <f t="shared" si="40"/>
        <v>4377.5</v>
      </c>
      <c r="AI72" s="19">
        <f t="shared" si="8"/>
        <v>14400</v>
      </c>
      <c r="AJ72" s="4"/>
      <c r="AK72" s="4"/>
      <c r="AL72" s="4"/>
      <c r="AM72" s="4"/>
      <c r="AN72" s="4"/>
      <c r="AO72" s="20"/>
    </row>
    <row r="73" spans="2:41" s="21" customFormat="1" ht="23.15" customHeight="1">
      <c r="B73" s="166"/>
      <c r="C73" s="16" t="s">
        <v>118</v>
      </c>
      <c r="D73" s="28" t="s">
        <v>152</v>
      </c>
      <c r="E73" s="29">
        <v>150</v>
      </c>
      <c r="F73" s="16">
        <v>0.11</v>
      </c>
      <c r="G73" s="135">
        <v>0.20499999999999999</v>
      </c>
      <c r="H73" s="16">
        <f t="shared" si="36"/>
        <v>0.20599999999999999</v>
      </c>
      <c r="I73" s="16">
        <f t="shared" si="37"/>
        <v>0.625</v>
      </c>
      <c r="J73" s="16">
        <f t="shared" si="38"/>
        <v>0.32900000000000001</v>
      </c>
      <c r="K73" s="16"/>
      <c r="L73" s="16">
        <f t="shared" si="39"/>
        <v>0.27100000000000002</v>
      </c>
      <c r="M73" s="16">
        <v>1.7999999999999999E-2</v>
      </c>
      <c r="N73" s="23">
        <v>2.0000000000000001E-4</v>
      </c>
      <c r="O73" s="24">
        <v>0.5</v>
      </c>
      <c r="P73" s="24">
        <v>0.5</v>
      </c>
      <c r="Q73" s="24">
        <v>0.06</v>
      </c>
      <c r="R73" s="24">
        <v>0.65</v>
      </c>
      <c r="S73" s="24">
        <v>0.9</v>
      </c>
      <c r="T73" s="24">
        <v>0.9</v>
      </c>
      <c r="U73" s="24">
        <v>0</v>
      </c>
      <c r="V73" s="24">
        <v>2</v>
      </c>
      <c r="W73" s="24">
        <v>5</v>
      </c>
      <c r="X73" s="24">
        <v>15</v>
      </c>
      <c r="Y73" s="24">
        <v>15</v>
      </c>
      <c r="Z73" s="23" t="s">
        <v>117</v>
      </c>
      <c r="AA73" s="4"/>
      <c r="AB73" s="166"/>
      <c r="AC73" s="16" t="s">
        <v>118</v>
      </c>
      <c r="AD73" s="28" t="s">
        <v>152</v>
      </c>
      <c r="AE73" s="29">
        <v>150</v>
      </c>
      <c r="AF73" s="25">
        <f t="shared" si="41"/>
        <v>0.625</v>
      </c>
      <c r="AG73" s="19">
        <f t="shared" si="14"/>
        <v>93.75</v>
      </c>
      <c r="AH73" s="19">
        <f t="shared" si="40"/>
        <v>4471.25</v>
      </c>
      <c r="AI73" s="19">
        <f t="shared" si="8"/>
        <v>4500</v>
      </c>
      <c r="AJ73" s="4"/>
      <c r="AK73" s="4"/>
      <c r="AL73" s="4"/>
      <c r="AM73" s="4"/>
      <c r="AN73" s="4"/>
      <c r="AO73" s="20"/>
    </row>
    <row r="74" spans="2:41" s="21" customFormat="1" ht="23.15" customHeight="1">
      <c r="B74" s="167"/>
      <c r="C74" s="16" t="s">
        <v>152</v>
      </c>
      <c r="D74" s="31" t="s">
        <v>153</v>
      </c>
      <c r="E74" s="32">
        <v>200</v>
      </c>
      <c r="F74" s="31" t="s">
        <v>115</v>
      </c>
      <c r="G74" s="137">
        <v>0.159</v>
      </c>
      <c r="H74" s="31">
        <f t="shared" si="36"/>
        <v>0.151</v>
      </c>
      <c r="I74" s="31">
        <f t="shared" si="37"/>
        <v>0.625</v>
      </c>
      <c r="J74" s="31">
        <f t="shared" si="38"/>
        <v>0.24199999999999999</v>
      </c>
      <c r="K74" s="31"/>
      <c r="L74" s="31">
        <f t="shared" si="39"/>
        <v>0.27100000000000002</v>
      </c>
      <c r="M74" s="31">
        <v>0.03</v>
      </c>
      <c r="N74" s="33">
        <v>2.9999999999999997E-4</v>
      </c>
      <c r="O74" s="34">
        <v>0.5</v>
      </c>
      <c r="P74" s="34">
        <v>0.5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15</v>
      </c>
      <c r="Y74" s="34">
        <v>15</v>
      </c>
      <c r="Z74" s="33" t="s">
        <v>136</v>
      </c>
      <c r="AA74" s="4"/>
      <c r="AB74" s="167"/>
      <c r="AC74" s="16" t="s">
        <v>152</v>
      </c>
      <c r="AD74" s="31" t="s">
        <v>153</v>
      </c>
      <c r="AE74" s="32">
        <v>200</v>
      </c>
      <c r="AF74" s="25">
        <f t="shared" si="41"/>
        <v>0.625</v>
      </c>
      <c r="AG74" s="19">
        <f t="shared" si="14"/>
        <v>125</v>
      </c>
      <c r="AH74" s="19">
        <f t="shared" si="40"/>
        <v>4596.25</v>
      </c>
      <c r="AI74" s="19">
        <f t="shared" si="8"/>
        <v>6000</v>
      </c>
      <c r="AJ74" s="4"/>
      <c r="AK74" s="4"/>
      <c r="AL74" s="4"/>
      <c r="AM74" s="4"/>
      <c r="AN74" s="4"/>
      <c r="AO74" s="20"/>
    </row>
    <row r="75" spans="2:41" s="21" customFormat="1" ht="23.15" customHeight="1">
      <c r="B75" s="35"/>
      <c r="C75" s="36"/>
      <c r="D75" s="36"/>
      <c r="E75" s="3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8"/>
      <c r="AA75" s="4"/>
      <c r="AB75" s="162" t="s">
        <v>137</v>
      </c>
      <c r="AC75" s="163"/>
      <c r="AD75" s="164"/>
      <c r="AE75" s="39">
        <f>SUM(AE69:AE74)</f>
        <v>3850</v>
      </c>
      <c r="AF75" s="36"/>
      <c r="AG75" s="40">
        <f>SUM(AG69:AG74)</f>
        <v>4596.25</v>
      </c>
      <c r="AH75" s="38"/>
      <c r="AI75" s="40">
        <f>SUM(AI69:AI74)</f>
        <v>115500</v>
      </c>
      <c r="AJ75" s="4"/>
      <c r="AK75" s="4"/>
      <c r="AL75" s="4"/>
      <c r="AM75" s="4"/>
      <c r="AN75" s="4"/>
      <c r="AO75" s="20"/>
    </row>
    <row r="76" spans="2:41" s="21" customFormat="1" ht="23.15" customHeight="1">
      <c r="B76" s="165" t="s">
        <v>30</v>
      </c>
      <c r="C76" s="12" t="s">
        <v>40</v>
      </c>
      <c r="D76" s="12" t="s">
        <v>39</v>
      </c>
      <c r="E76" s="13">
        <v>1000</v>
      </c>
      <c r="F76" s="12">
        <v>0.89800000000000002</v>
      </c>
      <c r="G76" s="133">
        <v>0.92500000000000004</v>
      </c>
      <c r="H76" s="12">
        <f t="shared" ref="H76:H83" si="42">ROUND(I76*J76,3)</f>
        <v>0.92600000000000005</v>
      </c>
      <c r="I76" s="12">
        <f t="shared" ref="I76:I83" si="43">ROUND((O76+(1.5*P76))*P76,3)</f>
        <v>1.9339999999999999</v>
      </c>
      <c r="J76" s="12">
        <f t="shared" ref="J76:J83" si="44">ROUND((1/M76)*(L76^(2/3))*SQRT(N76),3)</f>
        <v>0.47899999999999998</v>
      </c>
      <c r="K76" s="12"/>
      <c r="L76" s="12">
        <f t="shared" ref="L76:L83" si="45">ROUND(I76/(O76+(2*P76*SQRT(1+(1.5^2)))),3)</f>
        <v>0.47599999999999998</v>
      </c>
      <c r="M76" s="12">
        <v>1.7999999999999999E-2</v>
      </c>
      <c r="N76" s="15">
        <v>2.0000000000000001E-4</v>
      </c>
      <c r="O76" s="41">
        <v>1</v>
      </c>
      <c r="P76" s="41">
        <v>0.85</v>
      </c>
      <c r="Q76" s="41">
        <v>0.06</v>
      </c>
      <c r="R76" s="41">
        <v>1</v>
      </c>
      <c r="S76" s="41">
        <v>1.3</v>
      </c>
      <c r="T76" s="41">
        <v>1.3</v>
      </c>
      <c r="U76" s="41">
        <v>1</v>
      </c>
      <c r="V76" s="41">
        <v>5</v>
      </c>
      <c r="W76" s="41">
        <v>2</v>
      </c>
      <c r="X76" s="41">
        <v>15</v>
      </c>
      <c r="Y76" s="41">
        <v>15</v>
      </c>
      <c r="Z76" s="23" t="s">
        <v>117</v>
      </c>
      <c r="AA76" s="4"/>
      <c r="AB76" s="165" t="s">
        <v>30</v>
      </c>
      <c r="AC76" s="12" t="s">
        <v>40</v>
      </c>
      <c r="AD76" s="12" t="s">
        <v>39</v>
      </c>
      <c r="AE76" s="13">
        <v>1000</v>
      </c>
      <c r="AF76" s="42">
        <f t="shared" ref="AF76:AF83" si="46">(O76+1.5*P76)*P76</f>
        <v>1.9337499999999999</v>
      </c>
      <c r="AG76" s="43">
        <f t="shared" si="14"/>
        <v>1933.7499999999998</v>
      </c>
      <c r="AH76" s="43">
        <f>AG76</f>
        <v>1933.7499999999998</v>
      </c>
      <c r="AI76" s="43">
        <f t="shared" si="8"/>
        <v>30000</v>
      </c>
      <c r="AJ76" s="4"/>
      <c r="AK76" s="4"/>
      <c r="AL76" s="4"/>
      <c r="AM76" s="4"/>
      <c r="AN76" s="4"/>
      <c r="AO76" s="20"/>
    </row>
    <row r="77" spans="2:41" s="21" customFormat="1" ht="23.15" customHeight="1">
      <c r="B77" s="166"/>
      <c r="C77" s="16" t="s">
        <v>39</v>
      </c>
      <c r="D77" s="16" t="s">
        <v>73</v>
      </c>
      <c r="E77" s="22">
        <v>2200</v>
      </c>
      <c r="F77" s="16">
        <v>0.75700000000000001</v>
      </c>
      <c r="G77" s="135">
        <v>0.76800000000000002</v>
      </c>
      <c r="H77" s="16">
        <f t="shared" si="42"/>
        <v>0.76800000000000002</v>
      </c>
      <c r="I77" s="16">
        <f t="shared" si="43"/>
        <v>1.68</v>
      </c>
      <c r="J77" s="16">
        <f t="shared" si="44"/>
        <v>0.45700000000000002</v>
      </c>
      <c r="K77" s="16"/>
      <c r="L77" s="16">
        <f t="shared" si="45"/>
        <v>0.44400000000000001</v>
      </c>
      <c r="M77" s="16">
        <v>1.7999999999999999E-2</v>
      </c>
      <c r="N77" s="23">
        <v>2.0000000000000001E-4</v>
      </c>
      <c r="O77" s="24">
        <v>0.9</v>
      </c>
      <c r="P77" s="24">
        <v>0.8</v>
      </c>
      <c r="Q77" s="24">
        <v>0.06</v>
      </c>
      <c r="R77" s="24">
        <v>0.95</v>
      </c>
      <c r="S77" s="24">
        <v>1.25</v>
      </c>
      <c r="T77" s="24">
        <v>1.25</v>
      </c>
      <c r="U77" s="24">
        <v>1</v>
      </c>
      <c r="V77" s="24">
        <v>5</v>
      </c>
      <c r="W77" s="24">
        <v>2</v>
      </c>
      <c r="X77" s="24">
        <v>15</v>
      </c>
      <c r="Y77" s="24">
        <v>15</v>
      </c>
      <c r="Z77" s="23" t="s">
        <v>117</v>
      </c>
      <c r="AA77" s="4"/>
      <c r="AB77" s="166"/>
      <c r="AC77" s="16" t="s">
        <v>39</v>
      </c>
      <c r="AD77" s="16" t="s">
        <v>73</v>
      </c>
      <c r="AE77" s="22">
        <v>2200</v>
      </c>
      <c r="AF77" s="25">
        <f t="shared" si="46"/>
        <v>1.6800000000000002</v>
      </c>
      <c r="AG77" s="19">
        <f t="shared" si="14"/>
        <v>3696.0000000000005</v>
      </c>
      <c r="AH77" s="19">
        <f t="shared" ref="AH77:AH83" si="47">AH76+AG77</f>
        <v>5629.75</v>
      </c>
      <c r="AI77" s="19">
        <f t="shared" si="8"/>
        <v>66000</v>
      </c>
      <c r="AJ77" s="4"/>
      <c r="AK77" s="4"/>
      <c r="AL77" s="4"/>
      <c r="AM77" s="4"/>
      <c r="AN77" s="4"/>
      <c r="AO77" s="20"/>
    </row>
    <row r="78" spans="2:41" s="21" customFormat="1" ht="23.15" customHeight="1">
      <c r="B78" s="166"/>
      <c r="C78" s="16" t="s">
        <v>73</v>
      </c>
      <c r="D78" s="16" t="s">
        <v>118</v>
      </c>
      <c r="E78" s="22">
        <v>300</v>
      </c>
      <c r="F78" s="16">
        <v>0.51100000000000001</v>
      </c>
      <c r="G78" s="16"/>
      <c r="H78" s="16">
        <f t="shared" si="42"/>
        <v>0.54300000000000004</v>
      </c>
      <c r="I78" s="16">
        <f t="shared" si="43"/>
        <v>1.2949999999999999</v>
      </c>
      <c r="J78" s="16">
        <f t="shared" si="44"/>
        <v>0.41899999999999998</v>
      </c>
      <c r="K78" s="16"/>
      <c r="L78" s="16">
        <f t="shared" si="45"/>
        <v>0.39</v>
      </c>
      <c r="M78" s="16">
        <v>1.7999999999999999E-2</v>
      </c>
      <c r="N78" s="23">
        <v>2.0000000000000001E-4</v>
      </c>
      <c r="O78" s="24">
        <v>0.8</v>
      </c>
      <c r="P78" s="24">
        <v>0.7</v>
      </c>
      <c r="Q78" s="24">
        <v>0.06</v>
      </c>
      <c r="R78" s="24">
        <v>0.85</v>
      </c>
      <c r="S78" s="24">
        <v>1.1499999999999999</v>
      </c>
      <c r="T78" s="24">
        <v>1.1499999999999999</v>
      </c>
      <c r="U78" s="24">
        <v>1</v>
      </c>
      <c r="V78" s="24">
        <v>5</v>
      </c>
      <c r="W78" s="24">
        <v>2</v>
      </c>
      <c r="X78" s="24">
        <v>15</v>
      </c>
      <c r="Y78" s="24">
        <v>15</v>
      </c>
      <c r="Z78" s="23" t="s">
        <v>117</v>
      </c>
      <c r="AA78" s="4"/>
      <c r="AB78" s="166"/>
      <c r="AC78" s="16" t="s">
        <v>73</v>
      </c>
      <c r="AD78" s="16" t="s">
        <v>118</v>
      </c>
      <c r="AE78" s="22">
        <v>300</v>
      </c>
      <c r="AF78" s="25">
        <f t="shared" si="46"/>
        <v>1.2949999999999999</v>
      </c>
      <c r="AG78" s="19">
        <f t="shared" si="14"/>
        <v>388.5</v>
      </c>
      <c r="AH78" s="19">
        <f t="shared" si="47"/>
        <v>6018.25</v>
      </c>
      <c r="AI78" s="19">
        <f t="shared" si="8"/>
        <v>9000</v>
      </c>
      <c r="AJ78" s="4"/>
      <c r="AK78" s="4"/>
      <c r="AL78" s="4"/>
      <c r="AM78" s="4"/>
      <c r="AN78" s="4"/>
      <c r="AO78" s="20"/>
    </row>
    <row r="79" spans="2:41" s="21" customFormat="1" ht="23.15" customHeight="1">
      <c r="B79" s="166"/>
      <c r="C79" s="16" t="s">
        <v>118</v>
      </c>
      <c r="D79" s="16" t="s">
        <v>64</v>
      </c>
      <c r="E79" s="22">
        <v>1500</v>
      </c>
      <c r="F79" s="16">
        <v>0.51100000000000001</v>
      </c>
      <c r="G79" s="135">
        <v>0.54200000000000004</v>
      </c>
      <c r="H79" s="16">
        <f t="shared" si="42"/>
        <v>0.54300000000000004</v>
      </c>
      <c r="I79" s="16">
        <f t="shared" si="43"/>
        <v>1.2949999999999999</v>
      </c>
      <c r="J79" s="16">
        <f t="shared" si="44"/>
        <v>0.41899999999999998</v>
      </c>
      <c r="K79" s="16"/>
      <c r="L79" s="16">
        <f t="shared" si="45"/>
        <v>0.39</v>
      </c>
      <c r="M79" s="16">
        <v>1.7999999999999999E-2</v>
      </c>
      <c r="N79" s="23">
        <v>2.0000000000000001E-4</v>
      </c>
      <c r="O79" s="24">
        <v>0.8</v>
      </c>
      <c r="P79" s="24">
        <v>0.7</v>
      </c>
      <c r="Q79" s="24">
        <v>0.06</v>
      </c>
      <c r="R79" s="24">
        <v>0.85</v>
      </c>
      <c r="S79" s="24">
        <v>1.1499999999999999</v>
      </c>
      <c r="T79" s="24">
        <v>1.1499999999999999</v>
      </c>
      <c r="U79" s="24">
        <v>1</v>
      </c>
      <c r="V79" s="24">
        <v>5</v>
      </c>
      <c r="W79" s="24">
        <v>2</v>
      </c>
      <c r="X79" s="24">
        <v>15</v>
      </c>
      <c r="Y79" s="24">
        <v>15</v>
      </c>
      <c r="Z79" s="23" t="s">
        <v>117</v>
      </c>
      <c r="AA79" s="4"/>
      <c r="AB79" s="166"/>
      <c r="AC79" s="16" t="s">
        <v>118</v>
      </c>
      <c r="AD79" s="16" t="s">
        <v>64</v>
      </c>
      <c r="AE79" s="22">
        <v>1500</v>
      </c>
      <c r="AF79" s="25">
        <f t="shared" si="46"/>
        <v>1.2949999999999999</v>
      </c>
      <c r="AG79" s="19">
        <f t="shared" si="14"/>
        <v>1942.5</v>
      </c>
      <c r="AH79" s="19">
        <f t="shared" si="47"/>
        <v>7960.75</v>
      </c>
      <c r="AI79" s="19">
        <f t="shared" si="8"/>
        <v>45000</v>
      </c>
      <c r="AJ79" s="4"/>
      <c r="AK79" s="4"/>
      <c r="AL79" s="4"/>
      <c r="AM79" s="4"/>
      <c r="AN79" s="4"/>
      <c r="AO79" s="20"/>
    </row>
    <row r="80" spans="2:41" s="21" customFormat="1" ht="23.15" customHeight="1">
      <c r="B80" s="166"/>
      <c r="C80" s="16" t="s">
        <v>64</v>
      </c>
      <c r="D80" s="16" t="s">
        <v>154</v>
      </c>
      <c r="E80" s="22">
        <v>1280</v>
      </c>
      <c r="F80" s="16">
        <v>0.29799999999999999</v>
      </c>
      <c r="G80" s="135">
        <v>0.33400000000000002</v>
      </c>
      <c r="H80" s="16">
        <f t="shared" si="42"/>
        <v>0.33500000000000002</v>
      </c>
      <c r="I80" s="16">
        <f t="shared" si="43"/>
        <v>0.9</v>
      </c>
      <c r="J80" s="16">
        <f t="shared" si="44"/>
        <v>0.372</v>
      </c>
      <c r="K80" s="16"/>
      <c r="L80" s="16">
        <f t="shared" si="45"/>
        <v>0.32600000000000001</v>
      </c>
      <c r="M80" s="16">
        <v>1.7999999999999999E-2</v>
      </c>
      <c r="N80" s="23">
        <v>2.0000000000000001E-4</v>
      </c>
      <c r="O80" s="24">
        <v>0.6</v>
      </c>
      <c r="P80" s="24">
        <v>0.6</v>
      </c>
      <c r="Q80" s="24">
        <v>0.06</v>
      </c>
      <c r="R80" s="24">
        <v>0.75</v>
      </c>
      <c r="S80" s="24">
        <v>1</v>
      </c>
      <c r="T80" s="24">
        <v>1</v>
      </c>
      <c r="U80" s="24">
        <v>0</v>
      </c>
      <c r="V80" s="24">
        <v>5</v>
      </c>
      <c r="W80" s="24">
        <v>2</v>
      </c>
      <c r="X80" s="24">
        <v>15</v>
      </c>
      <c r="Y80" s="24">
        <v>15</v>
      </c>
      <c r="Z80" s="23" t="s">
        <v>117</v>
      </c>
      <c r="AA80" s="4"/>
      <c r="AB80" s="166"/>
      <c r="AC80" s="16" t="s">
        <v>64</v>
      </c>
      <c r="AD80" s="16" t="s">
        <v>154</v>
      </c>
      <c r="AE80" s="22">
        <v>1280</v>
      </c>
      <c r="AF80" s="25">
        <f t="shared" si="46"/>
        <v>0.89999999999999991</v>
      </c>
      <c r="AG80" s="19">
        <f t="shared" si="14"/>
        <v>1152</v>
      </c>
      <c r="AH80" s="19">
        <f t="shared" si="47"/>
        <v>9112.75</v>
      </c>
      <c r="AI80" s="19">
        <f t="shared" si="8"/>
        <v>38400</v>
      </c>
      <c r="AJ80" s="4"/>
      <c r="AK80" s="4"/>
      <c r="AL80" s="4"/>
      <c r="AM80" s="4"/>
      <c r="AN80" s="4"/>
      <c r="AO80" s="20"/>
    </row>
    <row r="81" spans="2:41" s="21" customFormat="1" ht="23.15" customHeight="1">
      <c r="B81" s="166"/>
      <c r="C81" s="16" t="s">
        <v>154</v>
      </c>
      <c r="D81" s="16" t="s">
        <v>65</v>
      </c>
      <c r="E81" s="22">
        <v>720</v>
      </c>
      <c r="F81" s="16">
        <v>0.188</v>
      </c>
      <c r="G81" s="16"/>
      <c r="H81" s="16">
        <f t="shared" si="42"/>
        <v>0.20599999999999999</v>
      </c>
      <c r="I81" s="16">
        <f t="shared" si="43"/>
        <v>0.625</v>
      </c>
      <c r="J81" s="16">
        <f t="shared" si="44"/>
        <v>0.32900000000000001</v>
      </c>
      <c r="K81" s="16"/>
      <c r="L81" s="16">
        <f t="shared" si="45"/>
        <v>0.27100000000000002</v>
      </c>
      <c r="M81" s="16">
        <v>1.7999999999999999E-2</v>
      </c>
      <c r="N81" s="23">
        <v>2.0000000000000001E-4</v>
      </c>
      <c r="O81" s="24">
        <v>0.5</v>
      </c>
      <c r="P81" s="24">
        <v>0.5</v>
      </c>
      <c r="Q81" s="24">
        <v>0.06</v>
      </c>
      <c r="R81" s="24">
        <v>0.65</v>
      </c>
      <c r="S81" s="24">
        <v>0.9</v>
      </c>
      <c r="T81" s="24">
        <v>0.9</v>
      </c>
      <c r="U81" s="24">
        <v>0</v>
      </c>
      <c r="V81" s="24">
        <v>5</v>
      </c>
      <c r="W81" s="24">
        <v>2</v>
      </c>
      <c r="X81" s="24">
        <v>15</v>
      </c>
      <c r="Y81" s="24">
        <v>15</v>
      </c>
      <c r="Z81" s="23" t="s">
        <v>117</v>
      </c>
      <c r="AA81" s="4"/>
      <c r="AB81" s="166"/>
      <c r="AC81" s="16" t="s">
        <v>154</v>
      </c>
      <c r="AD81" s="16" t="s">
        <v>65</v>
      </c>
      <c r="AE81" s="22">
        <v>720</v>
      </c>
      <c r="AF81" s="25">
        <f t="shared" si="46"/>
        <v>0.625</v>
      </c>
      <c r="AG81" s="19">
        <f t="shared" si="14"/>
        <v>450</v>
      </c>
      <c r="AH81" s="19">
        <f t="shared" si="47"/>
        <v>9562.75</v>
      </c>
      <c r="AI81" s="19">
        <f t="shared" ref="AI81:AI115" si="48">(X81+Y81)*AE81</f>
        <v>21600</v>
      </c>
      <c r="AJ81" s="4"/>
      <c r="AK81" s="4"/>
      <c r="AL81" s="4"/>
      <c r="AM81" s="4"/>
      <c r="AN81" s="4"/>
      <c r="AO81" s="20"/>
    </row>
    <row r="82" spans="2:41" s="21" customFormat="1" ht="23.15" customHeight="1">
      <c r="B82" s="166"/>
      <c r="C82" s="16" t="s">
        <v>65</v>
      </c>
      <c r="D82" s="28" t="s">
        <v>155</v>
      </c>
      <c r="E82" s="29">
        <v>720</v>
      </c>
      <c r="F82" s="16">
        <v>0.188</v>
      </c>
      <c r="G82" s="135">
        <v>0.20499999999999999</v>
      </c>
      <c r="H82" s="16">
        <f t="shared" si="42"/>
        <v>0.20599999999999999</v>
      </c>
      <c r="I82" s="16">
        <f t="shared" si="43"/>
        <v>0.625</v>
      </c>
      <c r="J82" s="16">
        <f t="shared" si="44"/>
        <v>0.32900000000000001</v>
      </c>
      <c r="K82" s="16"/>
      <c r="L82" s="16">
        <f t="shared" si="45"/>
        <v>0.27100000000000002</v>
      </c>
      <c r="M82" s="16">
        <v>1.7999999999999999E-2</v>
      </c>
      <c r="N82" s="23">
        <v>2.0000000000000001E-4</v>
      </c>
      <c r="O82" s="24">
        <v>0.5</v>
      </c>
      <c r="P82" s="24">
        <v>0.5</v>
      </c>
      <c r="Q82" s="24">
        <v>0.06</v>
      </c>
      <c r="R82" s="24">
        <v>0.65</v>
      </c>
      <c r="S82" s="24">
        <v>0.9</v>
      </c>
      <c r="T82" s="24">
        <v>0.9</v>
      </c>
      <c r="U82" s="24">
        <v>0</v>
      </c>
      <c r="V82" s="24">
        <v>5</v>
      </c>
      <c r="W82" s="24">
        <v>2</v>
      </c>
      <c r="X82" s="24">
        <v>15</v>
      </c>
      <c r="Y82" s="24">
        <v>15</v>
      </c>
      <c r="Z82" s="23" t="s">
        <v>117</v>
      </c>
      <c r="AA82" s="4"/>
      <c r="AB82" s="166"/>
      <c r="AC82" s="16" t="s">
        <v>65</v>
      </c>
      <c r="AD82" s="28" t="s">
        <v>155</v>
      </c>
      <c r="AE82" s="29">
        <v>720</v>
      </c>
      <c r="AF82" s="25">
        <f t="shared" si="46"/>
        <v>0.625</v>
      </c>
      <c r="AG82" s="19">
        <f t="shared" si="14"/>
        <v>450</v>
      </c>
      <c r="AH82" s="19">
        <f t="shared" si="47"/>
        <v>10012.75</v>
      </c>
      <c r="AI82" s="19">
        <f t="shared" si="48"/>
        <v>21600</v>
      </c>
      <c r="AJ82" s="4"/>
      <c r="AK82" s="4"/>
      <c r="AL82" s="4"/>
      <c r="AM82" s="4"/>
      <c r="AN82" s="4"/>
      <c r="AO82" s="20"/>
    </row>
    <row r="83" spans="2:41" s="21" customFormat="1" ht="23.15" customHeight="1">
      <c r="B83" s="167"/>
      <c r="C83" s="16" t="s">
        <v>155</v>
      </c>
      <c r="D83" s="31" t="s">
        <v>74</v>
      </c>
      <c r="E83" s="32">
        <v>60</v>
      </c>
      <c r="F83" s="31" t="s">
        <v>115</v>
      </c>
      <c r="G83" s="137">
        <v>0.159</v>
      </c>
      <c r="H83" s="31">
        <f t="shared" si="42"/>
        <v>0.151</v>
      </c>
      <c r="I83" s="31">
        <f t="shared" si="43"/>
        <v>0.625</v>
      </c>
      <c r="J83" s="31">
        <f t="shared" si="44"/>
        <v>0.24199999999999999</v>
      </c>
      <c r="K83" s="31"/>
      <c r="L83" s="31">
        <f t="shared" si="45"/>
        <v>0.27100000000000002</v>
      </c>
      <c r="M83" s="31">
        <v>0.03</v>
      </c>
      <c r="N83" s="33">
        <v>2.9999999999999997E-4</v>
      </c>
      <c r="O83" s="34">
        <v>0.5</v>
      </c>
      <c r="P83" s="34">
        <v>0.5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15</v>
      </c>
      <c r="Y83" s="34">
        <v>15</v>
      </c>
      <c r="Z83" s="33" t="s">
        <v>136</v>
      </c>
      <c r="AA83" s="4"/>
      <c r="AB83" s="167"/>
      <c r="AC83" s="16" t="s">
        <v>155</v>
      </c>
      <c r="AD83" s="31" t="s">
        <v>74</v>
      </c>
      <c r="AE83" s="32">
        <v>60</v>
      </c>
      <c r="AF83" s="25">
        <f t="shared" si="46"/>
        <v>0.625</v>
      </c>
      <c r="AG83" s="19">
        <f t="shared" si="14"/>
        <v>37.5</v>
      </c>
      <c r="AH83" s="19">
        <f t="shared" si="47"/>
        <v>10050.25</v>
      </c>
      <c r="AI83" s="19">
        <f t="shared" si="48"/>
        <v>1800</v>
      </c>
      <c r="AJ83" s="4"/>
      <c r="AK83" s="4"/>
      <c r="AL83" s="4"/>
      <c r="AM83" s="4"/>
      <c r="AN83" s="4"/>
      <c r="AO83" s="20"/>
    </row>
    <row r="84" spans="2:41" s="21" customFormat="1" ht="23.15" customHeight="1">
      <c r="B84" s="35"/>
      <c r="C84" s="36"/>
      <c r="D84" s="36"/>
      <c r="E84" s="3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8"/>
      <c r="AA84" s="4"/>
      <c r="AB84" s="162" t="s">
        <v>137</v>
      </c>
      <c r="AC84" s="163"/>
      <c r="AD84" s="164"/>
      <c r="AE84" s="39">
        <f>SUM(AE76:AE83)</f>
        <v>7780</v>
      </c>
      <c r="AF84" s="36"/>
      <c r="AG84" s="40">
        <f>SUM(AG76:AG83)</f>
        <v>10050.25</v>
      </c>
      <c r="AH84" s="38"/>
      <c r="AI84" s="40">
        <f>SUM(AI76:AI83)</f>
        <v>233400</v>
      </c>
      <c r="AJ84" s="4"/>
      <c r="AK84" s="4"/>
      <c r="AL84" s="4"/>
      <c r="AM84" s="4"/>
      <c r="AN84" s="4"/>
      <c r="AO84" s="20"/>
    </row>
    <row r="85" spans="2:41" s="21" customFormat="1" ht="23.15" customHeight="1">
      <c r="B85" s="165" t="s">
        <v>156</v>
      </c>
      <c r="C85" s="12" t="s">
        <v>40</v>
      </c>
      <c r="D85" s="12" t="s">
        <v>157</v>
      </c>
      <c r="E85" s="13">
        <v>1310</v>
      </c>
      <c r="F85" s="12">
        <v>0.70699999999999996</v>
      </c>
      <c r="G85" s="133">
        <v>0.76800000000000002</v>
      </c>
      <c r="H85" s="12">
        <f t="shared" ref="H85:H91" si="49">ROUND(I85*J85,3)</f>
        <v>0.76800000000000002</v>
      </c>
      <c r="I85" s="12">
        <f t="shared" ref="I85:I91" si="50">ROUND((O85+(1.5*P85))*P85,3)</f>
        <v>1.68</v>
      </c>
      <c r="J85" s="12">
        <f t="shared" ref="J85:J91" si="51">ROUND((1/M85)*(L85^(2/3))*SQRT(N85),3)</f>
        <v>0.45700000000000002</v>
      </c>
      <c r="K85" s="12"/>
      <c r="L85" s="12">
        <f t="shared" ref="L85:L91" si="52">ROUND(I85/(O85+(2*P85*SQRT(1+(1.5^2)))),3)</f>
        <v>0.44400000000000001</v>
      </c>
      <c r="M85" s="12">
        <v>1.7999999999999999E-2</v>
      </c>
      <c r="N85" s="15">
        <v>2.0000000000000001E-4</v>
      </c>
      <c r="O85" s="41">
        <v>0.9</v>
      </c>
      <c r="P85" s="41">
        <v>0.8</v>
      </c>
      <c r="Q85" s="41">
        <v>0.06</v>
      </c>
      <c r="R85" s="41">
        <v>0.95</v>
      </c>
      <c r="S85" s="41">
        <v>1.25</v>
      </c>
      <c r="T85" s="41">
        <v>1.25</v>
      </c>
      <c r="U85" s="41">
        <v>1</v>
      </c>
      <c r="V85" s="41">
        <v>2</v>
      </c>
      <c r="W85" s="41">
        <v>5</v>
      </c>
      <c r="X85" s="41">
        <v>15</v>
      </c>
      <c r="Y85" s="41">
        <v>15</v>
      </c>
      <c r="Z85" s="15" t="s">
        <v>117</v>
      </c>
      <c r="AA85" s="4"/>
      <c r="AB85" s="165" t="s">
        <v>156</v>
      </c>
      <c r="AC85" s="12" t="s">
        <v>40</v>
      </c>
      <c r="AD85" s="12" t="s">
        <v>157</v>
      </c>
      <c r="AE85" s="13">
        <v>1310</v>
      </c>
      <c r="AF85" s="42">
        <f t="shared" ref="AF85:AF91" si="53">(O85+1.5*P85)*P85</f>
        <v>1.6800000000000002</v>
      </c>
      <c r="AG85" s="43">
        <f t="shared" si="14"/>
        <v>2200.8000000000002</v>
      </c>
      <c r="AH85" s="43">
        <f>AG85</f>
        <v>2200.8000000000002</v>
      </c>
      <c r="AI85" s="43">
        <f t="shared" si="48"/>
        <v>39300</v>
      </c>
      <c r="AJ85" s="4"/>
      <c r="AK85" s="4"/>
      <c r="AL85" s="4"/>
      <c r="AM85" s="4"/>
      <c r="AN85" s="4"/>
      <c r="AO85" s="20"/>
    </row>
    <row r="86" spans="2:41" s="21" customFormat="1" ht="23.15" customHeight="1">
      <c r="B86" s="166"/>
      <c r="C86" s="16" t="s">
        <v>157</v>
      </c>
      <c r="D86" s="16" t="s">
        <v>158</v>
      </c>
      <c r="E86" s="22">
        <v>1140</v>
      </c>
      <c r="F86" s="16">
        <v>0.65100000000000002</v>
      </c>
      <c r="G86" s="135">
        <v>0.67</v>
      </c>
      <c r="H86" s="16">
        <f t="shared" si="49"/>
        <v>0.67</v>
      </c>
      <c r="I86" s="16">
        <f t="shared" si="50"/>
        <v>1.5189999999999999</v>
      </c>
      <c r="J86" s="16">
        <f t="shared" si="51"/>
        <v>0.441</v>
      </c>
      <c r="K86" s="16"/>
      <c r="L86" s="16">
        <f t="shared" si="52"/>
        <v>0.42099999999999999</v>
      </c>
      <c r="M86" s="16">
        <v>1.7999999999999999E-2</v>
      </c>
      <c r="N86" s="23">
        <v>2.0000000000000001E-4</v>
      </c>
      <c r="O86" s="24">
        <v>0.9</v>
      </c>
      <c r="P86" s="24">
        <v>0.75</v>
      </c>
      <c r="Q86" s="24">
        <v>0.06</v>
      </c>
      <c r="R86" s="24">
        <v>0.9</v>
      </c>
      <c r="S86" s="24">
        <v>1.2</v>
      </c>
      <c r="T86" s="24">
        <v>1.2</v>
      </c>
      <c r="U86" s="24">
        <v>1</v>
      </c>
      <c r="V86" s="24">
        <v>2</v>
      </c>
      <c r="W86" s="24">
        <v>5</v>
      </c>
      <c r="X86" s="24">
        <v>15</v>
      </c>
      <c r="Y86" s="24">
        <v>15</v>
      </c>
      <c r="Z86" s="23" t="s">
        <v>117</v>
      </c>
      <c r="AA86" s="4"/>
      <c r="AB86" s="166"/>
      <c r="AC86" s="16" t="s">
        <v>157</v>
      </c>
      <c r="AD86" s="16" t="s">
        <v>158</v>
      </c>
      <c r="AE86" s="22">
        <v>1140</v>
      </c>
      <c r="AF86" s="25">
        <f t="shared" si="53"/>
        <v>1.5187499999999998</v>
      </c>
      <c r="AG86" s="19">
        <f t="shared" si="14"/>
        <v>1731.3749999999998</v>
      </c>
      <c r="AH86" s="19">
        <f t="shared" ref="AH86:AH91" si="54">AH85+AG86</f>
        <v>3932.1750000000002</v>
      </c>
      <c r="AI86" s="19">
        <f t="shared" si="48"/>
        <v>34200</v>
      </c>
      <c r="AJ86" s="4"/>
      <c r="AK86" s="4"/>
      <c r="AL86" s="4"/>
      <c r="AM86" s="4"/>
      <c r="AN86" s="4"/>
      <c r="AO86" s="20"/>
    </row>
    <row r="87" spans="2:41" s="21" customFormat="1" ht="23.15" customHeight="1">
      <c r="B87" s="166"/>
      <c r="C87" s="16" t="s">
        <v>158</v>
      </c>
      <c r="D87" s="16" t="s">
        <v>159</v>
      </c>
      <c r="E87" s="22">
        <v>850</v>
      </c>
      <c r="F87" s="16">
        <v>0.56299999999999994</v>
      </c>
      <c r="G87" s="135">
        <v>0.628</v>
      </c>
      <c r="H87" s="16">
        <f t="shared" si="49"/>
        <v>0.628</v>
      </c>
      <c r="I87" s="16">
        <f t="shared" si="50"/>
        <v>1.444</v>
      </c>
      <c r="J87" s="16">
        <f t="shared" si="51"/>
        <v>0.435</v>
      </c>
      <c r="K87" s="16"/>
      <c r="L87" s="16">
        <f t="shared" si="52"/>
        <v>0.41199999999999998</v>
      </c>
      <c r="M87" s="16">
        <v>1.7999999999999999E-2</v>
      </c>
      <c r="N87" s="23">
        <v>2.0000000000000001E-4</v>
      </c>
      <c r="O87" s="24">
        <v>0.8</v>
      </c>
      <c r="P87" s="24">
        <v>0.75</v>
      </c>
      <c r="Q87" s="24">
        <v>0.06</v>
      </c>
      <c r="R87" s="24">
        <v>0.9</v>
      </c>
      <c r="S87" s="24">
        <v>1.2</v>
      </c>
      <c r="T87" s="24">
        <v>1.2</v>
      </c>
      <c r="U87" s="24">
        <v>1</v>
      </c>
      <c r="V87" s="24">
        <v>2</v>
      </c>
      <c r="W87" s="24">
        <v>5</v>
      </c>
      <c r="X87" s="24">
        <v>15</v>
      </c>
      <c r="Y87" s="24">
        <v>15</v>
      </c>
      <c r="Z87" s="23" t="s">
        <v>117</v>
      </c>
      <c r="AA87" s="4"/>
      <c r="AB87" s="166"/>
      <c r="AC87" s="16" t="s">
        <v>158</v>
      </c>
      <c r="AD87" s="16" t="s">
        <v>159</v>
      </c>
      <c r="AE87" s="22">
        <v>850</v>
      </c>
      <c r="AF87" s="25">
        <f t="shared" si="53"/>
        <v>1.4437500000000001</v>
      </c>
      <c r="AG87" s="19">
        <f t="shared" si="14"/>
        <v>1227.1875</v>
      </c>
      <c r="AH87" s="19">
        <f t="shared" si="54"/>
        <v>5159.3625000000002</v>
      </c>
      <c r="AI87" s="19">
        <f t="shared" si="48"/>
        <v>25500</v>
      </c>
      <c r="AJ87" s="4"/>
      <c r="AK87" s="4"/>
      <c r="AL87" s="4"/>
      <c r="AM87" s="4"/>
      <c r="AN87" s="4"/>
      <c r="AO87" s="20"/>
    </row>
    <row r="88" spans="2:41" s="21" customFormat="1" ht="23.15" customHeight="1">
      <c r="B88" s="166"/>
      <c r="C88" s="16" t="s">
        <v>159</v>
      </c>
      <c r="D88" s="16" t="s">
        <v>118</v>
      </c>
      <c r="E88" s="22">
        <v>200</v>
      </c>
      <c r="F88" s="16">
        <v>0.50800000000000001</v>
      </c>
      <c r="G88" s="16"/>
      <c r="H88" s="16">
        <f t="shared" si="49"/>
        <v>0.54300000000000004</v>
      </c>
      <c r="I88" s="16">
        <f t="shared" si="50"/>
        <v>1.2949999999999999</v>
      </c>
      <c r="J88" s="16">
        <f t="shared" si="51"/>
        <v>0.41899999999999998</v>
      </c>
      <c r="K88" s="16"/>
      <c r="L88" s="16">
        <f t="shared" si="52"/>
        <v>0.39</v>
      </c>
      <c r="M88" s="16">
        <v>1.7999999999999999E-2</v>
      </c>
      <c r="N88" s="23">
        <v>2.0000000000000001E-4</v>
      </c>
      <c r="O88" s="24">
        <v>0.8</v>
      </c>
      <c r="P88" s="24">
        <v>0.7</v>
      </c>
      <c r="Q88" s="24">
        <v>0.06</v>
      </c>
      <c r="R88" s="24">
        <v>0.85</v>
      </c>
      <c r="S88" s="24">
        <v>1.1499999999999999</v>
      </c>
      <c r="T88" s="24">
        <v>1.1499999999999999</v>
      </c>
      <c r="U88" s="24">
        <v>1</v>
      </c>
      <c r="V88" s="24">
        <v>2</v>
      </c>
      <c r="W88" s="24">
        <v>5</v>
      </c>
      <c r="X88" s="24">
        <v>15</v>
      </c>
      <c r="Y88" s="24">
        <v>15</v>
      </c>
      <c r="Z88" s="23" t="s">
        <v>117</v>
      </c>
      <c r="AA88" s="4"/>
      <c r="AB88" s="166"/>
      <c r="AC88" s="16" t="s">
        <v>159</v>
      </c>
      <c r="AD88" s="16" t="s">
        <v>118</v>
      </c>
      <c r="AE88" s="22">
        <v>200</v>
      </c>
      <c r="AF88" s="25">
        <f t="shared" si="53"/>
        <v>1.2949999999999999</v>
      </c>
      <c r="AG88" s="19">
        <f t="shared" si="14"/>
        <v>259</v>
      </c>
      <c r="AH88" s="19">
        <f t="shared" si="54"/>
        <v>5418.3625000000002</v>
      </c>
      <c r="AI88" s="19">
        <f t="shared" si="48"/>
        <v>6000</v>
      </c>
      <c r="AJ88" s="4"/>
      <c r="AK88" s="4"/>
      <c r="AL88" s="4"/>
      <c r="AM88" s="4"/>
      <c r="AN88" s="4"/>
      <c r="AO88" s="20"/>
    </row>
    <row r="89" spans="2:41" s="21" customFormat="1" ht="23.15" customHeight="1">
      <c r="B89" s="166"/>
      <c r="C89" s="16" t="s">
        <v>118</v>
      </c>
      <c r="D89" s="16" t="s">
        <v>160</v>
      </c>
      <c r="E89" s="22">
        <v>670</v>
      </c>
      <c r="F89" s="16">
        <v>0.50800000000000001</v>
      </c>
      <c r="G89" s="135">
        <v>0.54200000000000004</v>
      </c>
      <c r="H89" s="16">
        <f t="shared" si="49"/>
        <v>0.54300000000000004</v>
      </c>
      <c r="I89" s="138">
        <f t="shared" si="50"/>
        <v>1.2949999999999999</v>
      </c>
      <c r="J89" s="16">
        <f t="shared" si="51"/>
        <v>0.41899999999999998</v>
      </c>
      <c r="K89" s="16"/>
      <c r="L89" s="16">
        <f t="shared" si="52"/>
        <v>0.39</v>
      </c>
      <c r="M89" s="16">
        <v>1.7999999999999999E-2</v>
      </c>
      <c r="N89" s="23">
        <v>2.0000000000000001E-4</v>
      </c>
      <c r="O89" s="24">
        <v>0.8</v>
      </c>
      <c r="P89" s="24">
        <v>0.7</v>
      </c>
      <c r="Q89" s="24">
        <v>0.06</v>
      </c>
      <c r="R89" s="24">
        <v>0.85</v>
      </c>
      <c r="S89" s="24">
        <v>1.1499999999999999</v>
      </c>
      <c r="T89" s="24">
        <v>1.1499999999999999</v>
      </c>
      <c r="U89" s="24">
        <v>1</v>
      </c>
      <c r="V89" s="24">
        <v>2</v>
      </c>
      <c r="W89" s="24">
        <v>5</v>
      </c>
      <c r="X89" s="24">
        <v>15</v>
      </c>
      <c r="Y89" s="24">
        <v>15</v>
      </c>
      <c r="Z89" s="23" t="s">
        <v>117</v>
      </c>
      <c r="AA89" s="4"/>
      <c r="AB89" s="166"/>
      <c r="AC89" s="16" t="s">
        <v>118</v>
      </c>
      <c r="AD89" s="16" t="s">
        <v>160</v>
      </c>
      <c r="AE89" s="22">
        <v>670</v>
      </c>
      <c r="AF89" s="25">
        <f t="shared" si="53"/>
        <v>1.2949999999999999</v>
      </c>
      <c r="AG89" s="19">
        <f t="shared" si="14"/>
        <v>867.65</v>
      </c>
      <c r="AH89" s="19">
        <f t="shared" si="54"/>
        <v>6286.0124999999998</v>
      </c>
      <c r="AI89" s="19">
        <f t="shared" si="48"/>
        <v>20100</v>
      </c>
      <c r="AJ89" s="4"/>
      <c r="AK89" s="4"/>
      <c r="AL89" s="4"/>
      <c r="AM89" s="4"/>
      <c r="AN89" s="4"/>
      <c r="AO89" s="20"/>
    </row>
    <row r="90" spans="2:41" s="21" customFormat="1" ht="23.15" customHeight="1">
      <c r="B90" s="166"/>
      <c r="C90" s="16" t="s">
        <v>160</v>
      </c>
      <c r="D90" s="16" t="s">
        <v>161</v>
      </c>
      <c r="E90" s="22">
        <v>630</v>
      </c>
      <c r="F90" s="16">
        <v>0.38200000000000001</v>
      </c>
      <c r="G90" s="135">
        <v>0.43099999999999999</v>
      </c>
      <c r="H90" s="16">
        <f t="shared" si="49"/>
        <v>0.43099999999999999</v>
      </c>
      <c r="I90" s="16">
        <f t="shared" si="50"/>
        <v>1.089</v>
      </c>
      <c r="J90" s="16">
        <f t="shared" si="51"/>
        <v>0.39600000000000002</v>
      </c>
      <c r="K90" s="16"/>
      <c r="L90" s="16">
        <f t="shared" si="52"/>
        <v>0.35799999999999998</v>
      </c>
      <c r="M90" s="16">
        <v>1.7999999999999999E-2</v>
      </c>
      <c r="N90" s="23">
        <v>2.0000000000000001E-4</v>
      </c>
      <c r="O90" s="24">
        <v>0.7</v>
      </c>
      <c r="P90" s="24">
        <v>0.65</v>
      </c>
      <c r="Q90" s="24">
        <v>0.06</v>
      </c>
      <c r="R90" s="24">
        <v>0.8</v>
      </c>
      <c r="S90" s="24">
        <v>1.05</v>
      </c>
      <c r="T90" s="24">
        <v>1.05</v>
      </c>
      <c r="U90" s="24">
        <v>0</v>
      </c>
      <c r="V90" s="24">
        <v>2</v>
      </c>
      <c r="W90" s="24">
        <v>5</v>
      </c>
      <c r="X90" s="24">
        <v>15</v>
      </c>
      <c r="Y90" s="24">
        <v>15</v>
      </c>
      <c r="Z90" s="23" t="s">
        <v>117</v>
      </c>
      <c r="AA90" s="4"/>
      <c r="AB90" s="166"/>
      <c r="AC90" s="16" t="s">
        <v>160</v>
      </c>
      <c r="AD90" s="16" t="s">
        <v>161</v>
      </c>
      <c r="AE90" s="22">
        <v>630</v>
      </c>
      <c r="AF90" s="25">
        <f t="shared" si="53"/>
        <v>1.0887500000000001</v>
      </c>
      <c r="AG90" s="19">
        <f t="shared" si="14"/>
        <v>685.91250000000002</v>
      </c>
      <c r="AH90" s="19">
        <f t="shared" si="54"/>
        <v>6971.9250000000002</v>
      </c>
      <c r="AI90" s="19">
        <f t="shared" si="48"/>
        <v>18900</v>
      </c>
      <c r="AJ90" s="4"/>
      <c r="AK90" s="4"/>
      <c r="AL90" s="4"/>
      <c r="AM90" s="4"/>
      <c r="AN90" s="4"/>
      <c r="AO90" s="20"/>
    </row>
    <row r="91" spans="2:41" s="21" customFormat="1" ht="23.15" customHeight="1">
      <c r="B91" s="167"/>
      <c r="C91" s="16" t="s">
        <v>161</v>
      </c>
      <c r="D91" s="31" t="s">
        <v>162</v>
      </c>
      <c r="E91" s="32">
        <v>1000</v>
      </c>
      <c r="F91" s="31">
        <v>0.188</v>
      </c>
      <c r="G91" s="137">
        <v>0.20499999999999999</v>
      </c>
      <c r="H91" s="31">
        <f t="shared" si="49"/>
        <v>0.98099999999999998</v>
      </c>
      <c r="I91" s="31">
        <f t="shared" si="50"/>
        <v>0.72899999999999998</v>
      </c>
      <c r="J91" s="31">
        <f t="shared" si="51"/>
        <v>1.345</v>
      </c>
      <c r="K91" s="31"/>
      <c r="L91" s="31">
        <f t="shared" si="52"/>
        <v>0.29399999999999998</v>
      </c>
      <c r="M91" s="31">
        <v>1.7999999999999999E-2</v>
      </c>
      <c r="N91" s="33">
        <v>3.0000000000000001E-3</v>
      </c>
      <c r="O91" s="34">
        <v>0.5</v>
      </c>
      <c r="P91" s="34">
        <v>0.55000000000000004</v>
      </c>
      <c r="Q91" s="34">
        <v>0.06</v>
      </c>
      <c r="R91" s="34">
        <v>0.65</v>
      </c>
      <c r="S91" s="34">
        <v>0.95</v>
      </c>
      <c r="T91" s="34">
        <v>0.95</v>
      </c>
      <c r="U91" s="34">
        <v>0</v>
      </c>
      <c r="V91" s="34">
        <v>2</v>
      </c>
      <c r="W91" s="34">
        <v>5</v>
      </c>
      <c r="X91" s="34">
        <v>15</v>
      </c>
      <c r="Y91" s="34">
        <v>15</v>
      </c>
      <c r="Z91" s="33" t="s">
        <v>117</v>
      </c>
      <c r="AA91" s="4"/>
      <c r="AB91" s="167"/>
      <c r="AC91" s="16" t="s">
        <v>161</v>
      </c>
      <c r="AD91" s="31" t="s">
        <v>162</v>
      </c>
      <c r="AE91" s="32">
        <v>1000</v>
      </c>
      <c r="AF91" s="25">
        <f t="shared" si="53"/>
        <v>0.72875000000000012</v>
      </c>
      <c r="AG91" s="19">
        <f t="shared" si="14"/>
        <v>728.75000000000011</v>
      </c>
      <c r="AH91" s="19">
        <f t="shared" si="54"/>
        <v>7700.6750000000002</v>
      </c>
      <c r="AI91" s="19">
        <f t="shared" si="48"/>
        <v>30000</v>
      </c>
      <c r="AJ91" s="4"/>
      <c r="AK91" s="4"/>
      <c r="AL91" s="4"/>
      <c r="AM91" s="4"/>
      <c r="AN91" s="4"/>
      <c r="AO91" s="20"/>
    </row>
    <row r="92" spans="2:41" s="21" customFormat="1" ht="23.15" customHeight="1">
      <c r="B92" s="35"/>
      <c r="C92" s="36"/>
      <c r="D92" s="36"/>
      <c r="E92" s="3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8"/>
      <c r="AA92" s="4"/>
      <c r="AB92" s="162" t="s">
        <v>137</v>
      </c>
      <c r="AC92" s="163"/>
      <c r="AD92" s="164"/>
      <c r="AE92" s="39">
        <f>SUM(AE85:AE91)</f>
        <v>5800</v>
      </c>
      <c r="AF92" s="36"/>
      <c r="AG92" s="40">
        <f>SUM(AG85:AG91)</f>
        <v>7700.6750000000002</v>
      </c>
      <c r="AH92" s="38"/>
      <c r="AI92" s="40">
        <f>SUM(AI85:AI91)</f>
        <v>174000</v>
      </c>
      <c r="AJ92" s="4"/>
      <c r="AK92" s="4"/>
      <c r="AL92" s="4"/>
      <c r="AM92" s="4"/>
      <c r="AN92" s="4"/>
      <c r="AO92" s="20"/>
    </row>
    <row r="93" spans="2:41" s="21" customFormat="1" ht="23.15" customHeight="1">
      <c r="B93" s="165" t="s">
        <v>32</v>
      </c>
      <c r="C93" s="12" t="s">
        <v>40</v>
      </c>
      <c r="D93" s="12" t="s">
        <v>163</v>
      </c>
      <c r="E93" s="13">
        <v>1400</v>
      </c>
      <c r="F93" s="12">
        <v>0.191</v>
      </c>
      <c r="G93" s="133">
        <v>0.20499999999999999</v>
      </c>
      <c r="H93" s="12">
        <f t="shared" ref="H93:H94" si="55">ROUND(I93*J93,3)</f>
        <v>0.20599999999999999</v>
      </c>
      <c r="I93" s="12">
        <f t="shared" ref="I93:I94" si="56">ROUND((O93+(1.5*P93))*P93,3)</f>
        <v>0.625</v>
      </c>
      <c r="J93" s="12">
        <f t="shared" ref="J93:J94" si="57">ROUND((1/M93)*(L93^(2/3))*SQRT(N93),3)</f>
        <v>0.32900000000000001</v>
      </c>
      <c r="K93" s="12"/>
      <c r="L93" s="12">
        <f t="shared" ref="L93:L94" si="58">ROUND(I93/(O93+(2*P93*SQRT(1+(1.5^2)))),3)</f>
        <v>0.27100000000000002</v>
      </c>
      <c r="M93" s="12">
        <v>1.7999999999999999E-2</v>
      </c>
      <c r="N93" s="15">
        <v>2.0000000000000001E-4</v>
      </c>
      <c r="O93" s="41">
        <v>0.5</v>
      </c>
      <c r="P93" s="41">
        <v>0.5</v>
      </c>
      <c r="Q93" s="41">
        <v>0.06</v>
      </c>
      <c r="R93" s="41">
        <v>0.65</v>
      </c>
      <c r="S93" s="41">
        <v>0.9</v>
      </c>
      <c r="T93" s="41">
        <v>0.9</v>
      </c>
      <c r="U93" s="41">
        <v>0</v>
      </c>
      <c r="V93" s="41">
        <v>2</v>
      </c>
      <c r="W93" s="41">
        <v>5</v>
      </c>
      <c r="X93" s="41">
        <v>15</v>
      </c>
      <c r="Y93" s="41">
        <v>15</v>
      </c>
      <c r="Z93" s="15" t="s">
        <v>164</v>
      </c>
      <c r="AA93" s="4"/>
      <c r="AB93" s="165" t="s">
        <v>32</v>
      </c>
      <c r="AC93" s="44" t="str">
        <f>C93</f>
        <v>0+000</v>
      </c>
      <c r="AD93" s="44" t="str">
        <f>D93</f>
        <v>1+400</v>
      </c>
      <c r="AE93" s="45">
        <v>1400</v>
      </c>
      <c r="AF93" s="42">
        <f>(O93+1.5*P93)*P93</f>
        <v>0.625</v>
      </c>
      <c r="AG93" s="43">
        <f t="shared" si="14"/>
        <v>875</v>
      </c>
      <c r="AH93" s="43">
        <f>AG93</f>
        <v>875</v>
      </c>
      <c r="AI93" s="43">
        <f t="shared" si="48"/>
        <v>42000</v>
      </c>
      <c r="AJ93" s="4"/>
      <c r="AK93" s="4"/>
      <c r="AL93" s="4"/>
      <c r="AM93" s="4"/>
      <c r="AN93" s="4"/>
      <c r="AO93" s="20"/>
    </row>
    <row r="94" spans="2:41" s="21" customFormat="1" ht="23.15" customHeight="1">
      <c r="B94" s="167"/>
      <c r="C94" s="31" t="s">
        <v>163</v>
      </c>
      <c r="D94" s="31" t="s">
        <v>165</v>
      </c>
      <c r="E94" s="32">
        <v>140</v>
      </c>
      <c r="F94" s="31" t="s">
        <v>115</v>
      </c>
      <c r="G94" s="137">
        <v>0.159</v>
      </c>
      <c r="H94" s="31">
        <f t="shared" si="55"/>
        <v>0.47799999999999998</v>
      </c>
      <c r="I94" s="31">
        <f t="shared" si="56"/>
        <v>0.625</v>
      </c>
      <c r="J94" s="31">
        <f t="shared" si="57"/>
        <v>0.76500000000000001</v>
      </c>
      <c r="K94" s="31"/>
      <c r="L94" s="31">
        <f t="shared" si="58"/>
        <v>0.27100000000000002</v>
      </c>
      <c r="M94" s="31">
        <v>0.03</v>
      </c>
      <c r="N94" s="33">
        <v>3.0000000000000001E-3</v>
      </c>
      <c r="O94" s="34">
        <v>0.5</v>
      </c>
      <c r="P94" s="34">
        <v>0.5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15</v>
      </c>
      <c r="Y94" s="34">
        <v>15</v>
      </c>
      <c r="Z94" s="33" t="s">
        <v>136</v>
      </c>
      <c r="AA94" s="4"/>
      <c r="AB94" s="167"/>
      <c r="AC94" s="28" t="str">
        <f>C94</f>
        <v>1+400</v>
      </c>
      <c r="AD94" s="28" t="str">
        <f>D94</f>
        <v>1+540</v>
      </c>
      <c r="AE94" s="30">
        <v>140</v>
      </c>
      <c r="AF94" s="46">
        <f>(O94+1.5*P94)*P94</f>
        <v>0.625</v>
      </c>
      <c r="AG94" s="47">
        <f t="shared" si="14"/>
        <v>87.5</v>
      </c>
      <c r="AH94" s="47">
        <f t="shared" ref="AH94" si="59">AH93+AG94</f>
        <v>962.5</v>
      </c>
      <c r="AI94" s="47">
        <f t="shared" si="48"/>
        <v>4200</v>
      </c>
      <c r="AJ94" s="4"/>
      <c r="AK94" s="4"/>
      <c r="AL94" s="4"/>
      <c r="AM94" s="4"/>
      <c r="AN94" s="4"/>
      <c r="AO94" s="20"/>
    </row>
    <row r="95" spans="2:41" s="21" customFormat="1" ht="23.15" customHeight="1">
      <c r="B95" s="35"/>
      <c r="C95" s="36"/>
      <c r="D95" s="36"/>
      <c r="E95" s="3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8"/>
      <c r="AA95" s="4"/>
      <c r="AB95" s="162" t="s">
        <v>137</v>
      </c>
      <c r="AC95" s="163"/>
      <c r="AD95" s="164"/>
      <c r="AE95" s="39">
        <f>SUM(AE93:AE94)</f>
        <v>1540</v>
      </c>
      <c r="AF95" s="36"/>
      <c r="AG95" s="40">
        <f>SUM(AG93:AG94)</f>
        <v>962.5</v>
      </c>
      <c r="AH95" s="38"/>
      <c r="AI95" s="40">
        <f>SUM(AI93:AI94)</f>
        <v>46200</v>
      </c>
      <c r="AJ95" s="4"/>
      <c r="AK95" s="4"/>
      <c r="AL95" s="4"/>
      <c r="AM95" s="4"/>
      <c r="AN95" s="4"/>
      <c r="AO95" s="20"/>
    </row>
    <row r="96" spans="2:41" s="21" customFormat="1" ht="23.15" customHeight="1">
      <c r="B96" s="165" t="s">
        <v>166</v>
      </c>
      <c r="C96" s="12" t="s">
        <v>40</v>
      </c>
      <c r="D96" s="12" t="s">
        <v>167</v>
      </c>
      <c r="E96" s="13">
        <v>1100</v>
      </c>
      <c r="F96" s="12">
        <v>0.371</v>
      </c>
      <c r="G96" s="133">
        <v>0.43099999999999999</v>
      </c>
      <c r="H96" s="12">
        <f t="shared" ref="H96:H98" si="60">ROUND(I96*J96,3)</f>
        <v>0.43099999999999999</v>
      </c>
      <c r="I96" s="12">
        <f t="shared" ref="I96:I98" si="61">ROUND((O96+(1.5*P96))*P96,3)</f>
        <v>1.089</v>
      </c>
      <c r="J96" s="12">
        <f t="shared" ref="J96:J98" si="62">ROUND((1/M96)*(L96^(2/3))*SQRT(N96),3)</f>
        <v>0.39600000000000002</v>
      </c>
      <c r="K96" s="12"/>
      <c r="L96" s="12">
        <f t="shared" ref="L96:L98" si="63">ROUND(I96/(O96+(2*P96*SQRT(1+(1.5^2)))),3)</f>
        <v>0.35799999999999998</v>
      </c>
      <c r="M96" s="12">
        <v>1.7999999999999999E-2</v>
      </c>
      <c r="N96" s="15">
        <v>2.0000000000000001E-4</v>
      </c>
      <c r="O96" s="41">
        <v>0.7</v>
      </c>
      <c r="P96" s="41">
        <v>0.65</v>
      </c>
      <c r="Q96" s="41">
        <v>0.06</v>
      </c>
      <c r="R96" s="41">
        <v>0.8</v>
      </c>
      <c r="S96" s="41">
        <v>1.05</v>
      </c>
      <c r="T96" s="41">
        <v>1.05</v>
      </c>
      <c r="U96" s="41">
        <v>0</v>
      </c>
      <c r="V96" s="41">
        <v>5</v>
      </c>
      <c r="W96" s="41">
        <v>2</v>
      </c>
      <c r="X96" s="41">
        <v>15</v>
      </c>
      <c r="Y96" s="41">
        <v>15</v>
      </c>
      <c r="Z96" s="41" t="s">
        <v>117</v>
      </c>
      <c r="AA96" s="4"/>
      <c r="AB96" s="165" t="s">
        <v>166</v>
      </c>
      <c r="AC96" s="44" t="str">
        <f t="shared" ref="AC96:AD98" si="64">C96</f>
        <v>0+000</v>
      </c>
      <c r="AD96" s="44" t="str">
        <f t="shared" si="64"/>
        <v>1+100</v>
      </c>
      <c r="AE96" s="45">
        <v>1100</v>
      </c>
      <c r="AF96" s="42">
        <f>(O96+1.5*P96)*P96</f>
        <v>1.0887500000000001</v>
      </c>
      <c r="AG96" s="43">
        <f t="shared" si="14"/>
        <v>1197.6250000000002</v>
      </c>
      <c r="AH96" s="43">
        <f>AG96</f>
        <v>1197.6250000000002</v>
      </c>
      <c r="AI96" s="43">
        <f t="shared" si="48"/>
        <v>33000</v>
      </c>
      <c r="AJ96" s="4"/>
      <c r="AK96" s="4"/>
      <c r="AL96" s="4"/>
      <c r="AM96" s="4"/>
      <c r="AN96" s="4"/>
      <c r="AO96" s="20"/>
    </row>
    <row r="97" spans="2:41" s="21" customFormat="1" ht="23.15" customHeight="1">
      <c r="B97" s="166"/>
      <c r="C97" s="16" t="s">
        <v>167</v>
      </c>
      <c r="D97" s="16" t="s">
        <v>168</v>
      </c>
      <c r="E97" s="22">
        <v>1150</v>
      </c>
      <c r="F97" s="16">
        <v>0.186</v>
      </c>
      <c r="G97" s="135">
        <v>0.20499999999999999</v>
      </c>
      <c r="H97" s="16">
        <f t="shared" si="60"/>
        <v>0.20599999999999999</v>
      </c>
      <c r="I97" s="16">
        <f t="shared" si="61"/>
        <v>0.625</v>
      </c>
      <c r="J97" s="16">
        <f t="shared" si="62"/>
        <v>0.32900000000000001</v>
      </c>
      <c r="K97" s="16"/>
      <c r="L97" s="16">
        <f t="shared" si="63"/>
        <v>0.27100000000000002</v>
      </c>
      <c r="M97" s="16">
        <v>1.7999999999999999E-2</v>
      </c>
      <c r="N97" s="23">
        <v>2.0000000000000001E-4</v>
      </c>
      <c r="O97" s="24">
        <v>0.5</v>
      </c>
      <c r="P97" s="24">
        <v>0.5</v>
      </c>
      <c r="Q97" s="24">
        <v>0.06</v>
      </c>
      <c r="R97" s="24">
        <v>0.65</v>
      </c>
      <c r="S97" s="24">
        <v>0.9</v>
      </c>
      <c r="T97" s="24">
        <v>0.9</v>
      </c>
      <c r="U97" s="24">
        <v>0</v>
      </c>
      <c r="V97" s="24">
        <v>5</v>
      </c>
      <c r="W97" s="24">
        <v>2</v>
      </c>
      <c r="X97" s="24">
        <v>15</v>
      </c>
      <c r="Y97" s="24">
        <v>15</v>
      </c>
      <c r="Z97" s="24" t="s">
        <v>117</v>
      </c>
      <c r="AA97" s="4"/>
      <c r="AB97" s="166"/>
      <c r="AC97" s="16" t="str">
        <f t="shared" si="64"/>
        <v>1+100</v>
      </c>
      <c r="AD97" s="16" t="str">
        <f t="shared" si="64"/>
        <v>2+250</v>
      </c>
      <c r="AE97" s="17">
        <v>1150</v>
      </c>
      <c r="AF97" s="25">
        <f>(O97+1.5*P97)*P97</f>
        <v>0.625</v>
      </c>
      <c r="AG97" s="19">
        <f t="shared" si="14"/>
        <v>718.75</v>
      </c>
      <c r="AH97" s="19">
        <f t="shared" ref="AH97:AH98" si="65">AH96+AG97</f>
        <v>1916.3750000000002</v>
      </c>
      <c r="AI97" s="19">
        <f t="shared" si="48"/>
        <v>34500</v>
      </c>
      <c r="AJ97" s="4"/>
      <c r="AK97" s="4"/>
      <c r="AL97" s="4"/>
      <c r="AM97" s="4"/>
      <c r="AN97" s="4"/>
      <c r="AO97" s="20"/>
    </row>
    <row r="98" spans="2:41" s="21" customFormat="1" ht="23.15" customHeight="1">
      <c r="B98" s="167"/>
      <c r="C98" s="31" t="s">
        <v>168</v>
      </c>
      <c r="D98" s="31" t="s">
        <v>67</v>
      </c>
      <c r="E98" s="32">
        <v>300</v>
      </c>
      <c r="F98" s="31" t="s">
        <v>115</v>
      </c>
      <c r="G98" s="137">
        <v>0.159</v>
      </c>
      <c r="H98" s="31">
        <f t="shared" si="60"/>
        <v>0.151</v>
      </c>
      <c r="I98" s="31">
        <f t="shared" si="61"/>
        <v>0.625</v>
      </c>
      <c r="J98" s="31">
        <f t="shared" si="62"/>
        <v>0.24199999999999999</v>
      </c>
      <c r="K98" s="31"/>
      <c r="L98" s="31">
        <f t="shared" si="63"/>
        <v>0.27100000000000002</v>
      </c>
      <c r="M98" s="31">
        <v>0.03</v>
      </c>
      <c r="N98" s="33">
        <v>2.9999999999999997E-4</v>
      </c>
      <c r="O98" s="34">
        <v>0.5</v>
      </c>
      <c r="P98" s="34">
        <v>0.5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15</v>
      </c>
      <c r="Y98" s="34">
        <v>15</v>
      </c>
      <c r="Z98" s="33" t="s">
        <v>136</v>
      </c>
      <c r="AA98" s="4"/>
      <c r="AB98" s="167"/>
      <c r="AC98" s="28" t="str">
        <f t="shared" si="64"/>
        <v>2+250</v>
      </c>
      <c r="AD98" s="28" t="str">
        <f t="shared" si="64"/>
        <v>2+550</v>
      </c>
      <c r="AE98" s="30">
        <v>300</v>
      </c>
      <c r="AF98" s="46">
        <f>(O98+1.5*P98)*P98</f>
        <v>0.625</v>
      </c>
      <c r="AG98" s="47">
        <f t="shared" si="14"/>
        <v>187.5</v>
      </c>
      <c r="AH98" s="47">
        <f t="shared" si="65"/>
        <v>2103.875</v>
      </c>
      <c r="AI98" s="47">
        <f t="shared" si="48"/>
        <v>9000</v>
      </c>
      <c r="AJ98" s="4"/>
      <c r="AK98" s="4"/>
      <c r="AL98" s="4"/>
      <c r="AM98" s="4"/>
      <c r="AN98" s="4"/>
      <c r="AO98" s="20"/>
    </row>
    <row r="99" spans="2:41" s="21" customFormat="1" ht="23.15" customHeight="1">
      <c r="B99" s="35"/>
      <c r="C99" s="36"/>
      <c r="D99" s="36"/>
      <c r="E99" s="3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8"/>
      <c r="AA99" s="4"/>
      <c r="AB99" s="162" t="s">
        <v>137</v>
      </c>
      <c r="AC99" s="163"/>
      <c r="AD99" s="164"/>
      <c r="AE99" s="39">
        <f>SUM(AE96:AE98)</f>
        <v>2550</v>
      </c>
      <c r="AF99" s="36"/>
      <c r="AG99" s="40">
        <f>SUM(AG96:AG98)</f>
        <v>2103.875</v>
      </c>
      <c r="AH99" s="38"/>
      <c r="AI99" s="40">
        <f>SUM(AI96:AI98)</f>
        <v>76500</v>
      </c>
      <c r="AJ99" s="4"/>
      <c r="AK99" s="4"/>
      <c r="AL99" s="4"/>
      <c r="AM99" s="4"/>
      <c r="AN99" s="4"/>
      <c r="AO99" s="20"/>
    </row>
    <row r="100" spans="2:41" s="21" customFormat="1" ht="23.15" customHeight="1">
      <c r="B100" s="165" t="s">
        <v>34</v>
      </c>
      <c r="C100" s="12" t="s">
        <v>40</v>
      </c>
      <c r="D100" s="12" t="s">
        <v>39</v>
      </c>
      <c r="E100" s="13">
        <v>1000</v>
      </c>
      <c r="F100" s="12">
        <v>0.42599999999999999</v>
      </c>
      <c r="G100" s="133">
        <v>0.43099999999999999</v>
      </c>
      <c r="H100" s="12">
        <f t="shared" ref="H100:H101" si="66">ROUND(I100*J100,3)</f>
        <v>0.43099999999999999</v>
      </c>
      <c r="I100" s="12">
        <f t="shared" ref="I100:I101" si="67">ROUND((O100+(1.5*P100))*P100,3)</f>
        <v>1.089</v>
      </c>
      <c r="J100" s="12">
        <f t="shared" ref="J100:J101" si="68">ROUND((1/M100)*(L100^(2/3))*SQRT(N100),3)</f>
        <v>0.39600000000000002</v>
      </c>
      <c r="K100" s="12"/>
      <c r="L100" s="12">
        <f t="shared" ref="L100:L101" si="69">ROUND(I100/(O100+(2*P100*SQRT(1+(1.5^2)))),3)</f>
        <v>0.35799999999999998</v>
      </c>
      <c r="M100" s="12">
        <v>1.7999999999999999E-2</v>
      </c>
      <c r="N100" s="15">
        <v>2.0000000000000001E-4</v>
      </c>
      <c r="O100" s="41">
        <v>0.7</v>
      </c>
      <c r="P100" s="41">
        <v>0.65</v>
      </c>
      <c r="Q100" s="41">
        <v>0.06</v>
      </c>
      <c r="R100" s="41">
        <v>0.8</v>
      </c>
      <c r="S100" s="41">
        <v>1.05</v>
      </c>
      <c r="T100" s="41">
        <v>1.05</v>
      </c>
      <c r="U100" s="41">
        <v>0</v>
      </c>
      <c r="V100" s="41">
        <v>5</v>
      </c>
      <c r="W100" s="41">
        <v>2</v>
      </c>
      <c r="X100" s="41">
        <v>15</v>
      </c>
      <c r="Y100" s="41">
        <v>15</v>
      </c>
      <c r="Z100" s="15" t="s">
        <v>117</v>
      </c>
      <c r="AA100" s="4"/>
      <c r="AB100" s="165" t="s">
        <v>34</v>
      </c>
      <c r="AC100" s="44" t="str">
        <f>C100</f>
        <v>0+000</v>
      </c>
      <c r="AD100" s="44" t="str">
        <f>D100</f>
        <v>1+000</v>
      </c>
      <c r="AE100" s="45">
        <v>1000</v>
      </c>
      <c r="AF100" s="42">
        <f>(O100+1.5*P100)*P100</f>
        <v>1.0887500000000001</v>
      </c>
      <c r="AG100" s="43">
        <f t="shared" si="14"/>
        <v>1088.75</v>
      </c>
      <c r="AH100" s="43">
        <f>AG100</f>
        <v>1088.75</v>
      </c>
      <c r="AI100" s="43">
        <f t="shared" si="48"/>
        <v>30000</v>
      </c>
      <c r="AJ100" s="4"/>
      <c r="AK100" s="4"/>
      <c r="AL100" s="4"/>
      <c r="AM100" s="4"/>
      <c r="AN100" s="4"/>
      <c r="AO100" s="20"/>
    </row>
    <row r="101" spans="2:41" s="21" customFormat="1" ht="23.15" customHeight="1">
      <c r="B101" s="167"/>
      <c r="C101" s="31" t="s">
        <v>39</v>
      </c>
      <c r="D101" s="31" t="s">
        <v>58</v>
      </c>
      <c r="E101" s="32">
        <v>1500</v>
      </c>
      <c r="F101" s="31">
        <v>0.312</v>
      </c>
      <c r="G101" s="137">
        <v>0.33400000000000002</v>
      </c>
      <c r="H101" s="31">
        <f t="shared" si="66"/>
        <v>0.33500000000000002</v>
      </c>
      <c r="I101" s="31">
        <f t="shared" si="67"/>
        <v>0.9</v>
      </c>
      <c r="J101" s="31">
        <f t="shared" si="68"/>
        <v>0.372</v>
      </c>
      <c r="K101" s="31"/>
      <c r="L101" s="31">
        <f t="shared" si="69"/>
        <v>0.32600000000000001</v>
      </c>
      <c r="M101" s="31">
        <v>1.7999999999999999E-2</v>
      </c>
      <c r="N101" s="33">
        <v>2.0000000000000001E-4</v>
      </c>
      <c r="O101" s="34">
        <v>0.6</v>
      </c>
      <c r="P101" s="34">
        <v>0.6</v>
      </c>
      <c r="Q101" s="34">
        <v>0.06</v>
      </c>
      <c r="R101" s="34">
        <v>0.75</v>
      </c>
      <c r="S101" s="34">
        <v>1</v>
      </c>
      <c r="T101" s="34">
        <v>1</v>
      </c>
      <c r="U101" s="34">
        <v>0</v>
      </c>
      <c r="V101" s="34">
        <v>5</v>
      </c>
      <c r="W101" s="34">
        <v>2</v>
      </c>
      <c r="X101" s="34">
        <v>15</v>
      </c>
      <c r="Y101" s="34">
        <v>15</v>
      </c>
      <c r="Z101" s="33" t="s">
        <v>117</v>
      </c>
      <c r="AA101" s="4"/>
      <c r="AB101" s="167"/>
      <c r="AC101" s="28" t="str">
        <f>C101</f>
        <v>1+000</v>
      </c>
      <c r="AD101" s="28" t="str">
        <f>D101</f>
        <v>2+500</v>
      </c>
      <c r="AE101" s="30">
        <v>1500</v>
      </c>
      <c r="AF101" s="46">
        <f>(O101+1.5*P101)*P101</f>
        <v>0.89999999999999991</v>
      </c>
      <c r="AG101" s="47">
        <f t="shared" si="14"/>
        <v>1349.9999999999998</v>
      </c>
      <c r="AH101" s="47">
        <f t="shared" ref="AH101" si="70">AH100+AG101</f>
        <v>2438.75</v>
      </c>
      <c r="AI101" s="47">
        <f t="shared" si="48"/>
        <v>45000</v>
      </c>
      <c r="AJ101" s="4"/>
      <c r="AK101" s="4"/>
      <c r="AL101" s="4"/>
      <c r="AM101" s="4"/>
      <c r="AN101" s="4"/>
      <c r="AO101" s="20"/>
    </row>
    <row r="102" spans="2:41" s="21" customFormat="1" ht="23.15" customHeight="1">
      <c r="B102" s="35"/>
      <c r="C102" s="36"/>
      <c r="D102" s="36"/>
      <c r="E102" s="3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8"/>
      <c r="AA102" s="4"/>
      <c r="AB102" s="162" t="s">
        <v>137</v>
      </c>
      <c r="AC102" s="163"/>
      <c r="AD102" s="164"/>
      <c r="AE102" s="39">
        <f>SUM(AE100:AE101)</f>
        <v>2500</v>
      </c>
      <c r="AF102" s="36"/>
      <c r="AG102" s="40">
        <f>SUM(AG100:AG101)</f>
        <v>2438.75</v>
      </c>
      <c r="AH102" s="38"/>
      <c r="AI102" s="40">
        <f>SUM(AI100:AI101)</f>
        <v>75000</v>
      </c>
      <c r="AJ102" s="4"/>
      <c r="AK102" s="4"/>
      <c r="AL102" s="4"/>
      <c r="AM102" s="4"/>
      <c r="AN102" s="4"/>
      <c r="AO102" s="20"/>
    </row>
    <row r="103" spans="2:41" s="21" customFormat="1" ht="23.15" customHeight="1">
      <c r="B103" s="166" t="s">
        <v>20</v>
      </c>
      <c r="C103" s="48" t="s">
        <v>40</v>
      </c>
      <c r="D103" s="48" t="s">
        <v>35</v>
      </c>
      <c r="E103" s="22">
        <v>2420</v>
      </c>
      <c r="F103" s="16">
        <v>1.37</v>
      </c>
      <c r="G103" s="16"/>
      <c r="H103" s="16">
        <f t="shared" ref="H103:H109" si="71">ROUND(I103*J103,3)</f>
        <v>1.375</v>
      </c>
      <c r="I103" s="16">
        <f t="shared" ref="I103:I109" si="72">ROUND((O103+(1.5*P103))*P103,3)</f>
        <v>2.6</v>
      </c>
      <c r="J103" s="16">
        <f t="shared" ref="J103:J109" si="73">ROUND((1/M103)*(L103^(2/3))*SQRT(N103),3)</f>
        <v>0.52900000000000003</v>
      </c>
      <c r="K103" s="144">
        <v>0.36</v>
      </c>
      <c r="L103" s="16">
        <f t="shared" ref="L103:L109" si="74">ROUND(I103/(O103+(2*P103*SQRT(1+(1.5^2)))),3)</f>
        <v>0.55300000000000005</v>
      </c>
      <c r="M103" s="16">
        <v>1.7999999999999999E-2</v>
      </c>
      <c r="N103" s="23">
        <v>2.0000000000000001E-4</v>
      </c>
      <c r="O103" s="24">
        <v>1.1000000000000001</v>
      </c>
      <c r="P103" s="24">
        <v>1</v>
      </c>
      <c r="Q103" s="24">
        <v>0.06</v>
      </c>
      <c r="R103" s="24">
        <v>1.2</v>
      </c>
      <c r="S103" s="24">
        <v>1.5</v>
      </c>
      <c r="T103" s="24">
        <v>1.5</v>
      </c>
      <c r="U103" s="24">
        <v>1</v>
      </c>
      <c r="V103" s="24">
        <v>5</v>
      </c>
      <c r="W103" s="24">
        <v>2</v>
      </c>
      <c r="X103" s="24">
        <v>20</v>
      </c>
      <c r="Y103" s="24">
        <v>15</v>
      </c>
      <c r="Z103" s="23"/>
      <c r="AA103" s="4"/>
      <c r="AB103" s="166" t="s">
        <v>20</v>
      </c>
      <c r="AC103" s="16" t="s">
        <v>40</v>
      </c>
      <c r="AD103" s="16" t="s">
        <v>35</v>
      </c>
      <c r="AE103" s="22">
        <v>2420</v>
      </c>
      <c r="AF103" s="25">
        <f t="shared" ref="AF103:AF109" si="75">(O103+1.5*P103)*P103</f>
        <v>2.6</v>
      </c>
      <c r="AG103" s="19">
        <f t="shared" si="14"/>
        <v>6292</v>
      </c>
      <c r="AH103" s="19">
        <f>AG103</f>
        <v>6292</v>
      </c>
      <c r="AI103" s="19">
        <f t="shared" si="48"/>
        <v>84700</v>
      </c>
      <c r="AJ103" s="4"/>
      <c r="AK103" s="4"/>
      <c r="AL103" s="4"/>
      <c r="AM103" s="4"/>
      <c r="AN103" s="4"/>
      <c r="AO103" s="20"/>
    </row>
    <row r="104" spans="2:41" s="21" customFormat="1" ht="23.15" customHeight="1">
      <c r="B104" s="166"/>
      <c r="C104" s="48" t="s">
        <v>35</v>
      </c>
      <c r="D104" s="48" t="s">
        <v>169</v>
      </c>
      <c r="E104" s="22">
        <v>180</v>
      </c>
      <c r="F104" s="16">
        <v>1.212</v>
      </c>
      <c r="G104" s="138"/>
      <c r="H104" s="16">
        <f t="shared" si="71"/>
        <v>1.2350000000000001</v>
      </c>
      <c r="I104" s="16">
        <f t="shared" si="72"/>
        <v>2.399</v>
      </c>
      <c r="J104" s="16">
        <f t="shared" si="73"/>
        <v>0.51500000000000001</v>
      </c>
      <c r="K104" s="144">
        <v>0.7</v>
      </c>
      <c r="L104" s="16">
        <f t="shared" si="74"/>
        <v>0.53</v>
      </c>
      <c r="M104" s="16">
        <v>1.7999999999999999E-2</v>
      </c>
      <c r="N104" s="23">
        <v>2.0000000000000001E-4</v>
      </c>
      <c r="O104" s="24">
        <v>1.1000000000000001</v>
      </c>
      <c r="P104" s="24">
        <v>0.95</v>
      </c>
      <c r="Q104" s="24">
        <v>0.06</v>
      </c>
      <c r="R104" s="24">
        <v>1.1499999999999999</v>
      </c>
      <c r="S104" s="24">
        <v>1.45</v>
      </c>
      <c r="T104" s="24">
        <v>1.45</v>
      </c>
      <c r="U104" s="24">
        <v>1</v>
      </c>
      <c r="V104" s="24">
        <v>5</v>
      </c>
      <c r="W104" s="24">
        <v>5</v>
      </c>
      <c r="X104" s="24">
        <v>20</v>
      </c>
      <c r="Y104" s="24">
        <v>15</v>
      </c>
      <c r="Z104" s="23"/>
      <c r="AA104" s="4"/>
      <c r="AB104" s="166"/>
      <c r="AC104" s="16" t="s">
        <v>35</v>
      </c>
      <c r="AD104" s="16" t="s">
        <v>169</v>
      </c>
      <c r="AE104" s="22">
        <v>180</v>
      </c>
      <c r="AF104" s="25">
        <f t="shared" si="75"/>
        <v>2.3987499999999997</v>
      </c>
      <c r="AG104" s="19">
        <f t="shared" ref="AG104:AG109" si="76">AE104*AF104</f>
        <v>431.77499999999998</v>
      </c>
      <c r="AH104" s="19">
        <f t="shared" ref="AH104:AH109" si="77">AH103+AG104</f>
        <v>6723.7749999999996</v>
      </c>
      <c r="AI104" s="19">
        <f t="shared" si="48"/>
        <v>6300</v>
      </c>
      <c r="AJ104" s="4"/>
      <c r="AK104" s="4"/>
      <c r="AL104" s="4"/>
      <c r="AM104" s="4"/>
      <c r="AN104" s="4"/>
      <c r="AO104" s="20"/>
    </row>
    <row r="105" spans="2:41" s="21" customFormat="1" ht="23.15" customHeight="1">
      <c r="B105" s="166"/>
      <c r="C105" s="48" t="s">
        <v>169</v>
      </c>
      <c r="D105" s="48" t="s">
        <v>118</v>
      </c>
      <c r="E105" s="22">
        <v>900</v>
      </c>
      <c r="F105" s="16">
        <v>1.2010000000000001</v>
      </c>
      <c r="G105" s="16"/>
      <c r="H105" s="16">
        <f t="shared" si="71"/>
        <v>1.2350000000000001</v>
      </c>
      <c r="I105" s="16">
        <f t="shared" si="72"/>
        <v>2.399</v>
      </c>
      <c r="J105" s="16">
        <f t="shared" si="73"/>
        <v>0.51500000000000001</v>
      </c>
      <c r="K105" s="16"/>
      <c r="L105" s="16">
        <f t="shared" si="74"/>
        <v>0.53</v>
      </c>
      <c r="M105" s="16">
        <v>1.7999999999999999E-2</v>
      </c>
      <c r="N105" s="23">
        <v>2.0000000000000001E-4</v>
      </c>
      <c r="O105" s="24">
        <v>1.1000000000000001</v>
      </c>
      <c r="P105" s="24">
        <v>0.95</v>
      </c>
      <c r="Q105" s="24">
        <v>0.06</v>
      </c>
      <c r="R105" s="24">
        <v>1.1499999999999999</v>
      </c>
      <c r="S105" s="24">
        <v>1.45</v>
      </c>
      <c r="T105" s="24">
        <v>1.45</v>
      </c>
      <c r="U105" s="24">
        <v>1</v>
      </c>
      <c r="V105" s="24">
        <v>5</v>
      </c>
      <c r="W105" s="24">
        <v>5</v>
      </c>
      <c r="X105" s="24">
        <v>20</v>
      </c>
      <c r="Y105" s="24">
        <v>15</v>
      </c>
      <c r="Z105" s="23"/>
      <c r="AA105" s="4"/>
      <c r="AB105" s="166"/>
      <c r="AC105" s="16" t="s">
        <v>169</v>
      </c>
      <c r="AD105" s="16" t="s">
        <v>118</v>
      </c>
      <c r="AE105" s="22">
        <v>900</v>
      </c>
      <c r="AF105" s="25">
        <f t="shared" si="75"/>
        <v>2.3987499999999997</v>
      </c>
      <c r="AG105" s="19">
        <f t="shared" si="76"/>
        <v>2158.8749999999995</v>
      </c>
      <c r="AH105" s="19">
        <f t="shared" si="77"/>
        <v>8882.65</v>
      </c>
      <c r="AI105" s="19">
        <f t="shared" si="48"/>
        <v>31500</v>
      </c>
      <c r="AJ105" s="4"/>
      <c r="AK105" s="4"/>
      <c r="AL105" s="4"/>
      <c r="AM105" s="4"/>
      <c r="AN105" s="4"/>
      <c r="AO105" s="20"/>
    </row>
    <row r="106" spans="2:41" s="21" customFormat="1" ht="23.15" customHeight="1">
      <c r="B106" s="166"/>
      <c r="C106" s="48" t="s">
        <v>118</v>
      </c>
      <c r="D106" s="48" t="s">
        <v>36</v>
      </c>
      <c r="E106" s="22">
        <v>1020</v>
      </c>
      <c r="F106" s="16">
        <v>1.2010000000000001</v>
      </c>
      <c r="G106" s="16"/>
      <c r="H106" s="16">
        <f t="shared" si="71"/>
        <v>1.2350000000000001</v>
      </c>
      <c r="I106" s="16">
        <f t="shared" si="72"/>
        <v>2.399</v>
      </c>
      <c r="J106" s="16">
        <f t="shared" si="73"/>
        <v>0.51500000000000001</v>
      </c>
      <c r="K106" s="144">
        <v>0.52</v>
      </c>
      <c r="L106" s="16">
        <f t="shared" si="74"/>
        <v>0.53</v>
      </c>
      <c r="M106" s="16">
        <v>1.7999999999999999E-2</v>
      </c>
      <c r="N106" s="23">
        <v>2.0000000000000001E-4</v>
      </c>
      <c r="O106" s="24">
        <v>1.1000000000000001</v>
      </c>
      <c r="P106" s="24">
        <v>0.95</v>
      </c>
      <c r="Q106" s="24">
        <v>0.06</v>
      </c>
      <c r="R106" s="24">
        <v>1.1499999999999999</v>
      </c>
      <c r="S106" s="24">
        <v>1.45</v>
      </c>
      <c r="T106" s="24">
        <v>1.45</v>
      </c>
      <c r="U106" s="24">
        <v>1</v>
      </c>
      <c r="V106" s="24">
        <v>5</v>
      </c>
      <c r="W106" s="24">
        <v>5</v>
      </c>
      <c r="X106" s="24">
        <v>20</v>
      </c>
      <c r="Y106" s="24">
        <v>15</v>
      </c>
      <c r="Z106" s="23" t="s">
        <v>117</v>
      </c>
      <c r="AA106" s="4"/>
      <c r="AB106" s="166"/>
      <c r="AC106" s="16" t="s">
        <v>118</v>
      </c>
      <c r="AD106" s="16" t="s">
        <v>36</v>
      </c>
      <c r="AE106" s="22">
        <v>1020</v>
      </c>
      <c r="AF106" s="25">
        <f t="shared" si="75"/>
        <v>2.3987499999999997</v>
      </c>
      <c r="AG106" s="19">
        <f t="shared" si="76"/>
        <v>2446.7249999999999</v>
      </c>
      <c r="AH106" s="19">
        <f t="shared" si="77"/>
        <v>11329.375</v>
      </c>
      <c r="AI106" s="19">
        <f t="shared" si="48"/>
        <v>35700</v>
      </c>
      <c r="AJ106" s="4"/>
      <c r="AK106" s="4"/>
      <c r="AL106" s="4"/>
      <c r="AM106" s="4"/>
      <c r="AN106" s="4"/>
      <c r="AO106" s="20"/>
    </row>
    <row r="107" spans="2:41" s="21" customFormat="1" ht="23.15" customHeight="1">
      <c r="B107" s="166"/>
      <c r="C107" s="48" t="s">
        <v>36</v>
      </c>
      <c r="D107" s="48" t="s">
        <v>170</v>
      </c>
      <c r="E107" s="22">
        <v>980</v>
      </c>
      <c r="F107" s="16">
        <v>0.23699999999999999</v>
      </c>
      <c r="G107" s="138"/>
      <c r="H107" s="16">
        <f t="shared" si="71"/>
        <v>0.253</v>
      </c>
      <c r="I107" s="16">
        <f t="shared" si="72"/>
        <v>0.72899999999999998</v>
      </c>
      <c r="J107" s="16">
        <f t="shared" si="73"/>
        <v>0.34699999999999998</v>
      </c>
      <c r="K107" s="144">
        <v>0.44</v>
      </c>
      <c r="L107" s="16">
        <f t="shared" si="74"/>
        <v>0.29399999999999998</v>
      </c>
      <c r="M107" s="16">
        <v>1.7999999999999999E-2</v>
      </c>
      <c r="N107" s="23">
        <v>2.0000000000000001E-4</v>
      </c>
      <c r="O107" s="24">
        <v>0.5</v>
      </c>
      <c r="P107" s="24">
        <v>0.55000000000000004</v>
      </c>
      <c r="Q107" s="24">
        <v>0.06</v>
      </c>
      <c r="R107" s="24">
        <v>0.7</v>
      </c>
      <c r="S107" s="24">
        <v>0.95</v>
      </c>
      <c r="T107" s="24">
        <v>0.95</v>
      </c>
      <c r="U107" s="24">
        <v>0</v>
      </c>
      <c r="V107" s="24">
        <v>5</v>
      </c>
      <c r="W107" s="24">
        <v>5</v>
      </c>
      <c r="X107" s="24">
        <v>15</v>
      </c>
      <c r="Y107" s="24">
        <v>15</v>
      </c>
      <c r="Z107" s="23" t="s">
        <v>117</v>
      </c>
      <c r="AA107" s="4"/>
      <c r="AB107" s="166"/>
      <c r="AC107" s="16" t="s">
        <v>36</v>
      </c>
      <c r="AD107" s="16" t="s">
        <v>170</v>
      </c>
      <c r="AE107" s="22">
        <v>980</v>
      </c>
      <c r="AF107" s="25">
        <f t="shared" si="75"/>
        <v>0.72875000000000012</v>
      </c>
      <c r="AG107" s="19">
        <f t="shared" si="76"/>
        <v>714.17500000000007</v>
      </c>
      <c r="AH107" s="19">
        <f t="shared" si="77"/>
        <v>12043.55</v>
      </c>
      <c r="AI107" s="19">
        <f t="shared" si="48"/>
        <v>29400</v>
      </c>
      <c r="AJ107" s="4"/>
      <c r="AK107" s="4"/>
      <c r="AL107" s="4"/>
      <c r="AM107" s="4"/>
      <c r="AN107" s="4"/>
      <c r="AO107" s="20"/>
    </row>
    <row r="108" spans="2:41" s="21" customFormat="1" ht="23.15" customHeight="1">
      <c r="B108" s="166"/>
      <c r="C108" s="48" t="s">
        <v>170</v>
      </c>
      <c r="D108" s="48" t="s">
        <v>171</v>
      </c>
      <c r="E108" s="22">
        <v>1100</v>
      </c>
      <c r="F108" s="16">
        <v>0.20699999999999999</v>
      </c>
      <c r="G108" s="16"/>
      <c r="H108" s="16">
        <f t="shared" si="71"/>
        <v>0.253</v>
      </c>
      <c r="I108" s="16">
        <f t="shared" si="72"/>
        <v>0.72899999999999998</v>
      </c>
      <c r="J108" s="16">
        <f t="shared" si="73"/>
        <v>0.34699999999999998</v>
      </c>
      <c r="K108" s="16"/>
      <c r="L108" s="16">
        <f t="shared" si="74"/>
        <v>0.29399999999999998</v>
      </c>
      <c r="M108" s="16">
        <v>1.7999999999999999E-2</v>
      </c>
      <c r="N108" s="23">
        <v>2.0000000000000001E-4</v>
      </c>
      <c r="O108" s="24">
        <v>0.5</v>
      </c>
      <c r="P108" s="24">
        <v>0.55000000000000004</v>
      </c>
      <c r="Q108" s="24">
        <v>0.06</v>
      </c>
      <c r="R108" s="24">
        <v>0.7</v>
      </c>
      <c r="S108" s="24">
        <v>0.95</v>
      </c>
      <c r="T108" s="24">
        <v>0.95</v>
      </c>
      <c r="U108" s="24">
        <v>0</v>
      </c>
      <c r="V108" s="24">
        <v>5</v>
      </c>
      <c r="W108" s="24">
        <v>5</v>
      </c>
      <c r="X108" s="24">
        <v>15</v>
      </c>
      <c r="Y108" s="24">
        <v>15</v>
      </c>
      <c r="Z108" s="23" t="s">
        <v>117</v>
      </c>
      <c r="AA108" s="4"/>
      <c r="AB108" s="166"/>
      <c r="AC108" s="16" t="s">
        <v>170</v>
      </c>
      <c r="AD108" s="16" t="s">
        <v>171</v>
      </c>
      <c r="AE108" s="22">
        <v>1100</v>
      </c>
      <c r="AF108" s="25">
        <f t="shared" si="75"/>
        <v>0.72875000000000012</v>
      </c>
      <c r="AG108" s="19">
        <f t="shared" si="76"/>
        <v>801.62500000000011</v>
      </c>
      <c r="AH108" s="19">
        <f t="shared" si="77"/>
        <v>12845.174999999999</v>
      </c>
      <c r="AI108" s="19">
        <f t="shared" si="48"/>
        <v>33000</v>
      </c>
      <c r="AJ108" s="4"/>
      <c r="AK108" s="4"/>
      <c r="AL108" s="4"/>
      <c r="AM108" s="4"/>
      <c r="AN108" s="4"/>
      <c r="AO108" s="20"/>
    </row>
    <row r="109" spans="2:41" s="21" customFormat="1" ht="23.15" customHeight="1">
      <c r="B109" s="167"/>
      <c r="C109" s="48" t="s">
        <v>171</v>
      </c>
      <c r="D109" s="49" t="s">
        <v>172</v>
      </c>
      <c r="E109" s="32">
        <v>100</v>
      </c>
      <c r="F109" s="31" t="s">
        <v>115</v>
      </c>
      <c r="G109" s="139"/>
      <c r="H109" s="31">
        <f t="shared" si="71"/>
        <v>0.151</v>
      </c>
      <c r="I109" s="31">
        <f t="shared" si="72"/>
        <v>0.625</v>
      </c>
      <c r="J109" s="31">
        <f t="shared" si="73"/>
        <v>0.24199999999999999</v>
      </c>
      <c r="K109" s="31"/>
      <c r="L109" s="31">
        <f t="shared" si="74"/>
        <v>0.27100000000000002</v>
      </c>
      <c r="M109" s="31">
        <v>0.03</v>
      </c>
      <c r="N109" s="33">
        <v>2.9999999999999997E-4</v>
      </c>
      <c r="O109" s="34">
        <v>0.5</v>
      </c>
      <c r="P109" s="34">
        <v>0.5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15</v>
      </c>
      <c r="Y109" s="34">
        <v>15</v>
      </c>
      <c r="Z109" s="33" t="s">
        <v>136</v>
      </c>
      <c r="AA109" s="4"/>
      <c r="AB109" s="167"/>
      <c r="AC109" s="16" t="s">
        <v>171</v>
      </c>
      <c r="AD109" s="31" t="s">
        <v>172</v>
      </c>
      <c r="AE109" s="32">
        <v>100</v>
      </c>
      <c r="AF109" s="25">
        <f t="shared" si="75"/>
        <v>0.625</v>
      </c>
      <c r="AG109" s="19">
        <f t="shared" si="76"/>
        <v>62.5</v>
      </c>
      <c r="AH109" s="19">
        <f t="shared" si="77"/>
        <v>12907.674999999999</v>
      </c>
      <c r="AI109" s="19">
        <f t="shared" si="48"/>
        <v>3000</v>
      </c>
      <c r="AJ109" s="4"/>
      <c r="AK109" s="4"/>
      <c r="AL109" s="4"/>
      <c r="AM109" s="4"/>
      <c r="AN109" s="4"/>
      <c r="AO109" s="20"/>
    </row>
    <row r="110" spans="2:41" s="21" customFormat="1" ht="23.15" customHeight="1">
      <c r="B110" s="35"/>
      <c r="C110" s="36"/>
      <c r="D110" s="36"/>
      <c r="E110" s="3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8"/>
      <c r="AA110" s="4"/>
      <c r="AB110" s="162" t="s">
        <v>137</v>
      </c>
      <c r="AC110" s="163"/>
      <c r="AD110" s="164"/>
      <c r="AE110" s="39">
        <f>SUM(AE103:AE109)</f>
        <v>6700</v>
      </c>
      <c r="AF110" s="36"/>
      <c r="AG110" s="40">
        <f>SUM(AG103:AG109)</f>
        <v>12907.674999999999</v>
      </c>
      <c r="AH110" s="38"/>
      <c r="AI110" s="40">
        <f>SUM(AI103:AI109)</f>
        <v>223600</v>
      </c>
      <c r="AJ110" s="4"/>
      <c r="AK110" s="4"/>
      <c r="AL110" s="4"/>
      <c r="AM110" s="4"/>
      <c r="AN110" s="4"/>
      <c r="AO110" s="20"/>
    </row>
    <row r="111" spans="2:41" s="21" customFormat="1" ht="23.15" customHeight="1">
      <c r="B111" s="165" t="s">
        <v>21</v>
      </c>
      <c r="C111" s="12" t="s">
        <v>40</v>
      </c>
      <c r="D111" s="12" t="s">
        <v>173</v>
      </c>
      <c r="E111" s="13">
        <v>750</v>
      </c>
      <c r="F111" s="12">
        <v>0.79400000000000004</v>
      </c>
      <c r="G111" s="140"/>
      <c r="H111" s="12">
        <f t="shared" ref="H111:H115" si="78">ROUND(I111*J111,3)</f>
        <v>0.81499999999999995</v>
      </c>
      <c r="I111" s="12">
        <f t="shared" ref="I111:I115" si="79">ROUND((O111+(1.5*P111))*P111,3)</f>
        <v>1.76</v>
      </c>
      <c r="J111" s="12">
        <f t="shared" ref="J111:J115" si="80">ROUND((1/M111)*(L111^(2/3))*SQRT(N111),3)</f>
        <v>0.46300000000000002</v>
      </c>
      <c r="K111" s="12"/>
      <c r="L111" s="12">
        <f t="shared" ref="L111:L115" si="81">ROUND(I111/(O111+(2*P111*SQRT(1+(1.5^2)))),3)</f>
        <v>0.45300000000000001</v>
      </c>
      <c r="M111" s="12">
        <v>1.7999999999999999E-2</v>
      </c>
      <c r="N111" s="15">
        <v>2.0000000000000001E-4</v>
      </c>
      <c r="O111" s="41">
        <v>1</v>
      </c>
      <c r="P111" s="41">
        <v>0.8</v>
      </c>
      <c r="Q111" s="41">
        <v>0.06</v>
      </c>
      <c r="R111" s="41">
        <v>0.95</v>
      </c>
      <c r="S111" s="41">
        <v>1.25</v>
      </c>
      <c r="T111" s="41">
        <v>1.25</v>
      </c>
      <c r="U111" s="41">
        <v>1</v>
      </c>
      <c r="V111" s="41">
        <v>5</v>
      </c>
      <c r="W111" s="41">
        <v>5</v>
      </c>
      <c r="X111" s="41">
        <v>15</v>
      </c>
      <c r="Y111" s="41">
        <v>15</v>
      </c>
      <c r="Z111" s="15" t="s">
        <v>117</v>
      </c>
      <c r="AA111" s="4"/>
      <c r="AB111" s="165" t="s">
        <v>21</v>
      </c>
      <c r="AC111" s="44" t="str">
        <f t="shared" ref="AC111:AD115" si="82">C111</f>
        <v>0+000</v>
      </c>
      <c r="AD111" s="44" t="str">
        <f t="shared" si="82"/>
        <v>0+750</v>
      </c>
      <c r="AE111" s="45">
        <v>750</v>
      </c>
      <c r="AF111" s="42">
        <f>(O111+1.5*P111)*P111</f>
        <v>1.7600000000000002</v>
      </c>
      <c r="AG111" s="43">
        <f t="shared" ref="AG111:AG115" si="83">AE111*AF111</f>
        <v>1320.0000000000002</v>
      </c>
      <c r="AH111" s="43">
        <f>AG111</f>
        <v>1320.0000000000002</v>
      </c>
      <c r="AI111" s="43">
        <f t="shared" si="48"/>
        <v>22500</v>
      </c>
      <c r="AJ111" s="4"/>
      <c r="AK111" s="4"/>
      <c r="AL111" s="4"/>
      <c r="AM111" s="4"/>
      <c r="AN111" s="4"/>
      <c r="AO111" s="20"/>
    </row>
    <row r="112" spans="2:41" s="21" customFormat="1" ht="23.15" customHeight="1">
      <c r="B112" s="166"/>
      <c r="C112" s="16" t="s">
        <v>173</v>
      </c>
      <c r="D112" s="16" t="s">
        <v>174</v>
      </c>
      <c r="E112" s="22">
        <v>640</v>
      </c>
      <c r="F112" s="16">
        <v>0.64300000000000002</v>
      </c>
      <c r="G112" s="16"/>
      <c r="H112" s="16">
        <f t="shared" si="78"/>
        <v>0.67</v>
      </c>
      <c r="I112" s="16">
        <f t="shared" si="79"/>
        <v>1.5189999999999999</v>
      </c>
      <c r="J112" s="16">
        <f t="shared" si="80"/>
        <v>0.441</v>
      </c>
      <c r="K112" s="16"/>
      <c r="L112" s="16">
        <f t="shared" si="81"/>
        <v>0.42099999999999999</v>
      </c>
      <c r="M112" s="16">
        <v>1.7999999999999999E-2</v>
      </c>
      <c r="N112" s="23">
        <v>2.0000000000000001E-4</v>
      </c>
      <c r="O112" s="24">
        <v>0.9</v>
      </c>
      <c r="P112" s="24">
        <v>0.75</v>
      </c>
      <c r="Q112" s="24">
        <v>0.06</v>
      </c>
      <c r="R112" s="24">
        <v>0.9</v>
      </c>
      <c r="S112" s="24">
        <v>1.2</v>
      </c>
      <c r="T112" s="24">
        <v>1.2</v>
      </c>
      <c r="U112" s="24">
        <v>1</v>
      </c>
      <c r="V112" s="24">
        <v>5</v>
      </c>
      <c r="W112" s="24">
        <v>5</v>
      </c>
      <c r="X112" s="24">
        <v>15</v>
      </c>
      <c r="Y112" s="24">
        <v>15</v>
      </c>
      <c r="Z112" s="23" t="s">
        <v>117</v>
      </c>
      <c r="AA112" s="4"/>
      <c r="AB112" s="166"/>
      <c r="AC112" s="16" t="str">
        <f t="shared" si="82"/>
        <v>0+750</v>
      </c>
      <c r="AD112" s="16" t="str">
        <f t="shared" si="82"/>
        <v>1+390</v>
      </c>
      <c r="AE112" s="17">
        <v>640</v>
      </c>
      <c r="AF112" s="25">
        <f>(O112+1.5*P112)*P112</f>
        <v>1.5187499999999998</v>
      </c>
      <c r="AG112" s="19">
        <f t="shared" si="83"/>
        <v>971.99999999999989</v>
      </c>
      <c r="AH112" s="19">
        <f t="shared" ref="AH112:AH115" si="84">AH111+AG112</f>
        <v>2292</v>
      </c>
      <c r="AI112" s="19">
        <f t="shared" si="48"/>
        <v>19200</v>
      </c>
      <c r="AJ112" s="4"/>
      <c r="AK112" s="4"/>
      <c r="AL112" s="4"/>
      <c r="AM112" s="4"/>
      <c r="AN112" s="4"/>
      <c r="AO112" s="20"/>
    </row>
    <row r="113" spans="2:41" s="21" customFormat="1" ht="23.15" customHeight="1">
      <c r="B113" s="166"/>
      <c r="C113" s="16" t="s">
        <v>174</v>
      </c>
      <c r="D113" s="16" t="s">
        <v>41</v>
      </c>
      <c r="E113" s="22">
        <v>460</v>
      </c>
      <c r="F113" s="16">
        <v>0.58899999999999997</v>
      </c>
      <c r="G113" s="16"/>
      <c r="H113" s="16">
        <f t="shared" si="78"/>
        <v>0.628</v>
      </c>
      <c r="I113" s="16">
        <f t="shared" si="79"/>
        <v>1.444</v>
      </c>
      <c r="J113" s="16">
        <f t="shared" si="80"/>
        <v>0.435</v>
      </c>
      <c r="K113" s="16"/>
      <c r="L113" s="16">
        <f t="shared" si="81"/>
        <v>0.41199999999999998</v>
      </c>
      <c r="M113" s="16">
        <v>1.7999999999999999E-2</v>
      </c>
      <c r="N113" s="23">
        <v>2.0000000000000001E-4</v>
      </c>
      <c r="O113" s="24">
        <v>0.8</v>
      </c>
      <c r="P113" s="24">
        <v>0.75</v>
      </c>
      <c r="Q113" s="24">
        <v>0.06</v>
      </c>
      <c r="R113" s="24">
        <v>0.9</v>
      </c>
      <c r="S113" s="24">
        <v>1.2</v>
      </c>
      <c r="T113" s="24">
        <v>1.2</v>
      </c>
      <c r="U113" s="24">
        <v>1</v>
      </c>
      <c r="V113" s="24">
        <v>5</v>
      </c>
      <c r="W113" s="24">
        <v>5</v>
      </c>
      <c r="X113" s="24">
        <v>15</v>
      </c>
      <c r="Y113" s="24">
        <v>15</v>
      </c>
      <c r="Z113" s="23" t="s">
        <v>117</v>
      </c>
      <c r="AA113" s="4"/>
      <c r="AB113" s="166"/>
      <c r="AC113" s="16" t="str">
        <f t="shared" si="82"/>
        <v>1+390</v>
      </c>
      <c r="AD113" s="16" t="str">
        <f t="shared" si="82"/>
        <v>1+850</v>
      </c>
      <c r="AE113" s="17">
        <v>460</v>
      </c>
      <c r="AF113" s="25">
        <f>(O113+1.5*P113)*P113</f>
        <v>1.4437500000000001</v>
      </c>
      <c r="AG113" s="19">
        <f t="shared" si="83"/>
        <v>664.125</v>
      </c>
      <c r="AH113" s="19">
        <f t="shared" si="84"/>
        <v>2956.125</v>
      </c>
      <c r="AI113" s="19">
        <f t="shared" si="48"/>
        <v>13800</v>
      </c>
      <c r="AJ113" s="4"/>
      <c r="AK113" s="4"/>
      <c r="AL113" s="4"/>
      <c r="AM113" s="4"/>
      <c r="AN113" s="4"/>
      <c r="AO113" s="20"/>
    </row>
    <row r="114" spans="2:41" s="21" customFormat="1" ht="23.15" customHeight="1">
      <c r="B114" s="166"/>
      <c r="C114" s="16" t="s">
        <v>41</v>
      </c>
      <c r="D114" s="16" t="s">
        <v>169</v>
      </c>
      <c r="E114" s="22">
        <v>750</v>
      </c>
      <c r="F114" s="16">
        <v>0.33900000000000002</v>
      </c>
      <c r="G114" s="140"/>
      <c r="H114" s="16">
        <f t="shared" si="78"/>
        <v>0.39800000000000002</v>
      </c>
      <c r="I114" s="16">
        <f t="shared" si="79"/>
        <v>1.024</v>
      </c>
      <c r="J114" s="16">
        <f t="shared" si="80"/>
        <v>0.38900000000000001</v>
      </c>
      <c r="K114" s="16"/>
      <c r="L114" s="16">
        <f t="shared" si="81"/>
        <v>0.34799999999999998</v>
      </c>
      <c r="M114" s="16">
        <v>1.7999999999999999E-2</v>
      </c>
      <c r="N114" s="23">
        <v>2.0000000000000001E-4</v>
      </c>
      <c r="O114" s="24">
        <v>0.6</v>
      </c>
      <c r="P114" s="24">
        <v>0.65</v>
      </c>
      <c r="Q114" s="24">
        <v>0.06</v>
      </c>
      <c r="R114" s="24">
        <v>0.8</v>
      </c>
      <c r="S114" s="24">
        <v>1.05</v>
      </c>
      <c r="T114" s="24">
        <v>1.05</v>
      </c>
      <c r="U114" s="24">
        <v>0</v>
      </c>
      <c r="V114" s="24">
        <v>5</v>
      </c>
      <c r="W114" s="24">
        <v>5</v>
      </c>
      <c r="X114" s="24">
        <v>15</v>
      </c>
      <c r="Y114" s="24">
        <v>15</v>
      </c>
      <c r="Z114" s="23" t="s">
        <v>117</v>
      </c>
      <c r="AA114" s="4"/>
      <c r="AB114" s="166"/>
      <c r="AC114" s="16" t="str">
        <f t="shared" si="82"/>
        <v>1+850</v>
      </c>
      <c r="AD114" s="16" t="str">
        <f t="shared" si="82"/>
        <v>2+600</v>
      </c>
      <c r="AE114" s="17">
        <v>750</v>
      </c>
      <c r="AF114" s="25">
        <f>(O114+1.5*P114)*P114</f>
        <v>1.0237500000000002</v>
      </c>
      <c r="AG114" s="19">
        <f t="shared" si="83"/>
        <v>767.81250000000011</v>
      </c>
      <c r="AH114" s="19">
        <f t="shared" si="84"/>
        <v>3723.9375</v>
      </c>
      <c r="AI114" s="19">
        <f t="shared" si="48"/>
        <v>22500</v>
      </c>
      <c r="AJ114" s="4"/>
      <c r="AK114" s="4"/>
      <c r="AL114" s="4"/>
      <c r="AM114" s="4"/>
      <c r="AN114" s="4"/>
      <c r="AO114" s="20"/>
    </row>
    <row r="115" spans="2:41" s="21" customFormat="1" ht="23.15" customHeight="1">
      <c r="B115" s="167"/>
      <c r="C115" s="31" t="s">
        <v>169</v>
      </c>
      <c r="D115" s="31" t="s">
        <v>38</v>
      </c>
      <c r="E115" s="32">
        <v>400</v>
      </c>
      <c r="F115" s="31">
        <v>0.154</v>
      </c>
      <c r="G115" s="140"/>
      <c r="H115" s="31">
        <f t="shared" si="78"/>
        <v>0.20599999999999999</v>
      </c>
      <c r="I115" s="31">
        <f t="shared" si="79"/>
        <v>0.625</v>
      </c>
      <c r="J115" s="31">
        <f t="shared" si="80"/>
        <v>0.32900000000000001</v>
      </c>
      <c r="K115" s="31"/>
      <c r="L115" s="31">
        <f t="shared" si="81"/>
        <v>0.27100000000000002</v>
      </c>
      <c r="M115" s="31">
        <v>1.7999999999999999E-2</v>
      </c>
      <c r="N115" s="33">
        <v>2.0000000000000001E-4</v>
      </c>
      <c r="O115" s="34">
        <v>0.5</v>
      </c>
      <c r="P115" s="34">
        <v>0.5</v>
      </c>
      <c r="Q115" s="34">
        <v>0.06</v>
      </c>
      <c r="R115" s="34">
        <v>0.65</v>
      </c>
      <c r="S115" s="34">
        <v>0.9</v>
      </c>
      <c r="T115" s="34">
        <v>0.9</v>
      </c>
      <c r="U115" s="34">
        <v>0</v>
      </c>
      <c r="V115" s="34">
        <v>5</v>
      </c>
      <c r="W115" s="34">
        <v>5</v>
      </c>
      <c r="X115" s="34">
        <v>15</v>
      </c>
      <c r="Y115" s="34">
        <v>15</v>
      </c>
      <c r="Z115" s="33" t="s">
        <v>117</v>
      </c>
      <c r="AA115" s="4"/>
      <c r="AB115" s="167"/>
      <c r="AC115" s="31" t="str">
        <f t="shared" si="82"/>
        <v>2+600</v>
      </c>
      <c r="AD115" s="31" t="str">
        <f t="shared" si="82"/>
        <v>3+000</v>
      </c>
      <c r="AE115" s="50">
        <v>400</v>
      </c>
      <c r="AF115" s="51">
        <f>(O115+1.5*P115)*P115</f>
        <v>0.625</v>
      </c>
      <c r="AG115" s="52">
        <f t="shared" si="83"/>
        <v>250</v>
      </c>
      <c r="AH115" s="52">
        <f t="shared" si="84"/>
        <v>3973.9375</v>
      </c>
      <c r="AI115" s="52">
        <f t="shared" si="48"/>
        <v>12000</v>
      </c>
      <c r="AJ115" s="4"/>
      <c r="AK115" s="4"/>
      <c r="AL115" s="4"/>
      <c r="AM115" s="4"/>
      <c r="AN115" s="4"/>
      <c r="AO115" s="20"/>
    </row>
    <row r="116" spans="2:41" s="21" customFormat="1" ht="23.15" customHeight="1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3"/>
      <c r="O116" s="55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3"/>
      <c r="AA116" s="4"/>
      <c r="AB116" s="162" t="s">
        <v>137</v>
      </c>
      <c r="AC116" s="163"/>
      <c r="AD116" s="164"/>
      <c r="AE116" s="57">
        <f>SUM(AE111:AE115)</f>
        <v>3000</v>
      </c>
      <c r="AF116" s="36"/>
      <c r="AG116" s="40">
        <f>SUM(AG111:AG115)</f>
        <v>3973.9375</v>
      </c>
      <c r="AH116" s="38"/>
      <c r="AI116" s="40">
        <f>SUM(AI111:AI115)</f>
        <v>90000</v>
      </c>
      <c r="AJ116" s="4"/>
      <c r="AK116" s="4"/>
      <c r="AL116" s="4"/>
      <c r="AM116" s="4"/>
      <c r="AN116" s="4"/>
      <c r="AO116" s="20"/>
    </row>
    <row r="117" spans="2:41" s="21" customFormat="1" ht="23.15" customHeight="1">
      <c r="B117" s="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4"/>
      <c r="AB117" s="170" t="s">
        <v>175</v>
      </c>
      <c r="AC117" s="171"/>
      <c r="AD117" s="172"/>
      <c r="AE117" s="58">
        <f>AE31+AE44+AE48+AE51+AE63+AE68+AE75+AE84+AE92+AE95+AE99+AE102+AE110+AE116</f>
        <v>106420</v>
      </c>
      <c r="AF117" s="59"/>
      <c r="AG117" s="60">
        <f>AG31+AG44+AG48+AG51+AG63+AG68+AG75+AG84+AG92+AG95+AG99+AG102+AG110+AG116</f>
        <v>422066.49719999993</v>
      </c>
      <c r="AH117" s="61"/>
      <c r="AI117" s="60">
        <f>AI31+AI44+AI48+AI51+AI63+AI68+AI75+AI84+AI92+AI95+AI99+AI102+AI110+AI116</f>
        <v>4239575</v>
      </c>
      <c r="AJ117" s="26"/>
      <c r="AK117" s="4"/>
      <c r="AL117" s="4"/>
      <c r="AM117" s="4"/>
      <c r="AN117" s="4"/>
      <c r="AO117" s="20"/>
    </row>
    <row r="118" spans="2:41" s="21" customFormat="1" ht="23.15" customHeight="1">
      <c r="B118" s="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4"/>
      <c r="AB118" s="53"/>
      <c r="AC118" s="4"/>
      <c r="AD118" s="4"/>
      <c r="AE118" s="4"/>
      <c r="AF118" s="4"/>
      <c r="AG118" s="4"/>
      <c r="AH118" s="4"/>
      <c r="AI118" s="4"/>
      <c r="AJ118" s="62"/>
      <c r="AK118" s="4"/>
      <c r="AL118" s="4"/>
      <c r="AM118" s="4"/>
      <c r="AN118" s="4"/>
      <c r="AO118" s="20"/>
    </row>
    <row r="119" spans="2:41" s="21" customFormat="1" ht="23.15" customHeight="1">
      <c r="B119" s="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4"/>
      <c r="AA119" s="4"/>
      <c r="AB119" s="5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20"/>
    </row>
    <row r="120" spans="2:41" s="21" customFormat="1" ht="23.15" customHeight="1">
      <c r="B120" s="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4"/>
      <c r="AA120" s="4"/>
      <c r="AB120" s="5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20"/>
    </row>
    <row r="121" spans="2:41" s="21" customFormat="1" ht="23.15" customHeight="1">
      <c r="B121" s="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4"/>
      <c r="AA121" s="4"/>
      <c r="AB121" s="5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20"/>
    </row>
    <row r="122" spans="2:41" ht="23.15" customHeight="1">
      <c r="B122" s="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4"/>
      <c r="AA122" s="4"/>
      <c r="AB122" s="5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6"/>
    </row>
    <row r="123" spans="2:41" ht="23.15" customHeight="1">
      <c r="B123" s="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4"/>
      <c r="AA123" s="4"/>
      <c r="AB123" s="5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6"/>
    </row>
    <row r="124" spans="2:41" ht="23.15" customHeight="1">
      <c r="B124" s="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4"/>
      <c r="AA124" s="4"/>
      <c r="AB124" s="5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6"/>
    </row>
    <row r="125" spans="2:41" ht="23.15" customHeight="1">
      <c r="B125" s="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4"/>
      <c r="AA125" s="4"/>
      <c r="AB125" s="5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6"/>
    </row>
    <row r="126" spans="2:41" ht="23.15" customHeight="1">
      <c r="B126" s="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4"/>
      <c r="AA126" s="4"/>
      <c r="AB126" s="5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6"/>
    </row>
    <row r="127" spans="2:41" ht="23.15" customHeight="1">
      <c r="B127" s="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4"/>
      <c r="AA127" s="4"/>
      <c r="AB127" s="5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6"/>
    </row>
    <row r="128" spans="2:41" ht="23.15" customHeight="1">
      <c r="B128" s="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4"/>
      <c r="AA128" s="4"/>
      <c r="AB128" s="5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6"/>
    </row>
    <row r="129" spans="2:41" ht="23.15" customHeight="1">
      <c r="B129" s="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4"/>
      <c r="AA129" s="4"/>
      <c r="AB129" s="5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</row>
    <row r="130" spans="2:41" ht="23.15" customHeight="1">
      <c r="B130" s="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4"/>
      <c r="AA130" s="4"/>
      <c r="AB130" s="5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</row>
    <row r="131" spans="2:41" ht="23.15" customHeight="1">
      <c r="B131" s="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4"/>
      <c r="AA131" s="4"/>
      <c r="AB131" s="5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</row>
    <row r="132" spans="2:41" ht="23.15" customHeight="1">
      <c r="B132" s="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4"/>
      <c r="AA132" s="4"/>
      <c r="AB132" s="5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</row>
    <row r="133" spans="2:41" ht="23.15" customHeight="1">
      <c r="B133" s="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4"/>
      <c r="AA133" s="4"/>
      <c r="AB133" s="5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6"/>
    </row>
    <row r="134" spans="2:41" ht="23.1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6"/>
    </row>
    <row r="135" spans="2:41" ht="23.15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6"/>
    </row>
    <row r="136" spans="2:41" ht="23.15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6"/>
    </row>
    <row r="137" spans="2:41" ht="23.15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6"/>
    </row>
    <row r="138" spans="2:41" ht="23.1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6"/>
    </row>
    <row r="139" spans="2:41" ht="23.15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6"/>
    </row>
    <row r="140" spans="2:41" ht="23.15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6"/>
    </row>
    <row r="141" spans="2:41" ht="23.15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6"/>
    </row>
    <row r="142" spans="2:41" ht="23.15" customHeight="1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2:41" ht="23.15" customHeight="1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4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2:41" ht="23.15" customHeight="1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4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2:40" ht="23.15" customHeight="1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4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2:40" ht="23.15" customHeight="1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4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2:40" ht="23.15" customHeight="1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4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2:40" ht="23.15" customHeight="1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4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2:40" ht="23.15" customHeight="1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2:40" ht="23.15" customHeight="1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4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2:40" ht="23.15" customHeight="1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4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2:40" ht="23.15" customHeight="1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4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2:40" ht="23.15" customHeight="1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4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2:40" ht="23.15" customHeight="1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4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2:40" ht="23.15" customHeight="1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4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</row>
    <row r="156" spans="2:40" ht="23.15" customHeight="1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4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</row>
    <row r="157" spans="2:40" ht="23.15" customHeight="1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4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</row>
    <row r="158" spans="2:40" ht="23.15" customHeight="1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4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</row>
    <row r="159" spans="2:40" ht="23.15" customHeight="1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4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</row>
    <row r="160" spans="2:40" ht="23.15" customHeight="1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4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</row>
    <row r="161" spans="2:40" ht="23.15" customHeight="1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4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</row>
    <row r="162" spans="2:40" ht="23.15" customHeight="1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4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</row>
    <row r="163" spans="2:40" ht="23.15" customHeight="1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4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</row>
    <row r="164" spans="2:40" ht="23.15" customHeight="1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4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</row>
    <row r="165" spans="2:40" ht="23.15" customHeight="1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4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</row>
    <row r="166" spans="2:40" ht="23.15" customHeight="1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4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</row>
    <row r="167" spans="2:40" ht="23.15" customHeight="1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4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</row>
    <row r="168" spans="2:40" ht="23.15" customHeight="1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4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</row>
    <row r="169" spans="2:40" ht="23.15" customHeight="1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4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</row>
    <row r="170" spans="2:40" ht="23.15" customHeight="1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4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</row>
    <row r="171" spans="2:40" ht="23.15" customHeight="1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4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</row>
    <row r="172" spans="2:40" ht="23.15" customHeight="1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4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</row>
    <row r="173" spans="2:40" ht="23.15" customHeight="1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4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</row>
    <row r="174" spans="2:40" ht="23.15" customHeight="1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4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</row>
    <row r="175" spans="2:40" ht="23.15" customHeight="1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4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</row>
    <row r="176" spans="2:40" ht="23.15" customHeight="1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4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</row>
    <row r="177" spans="2:40" ht="23.15" customHeight="1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4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</row>
    <row r="178" spans="2:40" ht="23.15" customHeight="1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4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</row>
    <row r="179" spans="2:40" ht="23.15" customHeight="1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4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</row>
    <row r="180" spans="2:40" ht="23.15" customHeight="1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4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</row>
    <row r="181" spans="2:40" ht="23.15" customHeight="1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4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</row>
    <row r="182" spans="2:40" ht="23.15" customHeight="1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4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</row>
    <row r="183" spans="2:40" ht="23.15" customHeight="1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4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</row>
    <row r="184" spans="2:40" ht="23.15" customHeight="1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4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</row>
    <row r="185" spans="2:40" ht="23.15" customHeight="1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4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</row>
    <row r="186" spans="2:40" ht="23.15" customHeight="1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4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</row>
    <row r="187" spans="2:40" ht="23.15" customHeight="1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</row>
    <row r="188" spans="2:40" ht="23.15" customHeight="1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4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</row>
    <row r="189" spans="2:40" ht="23.15" customHeight="1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4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</row>
    <row r="190" spans="2:40" ht="23.15" customHeight="1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4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</row>
    <row r="191" spans="2:40" ht="23.15" customHeight="1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4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</row>
    <row r="192" spans="2:40" ht="20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4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</row>
    <row r="193" spans="2:40" ht="20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</row>
    <row r="194" spans="2:40" ht="20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4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</row>
    <row r="195" spans="2:40" ht="20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4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</row>
    <row r="196" spans="2:40" ht="20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4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</row>
    <row r="197" spans="2:40" ht="20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4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</row>
    <row r="198" spans="2:40" ht="20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4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</row>
    <row r="199" spans="2:40" ht="20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4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</row>
    <row r="200" spans="2:40" ht="20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4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</row>
    <row r="201" spans="2:40" ht="20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4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</row>
    <row r="202" spans="2:40" ht="20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4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</row>
    <row r="203" spans="2:40" ht="20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4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</row>
    <row r="204" spans="2:40" ht="20.5"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B204" s="64"/>
      <c r="AC204" s="63"/>
      <c r="AD204" s="63"/>
      <c r="AE204" s="63"/>
      <c r="AF204" s="63"/>
      <c r="AG204" s="63"/>
      <c r="AH204" s="63"/>
    </row>
    <row r="205" spans="2:40" ht="20.5"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B205" s="64"/>
      <c r="AC205" s="63"/>
      <c r="AD205" s="63"/>
      <c r="AE205" s="63"/>
      <c r="AF205" s="63"/>
      <c r="AG205" s="63"/>
      <c r="AH205" s="63"/>
    </row>
    <row r="206" spans="2:40" ht="20.5"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B206" s="64"/>
      <c r="AC206" s="63"/>
      <c r="AD206" s="63"/>
      <c r="AE206" s="63"/>
      <c r="AF206" s="63"/>
      <c r="AG206" s="63"/>
      <c r="AH206" s="63"/>
    </row>
    <row r="207" spans="2:40" ht="20.5"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B207" s="64"/>
      <c r="AC207" s="63"/>
      <c r="AD207" s="63"/>
      <c r="AE207" s="63"/>
      <c r="AF207" s="63"/>
      <c r="AG207" s="63"/>
      <c r="AH207" s="63"/>
    </row>
    <row r="208" spans="2:40" ht="20.5"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B208" s="64"/>
      <c r="AC208" s="63"/>
      <c r="AD208" s="63"/>
      <c r="AE208" s="63"/>
      <c r="AF208" s="63"/>
      <c r="AG208" s="63"/>
      <c r="AH208" s="63"/>
    </row>
    <row r="209" spans="2:34" ht="20.5"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B209" s="64"/>
      <c r="AC209" s="63"/>
      <c r="AD209" s="63"/>
      <c r="AE209" s="63"/>
      <c r="AF209" s="63"/>
      <c r="AG209" s="63"/>
      <c r="AH209" s="63"/>
    </row>
    <row r="210" spans="2:34" ht="20.5"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B210" s="64"/>
      <c r="AC210" s="63"/>
      <c r="AD210" s="63"/>
      <c r="AE210" s="63"/>
      <c r="AF210" s="63"/>
      <c r="AG210" s="63"/>
      <c r="AH210" s="63"/>
    </row>
    <row r="211" spans="2:34" ht="20.5"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B211" s="64"/>
      <c r="AC211" s="63"/>
      <c r="AD211" s="63"/>
      <c r="AE211" s="63"/>
      <c r="AF211" s="63"/>
      <c r="AG211" s="63"/>
      <c r="AH211" s="63"/>
    </row>
    <row r="212" spans="2:34" ht="20.5"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B212" s="64"/>
      <c r="AC212" s="63"/>
      <c r="AD212" s="63"/>
      <c r="AE212" s="63"/>
      <c r="AF212" s="63"/>
      <c r="AG212" s="63"/>
      <c r="AH212" s="63"/>
    </row>
    <row r="213" spans="2:34" ht="20.5"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B213" s="64"/>
      <c r="AC213" s="63"/>
      <c r="AD213" s="63"/>
      <c r="AE213" s="63"/>
      <c r="AF213" s="63"/>
      <c r="AG213" s="63"/>
      <c r="AH213" s="63"/>
    </row>
    <row r="214" spans="2:34" ht="20.5"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B214" s="64"/>
      <c r="AC214" s="63"/>
      <c r="AD214" s="63"/>
      <c r="AE214" s="63"/>
      <c r="AF214" s="63"/>
      <c r="AG214" s="63"/>
      <c r="AH214" s="63"/>
    </row>
    <row r="215" spans="2:34" ht="20.5"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B215" s="64"/>
      <c r="AC215" s="63"/>
      <c r="AD215" s="63"/>
      <c r="AE215" s="63"/>
      <c r="AF215" s="63"/>
      <c r="AG215" s="63"/>
      <c r="AH215" s="63"/>
    </row>
    <row r="216" spans="2:34" ht="20.5"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B216" s="64"/>
      <c r="AC216" s="63"/>
      <c r="AD216" s="63"/>
      <c r="AE216" s="63"/>
      <c r="AF216" s="63"/>
      <c r="AG216" s="63"/>
      <c r="AH216" s="63"/>
    </row>
    <row r="217" spans="2:34" ht="20.5"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B217" s="64"/>
      <c r="AC217" s="63"/>
      <c r="AD217" s="63"/>
      <c r="AE217" s="63"/>
      <c r="AF217" s="63"/>
      <c r="AG217" s="63"/>
      <c r="AH217" s="63"/>
    </row>
    <row r="218" spans="2:34" ht="20.5"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B218" s="64"/>
      <c r="AC218" s="63"/>
      <c r="AD218" s="63"/>
      <c r="AE218" s="63"/>
      <c r="AF218" s="63"/>
      <c r="AG218" s="63"/>
      <c r="AH218" s="63"/>
    </row>
    <row r="219" spans="2:34" ht="20.5"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B219" s="64"/>
      <c r="AC219" s="63"/>
      <c r="AD219" s="63"/>
      <c r="AE219" s="63"/>
      <c r="AF219" s="63"/>
      <c r="AG219" s="63"/>
      <c r="AH219" s="63"/>
    </row>
    <row r="220" spans="2:34" ht="20.5"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B220" s="64"/>
      <c r="AC220" s="63"/>
      <c r="AD220" s="63"/>
      <c r="AE220" s="63"/>
      <c r="AF220" s="63"/>
      <c r="AG220" s="63"/>
      <c r="AH220" s="63"/>
    </row>
    <row r="221" spans="2:34" ht="20.5"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B221" s="64"/>
      <c r="AC221" s="63"/>
      <c r="AD221" s="63"/>
      <c r="AE221" s="63"/>
      <c r="AF221" s="63"/>
      <c r="AG221" s="63"/>
      <c r="AH221" s="63"/>
    </row>
    <row r="222" spans="2:34" ht="20.5"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B222" s="64"/>
      <c r="AC222" s="63"/>
      <c r="AD222" s="63"/>
      <c r="AE222" s="63"/>
      <c r="AF222" s="63"/>
      <c r="AG222" s="63"/>
      <c r="AH222" s="63"/>
    </row>
    <row r="223" spans="2:34" ht="20.5"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B223" s="64"/>
      <c r="AC223" s="63"/>
      <c r="AD223" s="63"/>
      <c r="AE223" s="63"/>
      <c r="AF223" s="63"/>
      <c r="AG223" s="63"/>
      <c r="AH223" s="63"/>
    </row>
    <row r="224" spans="2:34" ht="20.5"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B224" s="64"/>
      <c r="AC224" s="63"/>
      <c r="AD224" s="63"/>
      <c r="AE224" s="63"/>
      <c r="AF224" s="63"/>
      <c r="AG224" s="63"/>
      <c r="AH224" s="63"/>
    </row>
    <row r="225" spans="2:34" ht="20.5"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B225" s="64"/>
      <c r="AC225" s="63"/>
      <c r="AD225" s="63"/>
      <c r="AE225" s="63"/>
      <c r="AF225" s="63"/>
      <c r="AG225" s="63"/>
      <c r="AH225" s="63"/>
    </row>
    <row r="226" spans="2:34" ht="20.5"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B226" s="64"/>
      <c r="AC226" s="63"/>
      <c r="AD226" s="63"/>
      <c r="AE226" s="63"/>
      <c r="AF226" s="63"/>
      <c r="AG226" s="63"/>
      <c r="AH226" s="63"/>
    </row>
    <row r="227" spans="2:34" ht="20.5"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B227" s="64"/>
      <c r="AC227" s="63"/>
      <c r="AD227" s="63"/>
      <c r="AE227" s="63"/>
      <c r="AF227" s="63"/>
      <c r="AG227" s="63"/>
      <c r="AH227" s="63"/>
    </row>
    <row r="228" spans="2:34" ht="20.5"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B228" s="64"/>
      <c r="AC228" s="63"/>
      <c r="AD228" s="63"/>
      <c r="AE228" s="63"/>
      <c r="AF228" s="63"/>
      <c r="AG228" s="63"/>
      <c r="AH228" s="63"/>
    </row>
    <row r="229" spans="2:34" ht="20.5"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B229" s="64"/>
      <c r="AC229" s="63"/>
      <c r="AD229" s="63"/>
      <c r="AE229" s="63"/>
      <c r="AF229" s="63"/>
      <c r="AG229" s="63"/>
      <c r="AH229" s="63"/>
    </row>
    <row r="230" spans="2:34" ht="20.5"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B230" s="64"/>
      <c r="AC230" s="63"/>
      <c r="AD230" s="63"/>
      <c r="AE230" s="63"/>
      <c r="AF230" s="63"/>
      <c r="AG230" s="63"/>
      <c r="AH230" s="63"/>
    </row>
    <row r="231" spans="2:34" ht="20.5"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B231" s="64"/>
      <c r="AC231" s="63"/>
      <c r="AD231" s="63"/>
      <c r="AE231" s="63"/>
      <c r="AF231" s="63"/>
      <c r="AG231" s="63"/>
      <c r="AH231" s="63"/>
    </row>
    <row r="232" spans="2:34" ht="20.5"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B232" s="64"/>
      <c r="AC232" s="63"/>
      <c r="AD232" s="63"/>
      <c r="AE232" s="63"/>
      <c r="AF232" s="63"/>
      <c r="AG232" s="63"/>
      <c r="AH232" s="63"/>
    </row>
    <row r="233" spans="2:34" ht="20.5"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B233" s="64"/>
      <c r="AC233" s="63"/>
      <c r="AD233" s="63"/>
      <c r="AE233" s="63"/>
      <c r="AF233" s="63"/>
      <c r="AG233" s="63"/>
      <c r="AH233" s="63"/>
    </row>
    <row r="234" spans="2:34" ht="20.5"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B234" s="64"/>
      <c r="AC234" s="63"/>
      <c r="AD234" s="63"/>
      <c r="AE234" s="63"/>
      <c r="AF234" s="63"/>
      <c r="AG234" s="63"/>
      <c r="AH234" s="63"/>
    </row>
    <row r="235" spans="2:34" ht="20.5"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B235" s="64"/>
      <c r="AC235" s="63"/>
      <c r="AD235" s="63"/>
      <c r="AE235" s="63"/>
      <c r="AF235" s="63"/>
      <c r="AG235" s="63"/>
      <c r="AH235" s="63"/>
    </row>
    <row r="236" spans="2:34" ht="20.5"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B236" s="64"/>
      <c r="AC236" s="63"/>
      <c r="AD236" s="63"/>
      <c r="AE236" s="63"/>
      <c r="AF236" s="63"/>
      <c r="AG236" s="63"/>
      <c r="AH236" s="63"/>
    </row>
    <row r="237" spans="2:34" ht="20.5"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B237" s="64"/>
      <c r="AC237" s="63"/>
      <c r="AD237" s="63"/>
      <c r="AE237" s="63"/>
      <c r="AF237" s="63"/>
      <c r="AG237" s="63"/>
      <c r="AH237" s="63"/>
    </row>
    <row r="238" spans="2:34" ht="20.5"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B238" s="64"/>
      <c r="AC238" s="63"/>
      <c r="AD238" s="63"/>
      <c r="AE238" s="63"/>
      <c r="AF238" s="63"/>
      <c r="AG238" s="63"/>
      <c r="AH238" s="63"/>
    </row>
    <row r="239" spans="2:34" ht="20.5"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B239" s="64"/>
      <c r="AC239" s="63"/>
      <c r="AD239" s="63"/>
      <c r="AE239" s="63"/>
      <c r="AF239" s="63"/>
      <c r="AG239" s="63"/>
      <c r="AH239" s="63"/>
    </row>
    <row r="240" spans="2:34" ht="20.5"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B240" s="64"/>
      <c r="AC240" s="63"/>
      <c r="AD240" s="63"/>
      <c r="AE240" s="63"/>
      <c r="AF240" s="63"/>
      <c r="AG240" s="63"/>
      <c r="AH240" s="63"/>
    </row>
    <row r="241" spans="2:34" ht="20.5"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B241" s="64"/>
      <c r="AC241" s="63"/>
      <c r="AD241" s="63"/>
      <c r="AE241" s="63"/>
      <c r="AF241" s="63"/>
      <c r="AG241" s="63"/>
      <c r="AH241" s="63"/>
    </row>
    <row r="242" spans="2:34" ht="20.5"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B242" s="64"/>
      <c r="AC242" s="63"/>
      <c r="AD242" s="63"/>
      <c r="AE242" s="63"/>
      <c r="AF242" s="63"/>
      <c r="AG242" s="63"/>
      <c r="AH242" s="63"/>
    </row>
    <row r="243" spans="2:34" ht="20.5"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B243" s="64"/>
      <c r="AC243" s="63"/>
      <c r="AD243" s="63"/>
      <c r="AE243" s="63"/>
      <c r="AF243" s="63"/>
      <c r="AG243" s="63"/>
      <c r="AH243" s="63"/>
    </row>
    <row r="244" spans="2:34" ht="20.5"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B244" s="64"/>
      <c r="AC244" s="63"/>
      <c r="AD244" s="63"/>
      <c r="AE244" s="63"/>
      <c r="AF244" s="63"/>
      <c r="AG244" s="63"/>
      <c r="AH244" s="63"/>
    </row>
    <row r="245" spans="2:34" ht="20.5"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B245" s="64"/>
      <c r="AC245" s="63"/>
      <c r="AD245" s="63"/>
      <c r="AE245" s="63"/>
      <c r="AF245" s="63"/>
      <c r="AG245" s="63"/>
      <c r="AH245" s="63"/>
    </row>
    <row r="246" spans="2:34" ht="20.5"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B246" s="64"/>
      <c r="AC246" s="63"/>
      <c r="AD246" s="63"/>
      <c r="AE246" s="63"/>
      <c r="AF246" s="63"/>
      <c r="AG246" s="63"/>
      <c r="AH246" s="63"/>
    </row>
    <row r="247" spans="2:34" ht="20.5"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B247" s="64"/>
      <c r="AC247" s="63"/>
      <c r="AD247" s="63"/>
      <c r="AE247" s="63"/>
      <c r="AF247" s="63"/>
      <c r="AG247" s="63"/>
      <c r="AH247" s="63"/>
    </row>
    <row r="248" spans="2:34" ht="20.5"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B248" s="64"/>
      <c r="AC248" s="63"/>
      <c r="AD248" s="63"/>
      <c r="AE248" s="63"/>
      <c r="AF248" s="63"/>
      <c r="AG248" s="63"/>
      <c r="AH248" s="63"/>
    </row>
    <row r="249" spans="2:34" ht="20.5"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B249" s="64"/>
      <c r="AC249" s="63"/>
      <c r="AD249" s="63"/>
      <c r="AE249" s="63"/>
      <c r="AF249" s="63"/>
      <c r="AG249" s="63"/>
      <c r="AH249" s="63"/>
    </row>
    <row r="250" spans="2:34" ht="20.5"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B250" s="64"/>
      <c r="AC250" s="63"/>
      <c r="AD250" s="63"/>
      <c r="AE250" s="63"/>
      <c r="AF250" s="63"/>
      <c r="AG250" s="63"/>
      <c r="AH250" s="63"/>
    </row>
    <row r="251" spans="2:34" ht="20.5"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B251" s="64"/>
      <c r="AC251" s="63"/>
      <c r="AD251" s="63"/>
      <c r="AE251" s="63"/>
      <c r="AF251" s="63"/>
      <c r="AG251" s="63"/>
      <c r="AH251" s="63"/>
    </row>
    <row r="252" spans="2:34" ht="20.5"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B252" s="64"/>
      <c r="AC252" s="63"/>
      <c r="AD252" s="63"/>
      <c r="AE252" s="63"/>
      <c r="AF252" s="63"/>
      <c r="AG252" s="63"/>
      <c r="AH252" s="63"/>
    </row>
    <row r="253" spans="2:34" ht="20.5"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B253" s="64"/>
      <c r="AC253" s="63"/>
      <c r="AD253" s="63"/>
      <c r="AE253" s="63"/>
      <c r="AF253" s="63"/>
      <c r="AG253" s="63"/>
      <c r="AH253" s="63"/>
    </row>
    <row r="254" spans="2:34" ht="20.5"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B254" s="64"/>
      <c r="AC254" s="63"/>
      <c r="AD254" s="63"/>
      <c r="AE254" s="63"/>
      <c r="AF254" s="63"/>
      <c r="AG254" s="63"/>
      <c r="AH254" s="63"/>
    </row>
    <row r="255" spans="2:34" ht="20.5"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B255" s="64"/>
      <c r="AC255" s="63"/>
      <c r="AD255" s="63"/>
      <c r="AE255" s="63"/>
      <c r="AF255" s="63"/>
      <c r="AG255" s="63"/>
      <c r="AH255" s="63"/>
    </row>
    <row r="256" spans="2:34" ht="20.5"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B256" s="64"/>
      <c r="AC256" s="63"/>
      <c r="AD256" s="63"/>
      <c r="AE256" s="63"/>
      <c r="AF256" s="63"/>
      <c r="AG256" s="63"/>
      <c r="AH256" s="63"/>
    </row>
    <row r="257" spans="2:34" ht="20.5"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B257" s="64"/>
      <c r="AC257" s="63"/>
      <c r="AD257" s="63"/>
      <c r="AE257" s="63"/>
      <c r="AF257" s="63"/>
      <c r="AG257" s="63"/>
      <c r="AH257" s="63"/>
    </row>
    <row r="258" spans="2:34" ht="20.5"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B258" s="64"/>
      <c r="AC258" s="63"/>
      <c r="AD258" s="63"/>
      <c r="AE258" s="63"/>
      <c r="AF258" s="63"/>
      <c r="AG258" s="63"/>
      <c r="AH258" s="63"/>
    </row>
    <row r="259" spans="2:34" ht="20.5"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B259" s="64"/>
      <c r="AC259" s="63"/>
      <c r="AD259" s="63"/>
      <c r="AE259" s="63"/>
      <c r="AF259" s="63"/>
      <c r="AG259" s="63"/>
      <c r="AH259" s="63"/>
    </row>
    <row r="260" spans="2:34" ht="20.5"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B260" s="64"/>
      <c r="AC260" s="63"/>
      <c r="AD260" s="63"/>
      <c r="AE260" s="63"/>
      <c r="AF260" s="63"/>
      <c r="AG260" s="63"/>
      <c r="AH260" s="63"/>
    </row>
    <row r="261" spans="2:34" ht="20.5"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B261" s="64"/>
      <c r="AC261" s="63"/>
      <c r="AD261" s="63"/>
      <c r="AE261" s="63"/>
      <c r="AF261" s="63"/>
      <c r="AG261" s="63"/>
      <c r="AH261" s="63"/>
    </row>
    <row r="262" spans="2:34" ht="20.5"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B262" s="64"/>
      <c r="AC262" s="63"/>
      <c r="AD262" s="63"/>
      <c r="AE262" s="63"/>
      <c r="AF262" s="63"/>
      <c r="AG262" s="63"/>
      <c r="AH262" s="63"/>
    </row>
    <row r="263" spans="2:34" ht="20.5"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B263" s="64"/>
      <c r="AC263" s="63"/>
      <c r="AD263" s="63"/>
      <c r="AE263" s="63"/>
      <c r="AF263" s="63"/>
      <c r="AG263" s="63"/>
      <c r="AH263" s="63"/>
    </row>
    <row r="264" spans="2:34" ht="20.5"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B264" s="64"/>
      <c r="AC264" s="63"/>
      <c r="AD264" s="63"/>
      <c r="AE264" s="63"/>
      <c r="AF264" s="63"/>
      <c r="AG264" s="63"/>
      <c r="AH264" s="63"/>
    </row>
    <row r="265" spans="2:34" ht="20.5"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B265" s="64"/>
      <c r="AC265" s="63"/>
      <c r="AD265" s="63"/>
      <c r="AE265" s="63"/>
      <c r="AF265" s="63"/>
      <c r="AG265" s="63"/>
      <c r="AH265" s="63"/>
    </row>
    <row r="266" spans="2:34" ht="20.5"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B266" s="64"/>
      <c r="AC266" s="63"/>
      <c r="AD266" s="63"/>
      <c r="AE266" s="63"/>
      <c r="AF266" s="63"/>
      <c r="AG266" s="63"/>
      <c r="AH266" s="63"/>
    </row>
    <row r="267" spans="2:34" ht="20.5"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B267" s="64"/>
      <c r="AC267" s="63"/>
      <c r="AD267" s="63"/>
      <c r="AE267" s="63"/>
      <c r="AF267" s="63"/>
      <c r="AG267" s="63"/>
      <c r="AH267" s="63"/>
    </row>
    <row r="268" spans="2:34" ht="20.5"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B268" s="64"/>
      <c r="AC268" s="63"/>
      <c r="AD268" s="63"/>
      <c r="AE268" s="63"/>
      <c r="AF268" s="63"/>
      <c r="AG268" s="63"/>
      <c r="AH268" s="63"/>
    </row>
    <row r="269" spans="2:34" ht="20.5"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B269" s="64"/>
      <c r="AC269" s="63"/>
      <c r="AD269" s="63"/>
      <c r="AE269" s="63"/>
      <c r="AF269" s="63"/>
      <c r="AG269" s="63"/>
      <c r="AH269" s="63"/>
    </row>
    <row r="270" spans="2:34" ht="20.5"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B270" s="64"/>
      <c r="AC270" s="63"/>
      <c r="AD270" s="63"/>
      <c r="AE270" s="63"/>
      <c r="AF270" s="63"/>
      <c r="AG270" s="63"/>
      <c r="AH270" s="63"/>
    </row>
    <row r="271" spans="2:34" ht="20.5"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B271" s="64"/>
      <c r="AC271" s="63"/>
      <c r="AD271" s="63"/>
      <c r="AE271" s="63"/>
      <c r="AF271" s="63"/>
      <c r="AG271" s="63"/>
      <c r="AH271" s="63"/>
    </row>
    <row r="272" spans="2:34" ht="20.5"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B272" s="64"/>
      <c r="AC272" s="63"/>
      <c r="AD272" s="63"/>
      <c r="AE272" s="63"/>
      <c r="AF272" s="63"/>
      <c r="AG272" s="63"/>
      <c r="AH272" s="63"/>
    </row>
    <row r="273" spans="2:34" ht="20.5"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B273" s="64"/>
      <c r="AC273" s="63"/>
      <c r="AD273" s="63"/>
      <c r="AE273" s="63"/>
      <c r="AF273" s="63"/>
      <c r="AG273" s="63"/>
      <c r="AH273" s="63"/>
    </row>
    <row r="274" spans="2:34" ht="20.5"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B274" s="64"/>
      <c r="AC274" s="63"/>
      <c r="AD274" s="63"/>
      <c r="AE274" s="63"/>
      <c r="AF274" s="63"/>
      <c r="AG274" s="63"/>
      <c r="AH274" s="63"/>
    </row>
    <row r="275" spans="2:34" ht="20.5"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B275" s="64"/>
      <c r="AC275" s="63"/>
      <c r="AD275" s="63"/>
      <c r="AE275" s="63"/>
      <c r="AF275" s="63"/>
      <c r="AG275" s="63"/>
      <c r="AH275" s="63"/>
    </row>
    <row r="276" spans="2:34" ht="20.5"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B276" s="64"/>
      <c r="AC276" s="63"/>
      <c r="AD276" s="63"/>
      <c r="AE276" s="63"/>
      <c r="AF276" s="63"/>
      <c r="AG276" s="63"/>
      <c r="AH276" s="63"/>
    </row>
    <row r="277" spans="2:34" ht="20.5"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B277" s="64"/>
      <c r="AC277" s="63"/>
      <c r="AD277" s="63"/>
      <c r="AE277" s="63"/>
      <c r="AF277" s="63"/>
      <c r="AG277" s="63"/>
      <c r="AH277" s="63"/>
    </row>
    <row r="278" spans="2:34" ht="20.5"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B278" s="64"/>
      <c r="AC278" s="63"/>
      <c r="AD278" s="63"/>
      <c r="AE278" s="63"/>
      <c r="AF278" s="63"/>
      <c r="AG278" s="63"/>
      <c r="AH278" s="63"/>
    </row>
    <row r="279" spans="2:34" ht="20.5"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B279" s="64"/>
      <c r="AC279" s="63"/>
      <c r="AD279" s="63"/>
      <c r="AE279" s="63"/>
      <c r="AF279" s="63"/>
      <c r="AG279" s="63"/>
      <c r="AH279" s="63"/>
    </row>
    <row r="280" spans="2:34" ht="20.5"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B280" s="64"/>
      <c r="AC280" s="63"/>
      <c r="AD280" s="63"/>
      <c r="AE280" s="63"/>
      <c r="AF280" s="63"/>
      <c r="AG280" s="63"/>
      <c r="AH280" s="63"/>
    </row>
    <row r="281" spans="2:34" ht="18.5"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2:34" ht="18.5"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2:34" ht="18.5"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2:34" ht="18.5"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2:34" ht="18.5"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2:34" ht="18.5"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2:34" ht="18.5"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2:34" ht="18.5"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2:26" ht="18.5"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2:26" ht="18.5"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2:26" ht="18.5"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2:26" ht="18.5"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2:26" ht="18.5"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2:26" ht="18.5"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2:26" ht="18.5"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2:26" ht="18.5"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2:26" ht="18.5"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2:26" ht="18.5"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2:26" ht="18.5"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2:26" ht="18.5"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2:26" ht="18.5"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2:26" ht="18.5"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2:26" ht="18.5"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2:26" ht="18.5"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2:26" ht="18.5"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2:26" ht="18.5"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2:26" ht="18.5"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2:26" ht="18.5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2:26" ht="18.5"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2:26" ht="18.5"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2:26" ht="18.5"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2:26" ht="18.5"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2:26" ht="18.5"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2:26" ht="18.5"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2:26" ht="18.5"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2:26" ht="18.5"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2:26" ht="18.5"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2:26" ht="18.5"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2:26" ht="18.5"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2:26" ht="18.5"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2:26" ht="18.5"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2:26" ht="18.5"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</sheetData>
  <mergeCells count="49">
    <mergeCell ref="AB117:AD117"/>
    <mergeCell ref="B103:B109"/>
    <mergeCell ref="AB103:AB109"/>
    <mergeCell ref="AB110:AD110"/>
    <mergeCell ref="B111:B115"/>
    <mergeCell ref="AB111:AB115"/>
    <mergeCell ref="AB116:AD116"/>
    <mergeCell ref="AB102:AD102"/>
    <mergeCell ref="B85:B91"/>
    <mergeCell ref="AB85:AB91"/>
    <mergeCell ref="AB92:AD92"/>
    <mergeCell ref="B93:B94"/>
    <mergeCell ref="AB93:AB94"/>
    <mergeCell ref="AB95:AD95"/>
    <mergeCell ref="B96:B98"/>
    <mergeCell ref="AB96:AB98"/>
    <mergeCell ref="AB99:AD99"/>
    <mergeCell ref="B100:B101"/>
    <mergeCell ref="AB100:AB101"/>
    <mergeCell ref="AB84:AD84"/>
    <mergeCell ref="B52:B62"/>
    <mergeCell ref="AB52:AB62"/>
    <mergeCell ref="AB63:AD63"/>
    <mergeCell ref="B64:B67"/>
    <mergeCell ref="AB64:AB67"/>
    <mergeCell ref="AB68:AD68"/>
    <mergeCell ref="B69:B74"/>
    <mergeCell ref="AB69:AB74"/>
    <mergeCell ref="AB75:AD75"/>
    <mergeCell ref="B76:B83"/>
    <mergeCell ref="AB76:AB83"/>
    <mergeCell ref="AB51:AD51"/>
    <mergeCell ref="B4:B30"/>
    <mergeCell ref="AB4:AB30"/>
    <mergeCell ref="AB31:AD31"/>
    <mergeCell ref="B32:B43"/>
    <mergeCell ref="AB32:AB43"/>
    <mergeCell ref="AB44:AD44"/>
    <mergeCell ref="B45:B47"/>
    <mergeCell ref="AB45:AB47"/>
    <mergeCell ref="AB48:AD48"/>
    <mergeCell ref="B49:B50"/>
    <mergeCell ref="AB49:AB50"/>
    <mergeCell ref="AC2:AD2"/>
    <mergeCell ref="B1:Z1"/>
    <mergeCell ref="B2:B3"/>
    <mergeCell ref="C2:D2"/>
    <mergeCell ref="Z2:Z3"/>
    <mergeCell ref="AB2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49D4-9E17-47A9-8A88-7B735A975659}">
  <dimension ref="A1:U34"/>
  <sheetViews>
    <sheetView topLeftCell="A11" workbookViewId="0">
      <selection activeCell="I13" sqref="I13"/>
    </sheetView>
  </sheetViews>
  <sheetFormatPr defaultColWidth="8.81640625" defaultRowHeight="14"/>
  <cols>
    <col min="1" max="1" width="12.1796875" style="67" customWidth="1"/>
    <col min="2" max="2" width="25.7265625" style="67" bestFit="1" customWidth="1"/>
    <col min="3" max="4" width="14.6328125" style="67" customWidth="1"/>
    <col min="5" max="5" width="9.7265625" style="67" bestFit="1" customWidth="1"/>
    <col min="6" max="12" width="8.7265625" style="67" customWidth="1"/>
    <col min="13" max="13" width="31.1796875" style="67" bestFit="1" customWidth="1"/>
    <col min="14" max="16384" width="8.81640625" style="67"/>
  </cols>
  <sheetData>
    <row r="1" spans="1:21">
      <c r="A1" s="66" t="s">
        <v>176</v>
      </c>
      <c r="C1" s="68" t="s">
        <v>177</v>
      </c>
      <c r="D1" s="68"/>
      <c r="E1" s="68"/>
      <c r="F1" s="68"/>
      <c r="G1" s="69"/>
      <c r="N1" s="67" t="s">
        <v>178</v>
      </c>
      <c r="O1" s="67">
        <v>14.55</v>
      </c>
      <c r="P1" s="67" t="s">
        <v>4</v>
      </c>
      <c r="Q1" s="67">
        <f>O1*2</f>
        <v>29.1</v>
      </c>
      <c r="R1" s="67">
        <v>18</v>
      </c>
      <c r="S1" s="67" t="s">
        <v>179</v>
      </c>
      <c r="T1" s="67">
        <v>14.55</v>
      </c>
      <c r="U1" s="67" t="s">
        <v>4</v>
      </c>
    </row>
    <row r="2" spans="1:21">
      <c r="A2" s="66" t="s">
        <v>180</v>
      </c>
      <c r="C2" s="70" t="s">
        <v>181</v>
      </c>
      <c r="D2" s="70"/>
      <c r="E2" s="71"/>
      <c r="F2" s="71"/>
      <c r="G2" s="72"/>
      <c r="I2" s="73">
        <v>1</v>
      </c>
      <c r="J2" s="73" t="s">
        <v>182</v>
      </c>
      <c r="K2" s="73">
        <v>60</v>
      </c>
      <c r="L2" s="73" t="s">
        <v>183</v>
      </c>
      <c r="N2" s="67" t="s">
        <v>184</v>
      </c>
      <c r="O2" s="67">
        <v>36.35</v>
      </c>
      <c r="P2" s="67" t="s">
        <v>4</v>
      </c>
      <c r="R2" s="67">
        <v>11</v>
      </c>
      <c r="S2" s="67" t="s">
        <v>179</v>
      </c>
      <c r="T2" s="67">
        <f>T1*R2/R1</f>
        <v>8.8916666666666675</v>
      </c>
      <c r="U2" s="67" t="s">
        <v>4</v>
      </c>
    </row>
    <row r="3" spans="1:21">
      <c r="A3" s="66" t="s">
        <v>185</v>
      </c>
      <c r="C3" s="74"/>
      <c r="D3" s="74"/>
      <c r="E3" s="74"/>
      <c r="F3" s="74"/>
      <c r="G3" s="75"/>
      <c r="H3" s="76" t="s">
        <v>186</v>
      </c>
      <c r="I3" s="73">
        <v>1.07</v>
      </c>
      <c r="J3" s="73" t="s">
        <v>182</v>
      </c>
      <c r="K3" s="73">
        <f>(K2*I3)/I2</f>
        <v>64.2</v>
      </c>
      <c r="L3" s="73" t="s">
        <v>187</v>
      </c>
      <c r="N3" s="67">
        <v>1</v>
      </c>
      <c r="O3" s="67" t="s">
        <v>179</v>
      </c>
      <c r="P3" s="67">
        <v>0.5</v>
      </c>
      <c r="Q3" s="67" t="s">
        <v>188</v>
      </c>
    </row>
    <row r="4" spans="1:21">
      <c r="A4" s="66" t="s">
        <v>189</v>
      </c>
      <c r="C4" s="74"/>
      <c r="D4" s="74"/>
      <c r="E4" s="74"/>
      <c r="F4" s="74"/>
      <c r="G4" s="75"/>
      <c r="H4" s="76"/>
      <c r="I4" s="73"/>
      <c r="J4" s="73"/>
      <c r="K4" s="73"/>
      <c r="L4" s="73"/>
    </row>
    <row r="5" spans="1:21">
      <c r="A5" s="66" t="s">
        <v>190</v>
      </c>
      <c r="C5" s="71"/>
      <c r="D5" s="71"/>
      <c r="E5" s="71"/>
      <c r="F5" s="71"/>
      <c r="G5" s="75"/>
      <c r="H5" s="76"/>
      <c r="I5" s="73">
        <v>1</v>
      </c>
      <c r="J5" s="73" t="s">
        <v>187</v>
      </c>
      <c r="K5" s="73">
        <v>60</v>
      </c>
      <c r="L5" s="73" t="s">
        <v>191</v>
      </c>
    </row>
    <row r="6" spans="1:21">
      <c r="A6" s="66" t="s">
        <v>192</v>
      </c>
      <c r="C6" s="74"/>
      <c r="D6" s="74"/>
      <c r="E6" s="74"/>
      <c r="F6" s="74"/>
      <c r="G6" s="75"/>
      <c r="H6" s="76" t="s">
        <v>193</v>
      </c>
      <c r="I6" s="73">
        <v>40.1</v>
      </c>
      <c r="J6" s="73" t="s">
        <v>187</v>
      </c>
      <c r="K6" s="73">
        <f>K5*I6/I5</f>
        <v>2406</v>
      </c>
      <c r="L6" s="73" t="s">
        <v>191</v>
      </c>
    </row>
    <row r="7" spans="1:21">
      <c r="A7" s="77" t="s">
        <v>194</v>
      </c>
      <c r="C7" s="71"/>
      <c r="D7" s="71"/>
      <c r="E7" s="71"/>
      <c r="F7" s="71"/>
      <c r="G7" s="75"/>
      <c r="H7" s="76" t="s">
        <v>195</v>
      </c>
    </row>
    <row r="8" spans="1:21">
      <c r="A8" s="77" t="s">
        <v>196</v>
      </c>
      <c r="C8" s="74"/>
      <c r="D8" s="74"/>
      <c r="E8" s="74"/>
      <c r="F8" s="74"/>
      <c r="G8" s="75"/>
      <c r="H8" s="76"/>
    </row>
    <row r="9" spans="1:21">
      <c r="A9" s="78"/>
      <c r="B9" s="79"/>
      <c r="C9" s="79"/>
      <c r="D9" s="79"/>
      <c r="E9" s="79"/>
    </row>
    <row r="10" spans="1:21">
      <c r="A10" s="178" t="s">
        <v>197</v>
      </c>
      <c r="B10" s="180" t="s">
        <v>198</v>
      </c>
      <c r="C10" s="180"/>
      <c r="D10" s="180"/>
      <c r="E10" s="180"/>
      <c r="F10" s="181" t="s">
        <v>199</v>
      </c>
      <c r="G10" s="181"/>
      <c r="H10" s="181"/>
      <c r="I10" s="182" t="s">
        <v>200</v>
      </c>
      <c r="J10" s="183"/>
      <c r="K10" s="183"/>
      <c r="L10" s="184"/>
      <c r="M10" s="173" t="s">
        <v>201</v>
      </c>
    </row>
    <row r="11" spans="1:21" ht="14.5" thickBot="1">
      <c r="A11" s="179"/>
      <c r="B11" s="80" t="s">
        <v>202</v>
      </c>
      <c r="C11" s="80" t="s">
        <v>203</v>
      </c>
      <c r="D11" s="80" t="s">
        <v>204</v>
      </c>
      <c r="E11" s="80" t="s">
        <v>205</v>
      </c>
      <c r="F11" s="81" t="s">
        <v>206</v>
      </c>
      <c r="G11" s="81" t="s">
        <v>207</v>
      </c>
      <c r="H11" s="81" t="s">
        <v>208</v>
      </c>
      <c r="I11" s="82" t="s">
        <v>206</v>
      </c>
      <c r="J11" s="82" t="s">
        <v>207</v>
      </c>
      <c r="K11" s="82" t="s">
        <v>208</v>
      </c>
      <c r="L11" s="82" t="s">
        <v>209</v>
      </c>
      <c r="M11" s="174"/>
    </row>
    <row r="12" spans="1:21">
      <c r="A12" s="175" t="s">
        <v>20</v>
      </c>
      <c r="B12" s="84" t="s">
        <v>40</v>
      </c>
      <c r="C12" s="84" t="s">
        <v>210</v>
      </c>
      <c r="D12" s="84">
        <v>1.56</v>
      </c>
      <c r="E12" s="84">
        <f>D12*1000</f>
        <v>1560</v>
      </c>
      <c r="F12" s="85">
        <f>G12+152.4</f>
        <v>4370.3999999999996</v>
      </c>
      <c r="G12" s="85">
        <f>4248-30</f>
        <v>4218</v>
      </c>
      <c r="H12" s="85">
        <f>F12+36.5-60</f>
        <v>4346.8999999999996</v>
      </c>
      <c r="I12" s="86">
        <f>$E$12/F12</f>
        <v>0.35694673256452503</v>
      </c>
      <c r="J12" s="86">
        <f t="shared" ref="J12:K12" si="0">$E$12/G12</f>
        <v>0.36984352773826457</v>
      </c>
      <c r="K12" s="86">
        <f t="shared" si="0"/>
        <v>0.35887644068186525</v>
      </c>
      <c r="L12" s="86">
        <f>AVERAGE(I12:K12)</f>
        <v>0.36188890032821824</v>
      </c>
      <c r="M12" s="87" t="s">
        <v>211</v>
      </c>
    </row>
    <row r="13" spans="1:21">
      <c r="A13" s="176"/>
      <c r="B13" s="88" t="str">
        <f>C12</f>
        <v>1+560</v>
      </c>
      <c r="C13" s="88" t="s">
        <v>35</v>
      </c>
      <c r="D13" s="88">
        <f>2.42-1.56</f>
        <v>0.85999999999999988</v>
      </c>
      <c r="E13" s="88">
        <f>D13*1000</f>
        <v>859.99999999999989</v>
      </c>
      <c r="F13" s="89">
        <v>2892</v>
      </c>
      <c r="G13" s="89">
        <f>F13+84-35</f>
        <v>2941</v>
      </c>
      <c r="H13" s="89">
        <f>F13+84+88.8-60</f>
        <v>3004.8</v>
      </c>
      <c r="I13" s="90">
        <f>$E$13/F13</f>
        <v>0.29737206085753798</v>
      </c>
      <c r="J13" s="90">
        <f t="shared" ref="J13:K13" si="1">$E$13/G13</f>
        <v>0.29241754505270312</v>
      </c>
      <c r="K13" s="90">
        <f t="shared" si="1"/>
        <v>0.28620873269435565</v>
      </c>
      <c r="L13" s="90">
        <f>AVERAGE(I13:K13)</f>
        <v>0.29199944620153223</v>
      </c>
      <c r="M13" s="91" t="s">
        <v>212</v>
      </c>
    </row>
    <row r="14" spans="1:21">
      <c r="A14" s="176"/>
      <c r="B14" s="88" t="s">
        <v>35</v>
      </c>
      <c r="C14" s="88" t="s">
        <v>213</v>
      </c>
      <c r="D14" s="88">
        <f>0.6-0.42-0.038</f>
        <v>0.14199999999999999</v>
      </c>
      <c r="E14" s="88">
        <f t="shared" ref="E14:E29" si="2">D14*1000</f>
        <v>142</v>
      </c>
      <c r="F14" s="89">
        <f>214.8+13.57+2.78</f>
        <v>231.15</v>
      </c>
      <c r="G14" s="89">
        <f>214.8-15</f>
        <v>199.8</v>
      </c>
      <c r="H14" s="89">
        <f>G14+13.57-30</f>
        <v>183.37</v>
      </c>
      <c r="I14" s="90">
        <f>$E$14/F14</f>
        <v>0.61431970581873241</v>
      </c>
      <c r="J14" s="90">
        <f t="shared" ref="J14:K14" si="3">$E$14/G14</f>
        <v>0.71071071071071068</v>
      </c>
      <c r="K14" s="90">
        <f t="shared" si="3"/>
        <v>0.77439057643016851</v>
      </c>
      <c r="L14" s="90">
        <f t="shared" ref="L14:L29" si="4">AVERAGE(I14:K14)</f>
        <v>0.69980699765320387</v>
      </c>
      <c r="M14" s="91" t="s">
        <v>214</v>
      </c>
    </row>
    <row r="15" spans="1:21">
      <c r="A15" s="176"/>
      <c r="B15" s="88" t="s">
        <v>215</v>
      </c>
      <c r="C15" s="88" t="s">
        <v>36</v>
      </c>
      <c r="D15" s="88">
        <f>4.52-(2.6-0.291)</f>
        <v>2.2109999999999994</v>
      </c>
      <c r="E15" s="88">
        <f t="shared" si="2"/>
        <v>2210.9999999999995</v>
      </c>
      <c r="F15" s="89">
        <f>4218+8.87</f>
        <v>4226.87</v>
      </c>
      <c r="G15" s="89">
        <f>4248-30</f>
        <v>4218</v>
      </c>
      <c r="H15" s="89">
        <f>4248+8.87+6.4-60</f>
        <v>4203.2699999999995</v>
      </c>
      <c r="I15" s="90">
        <f>$E$15/F15</f>
        <v>0.52308209147667173</v>
      </c>
      <c r="J15" s="90">
        <f t="shared" ref="J15:K15" si="5">$E$15/G15</f>
        <v>0.5241820768136557</v>
      </c>
      <c r="K15" s="90">
        <f t="shared" si="5"/>
        <v>0.5260190280424526</v>
      </c>
      <c r="L15" s="90">
        <f t="shared" si="4"/>
        <v>0.52442773211092664</v>
      </c>
      <c r="M15" s="91" t="s">
        <v>216</v>
      </c>
    </row>
    <row r="16" spans="1:21">
      <c r="A16" s="176"/>
      <c r="B16" s="88" t="s">
        <v>36</v>
      </c>
      <c r="C16" s="88" t="s">
        <v>170</v>
      </c>
      <c r="D16" s="88">
        <f>5.5-4.52</f>
        <v>0.98000000000000043</v>
      </c>
      <c r="E16" s="88">
        <f t="shared" si="2"/>
        <v>980.00000000000045</v>
      </c>
      <c r="F16" s="89">
        <v>2223</v>
      </c>
      <c r="G16" s="89">
        <f>2223+26.26-30</f>
        <v>2219.2600000000002</v>
      </c>
      <c r="H16" s="89">
        <f>2223+26.26+64.8-60</f>
        <v>2254.0600000000004</v>
      </c>
      <c r="I16" s="90">
        <f>$E$16/F16</f>
        <v>0.44084570400359896</v>
      </c>
      <c r="J16" s="90">
        <f t="shared" ref="J16:K16" si="6">$E$16/G16</f>
        <v>0.44158863765399292</v>
      </c>
      <c r="K16" s="90">
        <f t="shared" si="6"/>
        <v>0.43477103537616579</v>
      </c>
      <c r="L16" s="90">
        <f t="shared" si="4"/>
        <v>0.43906845901125258</v>
      </c>
      <c r="M16" s="91" t="s">
        <v>217</v>
      </c>
    </row>
    <row r="17" spans="1:13" ht="14.5" thickBot="1">
      <c r="A17" s="177"/>
      <c r="B17" s="92" t="s">
        <v>170</v>
      </c>
      <c r="C17" s="92" t="s">
        <v>172</v>
      </c>
      <c r="D17" s="92"/>
      <c r="E17" s="92">
        <f t="shared" si="2"/>
        <v>0</v>
      </c>
      <c r="F17" s="93"/>
      <c r="G17" s="93"/>
      <c r="H17" s="93"/>
      <c r="I17" s="94"/>
      <c r="J17" s="94"/>
      <c r="K17" s="94"/>
      <c r="L17" s="94"/>
      <c r="M17" s="95" t="s">
        <v>218</v>
      </c>
    </row>
    <row r="18" spans="1:13">
      <c r="A18" s="83" t="s">
        <v>22</v>
      </c>
      <c r="B18" s="84" t="s">
        <v>42</v>
      </c>
      <c r="C18" s="84" t="s">
        <v>43</v>
      </c>
      <c r="D18" s="84">
        <f>6.88-1.62</f>
        <v>5.26</v>
      </c>
      <c r="E18" s="84">
        <f t="shared" si="2"/>
        <v>5260</v>
      </c>
      <c r="F18" s="85">
        <f>5436+3.49</f>
        <v>5439.49</v>
      </c>
      <c r="G18" s="85">
        <f>5376+3.49+570.6-30</f>
        <v>5920.09</v>
      </c>
      <c r="H18" s="85">
        <f>5436-60</f>
        <v>5376</v>
      </c>
      <c r="I18" s="86">
        <f>$E$18/F18</f>
        <v>0.96700242118286828</v>
      </c>
      <c r="J18" s="86">
        <f t="shared" ref="J18:K18" si="7">$E$18/G18</f>
        <v>0.88850000591207223</v>
      </c>
      <c r="K18" s="86">
        <f t="shared" si="7"/>
        <v>0.97842261904761907</v>
      </c>
      <c r="L18" s="86">
        <f t="shared" si="4"/>
        <v>0.94464168204751997</v>
      </c>
      <c r="M18" s="87"/>
    </row>
    <row r="19" spans="1:13">
      <c r="A19" s="96"/>
      <c r="B19" s="88" t="str">
        <f>C18</f>
        <v>6+880</v>
      </c>
      <c r="C19" s="88" t="s">
        <v>44</v>
      </c>
      <c r="D19" s="88">
        <f>9.2-6.88</f>
        <v>2.3199999999999994</v>
      </c>
      <c r="E19" s="88">
        <f t="shared" si="2"/>
        <v>2319.9999999999995</v>
      </c>
      <c r="F19" s="89">
        <v>2769.6</v>
      </c>
      <c r="G19" s="89">
        <f>F19+58.7-30</f>
        <v>2798.2999999999997</v>
      </c>
      <c r="H19" s="89">
        <f>G19+146.4-30</f>
        <v>2914.7</v>
      </c>
      <c r="I19" s="90">
        <f>$E$19/F20</f>
        <v>0.61443932411674329</v>
      </c>
      <c r="J19" s="90">
        <f>$E$19/G20</f>
        <v>0.62466343564889593</v>
      </c>
      <c r="K19" s="90">
        <f>$E$19/H20</f>
        <v>0.59377559377559364</v>
      </c>
      <c r="L19" s="90">
        <f t="shared" si="4"/>
        <v>0.61095945118041095</v>
      </c>
      <c r="M19" s="91"/>
    </row>
    <row r="20" spans="1:13">
      <c r="A20" s="96"/>
      <c r="B20" s="88" t="s">
        <v>44</v>
      </c>
      <c r="C20" s="88" t="s">
        <v>45</v>
      </c>
      <c r="D20" s="88">
        <f>11.8-9.2</f>
        <v>2.6000000000000014</v>
      </c>
      <c r="E20" s="88">
        <f t="shared" si="2"/>
        <v>2600.0000000000014</v>
      </c>
      <c r="F20" s="89">
        <f>G20+61.8</f>
        <v>3775.8</v>
      </c>
      <c r="G20" s="89">
        <f>3744-30</f>
        <v>3714</v>
      </c>
      <c r="H20" s="89">
        <f>3714+61.8+191.4-60</f>
        <v>3907.2000000000003</v>
      </c>
      <c r="I20" s="90">
        <f>$E$20/F20</f>
        <v>0.6885957942687646</v>
      </c>
      <c r="J20" s="90">
        <f t="shared" ref="J20:K20" si="8">$E$20/G20</f>
        <v>0.70005385029617695</v>
      </c>
      <c r="K20" s="90">
        <f t="shared" si="8"/>
        <v>0.6654381654381657</v>
      </c>
      <c r="L20" s="90">
        <f t="shared" si="4"/>
        <v>0.68469593666770245</v>
      </c>
      <c r="M20" s="91"/>
    </row>
    <row r="21" spans="1:13">
      <c r="A21" s="96"/>
      <c r="B21" s="88" t="str">
        <f>C20</f>
        <v>11+800</v>
      </c>
      <c r="C21" s="88" t="s">
        <v>46</v>
      </c>
      <c r="D21" s="88">
        <f>17-11.8</f>
        <v>5.1999999999999993</v>
      </c>
      <c r="E21" s="88">
        <f t="shared" si="2"/>
        <v>5199.9999999999991</v>
      </c>
      <c r="F21" s="89">
        <v>7560</v>
      </c>
      <c r="G21" s="97">
        <f>F21+16.94+88.2-30</f>
        <v>7635.1399999999994</v>
      </c>
      <c r="H21" s="89">
        <f>F21+16.94-60</f>
        <v>7516.94</v>
      </c>
      <c r="I21" s="90">
        <f>$E$21/F21</f>
        <v>0.68783068783068768</v>
      </c>
      <c r="J21" s="90">
        <f t="shared" ref="J21:K21" si="9">$E$21/G21</f>
        <v>0.68106151295195627</v>
      </c>
      <c r="K21" s="90">
        <f t="shared" si="9"/>
        <v>0.69177085356541346</v>
      </c>
      <c r="L21" s="90">
        <f t="shared" si="4"/>
        <v>0.6868876847826858</v>
      </c>
      <c r="M21" s="91"/>
    </row>
    <row r="22" spans="1:13">
      <c r="A22" s="96"/>
      <c r="B22" s="88" t="str">
        <f>C21</f>
        <v>17+000</v>
      </c>
      <c r="C22" s="88" t="s">
        <v>47</v>
      </c>
      <c r="D22" s="88">
        <f>21-17</f>
        <v>4</v>
      </c>
      <c r="E22" s="88">
        <f t="shared" si="2"/>
        <v>4000</v>
      </c>
      <c r="F22" s="89">
        <f>G22+30+240.6+47.04</f>
        <v>5111.6400000000003</v>
      </c>
      <c r="G22" s="89">
        <f>4824-30</f>
        <v>4794</v>
      </c>
      <c r="H22" s="89">
        <f>4824+240.6-60</f>
        <v>5004.6000000000004</v>
      </c>
      <c r="I22" s="90">
        <f>$E$22/F22</f>
        <v>0.78252772104451795</v>
      </c>
      <c r="J22" s="90">
        <f t="shared" ref="J22:K22" si="10">$E$22/G22</f>
        <v>0.83437630371297455</v>
      </c>
      <c r="K22" s="90">
        <f t="shared" si="10"/>
        <v>0.79926467649762212</v>
      </c>
      <c r="L22" s="90">
        <f t="shared" si="4"/>
        <v>0.80538956708503806</v>
      </c>
      <c r="M22" s="91"/>
    </row>
    <row r="23" spans="1:13">
      <c r="A23" s="96"/>
      <c r="B23" s="98" t="str">
        <f>C22</f>
        <v>21+000</v>
      </c>
      <c r="C23" s="88" t="s">
        <v>48</v>
      </c>
      <c r="D23" s="88">
        <f>23.315-21</f>
        <v>2.3150000000000013</v>
      </c>
      <c r="E23" s="88">
        <f t="shared" si="2"/>
        <v>2315.0000000000014</v>
      </c>
      <c r="F23" s="89">
        <v>3091.8</v>
      </c>
      <c r="G23" s="89">
        <f>F23+54.89-30</f>
        <v>3116.69</v>
      </c>
      <c r="H23" s="89">
        <f>F23+54.89+1-60</f>
        <v>3087.69</v>
      </c>
      <c r="I23" s="90">
        <f>$E$23/F23</f>
        <v>0.74875477068374452</v>
      </c>
      <c r="J23" s="90">
        <f t="shared" ref="J23:K23" si="11">$E$23/G23</f>
        <v>0.74277518777934326</v>
      </c>
      <c r="K23" s="90">
        <f t="shared" si="11"/>
        <v>0.74975143230052288</v>
      </c>
      <c r="L23" s="90">
        <f t="shared" si="4"/>
        <v>0.74709379692120359</v>
      </c>
      <c r="M23" s="91"/>
    </row>
    <row r="24" spans="1:13">
      <c r="A24" s="96"/>
      <c r="B24" s="88" t="str">
        <f>C23</f>
        <v>23+315</v>
      </c>
      <c r="C24" s="88" t="s">
        <v>49</v>
      </c>
      <c r="D24" s="88">
        <f>25.7-23.315</f>
        <v>2.384999999999998</v>
      </c>
      <c r="E24" s="88">
        <f t="shared" si="2"/>
        <v>2384.9999999999982</v>
      </c>
      <c r="F24" s="89">
        <v>3564.6</v>
      </c>
      <c r="G24" s="89">
        <f>F24+2.48-30</f>
        <v>3537.08</v>
      </c>
      <c r="H24" s="89">
        <f>G24+1.48-30</f>
        <v>3508.56</v>
      </c>
      <c r="I24" s="90">
        <f>$E$24/F24</f>
        <v>0.66907927958256141</v>
      </c>
      <c r="J24" s="90">
        <f t="shared" ref="J24:K24" si="12">$E$24/G24</f>
        <v>0.6742850034491723</v>
      </c>
      <c r="K24" s="90">
        <f t="shared" si="12"/>
        <v>0.67976605786989486</v>
      </c>
      <c r="L24" s="90">
        <f t="shared" si="4"/>
        <v>0.67437678030054293</v>
      </c>
      <c r="M24" s="91"/>
    </row>
    <row r="25" spans="1:13">
      <c r="A25" s="96"/>
      <c r="B25" s="88" t="s">
        <v>49</v>
      </c>
      <c r="C25" s="88" t="s">
        <v>50</v>
      </c>
      <c r="D25" s="88">
        <f>28.3-25.7</f>
        <v>2.6000000000000014</v>
      </c>
      <c r="E25" s="88">
        <f t="shared" si="2"/>
        <v>2600.0000000000014</v>
      </c>
      <c r="F25" s="89"/>
      <c r="G25" s="89"/>
      <c r="H25" s="89">
        <f>4068-60</f>
        <v>4008</v>
      </c>
      <c r="I25" s="90"/>
      <c r="J25" s="90"/>
      <c r="K25" s="90">
        <f>$E$25/H25</f>
        <v>0.64870259481037962</v>
      </c>
      <c r="L25" s="90">
        <f t="shared" si="4"/>
        <v>0.64870259481037962</v>
      </c>
      <c r="M25" s="91"/>
    </row>
    <row r="26" spans="1:13">
      <c r="A26" s="96"/>
      <c r="B26" s="88" t="str">
        <f>C25</f>
        <v>28+300</v>
      </c>
      <c r="C26" s="88" t="s">
        <v>128</v>
      </c>
      <c r="D26" s="88">
        <f>31.27-28.3</f>
        <v>2.9699999999999989</v>
      </c>
      <c r="E26" s="88">
        <f t="shared" si="2"/>
        <v>2969.9999999999991</v>
      </c>
      <c r="F26" s="89"/>
      <c r="G26" s="89"/>
      <c r="H26" s="89">
        <v>4968</v>
      </c>
      <c r="I26" s="90"/>
      <c r="J26" s="90"/>
      <c r="K26" s="90">
        <f>$E$26/H26</f>
        <v>0.59782608695652151</v>
      </c>
      <c r="L26" s="90">
        <f t="shared" si="4"/>
        <v>0.59782608695652151</v>
      </c>
      <c r="M26" s="91"/>
    </row>
    <row r="27" spans="1:13">
      <c r="A27" s="96"/>
      <c r="B27" s="88" t="str">
        <f>C26</f>
        <v>31+270</v>
      </c>
      <c r="C27" s="88" t="s">
        <v>219</v>
      </c>
      <c r="D27" s="88">
        <f>33.5-31.27</f>
        <v>2.2300000000000004</v>
      </c>
      <c r="E27" s="88">
        <f t="shared" si="2"/>
        <v>2230.0000000000005</v>
      </c>
      <c r="F27" s="89"/>
      <c r="G27" s="89"/>
      <c r="H27" s="89">
        <v>3960</v>
      </c>
      <c r="I27" s="90"/>
      <c r="J27" s="90"/>
      <c r="K27" s="90">
        <f>$E$27/H27</f>
        <v>0.56313131313131326</v>
      </c>
      <c r="L27" s="90">
        <f t="shared" si="4"/>
        <v>0.56313131313131326</v>
      </c>
      <c r="M27" s="91"/>
    </row>
    <row r="28" spans="1:13">
      <c r="A28" s="96"/>
      <c r="B28" s="88" t="str">
        <f>C27</f>
        <v>33+500</v>
      </c>
      <c r="C28" s="88" t="s">
        <v>220</v>
      </c>
      <c r="D28" s="88">
        <f>33.5-31.27</f>
        <v>2.2300000000000004</v>
      </c>
      <c r="E28" s="88">
        <f t="shared" si="2"/>
        <v>2230.0000000000005</v>
      </c>
      <c r="F28" s="89">
        <f>3852+28.41</f>
        <v>3880.41</v>
      </c>
      <c r="G28" s="89">
        <f>3852-30</f>
        <v>3822</v>
      </c>
      <c r="H28" s="89">
        <f>3852+28.41+69-60</f>
        <v>3889.41</v>
      </c>
      <c r="I28" s="90">
        <f>$E$28/F28</f>
        <v>0.57468154138351368</v>
      </c>
      <c r="J28" s="90">
        <f t="shared" ref="J28:K28" si="13">$E$28/G28</f>
        <v>0.58346415489272641</v>
      </c>
      <c r="K28" s="90">
        <f t="shared" si="13"/>
        <v>0.57335174229510399</v>
      </c>
      <c r="L28" s="90">
        <f t="shared" si="4"/>
        <v>0.57716581285711466</v>
      </c>
      <c r="M28" s="91"/>
    </row>
    <row r="29" spans="1:13">
      <c r="A29" s="96"/>
      <c r="B29" s="88" t="str">
        <f>C28</f>
        <v>36+500</v>
      </c>
      <c r="C29" s="88" t="s">
        <v>221</v>
      </c>
      <c r="D29" s="88">
        <f>37.89-36.5</f>
        <v>1.3900000000000006</v>
      </c>
      <c r="E29" s="88">
        <f t="shared" si="2"/>
        <v>1390.0000000000005</v>
      </c>
      <c r="F29" s="89">
        <v>2367</v>
      </c>
      <c r="G29" s="89">
        <f>F29+25.13-30</f>
        <v>2362.13</v>
      </c>
      <c r="H29" s="89">
        <f>2406-60</f>
        <v>2346</v>
      </c>
      <c r="I29" s="90">
        <f>$E$29/F29</f>
        <v>0.58724123362906655</v>
      </c>
      <c r="J29" s="90">
        <f t="shared" ref="J29:K29" si="14">$E$29/G29</f>
        <v>0.58845194802995615</v>
      </c>
      <c r="K29" s="90">
        <f t="shared" si="14"/>
        <v>0.59249786871270271</v>
      </c>
      <c r="L29" s="90">
        <f t="shared" si="4"/>
        <v>0.58939701679057521</v>
      </c>
      <c r="M29" s="91"/>
    </row>
    <row r="30" spans="1:13">
      <c r="A30" s="96"/>
      <c r="B30" s="88" t="s">
        <v>221</v>
      </c>
      <c r="C30" s="88" t="s">
        <v>53</v>
      </c>
      <c r="D30" s="88"/>
      <c r="E30" s="88"/>
      <c r="F30" s="89"/>
      <c r="G30" s="89"/>
      <c r="H30" s="89"/>
      <c r="I30" s="90"/>
      <c r="J30" s="90"/>
      <c r="K30" s="90"/>
      <c r="L30" s="90"/>
      <c r="M30" s="91" t="s">
        <v>222</v>
      </c>
    </row>
    <row r="31" spans="1:13" ht="14.5" thickBot="1">
      <c r="A31" s="99"/>
      <c r="B31" s="100" t="s">
        <v>53</v>
      </c>
      <c r="C31" s="100" t="s">
        <v>54</v>
      </c>
      <c r="D31" s="100"/>
      <c r="E31" s="100"/>
      <c r="F31" s="101"/>
      <c r="G31" s="101"/>
      <c r="H31" s="101"/>
      <c r="I31" s="102"/>
      <c r="J31" s="102"/>
      <c r="K31" s="102"/>
      <c r="L31" s="102"/>
      <c r="M31" s="103"/>
    </row>
    <row r="32" spans="1:13">
      <c r="A32" s="104"/>
      <c r="B32" s="105"/>
      <c r="C32" s="105"/>
      <c r="D32" s="105"/>
      <c r="E32" s="105"/>
      <c r="F32" s="106"/>
      <c r="G32" s="106"/>
      <c r="H32" s="106"/>
      <c r="I32" s="107"/>
      <c r="J32" s="107"/>
      <c r="K32" s="107"/>
      <c r="L32" s="107"/>
      <c r="M32" s="108"/>
    </row>
    <row r="33" spans="1:13">
      <c r="A33" s="104"/>
      <c r="B33" s="88"/>
      <c r="C33" s="88"/>
      <c r="D33" s="88"/>
      <c r="E33" s="88"/>
      <c r="F33" s="89"/>
      <c r="G33" s="89"/>
      <c r="H33" s="89"/>
      <c r="I33" s="90"/>
      <c r="J33" s="90"/>
      <c r="K33" s="90"/>
      <c r="L33" s="90"/>
      <c r="M33" s="109"/>
    </row>
    <row r="34" spans="1:13">
      <c r="A34" s="110"/>
      <c r="B34" s="88"/>
      <c r="C34" s="88"/>
      <c r="D34" s="88"/>
      <c r="E34" s="88"/>
      <c r="F34" s="89"/>
      <c r="G34" s="89"/>
      <c r="H34" s="89"/>
      <c r="I34" s="90"/>
      <c r="J34" s="90"/>
      <c r="K34" s="90"/>
      <c r="L34" s="90"/>
      <c r="M34" s="109"/>
    </row>
  </sheetData>
  <mergeCells count="6">
    <mergeCell ref="M10:M11"/>
    <mergeCell ref="A12:A17"/>
    <mergeCell ref="A10:A11"/>
    <mergeCell ref="B10:E10"/>
    <mergeCell ref="F10:H10"/>
    <mergeCell ref="I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E538-D6EF-4253-8EBE-C2BA16E199CC}">
  <dimension ref="A1:J87"/>
  <sheetViews>
    <sheetView workbookViewId="0">
      <selection activeCell="E7" sqref="E7"/>
    </sheetView>
  </sheetViews>
  <sheetFormatPr defaultRowHeight="14.5"/>
  <cols>
    <col min="1" max="1" width="13.453125" customWidth="1"/>
    <col min="2" max="2" width="24.54296875" customWidth="1"/>
    <col min="3" max="3" width="14.54296875" customWidth="1"/>
    <col min="4" max="4" width="18.26953125" customWidth="1"/>
    <col min="5" max="5" width="14.26953125" customWidth="1"/>
    <col min="6" max="6" width="24.1796875" customWidth="1"/>
    <col min="7" max="7" width="8.81640625" customWidth="1"/>
    <col min="8" max="8" width="15.1796875" customWidth="1"/>
  </cols>
  <sheetData>
    <row r="1" spans="1:8" ht="18.75" customHeight="1">
      <c r="A1" s="187" t="s">
        <v>224</v>
      </c>
      <c r="B1" s="187"/>
      <c r="C1" s="187"/>
      <c r="D1" s="187"/>
      <c r="E1" s="187"/>
      <c r="F1" s="187"/>
      <c r="G1" s="187"/>
      <c r="H1" s="187"/>
    </row>
    <row r="2" spans="1:8" ht="18" customHeight="1">
      <c r="A2" s="112" t="s">
        <v>81</v>
      </c>
      <c r="B2" s="112" t="s">
        <v>225</v>
      </c>
      <c r="C2" s="112" t="s">
        <v>226</v>
      </c>
      <c r="D2" s="112" t="s">
        <v>227</v>
      </c>
      <c r="E2" s="112" t="s">
        <v>228</v>
      </c>
      <c r="F2" s="112" t="s">
        <v>229</v>
      </c>
      <c r="G2" s="188" t="s">
        <v>230</v>
      </c>
      <c r="H2" s="189"/>
    </row>
    <row r="3" spans="1:8" ht="18" customHeight="1">
      <c r="A3" s="113"/>
      <c r="B3" s="113"/>
      <c r="C3" s="113"/>
      <c r="D3" s="113" t="s">
        <v>231</v>
      </c>
      <c r="E3" s="113" t="s">
        <v>231</v>
      </c>
      <c r="F3" s="113" t="s">
        <v>232</v>
      </c>
      <c r="G3" s="190" t="s">
        <v>233</v>
      </c>
      <c r="H3" s="191"/>
    </row>
    <row r="4" spans="1:8" ht="18" customHeight="1">
      <c r="A4" s="112"/>
      <c r="B4" s="114" t="s">
        <v>234</v>
      </c>
      <c r="C4" s="113" t="s">
        <v>235</v>
      </c>
      <c r="D4" s="115">
        <v>221</v>
      </c>
      <c r="E4" s="116">
        <v>204.5</v>
      </c>
      <c r="F4" s="113" t="s">
        <v>236</v>
      </c>
      <c r="G4" s="192">
        <v>11.2</v>
      </c>
      <c r="H4" s="193"/>
    </row>
    <row r="5" spans="1:8" ht="18" customHeight="1">
      <c r="A5" s="119"/>
      <c r="B5" s="120" t="s">
        <v>237</v>
      </c>
      <c r="C5" s="121" t="s">
        <v>114</v>
      </c>
      <c r="D5" s="122">
        <v>205.85</v>
      </c>
      <c r="E5" s="122">
        <v>204</v>
      </c>
      <c r="F5" s="121" t="s">
        <v>238</v>
      </c>
      <c r="G5" s="192">
        <v>11.2</v>
      </c>
      <c r="H5" s="193"/>
    </row>
    <row r="6" spans="1:8" ht="18" customHeight="1">
      <c r="A6" s="123" t="s">
        <v>22</v>
      </c>
      <c r="B6" s="120" t="s">
        <v>239</v>
      </c>
      <c r="C6" s="121" t="s">
        <v>42</v>
      </c>
      <c r="D6" s="122">
        <v>205.56</v>
      </c>
      <c r="E6" s="122">
        <v>203.71</v>
      </c>
      <c r="F6" s="121" t="s">
        <v>240</v>
      </c>
      <c r="G6" s="185">
        <v>9.9260000000000002</v>
      </c>
      <c r="H6" s="186"/>
    </row>
    <row r="7" spans="1:8" ht="18" customHeight="1">
      <c r="A7" s="119"/>
      <c r="B7" s="120" t="s">
        <v>241</v>
      </c>
      <c r="C7" s="121" t="s">
        <v>242</v>
      </c>
      <c r="D7" s="121">
        <v>205.56100000000001</v>
      </c>
      <c r="E7" s="121">
        <v>203.71199999999999</v>
      </c>
      <c r="F7" s="121" t="s">
        <v>243</v>
      </c>
      <c r="G7" s="192">
        <v>1.2</v>
      </c>
      <c r="H7" s="193"/>
    </row>
    <row r="8" spans="1:8" ht="18" customHeight="1">
      <c r="A8" s="119"/>
      <c r="B8" s="120" t="s">
        <v>244</v>
      </c>
      <c r="C8" s="121" t="s">
        <v>245</v>
      </c>
      <c r="D8" s="122">
        <v>206.1</v>
      </c>
      <c r="E8" s="122">
        <v>203.15</v>
      </c>
      <c r="F8" s="121" t="s">
        <v>246</v>
      </c>
      <c r="G8" s="192">
        <v>11.2</v>
      </c>
      <c r="H8" s="193"/>
    </row>
    <row r="9" spans="1:8" ht="18" customHeight="1">
      <c r="A9" s="119"/>
      <c r="B9" s="120"/>
      <c r="C9" s="121"/>
      <c r="D9" s="122"/>
      <c r="E9" s="122"/>
      <c r="F9" s="121"/>
      <c r="G9" s="124"/>
      <c r="H9" s="125"/>
    </row>
    <row r="10" spans="1:8" ht="18" customHeight="1">
      <c r="A10" s="119"/>
      <c r="B10" s="120"/>
      <c r="C10" s="121"/>
      <c r="D10" s="122"/>
      <c r="E10" s="122"/>
      <c r="F10" s="121"/>
      <c r="G10" s="124"/>
      <c r="H10" s="125"/>
    </row>
    <row r="11" spans="1:8" ht="18" customHeight="1">
      <c r="A11" s="119"/>
      <c r="B11" s="120"/>
      <c r="C11" s="121"/>
      <c r="D11" s="122"/>
      <c r="E11" s="122"/>
      <c r="F11" s="121"/>
      <c r="G11" s="124"/>
      <c r="H11" s="125"/>
    </row>
    <row r="12" spans="1:8" ht="18" customHeight="1">
      <c r="A12" s="119"/>
      <c r="B12" s="120"/>
      <c r="C12" s="121"/>
      <c r="D12" s="122"/>
      <c r="E12" s="122"/>
      <c r="F12" s="121"/>
      <c r="G12" s="124"/>
      <c r="H12" s="125"/>
    </row>
    <row r="13" spans="1:8" ht="18" customHeight="1">
      <c r="A13" s="119"/>
      <c r="B13" s="120"/>
      <c r="C13" s="121"/>
      <c r="D13" s="122"/>
      <c r="E13" s="122"/>
      <c r="F13" s="121"/>
      <c r="G13" s="124"/>
      <c r="H13" s="125"/>
    </row>
    <row r="14" spans="1:8" ht="18" customHeight="1">
      <c r="A14" s="119"/>
      <c r="B14" s="120"/>
      <c r="C14" s="121"/>
      <c r="D14" s="122"/>
      <c r="E14" s="122"/>
      <c r="F14" s="121"/>
      <c r="G14" s="124"/>
      <c r="H14" s="125"/>
    </row>
    <row r="15" spans="1:8" ht="18" customHeight="1">
      <c r="A15" s="119"/>
      <c r="B15" s="120"/>
      <c r="C15" s="121"/>
      <c r="D15" s="122"/>
      <c r="E15" s="122"/>
      <c r="F15" s="121"/>
      <c r="G15" s="124"/>
      <c r="H15" s="125"/>
    </row>
    <row r="16" spans="1:8" ht="18" customHeight="1">
      <c r="A16" s="119"/>
      <c r="B16" s="120"/>
      <c r="C16" s="121"/>
      <c r="D16" s="122"/>
      <c r="E16" s="122"/>
      <c r="F16" s="121"/>
      <c r="G16" s="124"/>
      <c r="H16" s="125"/>
    </row>
    <row r="17" spans="1:10" ht="18" customHeight="1">
      <c r="A17" s="119"/>
      <c r="B17" s="120"/>
      <c r="C17" s="121"/>
      <c r="D17" s="122"/>
      <c r="E17" s="122"/>
      <c r="F17" s="121"/>
      <c r="G17" s="124"/>
      <c r="H17" s="125"/>
    </row>
    <row r="18" spans="1:10" ht="18" customHeight="1">
      <c r="A18" s="119"/>
      <c r="B18" s="120"/>
      <c r="C18" s="121"/>
      <c r="D18" s="122"/>
      <c r="E18" s="122"/>
      <c r="F18" s="121"/>
      <c r="G18" s="124"/>
      <c r="H18" s="125"/>
    </row>
    <row r="19" spans="1:10" ht="18" customHeight="1">
      <c r="A19" s="119"/>
      <c r="B19" s="120"/>
      <c r="C19" s="121"/>
      <c r="D19" s="122"/>
      <c r="E19" s="122"/>
      <c r="F19" s="121"/>
      <c r="G19" s="124"/>
      <c r="H19" s="125"/>
    </row>
    <row r="20" spans="1:10" ht="18" customHeight="1">
      <c r="A20" s="119"/>
      <c r="B20" s="120"/>
      <c r="C20" s="121"/>
      <c r="D20" s="122"/>
      <c r="E20" s="122"/>
      <c r="F20" s="121"/>
      <c r="G20" s="124"/>
      <c r="H20" s="125"/>
    </row>
    <row r="21" spans="1:10" ht="18" customHeight="1">
      <c r="A21" s="119"/>
      <c r="B21" s="120"/>
      <c r="C21" s="121"/>
      <c r="D21" s="122"/>
      <c r="E21" s="122"/>
      <c r="F21" s="121"/>
      <c r="G21" s="124"/>
      <c r="H21" s="125"/>
    </row>
    <row r="22" spans="1:10" ht="18" customHeight="1">
      <c r="A22" s="119"/>
      <c r="B22" s="120"/>
      <c r="C22" s="121"/>
      <c r="D22" s="122"/>
      <c r="E22" s="122"/>
      <c r="F22" s="121"/>
      <c r="G22" s="124"/>
      <c r="H22" s="125"/>
    </row>
    <row r="23" spans="1:10" ht="18" customHeight="1">
      <c r="A23" s="119"/>
      <c r="B23" s="120"/>
      <c r="C23" s="121"/>
      <c r="D23" s="122"/>
      <c r="E23" s="122"/>
      <c r="F23" s="121"/>
      <c r="G23" s="124"/>
      <c r="H23" s="125"/>
    </row>
    <row r="24" spans="1:10" ht="18" customHeight="1">
      <c r="A24" s="119"/>
      <c r="B24" s="120"/>
      <c r="C24" s="121"/>
      <c r="D24" s="122"/>
      <c r="E24" s="122"/>
      <c r="F24" s="121"/>
      <c r="G24" s="124"/>
      <c r="H24" s="125"/>
    </row>
    <row r="25" spans="1:10" ht="18" customHeight="1">
      <c r="A25" s="119"/>
      <c r="B25" s="120"/>
      <c r="C25" s="121"/>
      <c r="D25" s="122"/>
      <c r="E25" s="122"/>
      <c r="F25" s="121"/>
      <c r="G25" s="124"/>
      <c r="H25" s="125"/>
    </row>
    <row r="26" spans="1:10" ht="18" customHeight="1">
      <c r="A26" s="119"/>
      <c r="B26" s="120"/>
      <c r="C26" s="121"/>
      <c r="D26" s="122"/>
      <c r="E26" s="122"/>
      <c r="F26" s="121"/>
      <c r="G26" s="124"/>
      <c r="H26" s="125"/>
    </row>
    <row r="27" spans="1:10" ht="18" customHeight="1">
      <c r="A27" s="119"/>
      <c r="B27" s="120"/>
      <c r="C27" s="121"/>
      <c r="D27" s="122"/>
      <c r="E27" s="122"/>
      <c r="F27" s="121"/>
      <c r="G27" s="124"/>
      <c r="H27" s="125"/>
    </row>
    <row r="28" spans="1:10" ht="18" customHeight="1">
      <c r="A28" t="s">
        <v>247</v>
      </c>
      <c r="C28" s="1"/>
      <c r="D28" s="126"/>
      <c r="E28" s="126"/>
      <c r="F28" s="1"/>
      <c r="G28" s="1"/>
      <c r="H28" s="1"/>
    </row>
    <row r="29" spans="1:10" ht="18" customHeight="1">
      <c r="C29" s="1"/>
      <c r="D29" s="126"/>
      <c r="E29" s="126"/>
      <c r="F29" s="1"/>
      <c r="G29" s="1"/>
      <c r="H29" s="1"/>
    </row>
    <row r="30" spans="1:10" ht="22.5" customHeight="1">
      <c r="A30" s="111" t="s">
        <v>224</v>
      </c>
      <c r="B30" s="111"/>
      <c r="C30" s="111"/>
      <c r="D30" s="111"/>
      <c r="E30" s="111"/>
      <c r="F30" s="111"/>
      <c r="G30" s="111"/>
      <c r="H30" s="111"/>
      <c r="I30" s="127"/>
      <c r="J30" s="127"/>
    </row>
    <row r="31" spans="1:10" ht="18" customHeight="1">
      <c r="A31" s="112" t="s">
        <v>81</v>
      </c>
      <c r="B31" s="112" t="s">
        <v>225</v>
      </c>
      <c r="C31" s="112" t="s">
        <v>226</v>
      </c>
      <c r="D31" s="112" t="s">
        <v>227</v>
      </c>
      <c r="E31" s="112" t="s">
        <v>228</v>
      </c>
      <c r="F31" s="112" t="s">
        <v>229</v>
      </c>
      <c r="G31" s="188" t="s">
        <v>230</v>
      </c>
      <c r="H31" s="189"/>
    </row>
    <row r="32" spans="1:10" ht="18" customHeight="1">
      <c r="A32" s="113"/>
      <c r="B32" s="113"/>
      <c r="C32" s="113"/>
      <c r="D32" s="113" t="s">
        <v>231</v>
      </c>
      <c r="E32" s="113" t="s">
        <v>231</v>
      </c>
      <c r="F32" s="113" t="s">
        <v>232</v>
      </c>
      <c r="G32" s="190" t="s">
        <v>233</v>
      </c>
      <c r="H32" s="191"/>
    </row>
    <row r="33" spans="1:8" ht="18" customHeight="1">
      <c r="A33" s="128"/>
      <c r="B33" s="120" t="s">
        <v>244</v>
      </c>
      <c r="C33" s="121" t="s">
        <v>248</v>
      </c>
      <c r="D33" s="122">
        <v>205.00399999999999</v>
      </c>
      <c r="E33" s="122">
        <v>204.22399999999999</v>
      </c>
      <c r="F33" s="121" t="s">
        <v>249</v>
      </c>
      <c r="G33" s="194">
        <v>1.37</v>
      </c>
      <c r="H33" s="195"/>
    </row>
    <row r="34" spans="1:8" ht="18" customHeight="1">
      <c r="A34" s="123"/>
      <c r="B34" s="120" t="s">
        <v>250</v>
      </c>
      <c r="C34" s="121" t="s">
        <v>251</v>
      </c>
      <c r="D34" s="122">
        <v>204.751</v>
      </c>
      <c r="E34" s="122">
        <v>203.751</v>
      </c>
      <c r="F34" s="121" t="s">
        <v>252</v>
      </c>
      <c r="G34" s="192">
        <v>14.7</v>
      </c>
      <c r="H34" s="193"/>
    </row>
    <row r="35" spans="1:8" ht="18" customHeight="1">
      <c r="A35" s="119"/>
      <c r="B35" s="120" t="s">
        <v>250</v>
      </c>
      <c r="C35" s="121" t="s">
        <v>39</v>
      </c>
      <c r="D35" s="121">
        <v>204.708</v>
      </c>
      <c r="E35" s="121">
        <v>203.708</v>
      </c>
      <c r="F35" s="121" t="s">
        <v>253</v>
      </c>
      <c r="G35" s="192">
        <v>1.2</v>
      </c>
      <c r="H35" s="193"/>
    </row>
    <row r="36" spans="1:8" ht="18" customHeight="1">
      <c r="A36" s="119"/>
      <c r="B36" s="120" t="s">
        <v>250</v>
      </c>
      <c r="C36" s="121" t="s">
        <v>254</v>
      </c>
      <c r="D36" s="121">
        <v>204.636</v>
      </c>
      <c r="E36" s="121">
        <v>203.636</v>
      </c>
      <c r="F36" s="121" t="s">
        <v>255</v>
      </c>
      <c r="G36" s="192">
        <v>1.56</v>
      </c>
      <c r="H36" s="193"/>
    </row>
    <row r="37" spans="1:8" ht="18" customHeight="1">
      <c r="A37" s="119"/>
      <c r="B37" s="120" t="s">
        <v>250</v>
      </c>
      <c r="C37" s="121" t="s">
        <v>256</v>
      </c>
      <c r="D37" s="122">
        <v>204.57</v>
      </c>
      <c r="E37" s="122">
        <v>203.57</v>
      </c>
      <c r="F37" s="121" t="s">
        <v>257</v>
      </c>
      <c r="G37" s="192">
        <v>4.8</v>
      </c>
      <c r="H37" s="193"/>
    </row>
    <row r="38" spans="1:8" ht="18" customHeight="1">
      <c r="A38" s="123" t="s">
        <v>20</v>
      </c>
      <c r="B38" s="120" t="s">
        <v>217</v>
      </c>
      <c r="C38" s="121" t="s">
        <v>35</v>
      </c>
      <c r="D38" s="121">
        <v>204.42400000000001</v>
      </c>
      <c r="E38" s="121">
        <v>203.42400000000001</v>
      </c>
      <c r="F38" s="121" t="s">
        <v>258</v>
      </c>
      <c r="G38" s="192">
        <v>1.375</v>
      </c>
      <c r="H38" s="193"/>
    </row>
    <row r="39" spans="1:8" ht="18" customHeight="1">
      <c r="A39" s="119"/>
      <c r="B39" s="120" t="s">
        <v>259</v>
      </c>
      <c r="C39" s="121" t="s">
        <v>169</v>
      </c>
      <c r="D39" s="121">
        <v>203.88800000000001</v>
      </c>
      <c r="E39" s="121">
        <v>202.93799999999999</v>
      </c>
      <c r="F39" s="121" t="s">
        <v>260</v>
      </c>
      <c r="G39" s="192">
        <v>1.234</v>
      </c>
      <c r="H39" s="193"/>
    </row>
    <row r="40" spans="1:8" ht="18" customHeight="1">
      <c r="A40" s="119"/>
      <c r="B40" s="120" t="s">
        <v>250</v>
      </c>
      <c r="C40" s="121" t="s">
        <v>261</v>
      </c>
      <c r="D40" s="122">
        <v>200.86</v>
      </c>
      <c r="E40" s="122">
        <v>199.91</v>
      </c>
      <c r="F40" s="121" t="s">
        <v>262</v>
      </c>
      <c r="G40" s="192">
        <v>2.04</v>
      </c>
      <c r="H40" s="193"/>
    </row>
    <row r="41" spans="1:8" ht="18" customHeight="1">
      <c r="A41" s="119"/>
      <c r="B41" s="120" t="s">
        <v>250</v>
      </c>
      <c r="C41" s="121" t="s">
        <v>159</v>
      </c>
      <c r="D41" s="121">
        <v>200.71299999999999</v>
      </c>
      <c r="E41" s="121">
        <v>199.76300000000001</v>
      </c>
      <c r="F41" s="121" t="s">
        <v>263</v>
      </c>
      <c r="G41" s="196" t="s">
        <v>115</v>
      </c>
      <c r="H41" s="195"/>
    </row>
    <row r="42" spans="1:8" ht="18" customHeight="1">
      <c r="A42" s="119"/>
      <c r="B42" s="120" t="s">
        <v>250</v>
      </c>
      <c r="C42" s="121" t="s">
        <v>118</v>
      </c>
      <c r="D42" s="121">
        <v>200.708</v>
      </c>
      <c r="E42" s="121">
        <v>199.75800000000001</v>
      </c>
      <c r="F42" s="121" t="s">
        <v>262</v>
      </c>
      <c r="G42" s="194">
        <v>61.59</v>
      </c>
      <c r="H42" s="195"/>
    </row>
    <row r="43" spans="1:8" ht="18" customHeight="1">
      <c r="A43" s="119"/>
      <c r="B43" s="120" t="s">
        <v>250</v>
      </c>
      <c r="C43" s="121" t="s">
        <v>264</v>
      </c>
      <c r="D43" s="121">
        <v>200.643</v>
      </c>
      <c r="E43" s="121">
        <v>199.69300000000001</v>
      </c>
      <c r="F43" s="121" t="s">
        <v>265</v>
      </c>
      <c r="G43" s="194">
        <v>1.86</v>
      </c>
      <c r="H43" s="195"/>
    </row>
    <row r="44" spans="1:8" ht="18" customHeight="1">
      <c r="A44" s="119"/>
      <c r="B44" s="120" t="s">
        <v>216</v>
      </c>
      <c r="C44" s="121" t="s">
        <v>36</v>
      </c>
      <c r="D44" s="129" t="s">
        <v>266</v>
      </c>
      <c r="E44" s="129" t="s">
        <v>267</v>
      </c>
      <c r="F44" s="121" t="s">
        <v>268</v>
      </c>
      <c r="G44" s="192">
        <v>1.234</v>
      </c>
      <c r="H44" s="193"/>
    </row>
    <row r="45" spans="1:8" ht="18" customHeight="1">
      <c r="A45" s="119"/>
      <c r="B45" s="120" t="s">
        <v>250</v>
      </c>
      <c r="C45" s="121" t="s">
        <v>269</v>
      </c>
      <c r="D45" s="121">
        <v>200.518</v>
      </c>
      <c r="E45" s="121">
        <v>199.56800000000001</v>
      </c>
      <c r="F45" s="121" t="s">
        <v>263</v>
      </c>
      <c r="G45" s="192">
        <v>2</v>
      </c>
      <c r="H45" s="193"/>
    </row>
    <row r="46" spans="1:8" ht="18" customHeight="1">
      <c r="A46" s="119"/>
      <c r="B46" s="120" t="s">
        <v>217</v>
      </c>
      <c r="C46" s="121" t="s">
        <v>170</v>
      </c>
      <c r="D46" s="121">
        <v>198.30799999999999</v>
      </c>
      <c r="E46" s="121">
        <v>197.25800000000001</v>
      </c>
      <c r="F46" s="121" t="s">
        <v>270</v>
      </c>
      <c r="G46" s="192">
        <v>0.252</v>
      </c>
      <c r="H46" s="193"/>
    </row>
    <row r="47" spans="1:8" ht="18" customHeight="1">
      <c r="A47" s="119"/>
      <c r="B47" s="120" t="s">
        <v>250</v>
      </c>
      <c r="C47" s="121" t="s">
        <v>271</v>
      </c>
      <c r="D47" s="121">
        <v>197.739</v>
      </c>
      <c r="E47" s="121">
        <v>197.18899999999999</v>
      </c>
      <c r="F47" s="121" t="s">
        <v>272</v>
      </c>
      <c r="G47" s="192">
        <v>1.2</v>
      </c>
      <c r="H47" s="193"/>
    </row>
    <row r="48" spans="1:8" ht="18" customHeight="1">
      <c r="A48" s="119"/>
      <c r="B48" s="120" t="s">
        <v>250</v>
      </c>
      <c r="C48" s="121" t="s">
        <v>273</v>
      </c>
      <c r="D48" s="121">
        <v>197.62200000000001</v>
      </c>
      <c r="E48" s="121">
        <v>197.072</v>
      </c>
      <c r="F48" s="121" t="s">
        <v>274</v>
      </c>
      <c r="G48" s="192">
        <v>1.27</v>
      </c>
      <c r="H48" s="193"/>
    </row>
    <row r="49" spans="1:8" ht="18" customHeight="1">
      <c r="A49" s="119"/>
      <c r="B49" s="120" t="s">
        <v>275</v>
      </c>
      <c r="C49" s="121" t="s">
        <v>171</v>
      </c>
      <c r="D49" s="121">
        <v>197.58799999999999</v>
      </c>
      <c r="E49" s="121">
        <v>197.03800000000001</v>
      </c>
      <c r="F49" s="121" t="s">
        <v>276</v>
      </c>
      <c r="G49" s="192">
        <v>0.159</v>
      </c>
      <c r="H49" s="193"/>
    </row>
    <row r="50" spans="1:8" ht="18" customHeight="1">
      <c r="A50" s="119"/>
      <c r="B50" s="120"/>
      <c r="C50" s="121"/>
      <c r="D50" s="121"/>
      <c r="E50" s="121"/>
      <c r="F50" s="121"/>
      <c r="G50" s="117"/>
      <c r="H50" s="118"/>
    </row>
    <row r="51" spans="1:8" ht="18" customHeight="1">
      <c r="A51" s="119"/>
      <c r="B51" s="120"/>
      <c r="C51" s="121"/>
      <c r="D51" s="121"/>
      <c r="E51" s="121"/>
      <c r="F51" s="121"/>
      <c r="G51" s="117"/>
      <c r="H51" s="118"/>
    </row>
    <row r="52" spans="1:8" ht="18" customHeight="1">
      <c r="A52" s="119"/>
      <c r="B52" s="120"/>
      <c r="C52" s="121"/>
      <c r="D52" s="121"/>
      <c r="E52" s="121"/>
      <c r="F52" s="121"/>
      <c r="G52" s="117"/>
      <c r="H52" s="118"/>
    </row>
    <row r="53" spans="1:8" ht="18" customHeight="1">
      <c r="A53" s="119"/>
      <c r="B53" s="120"/>
      <c r="C53" s="121"/>
      <c r="D53" s="121"/>
      <c r="E53" s="121"/>
      <c r="F53" s="121"/>
      <c r="G53" s="117"/>
      <c r="H53" s="118"/>
    </row>
    <row r="54" spans="1:8" ht="18" customHeight="1">
      <c r="A54" s="119"/>
      <c r="B54" s="120"/>
      <c r="C54" s="121"/>
      <c r="D54" s="121"/>
      <c r="E54" s="121"/>
      <c r="F54" s="121"/>
      <c r="G54" s="117"/>
      <c r="H54" s="118"/>
    </row>
    <row r="55" spans="1:8" ht="18" customHeight="1">
      <c r="A55" s="119"/>
      <c r="B55" s="120"/>
      <c r="C55" s="121"/>
      <c r="D55" s="121"/>
      <c r="E55" s="121"/>
      <c r="F55" s="121"/>
      <c r="G55" s="117"/>
      <c r="H55" s="118"/>
    </row>
    <row r="56" spans="1:8" ht="18" customHeight="1">
      <c r="A56" s="119"/>
      <c r="B56" s="120"/>
      <c r="C56" s="121"/>
      <c r="D56" s="121"/>
      <c r="E56" s="121"/>
      <c r="F56" s="121"/>
      <c r="G56" s="117"/>
      <c r="H56" s="118"/>
    </row>
    <row r="57" spans="1:8" ht="18" customHeight="1">
      <c r="A57" s="130"/>
      <c r="B57" s="120"/>
      <c r="C57" s="121"/>
      <c r="D57" s="121"/>
      <c r="E57" s="121"/>
      <c r="F57" s="121"/>
      <c r="G57" s="192"/>
      <c r="H57" s="193"/>
    </row>
    <row r="58" spans="1:8">
      <c r="A58" t="s">
        <v>277</v>
      </c>
    </row>
    <row r="59" spans="1:8" ht="19.5" customHeight="1">
      <c r="A59" s="111" t="s">
        <v>224</v>
      </c>
      <c r="B59" s="111"/>
      <c r="C59" s="111"/>
      <c r="D59" s="111"/>
      <c r="E59" s="111"/>
      <c r="F59" s="111"/>
      <c r="G59" s="111"/>
      <c r="H59" s="111"/>
    </row>
    <row r="60" spans="1:8" ht="18" customHeight="1">
      <c r="A60" s="112" t="s">
        <v>81</v>
      </c>
      <c r="B60" s="112" t="s">
        <v>225</v>
      </c>
      <c r="C60" s="112" t="s">
        <v>226</v>
      </c>
      <c r="D60" s="112" t="s">
        <v>227</v>
      </c>
      <c r="E60" s="112" t="s">
        <v>228</v>
      </c>
      <c r="F60" s="112" t="s">
        <v>229</v>
      </c>
      <c r="G60" s="188" t="s">
        <v>230</v>
      </c>
      <c r="H60" s="189"/>
    </row>
    <row r="61" spans="1:8" ht="18" customHeight="1">
      <c r="A61" s="113"/>
      <c r="B61" s="113"/>
      <c r="C61" s="113"/>
      <c r="D61" s="113" t="s">
        <v>231</v>
      </c>
      <c r="E61" s="113" t="s">
        <v>231</v>
      </c>
      <c r="F61" s="113" t="s">
        <v>232</v>
      </c>
      <c r="G61" s="190" t="s">
        <v>233</v>
      </c>
      <c r="H61" s="191"/>
    </row>
    <row r="62" spans="1:8" ht="18" customHeight="1">
      <c r="A62" s="128"/>
      <c r="B62" s="120" t="s">
        <v>278</v>
      </c>
      <c r="C62" s="121" t="s">
        <v>40</v>
      </c>
      <c r="D62" s="122">
        <v>200.20400000000001</v>
      </c>
      <c r="E62" s="122">
        <v>199.404</v>
      </c>
      <c r="F62" s="121" t="s">
        <v>279</v>
      </c>
      <c r="G62" s="196" t="s">
        <v>280</v>
      </c>
      <c r="H62" s="195"/>
    </row>
    <row r="63" spans="1:8" ht="18" customHeight="1">
      <c r="A63" s="123"/>
      <c r="B63" s="120" t="s">
        <v>250</v>
      </c>
      <c r="C63" s="121" t="s">
        <v>281</v>
      </c>
      <c r="D63" s="122">
        <v>200.19200000000001</v>
      </c>
      <c r="E63" s="122">
        <v>199.32900000000001</v>
      </c>
      <c r="F63" s="121" t="s">
        <v>282</v>
      </c>
      <c r="G63" s="192">
        <v>1</v>
      </c>
      <c r="H63" s="193"/>
    </row>
    <row r="64" spans="1:8" ht="18" customHeight="1">
      <c r="A64" s="119"/>
      <c r="B64" s="120" t="s">
        <v>250</v>
      </c>
      <c r="C64" s="121" t="s">
        <v>283</v>
      </c>
      <c r="D64" s="122">
        <v>200.14</v>
      </c>
      <c r="E64" s="122">
        <v>199.34</v>
      </c>
      <c r="F64" s="121" t="s">
        <v>284</v>
      </c>
      <c r="G64" s="192">
        <v>1.8</v>
      </c>
      <c r="H64" s="193"/>
    </row>
    <row r="65" spans="1:8" ht="18" customHeight="1">
      <c r="A65" s="119"/>
      <c r="B65" s="120" t="s">
        <v>285</v>
      </c>
      <c r="C65" s="121" t="s">
        <v>173</v>
      </c>
      <c r="D65" s="121">
        <v>200.054</v>
      </c>
      <c r="E65" s="121">
        <v>199.25399999999999</v>
      </c>
      <c r="F65" s="121" t="s">
        <v>286</v>
      </c>
      <c r="G65" s="197" t="s">
        <v>287</v>
      </c>
      <c r="H65" s="193"/>
    </row>
    <row r="66" spans="1:8" ht="18" customHeight="1">
      <c r="A66" s="119"/>
      <c r="B66" s="120" t="s">
        <v>217</v>
      </c>
      <c r="C66" s="121" t="s">
        <v>174</v>
      </c>
      <c r="D66" s="122">
        <v>198.67599999999999</v>
      </c>
      <c r="E66" s="122">
        <v>197.92599999999999</v>
      </c>
      <c r="F66" s="121" t="s">
        <v>288</v>
      </c>
      <c r="G66" s="197" t="s">
        <v>289</v>
      </c>
      <c r="H66" s="193"/>
    </row>
    <row r="67" spans="1:8" ht="18" customHeight="1">
      <c r="A67" s="123" t="s">
        <v>21</v>
      </c>
      <c r="B67" s="120" t="s">
        <v>250</v>
      </c>
      <c r="C67" s="121" t="s">
        <v>290</v>
      </c>
      <c r="D67" s="121">
        <v>198.16399999999999</v>
      </c>
      <c r="E67" s="121">
        <v>197.41399999999999</v>
      </c>
      <c r="F67" s="121" t="s">
        <v>291</v>
      </c>
      <c r="G67" s="192">
        <v>3.2</v>
      </c>
      <c r="H67" s="193"/>
    </row>
    <row r="68" spans="1:8" ht="18" customHeight="1">
      <c r="A68" s="119"/>
      <c r="B68" s="120" t="s">
        <v>285</v>
      </c>
      <c r="C68" s="121" t="s">
        <v>41</v>
      </c>
      <c r="D68" s="121">
        <v>198.084</v>
      </c>
      <c r="E68" s="121">
        <v>197.334</v>
      </c>
      <c r="F68" s="121" t="s">
        <v>292</v>
      </c>
      <c r="G68" s="197" t="s">
        <v>293</v>
      </c>
      <c r="H68" s="193"/>
    </row>
    <row r="69" spans="1:8" ht="18" customHeight="1">
      <c r="A69" s="119"/>
      <c r="B69" s="120" t="s">
        <v>285</v>
      </c>
      <c r="C69" s="121" t="s">
        <v>169</v>
      </c>
      <c r="D69" s="122">
        <v>196.934</v>
      </c>
      <c r="E69" s="122">
        <v>196.28399999999999</v>
      </c>
      <c r="F69" s="121" t="s">
        <v>294</v>
      </c>
      <c r="G69" s="197" t="s">
        <v>295</v>
      </c>
      <c r="H69" s="193"/>
    </row>
    <row r="70" spans="1:8" ht="18" customHeight="1">
      <c r="A70" s="119"/>
      <c r="B70" s="120" t="s">
        <v>275</v>
      </c>
      <c r="C70" s="121" t="s">
        <v>38</v>
      </c>
      <c r="D70" s="121">
        <v>195.35400000000001</v>
      </c>
      <c r="E70" s="121">
        <v>194.85400000000001</v>
      </c>
      <c r="F70" s="121" t="s">
        <v>296</v>
      </c>
      <c r="G70" s="196" t="s">
        <v>115</v>
      </c>
      <c r="H70" s="195"/>
    </row>
    <row r="71" spans="1:8" ht="18" customHeight="1">
      <c r="A71" s="119"/>
      <c r="B71" s="120"/>
      <c r="C71" s="121"/>
      <c r="D71" s="121"/>
      <c r="E71" s="121"/>
      <c r="F71" s="121"/>
      <c r="G71" s="194"/>
      <c r="H71" s="195"/>
    </row>
    <row r="72" spans="1:8" ht="18" customHeight="1">
      <c r="A72" s="119"/>
      <c r="B72" s="120"/>
      <c r="C72" s="121"/>
      <c r="D72" s="121"/>
      <c r="E72" s="121"/>
      <c r="F72" s="121"/>
      <c r="G72" s="194"/>
      <c r="H72" s="195"/>
    </row>
    <row r="73" spans="1:8" ht="18" customHeight="1">
      <c r="A73" s="119"/>
      <c r="B73" s="120"/>
      <c r="C73" s="121"/>
      <c r="D73" s="129"/>
      <c r="E73" s="129"/>
      <c r="F73" s="121"/>
      <c r="G73" s="192"/>
      <c r="H73" s="193"/>
    </row>
    <row r="74" spans="1:8" ht="18" customHeight="1">
      <c r="A74" s="119"/>
      <c r="B74" s="120"/>
      <c r="C74" s="121"/>
      <c r="D74" s="121"/>
      <c r="E74" s="121"/>
      <c r="F74" s="121"/>
      <c r="G74" s="192"/>
      <c r="H74" s="193"/>
    </row>
    <row r="75" spans="1:8" ht="18" customHeight="1">
      <c r="A75" s="119"/>
      <c r="B75" s="120"/>
      <c r="C75" s="121"/>
      <c r="D75" s="121"/>
      <c r="E75" s="121"/>
      <c r="F75" s="121"/>
      <c r="G75" s="117"/>
      <c r="H75" s="118"/>
    </row>
    <row r="76" spans="1:8" ht="18" customHeight="1">
      <c r="A76" s="119"/>
      <c r="B76" s="120"/>
      <c r="C76" s="121"/>
      <c r="D76" s="121"/>
      <c r="E76" s="121"/>
      <c r="F76" s="121"/>
      <c r="G76" s="192"/>
      <c r="H76" s="193"/>
    </row>
    <row r="77" spans="1:8" ht="18" customHeight="1">
      <c r="A77" s="119"/>
      <c r="B77" s="120"/>
      <c r="C77" s="121"/>
      <c r="D77" s="121"/>
      <c r="E77" s="121"/>
      <c r="F77" s="121"/>
      <c r="G77" s="192"/>
      <c r="H77" s="193"/>
    </row>
    <row r="78" spans="1:8" ht="18" customHeight="1">
      <c r="A78" s="119"/>
      <c r="B78" s="120"/>
      <c r="C78" s="121"/>
      <c r="D78" s="121"/>
      <c r="E78" s="121"/>
      <c r="F78" s="121"/>
      <c r="G78" s="192"/>
      <c r="H78" s="193"/>
    </row>
    <row r="79" spans="1:8" ht="18" customHeight="1">
      <c r="A79" s="119"/>
      <c r="B79" s="120"/>
      <c r="C79" s="121"/>
      <c r="D79" s="121"/>
      <c r="E79" s="121"/>
      <c r="F79" s="121"/>
      <c r="G79" s="192"/>
      <c r="H79" s="193"/>
    </row>
    <row r="80" spans="1:8" ht="18" customHeight="1">
      <c r="A80" s="119"/>
      <c r="B80" s="120"/>
      <c r="C80" s="121"/>
      <c r="D80" s="121"/>
      <c r="E80" s="121"/>
      <c r="F80" s="121"/>
      <c r="G80" s="192"/>
      <c r="H80" s="193"/>
    </row>
    <row r="81" spans="1:8" ht="18" customHeight="1">
      <c r="A81" s="119"/>
      <c r="B81" s="120"/>
      <c r="C81" s="121"/>
      <c r="D81" s="121"/>
      <c r="E81" s="121"/>
      <c r="F81" s="121"/>
      <c r="G81" s="192"/>
      <c r="H81" s="193"/>
    </row>
    <row r="82" spans="1:8" ht="18" customHeight="1">
      <c r="A82" s="119"/>
      <c r="B82" s="120"/>
      <c r="C82" s="121"/>
      <c r="D82" s="121"/>
      <c r="E82" s="121"/>
      <c r="F82" s="121"/>
      <c r="G82" s="192"/>
      <c r="H82" s="193"/>
    </row>
    <row r="83" spans="1:8" ht="18" customHeight="1">
      <c r="A83" s="119"/>
      <c r="B83" s="120"/>
      <c r="C83" s="121"/>
      <c r="D83" s="121"/>
      <c r="E83" s="121"/>
      <c r="F83" s="121"/>
      <c r="G83" s="192"/>
      <c r="H83" s="193"/>
    </row>
    <row r="84" spans="1:8" ht="18" customHeight="1">
      <c r="A84" s="119"/>
      <c r="B84" s="120"/>
      <c r="C84" s="121"/>
      <c r="D84" s="121"/>
      <c r="E84" s="121"/>
      <c r="F84" s="121"/>
      <c r="G84" s="192"/>
      <c r="H84" s="193"/>
    </row>
    <row r="85" spans="1:8" ht="18" customHeight="1">
      <c r="A85" s="119"/>
      <c r="B85" s="120"/>
      <c r="C85" s="121"/>
      <c r="D85" s="121"/>
      <c r="E85" s="121"/>
      <c r="F85" s="121"/>
      <c r="G85" s="192"/>
      <c r="H85" s="193"/>
    </row>
    <row r="86" spans="1:8" ht="18" customHeight="1">
      <c r="A86" s="130"/>
      <c r="B86" s="120"/>
      <c r="C86" s="121"/>
      <c r="D86" s="121"/>
      <c r="E86" s="121"/>
      <c r="F86" s="121"/>
      <c r="G86" s="192"/>
      <c r="H86" s="193"/>
    </row>
    <row r="87" spans="1:8">
      <c r="A87" t="s">
        <v>297</v>
      </c>
    </row>
  </sheetData>
  <mergeCells count="54">
    <mergeCell ref="G86:H86"/>
    <mergeCell ref="G74:H74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73:H73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61:H61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60:H60"/>
    <mergeCell ref="G40:H40"/>
    <mergeCell ref="G7:H7"/>
    <mergeCell ref="G8:H8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6:H6"/>
    <mergeCell ref="A1:H1"/>
    <mergeCell ref="G2:H2"/>
    <mergeCell ref="G3:H3"/>
    <mergeCell ref="G4:H4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4DC3-C9E4-4EA7-BBAB-E74F6FDF3E24}">
  <dimension ref="A1"/>
  <sheetViews>
    <sheetView workbookViewId="0">
      <selection activeCell="G25" sqref="G2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Characteristics</vt:lpstr>
      <vt:lpstr>Experiment</vt:lpstr>
      <vt:lpstr>สบ. 1</vt:lpstr>
      <vt:lpstr>สบ.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 Limanond</dc:creator>
  <cp:lastModifiedBy>Subhaj Limanond</cp:lastModifiedBy>
  <dcterms:created xsi:type="dcterms:W3CDTF">2023-11-02T06:37:49Z</dcterms:created>
  <dcterms:modified xsi:type="dcterms:W3CDTF">2024-01-15T14:34:34Z</dcterms:modified>
</cp:coreProperties>
</file>