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omentum-strategy\"/>
    </mc:Choice>
  </mc:AlternateContent>
  <xr:revisionPtr revIDLastSave="0" documentId="13_ncr:1_{28D28212-9ADB-43DC-B57F-06440F9E5774}" xr6:coauthVersionLast="47" xr6:coauthVersionMax="47" xr10:uidLastSave="{00000000-0000-0000-0000-000000000000}"/>
  <bookViews>
    <workbookView xWindow="-86310" yWindow="1590" windowWidth="28890" windowHeight="13695" activeTab="2" xr2:uid="{EDD31CD7-8853-4BA3-921D-1A4E3F9B5C8D}"/>
  </bookViews>
  <sheets>
    <sheet name="Beta" sheetId="2" r:id="rId1"/>
    <sheet name="Sector Calc" sheetId="7" r:id="rId2"/>
    <sheet name="Sector" sheetId="8" r:id="rId3"/>
  </sheets>
  <definedNames>
    <definedName name="ExternalData_1" localSheetId="0" hidden="1">Beta!$A$1:$E$52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7" l="1"/>
  <c r="F6" i="2" a="1"/>
  <c r="F6" i="2" l="1"/>
  <c r="C15" i="7"/>
  <c r="F16" i="2" a="1"/>
  <c r="F16" i="2"/>
  <c r="F7" i="2" a="1"/>
  <c r="F7" i="2"/>
  <c r="F2" i="2" a="1"/>
  <c r="F2" i="2"/>
  <c r="F33" i="2" a="1"/>
  <c r="F33" i="2"/>
  <c r="F51" i="2" a="1"/>
  <c r="F51" i="2"/>
  <c r="F19" i="2" a="1"/>
  <c r="F19" i="2"/>
  <c r="F18" i="2" a="1"/>
  <c r="F18" i="2"/>
  <c r="F50" i="2" a="1"/>
  <c r="F50" i="2"/>
  <c r="F43" i="2" a="1"/>
  <c r="F43" i="2"/>
  <c r="F4" i="2" a="1"/>
  <c r="F4" i="2"/>
  <c r="F20" i="2" a="1"/>
  <c r="F20" i="2"/>
  <c r="F13" i="2" a="1"/>
  <c r="F13" i="2"/>
  <c r="F34" i="2" a="1"/>
  <c r="F34" i="2"/>
  <c r="F26" i="2" a="1"/>
  <c r="F26" i="2"/>
  <c r="F40" i="2" a="1"/>
  <c r="F40" i="2"/>
  <c r="F41" i="2" a="1"/>
  <c r="F41" i="2"/>
  <c r="F31" i="2" a="1"/>
  <c r="F31" i="2"/>
  <c r="F30" i="2" a="1"/>
  <c r="F30" i="2"/>
  <c r="F46" i="2" a="1"/>
  <c r="F46" i="2"/>
  <c r="F48" i="2" a="1"/>
  <c r="F48" i="2"/>
  <c r="F45" i="2" a="1"/>
  <c r="F45" i="2"/>
  <c r="F10" i="2" a="1"/>
  <c r="F10" i="2"/>
  <c r="F52" i="2" a="1"/>
  <c r="F52" i="2"/>
  <c r="F27" i="2" a="1"/>
  <c r="F27" i="2"/>
  <c r="F29" i="2" a="1"/>
  <c r="F29" i="2"/>
  <c r="F5" i="2" a="1"/>
  <c r="F5" i="2"/>
  <c r="F21" i="2" a="1"/>
  <c r="F21" i="2"/>
  <c r="F37" i="2" a="1"/>
  <c r="F37" i="2"/>
  <c r="F32" i="2" a="1"/>
  <c r="F32" i="2"/>
  <c r="F39" i="2" a="1"/>
  <c r="F39" i="2"/>
  <c r="F14" i="2" a="1"/>
  <c r="F14" i="2"/>
  <c r="F36" i="2" a="1"/>
  <c r="F36" i="2"/>
  <c r="F9" i="2" a="1"/>
  <c r="F9" i="2"/>
  <c r="F47" i="2" a="1"/>
  <c r="F47" i="2"/>
  <c r="F44" i="2" a="1"/>
  <c r="F44" i="2"/>
  <c r="F28" i="2" a="1"/>
  <c r="F28" i="2"/>
  <c r="F12" i="2" a="1"/>
  <c r="F12" i="2"/>
  <c r="F24" i="2" a="1"/>
  <c r="F24" i="2"/>
  <c r="F8" i="2" a="1"/>
  <c r="F8" i="2"/>
  <c r="F15" i="2" a="1"/>
  <c r="F15" i="2"/>
  <c r="F17" i="2" a="1"/>
  <c r="F17" i="2"/>
  <c r="F25" i="2" a="1"/>
  <c r="F25" i="2"/>
  <c r="F3" i="2" a="1"/>
  <c r="F3" i="2"/>
  <c r="F42" i="2" a="1"/>
  <c r="F42" i="2"/>
  <c r="F38" i="2" a="1"/>
  <c r="F38" i="2"/>
  <c r="F23" i="2" a="1"/>
  <c r="F23" i="2"/>
  <c r="F11" i="2" a="1"/>
  <c r="F11" i="2"/>
  <c r="F22" i="2" a="1"/>
  <c r="F22" i="2"/>
  <c r="F35" i="2" a="1"/>
  <c r="F35" i="2"/>
  <c r="F49" i="2" a="1"/>
  <c r="F49" i="2"/>
  <c r="H26" i="8"/>
  <c r="H25" i="8"/>
  <c r="H24" i="8"/>
  <c r="H23" i="8"/>
  <c r="H22" i="8"/>
  <c r="H21" i="8"/>
  <c r="H20" i="8"/>
  <c r="H19" i="8"/>
  <c r="H18" i="8"/>
  <c r="H17" i="8"/>
  <c r="H16" i="8"/>
  <c r="H12" i="8"/>
  <c r="H11" i="8"/>
  <c r="H10" i="8"/>
  <c r="H9" i="8"/>
  <c r="H8" i="8"/>
  <c r="H7" i="8"/>
  <c r="H6" i="8"/>
  <c r="H5" i="8"/>
  <c r="H4" i="8"/>
  <c r="H3" i="8"/>
  <c r="H2" i="8"/>
  <c r="H48" i="7"/>
  <c r="I48" i="7" s="1"/>
  <c r="H47" i="7"/>
  <c r="I47" i="7" s="1"/>
  <c r="H46" i="7"/>
  <c r="I46" i="7" s="1"/>
  <c r="H45" i="7"/>
  <c r="I45" i="7" s="1"/>
  <c r="H44" i="7"/>
  <c r="I44" i="7" s="1"/>
  <c r="H43" i="7"/>
  <c r="I43" i="7" s="1"/>
  <c r="H42" i="7"/>
  <c r="I42" i="7" s="1"/>
  <c r="H41" i="7"/>
  <c r="I41" i="7" s="1"/>
  <c r="H40" i="7"/>
  <c r="I40" i="7" s="1"/>
  <c r="H39" i="7"/>
  <c r="I39" i="7" s="1"/>
  <c r="H38" i="7"/>
  <c r="I38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I4" i="7" s="1"/>
  <c r="H3" i="7"/>
  <c r="I3" i="7" s="1"/>
  <c r="H2" i="7"/>
  <c r="I2" i="7" s="1"/>
  <c r="E53" i="2"/>
  <c r="J2" i="7" l="1"/>
  <c r="K2" i="7" s="1"/>
  <c r="J38" i="7"/>
  <c r="K38" i="7" s="1"/>
  <c r="K28" i="7"/>
  <c r="L28" i="7" s="1"/>
  <c r="K29" i="7"/>
  <c r="L29" i="7" s="1"/>
  <c r="K31" i="7"/>
  <c r="L31" i="7" s="1"/>
  <c r="K20" i="7"/>
  <c r="L20" i="7" s="1"/>
  <c r="K24" i="7"/>
  <c r="L24" i="7" s="1"/>
  <c r="K32" i="7"/>
  <c r="L32" i="7" s="1"/>
  <c r="K19" i="7"/>
  <c r="L19" i="7" s="1"/>
  <c r="K25" i="7"/>
  <c r="L25" i="7" s="1"/>
  <c r="K34" i="7"/>
  <c r="L34" i="7" s="1"/>
  <c r="K27" i="7"/>
  <c r="L27" i="7" s="1"/>
  <c r="K33" i="7"/>
  <c r="L33" i="7" s="1"/>
  <c r="J4" i="7"/>
  <c r="K4" i="7" s="1"/>
  <c r="K30" i="7"/>
  <c r="L30" i="7" s="1"/>
  <c r="J11" i="7"/>
  <c r="K11" i="7" s="1"/>
  <c r="K18" i="7"/>
  <c r="L18" i="7" s="1"/>
  <c r="K26" i="7"/>
  <c r="L26" i="7" s="1"/>
  <c r="J7" i="7"/>
  <c r="K7" i="7" s="1"/>
  <c r="J43" i="7"/>
  <c r="K43" i="7" s="1"/>
  <c r="J3" i="7"/>
  <c r="K3" i="7" s="1"/>
  <c r="J5" i="7"/>
  <c r="K5" i="7" s="1"/>
  <c r="J40" i="7"/>
  <c r="K40" i="7" s="1"/>
  <c r="J42" i="7"/>
  <c r="K42" i="7" s="1"/>
  <c r="J45" i="7"/>
  <c r="K45" i="7" s="1"/>
  <c r="K22" i="7"/>
  <c r="L22" i="7" s="1"/>
  <c r="K23" i="7"/>
  <c r="L23" i="7" s="1"/>
  <c r="K16" i="7"/>
  <c r="L16" i="7" s="1"/>
  <c r="J46" i="7"/>
  <c r="K46" i="7" s="1"/>
  <c r="K21" i="7"/>
  <c r="L21" i="7" s="1"/>
  <c r="J41" i="7"/>
  <c r="K41" i="7" s="1"/>
  <c r="J9" i="7"/>
  <c r="K9" i="7" s="1"/>
  <c r="J10" i="7"/>
  <c r="K10" i="7" s="1"/>
  <c r="J47" i="7"/>
  <c r="K47" i="7" s="1"/>
  <c r="K35" i="7"/>
  <c r="L35" i="7" s="1"/>
  <c r="J6" i="7"/>
  <c r="K6" i="7" s="1"/>
  <c r="J39" i="7"/>
  <c r="K39" i="7" s="1"/>
  <c r="J8" i="7"/>
  <c r="K8" i="7" s="1"/>
  <c r="J44" i="7"/>
  <c r="K44" i="7" s="1"/>
  <c r="J12" i="7"/>
  <c r="K12" i="7" s="1"/>
  <c r="K17" i="7"/>
  <c r="L17" i="7" s="1"/>
  <c r="J48" i="7"/>
  <c r="K48" i="7" s="1"/>
  <c r="G19" i="2"/>
  <c r="G51" i="2"/>
  <c r="G31" i="2"/>
  <c r="G10" i="2"/>
  <c r="G42" i="2"/>
  <c r="G52" i="2"/>
  <c r="G21" i="2"/>
  <c r="G50" i="2"/>
  <c r="G18" i="2"/>
  <c r="G30" i="2"/>
  <c r="G9" i="2"/>
  <c r="G20" i="2"/>
  <c r="G33" i="2"/>
  <c r="G34" i="2"/>
  <c r="G24" i="2"/>
  <c r="G14" i="2"/>
  <c r="G46" i="2"/>
  <c r="G22" i="2"/>
  <c r="G44" i="2"/>
  <c r="G25" i="2"/>
  <c r="G29" i="2"/>
  <c r="G40" i="2"/>
  <c r="G41" i="2"/>
  <c r="G12" i="2"/>
  <c r="G35" i="2"/>
  <c r="G4" i="2"/>
  <c r="G36" i="2"/>
  <c r="G15" i="2"/>
  <c r="G47" i="2"/>
  <c r="G11" i="2"/>
  <c r="G23" i="2"/>
  <c r="G3" i="2"/>
  <c r="G37" i="2"/>
  <c r="G32" i="2"/>
  <c r="G43" i="2"/>
  <c r="G26" i="2"/>
  <c r="G16" i="2"/>
  <c r="G27" i="2"/>
  <c r="G48" i="2"/>
  <c r="G6" i="2"/>
  <c r="G38" i="2"/>
  <c r="G17" i="2"/>
  <c r="G49" i="2"/>
  <c r="G8" i="2"/>
  <c r="G13" i="2"/>
  <c r="G5" i="2"/>
  <c r="G28" i="2"/>
  <c r="G45" i="2"/>
  <c r="G7" i="2"/>
  <c r="G39" i="2"/>
  <c r="M21" i="7" l="1"/>
  <c r="L9" i="7"/>
  <c r="L41" i="7"/>
  <c r="L38" i="7"/>
  <c r="L5" i="7"/>
  <c r="M26" i="7"/>
  <c r="M16" i="7"/>
  <c r="L42" i="7"/>
  <c r="L7" i="7"/>
  <c r="L4" i="7"/>
  <c r="M17" i="7"/>
  <c r="M20" i="7"/>
  <c r="L2" i="7"/>
  <c r="M23" i="7"/>
  <c r="L43" i="7"/>
  <c r="M30" i="7"/>
  <c r="M27" i="7"/>
  <c r="L12" i="7"/>
  <c r="M19" i="7"/>
  <c r="M24" i="7"/>
  <c r="M35" i="7"/>
  <c r="M31" i="7"/>
  <c r="L46" i="7"/>
  <c r="L45" i="7"/>
  <c r="L3" i="7"/>
  <c r="M18" i="7"/>
  <c r="M33" i="7"/>
  <c r="M34" i="7"/>
  <c r="L44" i="7"/>
  <c r="L8" i="7"/>
  <c r="L39" i="7"/>
  <c r="L6" i="7"/>
  <c r="L47" i="7"/>
  <c r="M29" i="7"/>
  <c r="M22" i="7"/>
  <c r="L40" i="7"/>
  <c r="L11" i="7"/>
  <c r="L48" i="7"/>
  <c r="M25" i="7"/>
  <c r="M32" i="7"/>
  <c r="L10" i="7"/>
  <c r="M28" i="7"/>
  <c r="F53" i="2"/>
  <c r="G2" i="2"/>
  <c r="G53" i="2" s="1"/>
  <c r="B16" i="8" l="1" a="1"/>
  <c r="B16" i="8" s="1"/>
  <c r="B2" i="8" a="1"/>
  <c r="B2" i="8" s="1"/>
  <c r="C16" i="8" a="1"/>
  <c r="C16" i="8" s="1"/>
  <c r="C2" i="8" a="1"/>
  <c r="D23" i="8" l="1"/>
  <c r="D21" i="8"/>
  <c r="D25" i="8"/>
  <c r="C2" i="8"/>
  <c r="D10" i="8"/>
  <c r="D3" i="8"/>
  <c r="D4" i="8"/>
  <c r="D7" i="8"/>
  <c r="D8" i="8"/>
  <c r="D18" i="8"/>
  <c r="D19" i="8"/>
  <c r="D22" i="8"/>
  <c r="D12" i="8"/>
  <c r="D5" i="8"/>
  <c r="D24" i="8"/>
  <c r="D26" i="8"/>
  <c r="D9" i="8"/>
  <c r="D20" i="8"/>
  <c r="D17" i="8"/>
  <c r="D6" i="8"/>
  <c r="D11" i="8"/>
  <c r="F22" i="8" l="1"/>
  <c r="I22" i="8"/>
  <c r="F19" i="8"/>
  <c r="I19" i="8"/>
  <c r="I18" i="8"/>
  <c r="F18" i="8"/>
  <c r="I8" i="8"/>
  <c r="F8" i="8"/>
  <c r="I7" i="8"/>
  <c r="F7" i="8"/>
  <c r="F4" i="8"/>
  <c r="I4" i="8"/>
  <c r="I3" i="8"/>
  <c r="F3" i="8"/>
  <c r="F10" i="8"/>
  <c r="I10" i="8"/>
  <c r="D2" i="8"/>
  <c r="D16" i="8"/>
  <c r="F25" i="8"/>
  <c r="I25" i="8"/>
  <c r="I21" i="8"/>
  <c r="F21" i="8"/>
  <c r="F23" i="8"/>
  <c r="I23" i="8"/>
  <c r="I11" i="8"/>
  <c r="F11" i="8"/>
  <c r="F6" i="8"/>
  <c r="I6" i="8"/>
  <c r="F17" i="8"/>
  <c r="I17" i="8"/>
  <c r="F20" i="8"/>
  <c r="I20" i="8"/>
  <c r="I9" i="8"/>
  <c r="F9" i="8"/>
  <c r="F26" i="8"/>
  <c r="I26" i="8"/>
  <c r="F24" i="8"/>
  <c r="I24" i="8"/>
  <c r="I5" i="8"/>
  <c r="F5" i="8"/>
  <c r="I12" i="8"/>
  <c r="F12" i="8"/>
  <c r="I16" i="8" l="1"/>
  <c r="F16" i="8"/>
  <c r="I2" i="8"/>
  <c r="F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9AF07-2B6C-44E9-9875-A4D5737F93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<sst xmlns="http://schemas.openxmlformats.org/spreadsheetml/2006/main" count="413" uniqueCount="213">
  <si>
    <t>bloomberg_query</t>
  </si>
  <si>
    <t>name</t>
  </si>
  <si>
    <t>MA UN Equity</t>
  </si>
  <si>
    <t>MASTERCARD INC - A</t>
  </si>
  <si>
    <t>AZO UN Equity</t>
  </si>
  <si>
    <t>AUTOZONE INC</t>
  </si>
  <si>
    <t>PNDORA DC Equity</t>
  </si>
  <si>
    <t>PANDORA A/S</t>
  </si>
  <si>
    <t>MCO UN Equity</t>
  </si>
  <si>
    <t>MOODY'S CORP</t>
  </si>
  <si>
    <t>LIN US Equity</t>
  </si>
  <si>
    <t>LINDE PLC</t>
  </si>
  <si>
    <t>SU FP Equity</t>
  </si>
  <si>
    <t>SCHNEIDER ELECTRIC SE</t>
  </si>
  <si>
    <t>SLYG GF Equity</t>
  </si>
  <si>
    <t>SHELLY GROUP AD</t>
  </si>
  <si>
    <t>ALV GF Equity</t>
  </si>
  <si>
    <t>ALLIANZ SE-REG</t>
  </si>
  <si>
    <t>GEBN SE Equity</t>
  </si>
  <si>
    <t>GEBERIT AG-REG</t>
  </si>
  <si>
    <t>IBE SQ Equity</t>
  </si>
  <si>
    <t>IBERDROLA SA</t>
  </si>
  <si>
    <t>MC FP Equity</t>
  </si>
  <si>
    <t>LVMH MOET HENNESSY LOUIS VUI</t>
  </si>
  <si>
    <t>SAP GY Equity</t>
  </si>
  <si>
    <t>SAP SE</t>
  </si>
  <si>
    <t>OR FP Equity</t>
  </si>
  <si>
    <t>L'OREAL</t>
  </si>
  <si>
    <t>GOOGL US Equity</t>
  </si>
  <si>
    <t>ALPHABET INC-CL A</t>
  </si>
  <si>
    <t>SIKA SE Equity</t>
  </si>
  <si>
    <t>SIKA AG-REG</t>
  </si>
  <si>
    <t>MONC IM Equity</t>
  </si>
  <si>
    <t>MONCLER SPA</t>
  </si>
  <si>
    <t>ABBV UN Equity</t>
  </si>
  <si>
    <t>ABBVIE INC</t>
  </si>
  <si>
    <t>ADBE UW Equity</t>
  </si>
  <si>
    <t>ADOBE INC</t>
  </si>
  <si>
    <t>UCG IM Equity</t>
  </si>
  <si>
    <t>UNICREDIT SPA</t>
  </si>
  <si>
    <t>WKL NA Equity</t>
  </si>
  <si>
    <t>WOLTERS KLUWER</t>
  </si>
  <si>
    <t>M7U GY Equity</t>
  </si>
  <si>
    <t>NYNOMIC AG</t>
  </si>
  <si>
    <t>CBOE UF Equity</t>
  </si>
  <si>
    <t>CBOE GLOBAL MARKETS INC</t>
  </si>
  <si>
    <t>AZN LN Equity</t>
  </si>
  <si>
    <t>ASTRAZENECA PLC</t>
  </si>
  <si>
    <t>TTE FP Equity</t>
  </si>
  <si>
    <t>TOTALENERGIES SE</t>
  </si>
  <si>
    <t>RMS FP Equity</t>
  </si>
  <si>
    <t>HERMES INTERNATIONAL</t>
  </si>
  <si>
    <t>KO UN Equity</t>
  </si>
  <si>
    <t>COCA-COLA CO/THE</t>
  </si>
  <si>
    <t>NOVN SE Equity</t>
  </si>
  <si>
    <t>NOVARTIS AG-REG</t>
  </si>
  <si>
    <t>ABBN SE Equity</t>
  </si>
  <si>
    <t>ABB LTD-REG</t>
  </si>
  <si>
    <t>AVGO UW Equity</t>
  </si>
  <si>
    <t>BROADCOM INC</t>
  </si>
  <si>
    <t>CRM US Equity</t>
  </si>
  <si>
    <t>SALESFORCE INC</t>
  </si>
  <si>
    <t>REGN UW Equity</t>
  </si>
  <si>
    <t>REGENERON PHARMACEUTICALS</t>
  </si>
  <si>
    <t>LSEG LN Equity</t>
  </si>
  <si>
    <t>LONDON STOCK EXCHANGE GROUP</t>
  </si>
  <si>
    <t>KPN NA Equity</t>
  </si>
  <si>
    <t>KONINKLIJKE KPN NV</t>
  </si>
  <si>
    <t>IHG LN Equity</t>
  </si>
  <si>
    <t>INTERCONTINENTAL HOTELS GROU</t>
  </si>
  <si>
    <t>JPM UN Equity</t>
  </si>
  <si>
    <t>JPMORGAN CHASE &amp; CO</t>
  </si>
  <si>
    <t>VRTX UW Equity</t>
  </si>
  <si>
    <t>VERTEX PHARMACEUTICALS INC</t>
  </si>
  <si>
    <t>FI US Equity</t>
  </si>
  <si>
    <t>FISERV INC</t>
  </si>
  <si>
    <t>LLY UN Equity</t>
  </si>
  <si>
    <t>ELI LILLY &amp; CO</t>
  </si>
  <si>
    <t>MUV2 GY Equity</t>
  </si>
  <si>
    <t>MUENCHENER RUECKVER AG-REG</t>
  </si>
  <si>
    <t>CS FP Equity</t>
  </si>
  <si>
    <t>AXA SA</t>
  </si>
  <si>
    <t>ULVR LN Equity</t>
  </si>
  <si>
    <t>UNILEVER PLC</t>
  </si>
  <si>
    <t>NVDA UW Equity</t>
  </si>
  <si>
    <t>NVIDIA CORP</t>
  </si>
  <si>
    <t>FTNT UW Equity</t>
  </si>
  <si>
    <t>FORTINET INC</t>
  </si>
  <si>
    <t>ASML NA Equity</t>
  </si>
  <si>
    <t>ASML HOLDING NV</t>
  </si>
  <si>
    <t>AAPL UW Equity</t>
  </si>
  <si>
    <t>APPLE INC</t>
  </si>
  <si>
    <t>MSFT UW Equity</t>
  </si>
  <si>
    <t>MICROSOFT CORP</t>
  </si>
  <si>
    <t>IDXX UW Equity</t>
  </si>
  <si>
    <t>IDEXX LABORATORIES INC</t>
  </si>
  <si>
    <t>PG UN Equity</t>
  </si>
  <si>
    <t>PROCTER &amp; GAMBLE CO/THE</t>
  </si>
  <si>
    <t>AMZN UW Equity</t>
  </si>
  <si>
    <t>AMAZON.COM INC</t>
  </si>
  <si>
    <t>NOVOB DC Equity</t>
  </si>
  <si>
    <t>Novo Nordisk A/S</t>
  </si>
  <si>
    <t>BRK/B UN Equity</t>
  </si>
  <si>
    <t>BERKSHIRE HATHAWAY INC-CL B</t>
  </si>
  <si>
    <t>percent_nav</t>
  </si>
  <si>
    <t>Weighted Beta</t>
  </si>
  <si>
    <t>Beta</t>
  </si>
  <si>
    <t>gics_industry_sector</t>
  </si>
  <si>
    <t>country_of_domicile</t>
  </si>
  <si>
    <t>45 Information Technology</t>
  </si>
  <si>
    <t>US</t>
  </si>
  <si>
    <t>30 Consumer Staples</t>
  </si>
  <si>
    <t>GB</t>
  </si>
  <si>
    <t>50 Communication Services</t>
  </si>
  <si>
    <t>NL</t>
  </si>
  <si>
    <t>25 Consumer Discretionary</t>
  </si>
  <si>
    <t>FR</t>
  </si>
  <si>
    <t>40 Financials</t>
  </si>
  <si>
    <t>20 Industrials</t>
  </si>
  <si>
    <t>CH</t>
  </si>
  <si>
    <t>DE</t>
  </si>
  <si>
    <t>35 Health Care</t>
  </si>
  <si>
    <t>BG</t>
  </si>
  <si>
    <t>55 Utilities</t>
  </si>
  <si>
    <t>ES</t>
  </si>
  <si>
    <t>10 Energy</t>
  </si>
  <si>
    <t>15 Materials</t>
  </si>
  <si>
    <t>DK</t>
  </si>
  <si>
    <t>60 Real Estate</t>
  </si>
  <si>
    <t>IT</t>
  </si>
  <si>
    <t>GICS</t>
  </si>
  <si>
    <t>S5ENRS Index</t>
  </si>
  <si>
    <t>S5MATR Index</t>
  </si>
  <si>
    <t>S5INDU Index</t>
  </si>
  <si>
    <t>S5COND Index</t>
  </si>
  <si>
    <t>S5CONS Index</t>
  </si>
  <si>
    <t>S5HLTH Index</t>
  </si>
  <si>
    <t>S5FINL Index</t>
  </si>
  <si>
    <t>S5INFT Index</t>
  </si>
  <si>
    <t>S5TELS Index</t>
  </si>
  <si>
    <t>S5UTIL Index</t>
  </si>
  <si>
    <t>S5RLST Index</t>
  </si>
  <si>
    <t>#1D</t>
  </si>
  <si>
    <t>#12M</t>
  </si>
  <si>
    <t>#std12M</t>
  </si>
  <si>
    <t>S&amp;P 500 Energy Sector GICS Lev</t>
  </si>
  <si>
    <t>S&amp;P 500 Materials Sector GICS</t>
  </si>
  <si>
    <t>S&amp;P 500 Industrials Sector GIC</t>
  </si>
  <si>
    <t>S&amp;P 500 Consumer Discretionary</t>
  </si>
  <si>
    <t>S&amp;P 500 Consumer Staples Secto</t>
  </si>
  <si>
    <t>S&amp;P 500 Health Care Sector GIC</t>
  </si>
  <si>
    <t>S&amp;P 500 Financials Sector GICS</t>
  </si>
  <si>
    <t>S&amp;P 500 Information Technology</t>
  </si>
  <si>
    <t>S&amp;P 500 Communication Services</t>
  </si>
  <si>
    <t>S&amp;P 500 Utilities Sector GICS</t>
  </si>
  <si>
    <t>S&amp;P 500 Real Estate Sector GIC</t>
  </si>
  <si>
    <t>Momentum Value</t>
  </si>
  <si>
    <t>Risk Adjusted Momentum Value</t>
  </si>
  <si>
    <t>Z-Score</t>
  </si>
  <si>
    <t>Standardisierung</t>
  </si>
  <si>
    <t>Adjusted Weight</t>
  </si>
  <si>
    <t>Index</t>
  </si>
  <si>
    <t>S600ENP Index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</si>
  <si>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</si>
  <si>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</si>
  <si>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</si>
  <si>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</si>
  <si>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</si>
  <si>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</si>
  <si>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</si>
  <si>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</si>
  <si>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</si>
  <si>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</si>
  <si>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</si>
  <si>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SXDP Index</t>
  </si>
  <si>
    <t>SXFP Index</t>
  </si>
  <si>
    <t>SX7P Index</t>
  </si>
  <si>
    <t>SXIP Index</t>
  </si>
  <si>
    <t>SX8P Index</t>
  </si>
  <si>
    <t>SXKP Index</t>
  </si>
  <si>
    <t>SX6P Index</t>
  </si>
  <si>
    <t>SX86P Index</t>
  </si>
  <si>
    <t>STOXX Europe 600 Energy EUR Pr</t>
  </si>
  <si>
    <t>STOXX Europe 600 Chemicals Pri</t>
  </si>
  <si>
    <t>STOXX Europe 600 Basic Resourc</t>
  </si>
  <si>
    <t>STOXX Europe 600 Construction</t>
  </si>
  <si>
    <t>STOXX Europe 600 Industrial Go</t>
  </si>
  <si>
    <t>STOXX Europe 600 Media Price E</t>
  </si>
  <si>
    <t>STOXX Europe 600 Automobiles &amp;</t>
  </si>
  <si>
    <t>STOXX Europe 600 Retail Price</t>
  </si>
  <si>
    <t>STOXX Europe 600 Consumer Prod</t>
  </si>
  <si>
    <t>STOXX Europe 600 Travel &amp; Leis</t>
  </si>
  <si>
    <t>STOXX Europe 600 Food Beverage</t>
  </si>
  <si>
    <t>STOXX Europe 600 Personal Care</t>
  </si>
  <si>
    <t>STOXX Europe 600 Health Care P</t>
  </si>
  <si>
    <t>STOXX Europe 600 Financial Ser</t>
  </si>
  <si>
    <t>STOXX Europe 600 Banks Price E</t>
  </si>
  <si>
    <t>STOXX Europe 600 Insurance Pri</t>
  </si>
  <si>
    <t>STOXX Europe 600 Technology Pr</t>
  </si>
  <si>
    <t>STOXX Europe 600 Telecommunica</t>
  </si>
  <si>
    <t>STOXX Europe 600 Utilities Pri</t>
  </si>
  <si>
    <t>STOXX Europe 600 Real Estate (</t>
  </si>
  <si>
    <t>cur_mkt_cap().value</t>
  </si>
  <si>
    <t>Sector</t>
  </si>
  <si>
    <t>S&amp;P 500</t>
  </si>
  <si>
    <t>Stoxx Europe 600</t>
  </si>
  <si>
    <t>Final</t>
  </si>
  <si>
    <t>BM</t>
  </si>
  <si>
    <t>Diff</t>
  </si>
  <si>
    <t>D&amp;R Aktien</t>
  </si>
  <si>
    <t>D&amp;R Aktien Nachhaltigkeit</t>
  </si>
  <si>
    <t>Abweichung zu BM</t>
  </si>
  <si>
    <t>Abweichung zur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</si>
</sst>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/>
    <xf numFmtId="10" fontId="0" fillId="0" borderId="0" xfId="0" applyNumberFormat="1"/>
    <xf numFmtId="0" fontId="6" fillId="0" borderId="0" xfId="0" applyFont="1"/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0" fontId="2" fillId="5" borderId="0" xfId="5" applyAlignment="1">
      <alignment vertical="center" wrapText="1"/>
    </xf>
    <xf numFmtId="0" fontId="2" fillId="6" borderId="0" xfId="6" applyAlignment="1">
      <alignment vertical="center" wrapText="1"/>
    </xf>
    <xf numFmtId="0" fontId="2" fillId="6" borderId="0" xfId="6"/>
    <xf numFmtId="0" fontId="0" fillId="6" borderId="0" xfId="6" applyFont="1"/>
    <xf numFmtId="14" fontId="0" fillId="0" borderId="0" xfId="0" applyNumberFormat="1"/>
    <xf numFmtId="10" fontId="0" fillId="0" borderId="0" xfId="1" quotePrefix="1" applyNumberFormat="1" applyFont="1"/>
  </cellXfs>
  <cellStyles count="7">
    <cellStyle name="20% - Accent1" xfId="5" builtinId="30"/>
    <cellStyle name="20% - Accent5" xfId="6" builtinId="46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Data...3749568577</v>
        <stp/>
        <stp>BQL|18150729902982108289</stp>
        <tr r="F9" s="2"/>
      </tp>
      <tp t="s">
        <v>#N/A Requesting Data...3959326138</v>
        <stp/>
        <stp>BQL|12652972811581501501</stp>
        <tr r="F42" s="2"/>
      </tp>
      <tp t="s">
        <v>#N/A Requesting Data...4261694917</v>
        <stp/>
        <stp>BQL|17361799376513758904</stp>
        <tr r="F29" s="2"/>
      </tp>
      <tp t="s">
        <v>#N/A Requesting Data...3344465520</v>
        <stp/>
        <stp>BQL|15819705448833662941</stp>
        <tr r="F11" s="2"/>
      </tp>
      <tp t="s">
        <v>#N/A Requesting Data...3176862385</v>
        <stp/>
        <stp>BQL|13562586210322379936</stp>
        <tr r="F41" s="2"/>
      </tp>
      <tp t="s">
        <v>#N/A Requesting Data...4173248074</v>
        <stp/>
        <stp>BQL|18226856217674579983</stp>
        <tr r="F4" s="2"/>
      </tp>
      <tp t="s">
        <v>#N/A N/A</v>
        <stp/>
        <stp>BQL|11119268079160302821</stp>
        <tr r="C1" s="7"/>
      </tp>
      <tp t="s">
        <v>#N/A Requesting Data...3494217462</v>
        <stp/>
        <stp>BQL|11000246711548744168</stp>
        <tr r="F31" s="2"/>
      </tp>
      <tp t="s">
        <v>#N/A Requesting Data...3515887944</v>
        <stp/>
        <stp>BQL|16129191497313609675</stp>
        <tr r="F5" s="2"/>
      </tp>
      <tp t="s">
        <v>#N/A Requesting Data...3171633055</v>
        <stp/>
        <stp>BQL|18316523769034668465</stp>
        <tr r="F30" s="2"/>
      </tp>
      <tp t="s">
        <v>#N/A Requesting Data...3714847492</v>
        <stp/>
        <stp>BQL|15809170142589985351</stp>
        <tr r="F6" s="2"/>
      </tp>
      <tp t="s">
        <v>#N/A Requesting Data...3635369466</v>
        <stp/>
        <stp>BQL|14076795116869626365</stp>
        <tr r="F24" s="2"/>
      </tp>
      <tp t="s">
        <v>#N/A Requesting Data...3548964876</v>
        <stp/>
        <stp>BQL|15620961733855870201</stp>
        <tr r="F36" s="2"/>
      </tp>
      <tp t="s">
        <v>#N/A Requesting Data...4091467320</v>
        <stp/>
        <stp>BQL|11631234958524906507</stp>
        <tr r="F45" s="2"/>
      </tp>
      <tp t="s">
        <v>#N/A N/A</v>
        <stp/>
        <stp>BQL|11394460622449475900</stp>
        <tr r="C15" s="7"/>
      </tp>
      <tp t="s">
        <v>#N/A Requesting Data...4156834507</v>
        <stp/>
        <stp>BQL|10807114936840786559</stp>
        <tr r="F23" s="2"/>
      </tp>
      <tp t="s">
        <v>#N/A Requesting Data...4030191343</v>
        <stp/>
        <stp>BQL|16131762275229746880</stp>
        <tr r="F44" s="2"/>
      </tp>
      <tp t="s">
        <v>#N/A Requesting Data...4229066282</v>
        <stp/>
        <stp>BQL|16257969827522523894</stp>
        <tr r="F12" s="2"/>
      </tp>
      <tp t="s">
        <v>#N/A Requesting Data...2994960469</v>
        <stp/>
        <stp>BQL|15472400923112282757</stp>
        <tr r="F49" s="2"/>
      </tp>
      <tp t="s">
        <v>#N/A Requesting Data...3944598249</v>
        <stp/>
        <stp>BQL|12998183741030059131</stp>
        <tr r="F21" s="2"/>
      </tp>
      <tp t="s">
        <v>#N/A Requesting Data...3525965587</v>
        <stp/>
        <stp>BQL|16365905284484722522</stp>
        <tr r="F52" s="2"/>
      </tp>
      <tp t="s">
        <v>#N/A Requesting Data...4279913277</v>
        <stp/>
        <stp>BQL|17436179069714559201</stp>
        <tr r="F10" s="2"/>
      </tp>
      <tp t="s">
        <v>#N/A Requesting Data...3271251678</v>
        <stp/>
        <stp>BQL|17274571343254914799</stp>
        <tr r="F40" s="2"/>
      </tp>
      <tp t="s">
        <v>#N/A Requesting Data...3645660565</v>
        <stp/>
        <stp>BQL|17917141788683803952</stp>
        <tr r="F46" s="2"/>
      </tp>
      <tp t="s">
        <v>#N/A Requesting Data...4030396890</v>
        <stp/>
        <stp>BQL|16527648802077449400</stp>
        <tr r="F34" s="2"/>
      </tp>
      <tp t="s">
        <v>#N/A Requesting Data...3555326322</v>
        <stp/>
        <stp>BQL|16470234302724068368</stp>
        <tr r="F43" s="2"/>
      </tp>
      <tp t="s">
        <v>#N/A Requesting Data...3816633190</v>
        <stp/>
        <stp>BQL|18293677846708057030</stp>
        <tr r="F25" s="2"/>
      </tp>
      <tp t="s">
        <v>#N/A Requesting Data...3813016713</v>
        <stp/>
        <stp>BQL|11204512240990316160</stp>
        <tr r="F33" s="2"/>
      </tp>
      <tp t="s">
        <v>#N/A Requesting Data...3728222459</v>
        <stp/>
        <stp>BQL|16226103169449469990</stp>
        <tr r="F14" s="2"/>
      </tp>
      <tp t="s">
        <v>#N/A Requesting Data...3495921508</v>
        <stp/>
        <stp>BQL|10605390260694073066</stp>
        <tr r="F13" s="2"/>
      </tp>
      <tp t="s">
        <v>#N/A Requesting Data...3953484483</v>
        <stp/>
        <stp>BQL|14545685416856119421</stp>
        <tr r="F8" s="2"/>
      </tp>
      <tp t="s">
        <v>#N/A Requesting Data...3178828226</v>
        <stp/>
        <stp>BQL|10174204642027031093</stp>
        <tr r="F16" s="2"/>
      </tp>
      <tp t="s">
        <v>#N/A Requesting Data...3823732752</v>
        <stp/>
        <stp>BQL|11827480667725321657</stp>
        <tr r="F47" s="2"/>
      </tp>
      <tp t="s">
        <v>#N/A Requesting Data...4177426199</v>
        <stp/>
        <stp>BQL|17085068086387704887</stp>
        <tr r="F35" s="2"/>
      </tp>
      <tp t="s">
        <v>#N/A Requesting Data...3433446348</v>
        <stp/>
        <stp>BQL|12281789017677343369</stp>
        <tr r="F37" s="2"/>
      </tp>
    </main>
    <main first="bofaddin.rtdserver">
      <tp t="s">
        <v>#N/A Requesting Data...4017463510</v>
        <stp/>
        <stp>BQL|2262534014268918011</stp>
        <tr r="F28" s="2"/>
      </tp>
      <tp t="s">
        <v>#N/A Requesting Data...3031258140</v>
        <stp/>
        <stp>BQL|3142948395049185419</stp>
        <tr r="F51" s="2"/>
      </tp>
      <tp t="s">
        <v>#N/A Requesting Data...4106033213</v>
        <stp/>
        <stp>BQL|9284101882999046683</stp>
        <tr r="F22" s="2"/>
      </tp>
      <tp t="s">
        <v>#N/A Requesting Data...3641058395</v>
        <stp/>
        <stp>BQL|2830311622898866451</stp>
        <tr r="F50" s="2"/>
      </tp>
      <tp t="s">
        <v>#N/A Requesting Data...4172203279</v>
        <stp/>
        <stp>BQL|8040929602049158045</stp>
        <tr r="F7" s="2"/>
      </tp>
      <tp t="s">
        <v>#N/A Requesting Data...4110403068</v>
        <stp/>
        <stp>BQL|5357916558374791401</stp>
        <tr r="F15" s="2"/>
      </tp>
      <tp t="s">
        <v>#N/A Requesting Data...4103266378</v>
        <stp/>
        <stp>BQL|8521642434455166176</stp>
        <tr r="F3" s="2"/>
      </tp>
      <tp t="s">
        <v>#N/A Requesting Data...2980601048</v>
        <stp/>
        <stp>BQL|4615845904910266638</stp>
        <tr r="F27" s="2"/>
      </tp>
      <tp t="s">
        <v>#N/A Requesting Data...3890964289</v>
        <stp/>
        <stp>BQL|8752013671453554757</stp>
        <tr r="F2" s="2"/>
      </tp>
      <tp t="s">
        <v>#N/A Requesting Data...3206964611</v>
        <stp/>
        <stp>BQL|6014095514687116477</stp>
        <tr r="F18" s="2"/>
      </tp>
      <tp t="s">
        <v>#N/A Requesting Data...3052857152</v>
        <stp/>
        <stp>BQL|7038708171387298443</stp>
        <tr r="F32" s="2"/>
      </tp>
      <tp t="s">
        <v>#N/A Requesting Data...3462831279</v>
        <stp/>
        <stp>BQL|6498568036136442394</stp>
        <tr r="F39" s="2"/>
      </tp>
      <tp t="s">
        <v>#N/A Requesting Data...3661332515</v>
        <stp/>
        <stp>BQL|3243332653064994611</stp>
        <tr r="F38" s="2"/>
      </tp>
      <tp t="s">
        <v>#N/A Requesting Data...3680321257</v>
        <stp/>
        <stp>BQL|2345347502057204144</stp>
        <tr r="F48" s="2"/>
      </tp>
      <tp t="s">
        <v>#N/A Requesting Data...4031368339</v>
        <stp/>
        <stp>BQL|2744028061703584025</stp>
        <tr r="F19" s="2"/>
      </tp>
      <tp t="s">
        <v>#N/A Requesting Data...2918139652</v>
        <stp/>
        <stp>BQL|7798175855226398244</stp>
        <tr r="F26" s="2"/>
      </tp>
      <tp t="s">
        <v>#N/A Requesting Data...3784485038</v>
        <stp/>
        <stp>BQL|1949375579896424267</stp>
        <tr r="F17" s="2"/>
      </tp>
    </main>
    <main first="bofaddin.rtdserver">
      <tp t="s">
        <v>#N/A Requesting Data...3577871869</v>
        <stp/>
        <stp>BQL|416118868187728061</stp>
        <tr r="F2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6E7BC-E50B-45B7-8202-A71C116C94CD}" autoFormatId="16" applyNumberFormats="0" applyBorderFormats="0" applyFontFormats="0" applyPatternFormats="0" applyAlignmentFormats="0" applyWidthHeightFormats="0">
  <queryTableRefresh nextId="17" unboundColumnsRight="2">
    <queryTableFields count="7">
      <queryTableField id="1" name="bloomberg_query" tableColumnId="1"/>
      <queryTableField id="2" name="name" tableColumnId="2"/>
      <queryTableField id="10" name="gics_industry_sector" tableColumnId="6"/>
      <queryTableField id="11" name="country_of_domicile" tableColumnId="7"/>
      <queryTableField id="4" name="percent_nav" tableColumnId="4"/>
      <queryTableField id="3" dataBound="0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AFB-0C0C-4BEC-8077-16970BF53DBC}" name="Query1" displayName="Query1" ref="A1:G53" tableType="queryTable" totalsRowCount="1">
  <autoFilter ref="A1:G52" xr:uid="{29554AFB-0C0C-4BEC-8077-16970BF53DBC}"/>
  <sortState xmlns:xlrd2="http://schemas.microsoft.com/office/spreadsheetml/2017/richdata2" ref="A2:G52">
    <sortCondition descending="1" ref="F1:F52"/>
  </sortState>
  <tableColumns count="7">
    <tableColumn id="1" xr3:uid="{4F38CA8F-8FDD-481D-AE71-AE0821EEA56B}" uniqueName="1" name="bloomberg_query" queryTableFieldId="1" dataDxfId="9"/>
    <tableColumn id="2" xr3:uid="{037CBBB7-33BD-4B09-921C-B6E037C9955A}" uniqueName="2" name="name" queryTableFieldId="2" dataDxfId="8"/>
    <tableColumn id="6" xr3:uid="{CCDB0829-B900-4211-A762-6F1FD4C147C0}" uniqueName="6" name="gics_industry_sector" queryTableFieldId="10" dataDxfId="7"/>
    <tableColumn id="7" xr3:uid="{6B65004E-AEFF-42B2-9C2E-0039E96F8E17}" uniqueName="7" name="country_of_domicile" queryTableFieldId="11" dataDxfId="6"/>
    <tableColumn id="4" xr3:uid="{8E568AE2-1EED-4B8F-985C-7C217231A21D}" uniqueName="4" name="percent_nav" totalsRowFunction="custom" queryTableFieldId="4" dataDxfId="5" totalsRowDxfId="4">
      <totalsRowFormula>SUM(E2:E52)</totalsRowFormula>
    </tableColumn>
    <tableColumn id="3" xr3:uid="{92CF5315-E2DA-4B97-8927-349CD7F85A67}" uniqueName="3" name="Beta" totalsRowFunction="custom" queryTableFieldId="3" dataDxfId="3" totalsRowDxfId="2">
      <calculatedColumnFormula array="1">_xll.BQL(Query1[[#This Row],[bloomberg_query]], "slope(#bmrk, #Px)","#Px=Pct_diff(px_last(dates=range(-1y,0d))),#bmrk = 0.6 * value(#px,['SXXEWR Index']) + 0.4 * value(#px,['SPXEWNTR Index'])","date=range(-1y,0d),Currency=EUR")</calculatedColumnFormula>
      <totalsRowFormula>SUM(F2:F52)</totalsRowFormula>
    </tableColumn>
    <tableColumn id="5" xr3:uid="{02DCCBA1-026D-41B1-A265-B40D9AF7785C}" uniqueName="5" name="Weighted Beta" totalsRowFunction="custom" queryTableFieldId="5" dataDxfId="1" totalsRowDxfId="0">
      <calculatedColumnFormula>Query1[[#This Row],[Beta]]*Query1[[#This Row],[percent_nav]]/100</calculatedColumnFormula>
      <totalsRowFormula>SUM(G2:G52)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58-6EEA-4664-AB01-E2DE6294B848}">
  <dimension ref="A1:G53"/>
  <sheetViews>
    <sheetView workbookViewId="0">
      <selection activeCell="B3" sqref="B3:B4"/>
    </sheetView>
  </sheetViews>
  <sheetFormatPr defaultRowHeight="15" x14ac:dyDescent="0.25"/>
  <cols>
    <col min="1" max="1" width="19.140625" bestFit="1" customWidth="1"/>
    <col min="2" max="2" width="32.28515625" bestFit="1" customWidth="1"/>
    <col min="3" max="3" width="25.7109375" bestFit="1" customWidth="1"/>
    <col min="4" max="4" width="21.85546875" bestFit="1" customWidth="1"/>
    <col min="5" max="5" width="14.28515625" bestFit="1" customWidth="1"/>
    <col min="6" max="6" width="22.140625" bestFit="1" customWidth="1"/>
    <col min="7" max="7" width="16.5703125" style="1" bestFit="1" customWidth="1"/>
  </cols>
  <sheetData>
    <row r="1" spans="1:7" x14ac:dyDescent="0.25">
      <c r="A1" t="s">
        <v>0</v>
      </c>
      <c r="B1" t="s">
        <v>1</v>
      </c>
      <c r="C1" t="s">
        <v>107</v>
      </c>
      <c r="D1" t="s">
        <v>108</v>
      </c>
      <c r="E1" t="s">
        <v>104</v>
      </c>
      <c r="F1" s="1" t="s">
        <v>106</v>
      </c>
      <c r="G1" s="1" t="s">
        <v>105</v>
      </c>
    </row>
    <row r="2" spans="1:7" x14ac:dyDescent="0.25">
      <c r="A2" t="s">
        <v>2</v>
      </c>
      <c r="B2" t="s">
        <v>3</v>
      </c>
      <c r="C2" t="s">
        <v>117</v>
      </c>
      <c r="D2" t="s">
        <v>110</v>
      </c>
      <c r="E2" s="2">
        <v>1.79</v>
      </c>
      <c r="F2" s="2" cm="1">
        <f t="array" ref="F2">_xll.BQL(Query1[[#This Row],[bloomberg_query]], "slope(#bmrk, #Px)","#Px=Pct_diff(px_last(dates=range(-1y,0d))),#bmrk = 0.6 * value(#px,['SXXEWR Index']) + 0.4 * value(#px,['SPXEWNTR Index'])","date=range(-1y,0d),Currency=EUR")</f>
        <v>0.55364301508750724</v>
      </c>
      <c r="G2" s="2">
        <f>Query1[[#This Row],[Beta]]*Query1[[#This Row],[percent_nav]]/100</f>
        <v>9.9102099700663793E-3</v>
      </c>
    </row>
    <row r="3" spans="1:7" x14ac:dyDescent="0.25">
      <c r="A3" t="s">
        <v>82</v>
      </c>
      <c r="B3" t="s">
        <v>83</v>
      </c>
      <c r="C3" t="s">
        <v>111</v>
      </c>
      <c r="D3" t="s">
        <v>112</v>
      </c>
      <c r="E3" s="2">
        <v>0.64</v>
      </c>
      <c r="F3" s="2" cm="1">
        <f t="array" ref="F3">_xll.BQL(Query1[[#This Row],[bloomberg_query]], "slope(#bmrk, #Px)","#Px=Pct_diff(px_last(dates=range(-1y,0d))),#bmrk = 0.6 * value(#px,['SXXEWR Index']) + 0.4 * value(#px,['SPXEWNTR Index'])","date=range(-1y,0d),Currency=EUR")</f>
        <v>0.14919263069279748</v>
      </c>
      <c r="G3" s="2">
        <f>Query1[[#This Row],[Beta]]*Query1[[#This Row],[percent_nav]]/100</f>
        <v>9.5483283643390388E-4</v>
      </c>
    </row>
    <row r="4" spans="1:7" x14ac:dyDescent="0.25">
      <c r="A4" t="s">
        <v>92</v>
      </c>
      <c r="B4" t="s">
        <v>93</v>
      </c>
      <c r="C4" t="s">
        <v>109</v>
      </c>
      <c r="D4" t="s">
        <v>110</v>
      </c>
      <c r="E4" s="2">
        <v>3.08</v>
      </c>
      <c r="F4" s="2" cm="1">
        <f t="array" ref="F4">_xll.BQL(Query1[[#This Row],[bloomberg_query]], "slope(#bmrk, #Px)","#Px=Pct_diff(px_last(dates=range(-1y,0d))),#bmrk = 0.6 * value(#px,['SXXEWR Index']) + 0.4 * value(#px,['SPXEWNTR Index'])","date=range(-1y,0d),Currency=EUR")</f>
        <v>0.45746745281230683</v>
      </c>
      <c r="G4" s="2">
        <f>Query1[[#This Row],[Beta]]*Query1[[#This Row],[percent_nav]]/100</f>
        <v>1.408999754661905E-2</v>
      </c>
    </row>
    <row r="5" spans="1:7" x14ac:dyDescent="0.25">
      <c r="A5" t="s">
        <v>68</v>
      </c>
      <c r="B5" t="s">
        <v>69</v>
      </c>
      <c r="C5" t="s">
        <v>115</v>
      </c>
      <c r="D5" t="s">
        <v>112</v>
      </c>
      <c r="E5" s="2">
        <v>1.62</v>
      </c>
      <c r="F5" s="2" cm="1">
        <f t="array" ref="F5">_xll.BQL(Query1[[#This Row],[bloomberg_query]], "slope(#bmrk, #Px)","#Px=Pct_diff(px_last(dates=range(-1y,0d))),#bmrk = 0.6 * value(#px,['SXXEWR Index']) + 0.4 * value(#px,['SPXEWNTR Index'])","date=range(-1y,0d),Currency=EUR")</f>
        <v>0.8008178630718602</v>
      </c>
      <c r="G5" s="2">
        <f>Query1[[#This Row],[Beta]]*Query1[[#This Row],[percent_nav]]/100</f>
        <v>1.2973249381764135E-2</v>
      </c>
    </row>
    <row r="6" spans="1:7" x14ac:dyDescent="0.25">
      <c r="A6" t="s">
        <v>6</v>
      </c>
      <c r="B6" t="s">
        <v>7</v>
      </c>
      <c r="C6" t="s">
        <v>115</v>
      </c>
      <c r="D6" t="s">
        <v>127</v>
      </c>
      <c r="E6" s="2">
        <v>1.82</v>
      </c>
      <c r="F6" s="2" cm="1">
        <f t="array" ref="F6">_xll.BQL(Query1[[#This Row],[bloomberg_query]], "slope(#bmrk, #Px)","#Px=Pct_diff(px_last(dates=range(-1y,0d))),#bmrk = 0.6 * value(#px,['SXXEWR Index']) + 0.4 * value(#px,['SPXEWNTR Index'])","date=range(-1y,0d),Currency=EUR")</f>
        <v>1.084175068925582</v>
      </c>
      <c r="G6" s="2">
        <f>Query1[[#This Row],[Beta]]*Query1[[#This Row],[percent_nav]]/100</f>
        <v>1.9731986254445593E-2</v>
      </c>
    </row>
    <row r="7" spans="1:7" x14ac:dyDescent="0.25">
      <c r="A7" t="s">
        <v>42</v>
      </c>
      <c r="B7" t="s">
        <v>43</v>
      </c>
      <c r="C7" t="s">
        <v>109</v>
      </c>
      <c r="D7" t="s">
        <v>120</v>
      </c>
      <c r="E7" s="2">
        <v>0.52</v>
      </c>
      <c r="F7" s="2" cm="1">
        <f t="array" ref="F7">_xll.BQL(Query1[[#This Row],[bloomberg_query]], "slope(#bmrk, #Px)","#Px=Pct_diff(px_last(dates=range(-1y,0d))),#bmrk = 0.6 * value(#px,['SXXEWR Index']) + 0.4 * value(#px,['SPXEWNTR Index'])","date=range(-1y,0d),Currency=EUR")</f>
        <v>0.77407448282473978</v>
      </c>
      <c r="G7" s="2">
        <f>Query1[[#This Row],[Beta]]*Query1[[#This Row],[percent_nav]]/100</f>
        <v>4.0251873106886471E-3</v>
      </c>
    </row>
    <row r="8" spans="1:7" x14ac:dyDescent="0.25">
      <c r="A8" t="s">
        <v>50</v>
      </c>
      <c r="B8" t="s">
        <v>51</v>
      </c>
      <c r="C8" t="s">
        <v>115</v>
      </c>
      <c r="D8" t="s">
        <v>116</v>
      </c>
      <c r="E8" s="2">
        <v>1.9</v>
      </c>
      <c r="F8" s="2" cm="1">
        <f t="array" ref="F8">_xll.BQL(Query1[[#This Row],[bloomberg_query]], "slope(#bmrk, #Px)","#Px=Pct_diff(px_last(dates=range(-1y,0d))),#bmrk = 0.6 * value(#px,['SXXEWR Index']) + 0.4 * value(#px,['SPXEWNTR Index'])","date=range(-1y,0d),Currency=EUR")</f>
        <v>1.1245173702235769</v>
      </c>
      <c r="G8" s="2">
        <f>Query1[[#This Row],[Beta]]*Query1[[#This Row],[percent_nav]]/100</f>
        <v>2.1365830034247957E-2</v>
      </c>
    </row>
    <row r="9" spans="1:7" x14ac:dyDescent="0.25">
      <c r="A9" t="s">
        <v>94</v>
      </c>
      <c r="B9" t="s">
        <v>95</v>
      </c>
      <c r="C9" t="s">
        <v>121</v>
      </c>
      <c r="D9" t="s">
        <v>110</v>
      </c>
      <c r="E9" s="2">
        <v>1.69</v>
      </c>
      <c r="F9" s="2" cm="1">
        <f t="array" ref="F9">_xll.BQL(Query1[[#This Row],[bloomberg_query]], "slope(#bmrk, #Px)","#Px=Pct_diff(px_last(dates=range(-1y,0d))),#bmrk = 0.6 * value(#px,['SXXEWR Index']) + 0.4 * value(#px,['SPXEWNTR Index'])","date=range(-1y,0d),Currency=EUR")</f>
        <v>1.1638275037737638</v>
      </c>
      <c r="G9" s="2">
        <f>Query1[[#This Row],[Beta]]*Query1[[#This Row],[percent_nav]]/100</f>
        <v>1.9668684813776607E-2</v>
      </c>
    </row>
    <row r="10" spans="1:7" x14ac:dyDescent="0.25">
      <c r="A10" t="s">
        <v>44</v>
      </c>
      <c r="B10" t="s">
        <v>45</v>
      </c>
      <c r="C10" t="s">
        <v>117</v>
      </c>
      <c r="D10" t="s">
        <v>110</v>
      </c>
      <c r="E10" s="2">
        <v>1.74</v>
      </c>
      <c r="F10" s="2" cm="1">
        <f t="array" ref="F10">_xll.BQL(Query1[[#This Row],[bloomberg_query]], "slope(#bmrk, #Px)","#Px=Pct_diff(px_last(dates=range(-1y,0d))),#bmrk = 0.6 * value(#px,['SXXEWR Index']) + 0.4 * value(#px,['SPXEWNTR Index'])","date=range(-1y,0d),Currency=EUR")</f>
        <v>-0.42302275080029783</v>
      </c>
      <c r="G10" s="2">
        <f>Query1[[#This Row],[Beta]]*Query1[[#This Row],[percent_nav]]/100</f>
        <v>-7.3605958639251824E-3</v>
      </c>
    </row>
    <row r="11" spans="1:7" x14ac:dyDescent="0.25">
      <c r="A11" t="s">
        <v>74</v>
      </c>
      <c r="B11" t="s">
        <v>75</v>
      </c>
      <c r="C11" t="s">
        <v>117</v>
      </c>
      <c r="D11" t="s">
        <v>110</v>
      </c>
      <c r="E11" s="2">
        <v>1.81</v>
      </c>
      <c r="F11" s="2" cm="1">
        <f t="array" ref="F11">_xll.BQL(Query1[[#This Row],[bloomberg_query]], "slope(#bmrk, #Px)","#Px=Pct_diff(px_last(dates=range(-1y,0d))),#bmrk = 0.6 * value(#px,['SXXEWR Index']) + 0.4 * value(#px,['SPXEWNTR Index'])","date=range(-1y,0d),Currency=EUR")</f>
        <v>0.76286888299314692</v>
      </c>
      <c r="G11" s="2">
        <f>Query1[[#This Row],[Beta]]*Query1[[#This Row],[percent_nav]]/100</f>
        <v>1.3807926782175959E-2</v>
      </c>
    </row>
    <row r="12" spans="1:7" x14ac:dyDescent="0.25">
      <c r="A12" t="s">
        <v>90</v>
      </c>
      <c r="B12" t="s">
        <v>91</v>
      </c>
      <c r="C12" t="s">
        <v>109</v>
      </c>
      <c r="D12" t="s">
        <v>110</v>
      </c>
      <c r="E12" s="2">
        <v>3.09</v>
      </c>
      <c r="F12" s="2" cm="1">
        <f t="array" ref="F12">_xll.BQL(Query1[[#This Row],[bloomberg_query]], "slope(#bmrk, #Px)","#Px=Pct_diff(px_last(dates=range(-1y,0d))),#bmrk = 0.6 * value(#px,['SXXEWR Index']) + 0.4 * value(#px,['SPXEWNTR Index'])","date=range(-1y,0d),Currency=EUR")</f>
        <v>0.42197523246202789</v>
      </c>
      <c r="G12" s="2">
        <f>Query1[[#This Row],[Beta]]*Query1[[#This Row],[percent_nav]]/100</f>
        <v>1.3039034683076663E-2</v>
      </c>
    </row>
    <row r="13" spans="1:7" x14ac:dyDescent="0.25">
      <c r="A13" t="s">
        <v>76</v>
      </c>
      <c r="B13" t="s">
        <v>77</v>
      </c>
      <c r="C13" t="s">
        <v>121</v>
      </c>
      <c r="D13" t="s">
        <v>110</v>
      </c>
      <c r="E13" s="2">
        <v>1.57</v>
      </c>
      <c r="F13" s="2" cm="1">
        <f t="array" ref="F13">_xll.BQL(Query1[[#This Row],[bloomberg_query]], "slope(#bmrk, #Px)","#Px=Pct_diff(px_last(dates=range(-1y,0d))),#bmrk = 0.6 * value(#px,['SXXEWR Index']) + 0.4 * value(#px,['SPXEWNTR Index'])","date=range(-1y,0d),Currency=EUR")</f>
        <v>0.30156096207242367</v>
      </c>
      <c r="G13" s="2">
        <f>Query1[[#This Row],[Beta]]*Query1[[#This Row],[percent_nav]]/100</f>
        <v>4.7345071045370515E-3</v>
      </c>
    </row>
    <row r="14" spans="1:7" x14ac:dyDescent="0.25">
      <c r="A14" t="s">
        <v>34</v>
      </c>
      <c r="B14" t="s">
        <v>35</v>
      </c>
      <c r="C14" t="s">
        <v>121</v>
      </c>
      <c r="D14" t="s">
        <v>110</v>
      </c>
      <c r="E14" s="2">
        <v>1.83</v>
      </c>
      <c r="F14" s="2" cm="1">
        <f t="array" ref="F14">_xll.BQL(Query1[[#This Row],[bloomberg_query]], "slope(#bmrk, #Px)","#Px=Pct_diff(px_last(dates=range(-1y,0d))),#bmrk = 0.6 * value(#px,['SXXEWR Index']) + 0.4 * value(#px,['SPXEWNTR Index'])","date=range(-1y,0d),Currency=EUR")</f>
        <v>0.26670262907141656</v>
      </c>
      <c r="G14" s="2">
        <f>Query1[[#This Row],[Beta]]*Query1[[#This Row],[percent_nav]]/100</f>
        <v>4.8806581120069232E-3</v>
      </c>
    </row>
    <row r="15" spans="1:7" x14ac:dyDescent="0.25">
      <c r="A15" t="s">
        <v>4</v>
      </c>
      <c r="B15" t="s">
        <v>5</v>
      </c>
      <c r="C15" t="s">
        <v>115</v>
      </c>
      <c r="D15" t="s">
        <v>110</v>
      </c>
      <c r="E15" s="2">
        <v>1.64</v>
      </c>
      <c r="F15" s="2" cm="1">
        <f t="array" ref="F15">_xll.BQL(Query1[[#This Row],[bloomberg_query]], "slope(#bmrk, #Px)","#Px=Pct_diff(px_last(dates=range(-1y,0d))),#bmrk = 0.6 * value(#px,['SXXEWR Index']) + 0.4 * value(#px,['SPXEWNTR Index'])","date=range(-1y,0d),Currency=EUR")</f>
        <v>0.36821944218079411</v>
      </c>
      <c r="G15" s="2">
        <f>Query1[[#This Row],[Beta]]*Query1[[#This Row],[percent_nav]]/100</f>
        <v>6.0387988517650228E-3</v>
      </c>
    </row>
    <row r="16" spans="1:7" x14ac:dyDescent="0.25">
      <c r="A16" t="s">
        <v>38</v>
      </c>
      <c r="B16" t="s">
        <v>39</v>
      </c>
      <c r="C16" t="s">
        <v>117</v>
      </c>
      <c r="D16" t="s">
        <v>129</v>
      </c>
      <c r="E16" s="2">
        <v>1.03</v>
      </c>
      <c r="F16" s="2" cm="1">
        <f t="array" ref="F16">_xll.BQL(Query1[[#This Row],[bloomberg_query]], "slope(#bmrk, #Px)","#Px=Pct_diff(px_last(dates=range(-1y,0d))),#bmrk = 0.6 * value(#px,['SXXEWR Index']) + 0.4 * value(#px,['SPXEWNTR Index'])","date=range(-1y,0d),Currency=EUR")</f>
        <v>1.055255182871357</v>
      </c>
      <c r="G16" s="2">
        <f>Query1[[#This Row],[Beta]]*Query1[[#This Row],[percent_nav]]/100</f>
        <v>1.0869128383574978E-2</v>
      </c>
    </row>
    <row r="17" spans="1:7" x14ac:dyDescent="0.25">
      <c r="A17" t="s">
        <v>86</v>
      </c>
      <c r="B17" t="s">
        <v>87</v>
      </c>
      <c r="C17" t="s">
        <v>109</v>
      </c>
      <c r="D17" t="s">
        <v>110</v>
      </c>
      <c r="E17" s="2">
        <v>1.01</v>
      </c>
      <c r="F17" s="2" cm="1">
        <f t="array" ref="F17">_xll.BQL(Query1[[#This Row],[bloomberg_query]], "slope(#bmrk, #Px)","#Px=Pct_diff(px_last(dates=range(-1y,0d))),#bmrk = 0.6 * value(#px,['SXXEWR Index']) + 0.4 * value(#px,['SPXEWNTR Index'])","date=range(-1y,0d),Currency=EUR")</f>
        <v>0.62099159417013605</v>
      </c>
      <c r="G17" s="2">
        <f>Query1[[#This Row],[Beta]]*Query1[[#This Row],[percent_nav]]/100</f>
        <v>6.2720151011183747E-3</v>
      </c>
    </row>
    <row r="18" spans="1:7" x14ac:dyDescent="0.25">
      <c r="A18" t="s">
        <v>88</v>
      </c>
      <c r="B18" t="s">
        <v>89</v>
      </c>
      <c r="C18" t="s">
        <v>109</v>
      </c>
      <c r="D18" t="s">
        <v>114</v>
      </c>
      <c r="E18" s="2">
        <v>1.38</v>
      </c>
      <c r="F18" s="2" cm="1">
        <f t="array" ref="F18">_xll.BQL(Query1[[#This Row],[bloomberg_query]], "slope(#bmrk, #Px)","#Px=Pct_diff(px_last(dates=range(-1y,0d))),#bmrk = 0.6 * value(#px,['SXXEWR Index']) + 0.4 * value(#px,['SPXEWNTR Index'])","date=range(-1y,0d),Currency=EUR")</f>
        <v>1.7614825983385258</v>
      </c>
      <c r="G18" s="2">
        <f>Query1[[#This Row],[Beta]]*Query1[[#This Row],[percent_nav]]/100</f>
        <v>2.4308459857071654E-2</v>
      </c>
    </row>
    <row r="19" spans="1:7" x14ac:dyDescent="0.25">
      <c r="A19" t="s">
        <v>100</v>
      </c>
      <c r="B19" t="s">
        <v>101</v>
      </c>
      <c r="C19" t="s">
        <v>121</v>
      </c>
      <c r="D19" t="s">
        <v>127</v>
      </c>
      <c r="E19" s="2">
        <v>1.97</v>
      </c>
      <c r="F19" s="2" cm="1">
        <f t="array" ref="F19">_xll.BQL(Query1[[#This Row],[bloomberg_query]], "slope(#bmrk, #Px)","#Px=Pct_diff(px_last(dates=range(-1y,0d))),#bmrk = 0.6 * value(#px,['SXXEWR Index']) + 0.4 * value(#px,['SPXEWNTR Index'])","date=range(-1y,0d),Currency=EUR")</f>
        <v>0.63483405336621612</v>
      </c>
      <c r="G19" s="2">
        <f>Query1[[#This Row],[Beta]]*Query1[[#This Row],[percent_nav]]/100</f>
        <v>1.2506230851314457E-2</v>
      </c>
    </row>
    <row r="20" spans="1:7" x14ac:dyDescent="0.25">
      <c r="A20" t="s">
        <v>52</v>
      </c>
      <c r="B20" t="s">
        <v>53</v>
      </c>
      <c r="C20" t="s">
        <v>111</v>
      </c>
      <c r="D20" t="s">
        <v>110</v>
      </c>
      <c r="E20" s="2">
        <v>2.4900000000000002</v>
      </c>
      <c r="F20" s="2" cm="1">
        <f t="array" ref="F20">_xll.BQL(Query1[[#This Row],[bloomberg_query]], "slope(#bmrk, #Px)","#Px=Pct_diff(px_last(dates=range(-1y,0d))),#bmrk = 0.6 * value(#px,['SXXEWR Index']) + 0.4 * value(#px,['SPXEWNTR Index'])","date=range(-1y,0d),Currency=EUR")</f>
        <v>7.9420469383886458E-2</v>
      </c>
      <c r="G20" s="2">
        <f>Query1[[#This Row],[Beta]]*Query1[[#This Row],[percent_nav]]/100</f>
        <v>1.977569687658773E-3</v>
      </c>
    </row>
    <row r="21" spans="1:7" x14ac:dyDescent="0.25">
      <c r="A21" t="s">
        <v>48</v>
      </c>
      <c r="B21" t="s">
        <v>49</v>
      </c>
      <c r="C21" t="s">
        <v>125</v>
      </c>
      <c r="D21" t="s">
        <v>116</v>
      </c>
      <c r="E21" s="2">
        <v>3.11</v>
      </c>
      <c r="F21" s="2" cm="1">
        <f t="array" ref="F21">_xll.BQL(Query1[[#This Row],[bloomberg_query]], "slope(#bmrk, #Px)","#Px=Pct_diff(px_last(dates=range(-1y,0d))),#bmrk = 0.6 * value(#px,['SXXEWR Index']) + 0.4 * value(#px,['SPXEWNTR Index'])","date=range(-1y,0d),Currency=EUR")</f>
        <v>0.51749834605596878</v>
      </c>
      <c r="G21" s="2">
        <f>Query1[[#This Row],[Beta]]*Query1[[#This Row],[percent_nav]]/100</f>
        <v>1.6094198562340629E-2</v>
      </c>
    </row>
    <row r="22" spans="1:7" x14ac:dyDescent="0.25">
      <c r="A22" t="s">
        <v>40</v>
      </c>
      <c r="B22" t="s">
        <v>41</v>
      </c>
      <c r="C22" t="s">
        <v>118</v>
      </c>
      <c r="D22" t="s">
        <v>114</v>
      </c>
      <c r="E22" s="2">
        <v>1.95</v>
      </c>
      <c r="F22" s="2" cm="1">
        <f t="array" ref="F22">_xll.BQL(Query1[[#This Row],[bloomberg_query]], "slope(#bmrk, #Px)","#Px=Pct_diff(px_last(dates=range(-1y,0d))),#bmrk = 0.6 * value(#px,['SXXEWR Index']) + 0.4 * value(#px,['SPXEWNTR Index'])","date=range(-1y,0d),Currency=EUR")</f>
        <v>0.36531533014745515</v>
      </c>
      <c r="G22" s="2">
        <f>Query1[[#This Row],[Beta]]*Query1[[#This Row],[percent_nav]]/100</f>
        <v>7.1236489378753752E-3</v>
      </c>
    </row>
    <row r="23" spans="1:7" x14ac:dyDescent="0.25">
      <c r="A23" t="s">
        <v>24</v>
      </c>
      <c r="B23" t="s">
        <v>25</v>
      </c>
      <c r="C23" t="s">
        <v>109</v>
      </c>
      <c r="D23" t="s">
        <v>120</v>
      </c>
      <c r="E23" s="2">
        <v>2.0499999999999998</v>
      </c>
      <c r="F23" s="2" cm="1">
        <f t="array" ref="F23">_xll.BQL(Query1[[#This Row],[bloomberg_query]], "slope(#bmrk, #Px)","#Px=Pct_diff(px_last(dates=range(-1y,0d))),#bmrk = 0.6 * value(#px,['SXXEWR Index']) + 0.4 * value(#px,['SPXEWNTR Index'])","date=range(-1y,0d),Currency=EUR")</f>
        <v>0.86636808009618171</v>
      </c>
      <c r="G23" s="2">
        <f>Query1[[#This Row],[Beta]]*Query1[[#This Row],[percent_nav]]/100</f>
        <v>1.7760545641971725E-2</v>
      </c>
    </row>
    <row r="24" spans="1:7" x14ac:dyDescent="0.25">
      <c r="A24" t="s">
        <v>28</v>
      </c>
      <c r="B24" t="s">
        <v>29</v>
      </c>
      <c r="C24" t="s">
        <v>113</v>
      </c>
      <c r="D24" t="s">
        <v>110</v>
      </c>
      <c r="E24" s="2">
        <v>2.85</v>
      </c>
      <c r="F24" s="2" cm="1">
        <f t="array" ref="F24">_xll.BQL(Query1[[#This Row],[bloomberg_query]], "slope(#bmrk, #Px)","#Px=Pct_diff(px_last(dates=range(-1y,0d))),#bmrk = 0.6 * value(#px,['SXXEWR Index']) + 0.4 * value(#px,['SPXEWNTR Index'])","date=range(-1y,0d),Currency=EUR")</f>
        <v>0.64218043362161559</v>
      </c>
      <c r="G24" s="2">
        <f>Query1[[#This Row],[Beta]]*Query1[[#This Row],[percent_nav]]/100</f>
        <v>1.8302142358216044E-2</v>
      </c>
    </row>
    <row r="25" spans="1:7" x14ac:dyDescent="0.25">
      <c r="A25" t="s">
        <v>58</v>
      </c>
      <c r="B25" t="s">
        <v>59</v>
      </c>
      <c r="C25" t="s">
        <v>109</v>
      </c>
      <c r="D25" t="s">
        <v>110</v>
      </c>
      <c r="E25" s="2">
        <v>2</v>
      </c>
      <c r="F25" s="2" cm="1">
        <f t="array" ref="F25">_xll.BQL(Query1[[#This Row],[bloomberg_query]], "slope(#bmrk, #Px)","#Px=Pct_diff(px_last(dates=range(-1y,0d))),#bmrk = 0.6 * value(#px,['SXXEWR Index']) + 0.4 * value(#px,['SPXEWNTR Index'])","date=range(-1y,0d),Currency=EUR")</f>
        <v>1.2389539935164917</v>
      </c>
      <c r="G25" s="2">
        <f>Query1[[#This Row],[Beta]]*Query1[[#This Row],[percent_nav]]/100</f>
        <v>2.4779079870329835E-2</v>
      </c>
    </row>
    <row r="26" spans="1:7" x14ac:dyDescent="0.25">
      <c r="A26" t="s">
        <v>12</v>
      </c>
      <c r="B26" t="s">
        <v>13</v>
      </c>
      <c r="C26" t="s">
        <v>118</v>
      </c>
      <c r="D26" t="s">
        <v>116</v>
      </c>
      <c r="E26" s="2">
        <v>3.42</v>
      </c>
      <c r="F26" s="2" cm="1">
        <f t="array" ref="F26">_xll.BQL(Query1[[#This Row],[bloomberg_query]], "slope(#bmrk, #Px)","#Px=Pct_diff(px_last(dates=range(-1y,0d))),#bmrk = 0.6 * value(#px,['SXXEWR Index']) + 0.4 * value(#px,['SPXEWNTR Index'])","date=range(-1y,0d),Currency=EUR")</f>
        <v>1.3522724066158482</v>
      </c>
      <c r="G26" s="2">
        <f>Query1[[#This Row],[Beta]]*Query1[[#This Row],[percent_nav]]/100</f>
        <v>4.624771630626201E-2</v>
      </c>
    </row>
    <row r="27" spans="1:7" x14ac:dyDescent="0.25">
      <c r="A27" t="s">
        <v>26</v>
      </c>
      <c r="B27" t="s">
        <v>27</v>
      </c>
      <c r="C27" t="s">
        <v>111</v>
      </c>
      <c r="D27" t="s">
        <v>116</v>
      </c>
      <c r="E27" s="2">
        <v>2.0099999999999998</v>
      </c>
      <c r="F27" s="2" cm="1">
        <f t="array" ref="F27">_xll.BQL(Query1[[#This Row],[bloomberg_query]], "slope(#bmrk, #Px)","#Px=Pct_diff(px_last(dates=range(-1y,0d))),#bmrk = 0.6 * value(#px,['SXXEWR Index']) + 0.4 * value(#px,['SPXEWNTR Index'])","date=range(-1y,0d),Currency=EUR")</f>
        <v>0.81338272443014825</v>
      </c>
      <c r="G27" s="2">
        <f>Query1[[#This Row],[Beta]]*Query1[[#This Row],[percent_nav]]/100</f>
        <v>1.6348992761045976E-2</v>
      </c>
    </row>
    <row r="28" spans="1:7" x14ac:dyDescent="0.25">
      <c r="A28" t="s">
        <v>32</v>
      </c>
      <c r="B28" t="s">
        <v>33</v>
      </c>
      <c r="C28" t="s">
        <v>115</v>
      </c>
      <c r="D28" t="s">
        <v>129</v>
      </c>
      <c r="E28" s="2">
        <v>1.1599999999999999</v>
      </c>
      <c r="F28" s="2" cm="1">
        <f t="array" ref="F28">_xll.BQL(Query1[[#This Row],[bloomberg_query]], "slope(#bmrk, #Px)","#Px=Pct_diff(px_last(dates=range(-1y,0d))),#bmrk = 0.6 * value(#px,['SXXEWR Index']) + 0.4 * value(#px,['SPXEWNTR Index'])","date=range(-1y,0d),Currency=EUR")</f>
        <v>1.3447937665174567</v>
      </c>
      <c r="G28" s="2">
        <f>Query1[[#This Row],[Beta]]*Query1[[#This Row],[percent_nav]]/100</f>
        <v>1.5599607691602497E-2</v>
      </c>
    </row>
    <row r="29" spans="1:7" x14ac:dyDescent="0.25">
      <c r="A29" t="s">
        <v>56</v>
      </c>
      <c r="B29" t="s">
        <v>57</v>
      </c>
      <c r="C29" t="s">
        <v>118</v>
      </c>
      <c r="D29" t="s">
        <v>119</v>
      </c>
      <c r="E29" s="2">
        <v>1.82</v>
      </c>
      <c r="F29" s="2" cm="1">
        <f t="array" ref="F29">_xll.BQL(Query1[[#This Row],[bloomberg_query]], "slope(#bmrk, #Px)","#Px=Pct_diff(px_last(dates=range(-1y,0d))),#bmrk = 0.6 * value(#px,['SXXEWR Index']) + 0.4 * value(#px,['SPXEWNTR Index'])","date=range(-1y,0d),Currency=EUR")</f>
        <v>1.2288532328082331</v>
      </c>
      <c r="G29" s="2">
        <f>Query1[[#This Row],[Beta]]*Query1[[#This Row],[percent_nav]]/100</f>
        <v>2.2365128837109841E-2</v>
      </c>
    </row>
    <row r="30" spans="1:7" x14ac:dyDescent="0.25">
      <c r="A30" t="s">
        <v>20</v>
      </c>
      <c r="B30" t="s">
        <v>21</v>
      </c>
      <c r="C30" t="s">
        <v>123</v>
      </c>
      <c r="D30" t="s">
        <v>124</v>
      </c>
      <c r="E30" s="2">
        <v>1.82</v>
      </c>
      <c r="F30" s="2" cm="1">
        <f t="array" ref="F30">_xll.BQL(Query1[[#This Row],[bloomberg_query]], "slope(#bmrk, #Px)","#Px=Pct_diff(px_last(dates=range(-1y,0d))),#bmrk = 0.6 * value(#px,['SXXEWR Index']) + 0.4 * value(#px,['SPXEWNTR Index'])","date=range(-1y,0d),Currency=EUR")</f>
        <v>0.5372122231211397</v>
      </c>
      <c r="G30" s="2">
        <f>Query1[[#This Row],[Beta]]*Query1[[#This Row],[percent_nav]]/100</f>
        <v>9.7772624608047434E-3</v>
      </c>
    </row>
    <row r="31" spans="1:7" x14ac:dyDescent="0.25">
      <c r="A31" t="s">
        <v>14</v>
      </c>
      <c r="B31" t="s">
        <v>15</v>
      </c>
      <c r="C31" t="s">
        <v>113</v>
      </c>
      <c r="D31" t="s">
        <v>122</v>
      </c>
      <c r="E31" s="2">
        <v>0.8</v>
      </c>
      <c r="F31" s="2" cm="1">
        <f t="array" ref="F31">_xll.BQL(Query1[[#This Row],[bloomberg_query]], "slope(#bmrk, #Px)","#Px=Pct_diff(px_last(dates=range(-1y,0d))),#bmrk = 0.6 * value(#px,['SXXEWR Index']) + 0.4 * value(#px,['SPXEWNTR Index'])","date=range(-1y,0d),Currency=EUR")</f>
        <v>0.72688802927804952</v>
      </c>
      <c r="G31" s="2">
        <f>Query1[[#This Row],[Beta]]*Query1[[#This Row],[percent_nav]]/100</f>
        <v>5.8151042342243966E-3</v>
      </c>
    </row>
    <row r="32" spans="1:7" x14ac:dyDescent="0.25">
      <c r="A32" t="s">
        <v>62</v>
      </c>
      <c r="B32" t="s">
        <v>63</v>
      </c>
      <c r="C32" t="s">
        <v>121</v>
      </c>
      <c r="D32" t="s">
        <v>110</v>
      </c>
      <c r="E32" s="2">
        <v>1.78</v>
      </c>
      <c r="F32" s="2" cm="1">
        <f t="array" ref="F32">_xll.BQL(Query1[[#This Row],[bloomberg_query]], "slope(#bmrk, #Px)","#Px=Pct_diff(px_last(dates=range(-1y,0d))),#bmrk = 0.6 * value(#px,['SXXEWR Index']) + 0.4 * value(#px,['SPXEWNTR Index'])","date=range(-1y,0d),Currency=EUR")</f>
        <v>0.45882986253400565</v>
      </c>
      <c r="G32" s="2">
        <f>Query1[[#This Row],[Beta]]*Query1[[#This Row],[percent_nav]]/100</f>
        <v>8.1671715531053003E-3</v>
      </c>
    </row>
    <row r="33" spans="1:7" x14ac:dyDescent="0.25">
      <c r="A33" t="s">
        <v>18</v>
      </c>
      <c r="B33" t="s">
        <v>19</v>
      </c>
      <c r="C33" t="s">
        <v>118</v>
      </c>
      <c r="D33" t="s">
        <v>119</v>
      </c>
      <c r="E33" s="2">
        <v>3.04</v>
      </c>
      <c r="F33" s="2" cm="1">
        <f t="array" ref="F33">_xll.BQL(Query1[[#This Row],[bloomberg_query]], "slope(#bmrk, #Px)","#Px=Pct_diff(px_last(dates=range(-1y,0d))),#bmrk = 0.6 * value(#px,['SXXEWR Index']) + 0.4 * value(#px,['SPXEWNTR Index'])","date=range(-1y,0d),Currency=EUR")</f>
        <v>1.4163584951909409</v>
      </c>
      <c r="G33" s="2">
        <f>Query1[[#This Row],[Beta]]*Query1[[#This Row],[percent_nav]]/100</f>
        <v>4.3057298253804603E-2</v>
      </c>
    </row>
    <row r="34" spans="1:7" x14ac:dyDescent="0.25">
      <c r="A34" t="s">
        <v>54</v>
      </c>
      <c r="B34" t="s">
        <v>55</v>
      </c>
      <c r="C34" t="s">
        <v>121</v>
      </c>
      <c r="D34" t="s">
        <v>119</v>
      </c>
      <c r="E34" s="2">
        <v>1.68</v>
      </c>
      <c r="F34" s="2" cm="1">
        <f t="array" ref="F34">_xll.BQL(Query1[[#This Row],[bloomberg_query]], "slope(#bmrk, #Px)","#Px=Pct_diff(px_last(dates=range(-1y,0d))),#bmrk = 0.6 * value(#px,['SXXEWR Index']) + 0.4 * value(#px,['SPXEWNTR Index'])","date=range(-1y,0d),Currency=EUR")</f>
        <v>0.29819249526134739</v>
      </c>
      <c r="G34" s="2">
        <f>Query1[[#This Row],[Beta]]*Query1[[#This Row],[percent_nav]]/100</f>
        <v>5.0096339203906355E-3</v>
      </c>
    </row>
    <row r="35" spans="1:7" x14ac:dyDescent="0.25">
      <c r="A35" t="s">
        <v>16</v>
      </c>
      <c r="B35" t="s">
        <v>17</v>
      </c>
      <c r="C35" t="s">
        <v>117</v>
      </c>
      <c r="D35" t="s">
        <v>120</v>
      </c>
      <c r="E35" s="2">
        <v>1.84</v>
      </c>
      <c r="F35" s="2" cm="1">
        <f t="array" ref="F35">_xll.BQL(Query1[[#This Row],[bloomberg_query]], "slope(#bmrk, #Px)","#Px=Pct_diff(px_last(dates=range(-1y,0d))),#bmrk = 0.6 * value(#px,['SXXEWR Index']) + 0.4 * value(#px,['SPXEWNTR Index'])","date=range(-1y,0d),Currency=EUR")</f>
        <v>0.69649440252388661</v>
      </c>
      <c r="G35" s="2">
        <f>Query1[[#This Row],[Beta]]*Query1[[#This Row],[percent_nav]]/100</f>
        <v>1.2815497006439514E-2</v>
      </c>
    </row>
    <row r="36" spans="1:7" x14ac:dyDescent="0.25">
      <c r="A36" t="s">
        <v>72</v>
      </c>
      <c r="B36" t="s">
        <v>73</v>
      </c>
      <c r="C36" t="s">
        <v>121</v>
      </c>
      <c r="D36" t="s">
        <v>110</v>
      </c>
      <c r="E36" s="2">
        <v>1.84</v>
      </c>
      <c r="F36" s="2" cm="1">
        <f t="array" ref="F36">_xll.BQL(Query1[[#This Row],[bloomberg_query]], "slope(#bmrk, #Px)","#Px=Pct_diff(px_last(dates=range(-1y,0d))),#bmrk = 0.6 * value(#px,['SXXEWR Index']) + 0.4 * value(#px,['SPXEWNTR Index'])","date=range(-1y,0d),Currency=EUR")</f>
        <v>0.5429229439844302</v>
      </c>
      <c r="G36" s="2">
        <f>Query1[[#This Row],[Beta]]*Query1[[#This Row],[percent_nav]]/100</f>
        <v>9.9897821693135155E-3</v>
      </c>
    </row>
    <row r="37" spans="1:7" x14ac:dyDescent="0.25">
      <c r="A37" t="s">
        <v>96</v>
      </c>
      <c r="B37" t="s">
        <v>97</v>
      </c>
      <c r="C37" t="s">
        <v>111</v>
      </c>
      <c r="D37" t="s">
        <v>110</v>
      </c>
      <c r="E37" s="2">
        <v>1.71</v>
      </c>
      <c r="F37" s="2" cm="1">
        <f t="array" ref="F37">_xll.BQL(Query1[[#This Row],[bloomberg_query]], "slope(#bmrk, #Px)","#Px=Pct_diff(px_last(dates=range(-1y,0d))),#bmrk = 0.6 * value(#px,['SXXEWR Index']) + 0.4 * value(#px,['SPXEWNTR Index'])","date=range(-1y,0d),Currency=EUR")</f>
        <v>-0.11563841953985857</v>
      </c>
      <c r="G37" s="2">
        <f>Query1[[#This Row],[Beta]]*Query1[[#This Row],[percent_nav]]/100</f>
        <v>-1.9774169741315815E-3</v>
      </c>
    </row>
    <row r="38" spans="1:7" x14ac:dyDescent="0.25">
      <c r="A38" t="s">
        <v>30</v>
      </c>
      <c r="B38" t="s">
        <v>31</v>
      </c>
      <c r="C38" t="s">
        <v>126</v>
      </c>
      <c r="D38" t="s">
        <v>119</v>
      </c>
      <c r="E38" s="2">
        <v>2.97</v>
      </c>
      <c r="F38" s="2" cm="1">
        <f t="array" ref="F38">_xll.BQL(Query1[[#This Row],[bloomberg_query]], "slope(#bmrk, #Px)","#Px=Pct_diff(px_last(dates=range(-1y,0d))),#bmrk = 0.6 * value(#px,['SXXEWR Index']) + 0.4 * value(#px,['SPXEWNTR Index'])","date=range(-1y,0d),Currency=EUR")</f>
        <v>1.3528879053959348</v>
      </c>
      <c r="G38" s="2">
        <f>Query1[[#This Row],[Beta]]*Query1[[#This Row],[percent_nav]]/100</f>
        <v>4.0180770790259272E-2</v>
      </c>
    </row>
    <row r="39" spans="1:7" x14ac:dyDescent="0.25">
      <c r="A39" t="s">
        <v>98</v>
      </c>
      <c r="B39" t="s">
        <v>99</v>
      </c>
      <c r="C39" t="s">
        <v>115</v>
      </c>
      <c r="D39" t="s">
        <v>110</v>
      </c>
      <c r="E39" s="2">
        <v>3.28</v>
      </c>
      <c r="F39" s="2" cm="1">
        <f t="array" ref="F39">_xll.BQL(Query1[[#This Row],[bloomberg_query]], "slope(#bmrk, #Px)","#Px=Pct_diff(px_last(dates=range(-1y,0d))),#bmrk = 0.6 * value(#px,['SXXEWR Index']) + 0.4 * value(#px,['SPXEWNTR Index'])","date=range(-1y,0d),Currency=EUR")</f>
        <v>0.96196571695890709</v>
      </c>
      <c r="G39" s="2">
        <f>Query1[[#This Row],[Beta]]*Query1[[#This Row],[percent_nav]]/100</f>
        <v>3.1552475516252149E-2</v>
      </c>
    </row>
    <row r="40" spans="1:7" x14ac:dyDescent="0.25">
      <c r="A40" t="s">
        <v>70</v>
      </c>
      <c r="B40" t="s">
        <v>71</v>
      </c>
      <c r="C40" t="s">
        <v>117</v>
      </c>
      <c r="D40" t="s">
        <v>110</v>
      </c>
      <c r="E40" s="2">
        <v>2.34</v>
      </c>
      <c r="F40" s="2" cm="1">
        <f t="array" ref="F40">_xll.BQL(Query1[[#This Row],[bloomberg_query]], "slope(#bmrk, #Px)","#Px=Pct_diff(px_last(dates=range(-1y,0d))),#bmrk = 0.6 * value(#px,['SXXEWR Index']) + 0.4 * value(#px,['SPXEWNTR Index'])","date=range(-1y,0d),Currency=EUR")</f>
        <v>0.75695015984789726</v>
      </c>
      <c r="G40" s="2">
        <f>Query1[[#This Row],[Beta]]*Query1[[#This Row],[percent_nav]]/100</f>
        <v>1.7712633740440794E-2</v>
      </c>
    </row>
    <row r="41" spans="1:7" x14ac:dyDescent="0.25">
      <c r="A41" t="s">
        <v>80</v>
      </c>
      <c r="B41" t="s">
        <v>81</v>
      </c>
      <c r="C41" t="s">
        <v>117</v>
      </c>
      <c r="D41" t="s">
        <v>116</v>
      </c>
      <c r="E41" s="2">
        <v>1.32</v>
      </c>
      <c r="F41" s="2" cm="1">
        <f t="array" ref="F41">_xll.BQL(Query1[[#This Row],[bloomberg_query]], "slope(#bmrk, #Px)","#Px=Pct_diff(px_last(dates=range(-1y,0d))),#bmrk = 0.6 * value(#px,['SXXEWR Index']) + 0.4 * value(#px,['SPXEWNTR Index'])","date=range(-1y,0d),Currency=EUR")</f>
        <v>0.76873256878708895</v>
      </c>
      <c r="G41" s="2">
        <f>Query1[[#This Row],[Beta]]*Query1[[#This Row],[percent_nav]]/100</f>
        <v>1.0147269907989576E-2</v>
      </c>
    </row>
    <row r="42" spans="1:7" x14ac:dyDescent="0.25">
      <c r="A42" t="s">
        <v>22</v>
      </c>
      <c r="B42" t="s">
        <v>23</v>
      </c>
      <c r="C42" t="s">
        <v>115</v>
      </c>
      <c r="D42" t="s">
        <v>116</v>
      </c>
      <c r="E42" s="2">
        <v>1.1499999999999999</v>
      </c>
      <c r="F42" s="2" cm="1">
        <f t="array" ref="F42">_xll.BQL(Query1[[#This Row],[bloomberg_query]], "slope(#bmrk, #Px)","#Px=Pct_diff(px_last(dates=range(-1y,0d))),#bmrk = 0.6 * value(#px,['SXXEWR Index']) + 0.4 * value(#px,['SPXEWNTR Index'])","date=range(-1y,0d),Currency=EUR")</f>
        <v>1.4320854017435838</v>
      </c>
      <c r="G42" s="2">
        <f>Query1[[#This Row],[Beta]]*Query1[[#This Row],[percent_nav]]/100</f>
        <v>1.6468982120051212E-2</v>
      </c>
    </row>
    <row r="43" spans="1:7" x14ac:dyDescent="0.25">
      <c r="A43" t="s">
        <v>10</v>
      </c>
      <c r="B43" t="s">
        <v>11</v>
      </c>
      <c r="C43" t="s">
        <v>126</v>
      </c>
      <c r="D43" t="s">
        <v>110</v>
      </c>
      <c r="E43" s="2">
        <v>2.5</v>
      </c>
      <c r="F43" s="2" cm="1">
        <f t="array" ref="F43">_xll.BQL(Query1[[#This Row],[bloomberg_query]], "slope(#bmrk, #Px)","#Px=Pct_diff(px_last(dates=range(-1y,0d))),#bmrk = 0.6 * value(#px,['SXXEWR Index']) + 0.4 * value(#px,['SPXEWNTR Index'])","date=range(-1y,0d),Currency=EUR")</f>
        <v>0.37313727728823315</v>
      </c>
      <c r="G43" s="2">
        <f>Query1[[#This Row],[Beta]]*Query1[[#This Row],[percent_nav]]/100</f>
        <v>9.328431932205828E-3</v>
      </c>
    </row>
    <row r="44" spans="1:7" x14ac:dyDescent="0.25">
      <c r="A44" t="s">
        <v>84</v>
      </c>
      <c r="B44" t="s">
        <v>85</v>
      </c>
      <c r="C44" t="s">
        <v>109</v>
      </c>
      <c r="D44" t="s">
        <v>110</v>
      </c>
      <c r="E44" s="2">
        <v>1.85</v>
      </c>
      <c r="F44" s="2" cm="1">
        <f t="array" ref="F44">_xll.BQL(Query1[[#This Row],[bloomberg_query]], "slope(#bmrk, #Px)","#Px=Pct_diff(px_last(dates=range(-1y,0d))),#bmrk = 0.6 * value(#px,['SXXEWR Index']) + 0.4 * value(#px,['SPXEWNTR Index'])","date=range(-1y,0d),Currency=EUR")</f>
        <v>1.2020647944334408</v>
      </c>
      <c r="G44" s="2">
        <f>Query1[[#This Row],[Beta]]*Query1[[#This Row],[percent_nav]]/100</f>
        <v>2.2238198697018659E-2</v>
      </c>
    </row>
    <row r="45" spans="1:7" x14ac:dyDescent="0.25">
      <c r="A45" t="s">
        <v>60</v>
      </c>
      <c r="B45" t="s">
        <v>61</v>
      </c>
      <c r="C45" t="s">
        <v>109</v>
      </c>
      <c r="D45" t="s">
        <v>110</v>
      </c>
      <c r="E45" s="2">
        <v>1.83</v>
      </c>
      <c r="F45" s="2" cm="1">
        <f t="array" ref="F45">_xll.BQL(Query1[[#This Row],[bloomberg_query]], "slope(#bmrk, #Px)","#Px=Pct_diff(px_last(dates=range(-1y,0d))),#bmrk = 0.6 * value(#px,['SXXEWR Index']) + 0.4 * value(#px,['SPXEWNTR Index'])","date=range(-1y,0d),Currency=EUR")</f>
        <v>0.88983420464017582</v>
      </c>
      <c r="G45" s="2">
        <f>Query1[[#This Row],[Beta]]*Query1[[#This Row],[percent_nav]]/100</f>
        <v>1.6283965944915216E-2</v>
      </c>
    </row>
    <row r="46" spans="1:7" x14ac:dyDescent="0.25">
      <c r="A46" t="s">
        <v>46</v>
      </c>
      <c r="B46" t="s">
        <v>47</v>
      </c>
      <c r="C46" t="s">
        <v>121</v>
      </c>
      <c r="D46" t="s">
        <v>112</v>
      </c>
      <c r="E46" s="2">
        <v>1.77</v>
      </c>
      <c r="F46" s="2" cm="1">
        <f t="array" ref="F46">_xll.BQL(Query1[[#This Row],[bloomberg_query]], "slope(#bmrk, #Px)","#Px=Pct_diff(px_last(dates=range(-1y,0d))),#bmrk = 0.6 * value(#px,['SXXEWR Index']) + 0.4 * value(#px,['SPXEWNTR Index'])","date=range(-1y,0d),Currency=EUR")</f>
        <v>0.55788479916421874</v>
      </c>
      <c r="G46" s="2">
        <f>Query1[[#This Row],[Beta]]*Query1[[#This Row],[percent_nav]]/100</f>
        <v>9.8745609452066726E-3</v>
      </c>
    </row>
    <row r="47" spans="1:7" x14ac:dyDescent="0.25">
      <c r="A47" t="s">
        <v>64</v>
      </c>
      <c r="B47" t="s">
        <v>65</v>
      </c>
      <c r="C47" t="s">
        <v>117</v>
      </c>
      <c r="D47" t="s">
        <v>112</v>
      </c>
      <c r="E47" s="2">
        <v>1.79</v>
      </c>
      <c r="F47" s="2" cm="1">
        <f t="array" ref="F47">_xll.BQL(Query1[[#This Row],[bloomberg_query]], "slope(#bmrk, #Px)","#Px=Pct_diff(px_last(dates=range(-1y,0d))),#bmrk = 0.6 * value(#px,['SXXEWR Index']) + 0.4 * value(#px,['SPXEWNTR Index'])","date=range(-1y,0d),Currency=EUR")</f>
        <v>0.35755484201522186</v>
      </c>
      <c r="G47" s="2">
        <f>Query1[[#This Row],[Beta]]*Query1[[#This Row],[percent_nav]]/100</f>
        <v>6.4002316720724716E-3</v>
      </c>
    </row>
    <row r="48" spans="1:7" x14ac:dyDescent="0.25">
      <c r="A48" t="s">
        <v>66</v>
      </c>
      <c r="B48" t="s">
        <v>67</v>
      </c>
      <c r="C48" t="s">
        <v>113</v>
      </c>
      <c r="D48" t="s">
        <v>114</v>
      </c>
      <c r="E48" s="2">
        <v>1.51</v>
      </c>
      <c r="F48" s="2" cm="1">
        <f t="array" ref="F48">_xll.BQL(Query1[[#This Row],[bloomberg_query]], "slope(#bmrk, #Px)","#Px=Pct_diff(px_last(dates=range(-1y,0d))),#bmrk = 0.6 * value(#px,['SXXEWR Index']) + 0.4 * value(#px,['SPXEWNTR Index'])","date=range(-1y,0d),Currency=EUR")</f>
        <v>0.10494789058686707</v>
      </c>
      <c r="G48" s="2">
        <f>Query1[[#This Row],[Beta]]*Query1[[#This Row],[percent_nav]]/100</f>
        <v>1.5847131478616927E-3</v>
      </c>
    </row>
    <row r="49" spans="1:7" x14ac:dyDescent="0.25">
      <c r="A49" t="s">
        <v>102</v>
      </c>
      <c r="B49" t="s">
        <v>103</v>
      </c>
      <c r="C49" t="s">
        <v>117</v>
      </c>
      <c r="D49" t="s">
        <v>110</v>
      </c>
      <c r="E49" s="2">
        <v>1.55</v>
      </c>
      <c r="F49" s="2" cm="1">
        <f t="array" ref="F49">_xll.BQL(Query1[[#This Row],[bloomberg_query]], "slope(#bmrk, #Px)","#Px=Pct_diff(px_last(dates=range(-1y,0d))),#bmrk = 0.6 * value(#px,['SXXEWR Index']) + 0.4 * value(#px,['SPXEWNTR Index'])","date=range(-1y,0d),Currency=EUR")</f>
        <v>0.55165915251318498</v>
      </c>
      <c r="G49" s="2">
        <f>Query1[[#This Row],[Beta]]*Query1[[#This Row],[percent_nav]]/100</f>
        <v>8.550716863954368E-3</v>
      </c>
    </row>
    <row r="50" spans="1:7" x14ac:dyDescent="0.25">
      <c r="A50" t="s">
        <v>8</v>
      </c>
      <c r="B50" t="s">
        <v>9</v>
      </c>
      <c r="C50" t="s">
        <v>117</v>
      </c>
      <c r="D50" t="s">
        <v>110</v>
      </c>
      <c r="E50" s="2">
        <v>1.91</v>
      </c>
      <c r="F50" s="2" cm="1">
        <f t="array" ref="F50">_xll.BQL(Query1[[#This Row],[bloomberg_query]], "slope(#bmrk, #Px)","#Px=Pct_diff(px_last(dates=range(-1y,0d))),#bmrk = 0.6 * value(#px,['SXXEWR Index']) + 0.4 * value(#px,['SPXEWNTR Index'])","date=range(-1y,0d),Currency=EUR")</f>
        <v>0.87643718016222927</v>
      </c>
      <c r="G50" s="2">
        <f>Query1[[#This Row],[Beta]]*Query1[[#This Row],[percent_nav]]/100</f>
        <v>1.6739950141098577E-2</v>
      </c>
    </row>
    <row r="51" spans="1:7" x14ac:dyDescent="0.25">
      <c r="A51" t="s">
        <v>78</v>
      </c>
      <c r="B51" t="s">
        <v>79</v>
      </c>
      <c r="C51" t="s">
        <v>117</v>
      </c>
      <c r="D51" t="s">
        <v>120</v>
      </c>
      <c r="E51" s="2">
        <v>3.35</v>
      </c>
      <c r="F51" s="2" cm="1">
        <f t="array" ref="F51">_xll.BQL(Query1[[#This Row],[bloomberg_query]], "slope(#bmrk, #Px)","#Px=Pct_diff(px_last(dates=range(-1y,0d))),#bmrk = 0.6 * value(#px,['SXXEWR Index']) + 0.4 * value(#px,['SPXEWNTR Index'])","date=range(-1y,0d),Currency=EUR")</f>
        <v>0.45985989217662848</v>
      </c>
      <c r="G51" s="2">
        <f>Query1[[#This Row],[Beta]]*Query1[[#This Row],[percent_nav]]/100</f>
        <v>1.5405306387917055E-2</v>
      </c>
    </row>
    <row r="52" spans="1:7" x14ac:dyDescent="0.25">
      <c r="A52" t="s">
        <v>36</v>
      </c>
      <c r="B52" t="s">
        <v>37</v>
      </c>
      <c r="C52" t="s">
        <v>109</v>
      </c>
      <c r="D52" t="s">
        <v>110</v>
      </c>
      <c r="E52" s="2">
        <v>1.8</v>
      </c>
      <c r="F52" s="2" cm="1">
        <f t="array" ref="F52">_xll.BQL(Query1[[#This Row],[bloomberg_query]], "slope(#bmrk, #Px)","#Px=Pct_diff(px_last(dates=range(-1y,0d))),#bmrk = 0.6 * value(#px,['SXXEWR Index']) + 0.4 * value(#px,['SPXEWNTR Index'])","date=range(-1y,0d),Currency=EUR")</f>
        <v>0.31934378564367316</v>
      </c>
      <c r="G52" s="2">
        <f>Query1[[#This Row],[Beta]]*Query1[[#This Row],[percent_nav]]/100</f>
        <v>5.7481881415861165E-3</v>
      </c>
    </row>
    <row r="53" spans="1:7" x14ac:dyDescent="0.25">
      <c r="E53" s="2">
        <f>SUM(E2:E52)</f>
        <v>98.419999999999987</v>
      </c>
      <c r="F53" s="2">
        <f>SUM(F2:F52)</f>
        <v>35.854227601042396</v>
      </c>
      <c r="G53" s="2">
        <f>SUM(G2:G52)</f>
        <v>0.69928550123795141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C8C-CD24-46A0-A656-D899A1126BBA}">
  <dimension ref="A1:M56"/>
  <sheetViews>
    <sheetView topLeftCell="A20" zoomScaleNormal="100" workbookViewId="0">
      <selection activeCell="B52" sqref="B52"/>
    </sheetView>
  </sheetViews>
  <sheetFormatPr defaultRowHeight="15" x14ac:dyDescent="0.25"/>
  <cols>
    <col min="1" max="1" width="27.7109375" customWidth="1"/>
    <col min="2" max="2" width="16.28515625" customWidth="1"/>
    <col min="3" max="3" width="16.42578125" customWidth="1"/>
    <col min="4" max="4" width="31.28515625" customWidth="1"/>
    <col min="5" max="5" width="23" customWidth="1"/>
    <col min="6" max="6" width="12.42578125" customWidth="1"/>
    <col min="7" max="7" width="10.85546875" customWidth="1"/>
    <col min="8" max="8" width="16.5703125" bestFit="1" customWidth="1"/>
    <col min="9" max="9" width="29.28515625" bestFit="1" customWidth="1"/>
    <col min="10" max="10" width="30.140625" bestFit="1" customWidth="1"/>
    <col min="11" max="11" width="20.85546875" customWidth="1"/>
    <col min="12" max="12" width="19.85546875" customWidth="1"/>
    <col min="13" max="13" width="22.5703125" customWidth="1"/>
  </cols>
  <sheetData>
    <row r="1" spans="1:13" x14ac:dyDescent="0.25">
      <c r="A1" s="6" t="s">
        <v>130</v>
      </c>
      <c r="B1" s="6" t="s">
        <v>161</v>
      </c>
      <c r="C1" s="6" t="str">
        <f ca="1">_xll.BQL(B2:B12,"name, gics_sector_name,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#std12M","cols=5;rows=12")</f>
        <v>ID</v>
      </c>
      <c r="D1" s="6" t="s">
        <v>1</v>
      </c>
      <c r="E1" s="6" t="s">
        <v>142</v>
      </c>
      <c r="F1" s="6" t="s">
        <v>143</v>
      </c>
      <c r="G1" s="6" t="s">
        <v>144</v>
      </c>
      <c r="H1" s="6" t="s">
        <v>156</v>
      </c>
      <c r="I1" s="6" t="s">
        <v>157</v>
      </c>
      <c r="J1" s="6" t="s">
        <v>159</v>
      </c>
      <c r="K1" s="6" t="s">
        <v>158</v>
      </c>
      <c r="L1" s="6" t="s">
        <v>160</v>
      </c>
    </row>
    <row r="2" spans="1:13" x14ac:dyDescent="0.25">
      <c r="A2" s="3" t="s">
        <v>125</v>
      </c>
      <c r="B2" t="s">
        <v>131</v>
      </c>
      <c r="C2" t="s">
        <v>131</v>
      </c>
      <c r="D2" t="s">
        <v>145</v>
      </c>
      <c r="E2">
        <v>657.03</v>
      </c>
      <c r="F2">
        <v>708.08</v>
      </c>
      <c r="G2" s="2">
        <v>1.1506489010259571</v>
      </c>
      <c r="H2" s="4">
        <f>E2/F2-1</f>
        <v>-7.2096373291153593E-2</v>
      </c>
      <c r="I2" s="4">
        <f>H2/G2</f>
        <v>-6.2657143483881184E-2</v>
      </c>
      <c r="J2" s="2">
        <f>(I2 - AVERAGE($I$2:$I$12)) / _xlfn.STDEV.S($I$2:$I$12)</f>
        <v>-2.6929884755162243</v>
      </c>
      <c r="K2" s="2">
        <f>IF(J2&lt;0,1/(1-J2),1+J2)</f>
        <v>0.2707834066176486</v>
      </c>
      <c r="L2" s="4">
        <f>K2/SUM($K$2:$K$12)</f>
        <v>2.0716737707030333E-2</v>
      </c>
    </row>
    <row r="3" spans="1:13" x14ac:dyDescent="0.25">
      <c r="A3" s="3" t="s">
        <v>126</v>
      </c>
      <c r="B3" t="s">
        <v>132</v>
      </c>
      <c r="C3" t="s">
        <v>132</v>
      </c>
      <c r="D3" t="s">
        <v>146</v>
      </c>
      <c r="E3">
        <v>612.76</v>
      </c>
      <c r="F3">
        <v>490.52</v>
      </c>
      <c r="G3" s="2">
        <v>0.90167919114822426</v>
      </c>
      <c r="H3" s="4">
        <f t="shared" ref="H3:H12" si="0">E3/F3-1</f>
        <v>0.24920492538530548</v>
      </c>
      <c r="I3" s="4">
        <f t="shared" ref="I3:I12" si="1">H3/G3</f>
        <v>0.27637870301516082</v>
      </c>
      <c r="J3" s="2">
        <f t="shared" ref="J3:J12" si="2">(I3 - AVERAGE($I$2:$I$12)) / _xlfn.STDEV.S($I$2:$I$12)</f>
        <v>-0.10627943036204379</v>
      </c>
      <c r="K3" s="2">
        <f t="shared" ref="K3:K12" si="3">IF(J3&lt;0,1/(1-J3),1+J3)</f>
        <v>0.90393075434181891</v>
      </c>
      <c r="L3" s="4">
        <f t="shared" ref="L3:L12" si="4">K3/SUM($K$2:$K$12)</f>
        <v>6.9156735181560472E-2</v>
      </c>
    </row>
    <row r="4" spans="1:13" x14ac:dyDescent="0.25">
      <c r="A4" s="3" t="s">
        <v>118</v>
      </c>
      <c r="B4" t="s">
        <v>133</v>
      </c>
      <c r="C4" t="s">
        <v>133</v>
      </c>
      <c r="D4" t="s">
        <v>147</v>
      </c>
      <c r="E4">
        <v>1139.8699999999999</v>
      </c>
      <c r="F4">
        <v>859</v>
      </c>
      <c r="G4" s="2">
        <v>0.84418311651268485</v>
      </c>
      <c r="H4" s="4">
        <f t="shared" si="0"/>
        <v>0.32697322467986023</v>
      </c>
      <c r="I4" s="4">
        <f t="shared" si="1"/>
        <v>0.38732499890614319</v>
      </c>
      <c r="J4" s="2">
        <f t="shared" si="2"/>
        <v>0.74019680532522636</v>
      </c>
      <c r="K4" s="2">
        <f t="shared" si="3"/>
        <v>1.7401968053252264</v>
      </c>
      <c r="L4" s="4">
        <f t="shared" si="4"/>
        <v>0.13313666898887874</v>
      </c>
    </row>
    <row r="5" spans="1:13" x14ac:dyDescent="0.25">
      <c r="A5" s="3" t="s">
        <v>115</v>
      </c>
      <c r="B5" t="s">
        <v>134</v>
      </c>
      <c r="C5" t="s">
        <v>134</v>
      </c>
      <c r="D5" t="s">
        <v>148</v>
      </c>
      <c r="E5">
        <v>1611.154</v>
      </c>
      <c r="F5">
        <v>1245.242</v>
      </c>
      <c r="G5" s="2">
        <v>1.1771231403677191</v>
      </c>
      <c r="H5" s="4">
        <f t="shared" si="0"/>
        <v>0.2938481034208611</v>
      </c>
      <c r="I5" s="4">
        <f t="shared" si="1"/>
        <v>0.24963242446246234</v>
      </c>
      <c r="J5" s="2">
        <f t="shared" si="2"/>
        <v>-0.31034292798595631</v>
      </c>
      <c r="K5" s="2">
        <f t="shared" si="3"/>
        <v>0.76315900108457524</v>
      </c>
      <c r="L5" s="4">
        <f t="shared" si="4"/>
        <v>5.8386756602677212E-2</v>
      </c>
    </row>
    <row r="6" spans="1:13" x14ac:dyDescent="0.25">
      <c r="A6" s="3" t="s">
        <v>111</v>
      </c>
      <c r="B6" t="s">
        <v>135</v>
      </c>
      <c r="C6" t="s">
        <v>135</v>
      </c>
      <c r="D6" t="s">
        <v>149</v>
      </c>
      <c r="E6">
        <v>887.13</v>
      </c>
      <c r="F6">
        <v>727.42</v>
      </c>
      <c r="G6" s="2">
        <v>0.65930938606863942</v>
      </c>
      <c r="H6" s="4">
        <f t="shared" si="0"/>
        <v>0.21955678975007564</v>
      </c>
      <c r="I6" s="4">
        <f t="shared" si="1"/>
        <v>0.33301025950693502</v>
      </c>
      <c r="J6" s="2">
        <f t="shared" si="2"/>
        <v>0.32579688525801032</v>
      </c>
      <c r="K6" s="2">
        <f t="shared" si="3"/>
        <v>1.3257968852580104</v>
      </c>
      <c r="L6" s="4">
        <f t="shared" si="4"/>
        <v>0.10143230956345407</v>
      </c>
    </row>
    <row r="7" spans="1:13" x14ac:dyDescent="0.25">
      <c r="A7" s="3" t="s">
        <v>121</v>
      </c>
      <c r="B7" t="s">
        <v>136</v>
      </c>
      <c r="C7" t="s">
        <v>136</v>
      </c>
      <c r="D7" t="s">
        <v>150</v>
      </c>
      <c r="E7">
        <v>1786.28</v>
      </c>
      <c r="F7">
        <v>1505.61</v>
      </c>
      <c r="G7" s="2">
        <v>0.68351773930752002</v>
      </c>
      <c r="H7" s="4">
        <f t="shared" si="0"/>
        <v>0.18641613698102444</v>
      </c>
      <c r="I7" s="4">
        <f t="shared" si="1"/>
        <v>0.27273050319057535</v>
      </c>
      <c r="J7" s="2">
        <f t="shared" si="2"/>
        <v>-0.13411374812587884</v>
      </c>
      <c r="K7" s="2">
        <f t="shared" si="3"/>
        <v>0.88174576990403164</v>
      </c>
      <c r="L7" s="4">
        <f t="shared" si="4"/>
        <v>6.7459435818305338E-2</v>
      </c>
    </row>
    <row r="8" spans="1:13" x14ac:dyDescent="0.25">
      <c r="A8" s="3" t="s">
        <v>117</v>
      </c>
      <c r="B8" t="s">
        <v>137</v>
      </c>
      <c r="C8" t="s">
        <v>137</v>
      </c>
      <c r="D8" t="s">
        <v>151</v>
      </c>
      <c r="E8">
        <v>749.17</v>
      </c>
      <c r="F8">
        <v>553.24</v>
      </c>
      <c r="G8" s="2">
        <v>0.80479019316601563</v>
      </c>
      <c r="H8" s="4">
        <f t="shared" si="0"/>
        <v>0.35415009760682525</v>
      </c>
      <c r="I8" s="4">
        <f t="shared" si="1"/>
        <v>0.4400527002119789</v>
      </c>
      <c r="J8" s="2">
        <f t="shared" si="2"/>
        <v>1.1424882541687589</v>
      </c>
      <c r="K8" s="2">
        <f t="shared" si="3"/>
        <v>2.1424882541687591</v>
      </c>
      <c r="L8" s="4">
        <f t="shared" si="4"/>
        <v>0.16391464955856958</v>
      </c>
    </row>
    <row r="9" spans="1:13" x14ac:dyDescent="0.25">
      <c r="A9" s="3" t="s">
        <v>109</v>
      </c>
      <c r="B9" t="s">
        <v>138</v>
      </c>
      <c r="C9" t="s">
        <v>138</v>
      </c>
      <c r="D9" t="s">
        <v>152</v>
      </c>
      <c r="E9">
        <v>4420.8100000000004</v>
      </c>
      <c r="F9">
        <v>2874.46</v>
      </c>
      <c r="G9" s="2">
        <v>1.3778597523401812</v>
      </c>
      <c r="H9" s="4">
        <f t="shared" si="0"/>
        <v>0.53796191284623918</v>
      </c>
      <c r="I9" s="4">
        <f t="shared" si="1"/>
        <v>0.39043299721365343</v>
      </c>
      <c r="J9" s="2">
        <f t="shared" si="2"/>
        <v>0.76390959976091244</v>
      </c>
      <c r="K9" s="2">
        <f t="shared" si="3"/>
        <v>1.7639095997609124</v>
      </c>
      <c r="L9" s="4">
        <f t="shared" si="4"/>
        <v>0.13495085601296952</v>
      </c>
    </row>
    <row r="10" spans="1:13" x14ac:dyDescent="0.25">
      <c r="A10" s="3" t="s">
        <v>113</v>
      </c>
      <c r="B10" t="s">
        <v>139</v>
      </c>
      <c r="C10" t="s">
        <v>139</v>
      </c>
      <c r="D10" t="s">
        <v>153</v>
      </c>
      <c r="E10">
        <v>310.58999999999997</v>
      </c>
      <c r="F10">
        <v>221.27</v>
      </c>
      <c r="G10" s="2">
        <v>1.2568396142098692</v>
      </c>
      <c r="H10" s="4">
        <f t="shared" si="0"/>
        <v>0.403669724770642</v>
      </c>
      <c r="I10" s="4">
        <f t="shared" si="1"/>
        <v>0.32117839078808391</v>
      </c>
      <c r="J10" s="2">
        <f t="shared" si="2"/>
        <v>0.23552441952269329</v>
      </c>
      <c r="K10" s="2">
        <f t="shared" si="3"/>
        <v>1.2355244195226933</v>
      </c>
      <c r="L10" s="4">
        <f t="shared" si="4"/>
        <v>9.4525863492162354E-2</v>
      </c>
    </row>
    <row r="11" spans="1:13" x14ac:dyDescent="0.25">
      <c r="A11" s="3" t="s">
        <v>123</v>
      </c>
      <c r="B11" t="s">
        <v>140</v>
      </c>
      <c r="C11" t="s">
        <v>140</v>
      </c>
      <c r="D11" t="s">
        <v>154</v>
      </c>
      <c r="E11">
        <v>404.46</v>
      </c>
      <c r="F11">
        <v>305.25</v>
      </c>
      <c r="G11" s="2">
        <v>1.0594244520847995</v>
      </c>
      <c r="H11" s="4">
        <f t="shared" si="0"/>
        <v>0.32501228501228496</v>
      </c>
      <c r="I11" s="4">
        <f t="shared" si="1"/>
        <v>0.3067819365247858</v>
      </c>
      <c r="J11" s="2">
        <f t="shared" si="2"/>
        <v>0.12568518321312827</v>
      </c>
      <c r="K11" s="2">
        <f t="shared" si="3"/>
        <v>1.1256851832131283</v>
      </c>
      <c r="L11" s="4">
        <f t="shared" si="4"/>
        <v>8.6122428891094477E-2</v>
      </c>
    </row>
    <row r="12" spans="1:13" x14ac:dyDescent="0.25">
      <c r="A12" s="3" t="s">
        <v>128</v>
      </c>
      <c r="B12" t="s">
        <v>141</v>
      </c>
      <c r="C12" t="s">
        <v>141</v>
      </c>
      <c r="D12" t="s">
        <v>155</v>
      </c>
      <c r="E12">
        <v>277.82</v>
      </c>
      <c r="F12">
        <v>211.27</v>
      </c>
      <c r="G12" s="2">
        <v>1.130942254321579</v>
      </c>
      <c r="H12" s="4">
        <f t="shared" si="0"/>
        <v>0.31499976333601554</v>
      </c>
      <c r="I12" s="4">
        <f t="shared" si="1"/>
        <v>0.27852860049426237</v>
      </c>
      <c r="J12" s="2">
        <f t="shared" si="2"/>
        <v>-8.9876565258628069E-2</v>
      </c>
      <c r="K12" s="2">
        <f t="shared" si="3"/>
        <v>0.91753509697926183</v>
      </c>
      <c r="L12" s="4">
        <f t="shared" si="4"/>
        <v>7.0197558183297926E-2</v>
      </c>
    </row>
    <row r="13" spans="1:13" x14ac:dyDescent="0.25">
      <c r="H13" s="4"/>
      <c r="I13" s="4"/>
      <c r="J13" s="2"/>
      <c r="L13" s="5"/>
    </row>
    <row r="15" spans="1:13" x14ac:dyDescent="0.25">
      <c r="A15" s="6" t="s">
        <v>130</v>
      </c>
      <c r="B15" s="6" t="s">
        <v>161</v>
      </c>
      <c r="C15" s="6" t="str">
        <f ca="1">_xll.BQL(B16:B35,"name, gics_sector_name, cur_mkt_cap().value,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#std12M","cols=6;rows=21")</f>
        <v>ID</v>
      </c>
      <c r="D15" s="6" t="s">
        <v>1</v>
      </c>
      <c r="E15" s="6" t="s">
        <v>202</v>
      </c>
      <c r="F15" s="6" t="s">
        <v>142</v>
      </c>
      <c r="G15" s="6" t="s">
        <v>143</v>
      </c>
      <c r="H15" s="6" t="s">
        <v>144</v>
      </c>
      <c r="I15" s="6" t="s">
        <v>156</v>
      </c>
      <c r="J15" s="6" t="s">
        <v>157</v>
      </c>
      <c r="K15" s="6" t="s">
        <v>159</v>
      </c>
      <c r="L15" s="6" t="s">
        <v>158</v>
      </c>
      <c r="M15" s="6" t="s">
        <v>160</v>
      </c>
    </row>
    <row r="16" spans="1:13" x14ac:dyDescent="0.25">
      <c r="A16" s="3" t="s">
        <v>125</v>
      </c>
      <c r="B16" t="s">
        <v>162</v>
      </c>
      <c r="C16" t="s">
        <v>162</v>
      </c>
      <c r="D16" t="s">
        <v>182</v>
      </c>
      <c r="E16" s="2">
        <v>691629272758.62402</v>
      </c>
      <c r="F16" s="2">
        <v>110.43</v>
      </c>
      <c r="G16" s="2">
        <v>121.3</v>
      </c>
      <c r="H16" s="4">
        <v>0.9991680430578721</v>
      </c>
      <c r="I16" s="4">
        <f>F16/G16-1</f>
        <v>-8.9612530915086475E-2</v>
      </c>
      <c r="J16" s="4">
        <f>I16/H16</f>
        <v>-8.9687146759452649E-2</v>
      </c>
      <c r="K16" s="2">
        <f>(J16 - AVERAGE($J$16:$J$35)) / _xlfn.STDEV.S($J$16:$J$35)</f>
        <v>-2.1304697959342298</v>
      </c>
      <c r="L16" s="2">
        <f>IF(K16&lt;0,1/(1-K16),1+K16)</f>
        <v>0.31944087155824763</v>
      </c>
      <c r="M16" s="4">
        <f t="shared" ref="M16:M35" si="5">L16/SUM($L$16:$L$35)</f>
        <v>1.3051162626596009E-2</v>
      </c>
    </row>
    <row r="17" spans="1:13" x14ac:dyDescent="0.25">
      <c r="A17" s="7" t="s">
        <v>126</v>
      </c>
      <c r="B17" s="8" t="s">
        <v>163</v>
      </c>
      <c r="C17" t="s">
        <v>163</v>
      </c>
      <c r="D17" t="s">
        <v>183</v>
      </c>
      <c r="E17" s="2">
        <v>320034058210.07404</v>
      </c>
      <c r="F17" s="2">
        <v>1317.97</v>
      </c>
      <c r="G17" s="2">
        <v>1155.27</v>
      </c>
      <c r="H17" s="4">
        <v>0.77091853156525902</v>
      </c>
      <c r="I17" s="4">
        <f t="shared" ref="I17:I35" si="6">F17/G17-1</f>
        <v>0.14083287889411134</v>
      </c>
      <c r="J17" s="4">
        <f t="shared" ref="J17:J35" si="7">I17/H17</f>
        <v>0.18268192179550646</v>
      </c>
      <c r="K17" s="2">
        <f t="shared" ref="K17:K35" si="8">(J17 - AVERAGE($J$16:$J$35)) / _xlfn.STDEV.S($J$16:$J$35)</f>
        <v>-9.4235017609848856E-2</v>
      </c>
      <c r="L17" s="2">
        <f t="shared" ref="L17:L35" si="9">IF(K17&lt;0,1/(1-K17),1+K17)</f>
        <v>0.91388045886551184</v>
      </c>
      <c r="M17" s="4">
        <f t="shared" si="5"/>
        <v>3.7337747144692297E-2</v>
      </c>
    </row>
    <row r="18" spans="1:13" x14ac:dyDescent="0.25">
      <c r="A18" s="7" t="s">
        <v>126</v>
      </c>
      <c r="B18" s="8" t="s">
        <v>164</v>
      </c>
      <c r="C18" t="s">
        <v>164</v>
      </c>
      <c r="D18" t="s">
        <v>184</v>
      </c>
      <c r="E18" s="2">
        <v>313243262378</v>
      </c>
      <c r="F18" s="2">
        <v>576.08000000000004</v>
      </c>
      <c r="G18" s="2">
        <v>541.55999999999995</v>
      </c>
      <c r="H18" s="4">
        <v>1.3381736236191037</v>
      </c>
      <c r="I18" s="4">
        <f t="shared" si="6"/>
        <v>6.3741782997267293E-2</v>
      </c>
      <c r="J18" s="4">
        <f t="shared" si="7"/>
        <v>4.7633417571687757E-2</v>
      </c>
      <c r="K18" s="2">
        <f t="shared" si="8"/>
        <v>-1.1038594309845955</v>
      </c>
      <c r="L18" s="2">
        <f t="shared" si="9"/>
        <v>0.4753169272017404</v>
      </c>
      <c r="M18" s="4">
        <f t="shared" si="5"/>
        <v>1.9419676905535428E-2</v>
      </c>
    </row>
    <row r="19" spans="1:13" x14ac:dyDescent="0.25">
      <c r="A19" s="14" t="s">
        <v>118</v>
      </c>
      <c r="B19" s="16" t="s">
        <v>165</v>
      </c>
      <c r="C19" t="s">
        <v>165</v>
      </c>
      <c r="D19" t="s">
        <v>185</v>
      </c>
      <c r="E19" s="2">
        <v>452945333799</v>
      </c>
      <c r="F19" s="2">
        <v>736.54</v>
      </c>
      <c r="G19" s="2">
        <v>573.84</v>
      </c>
      <c r="H19" s="4">
        <v>0.93422306107714825</v>
      </c>
      <c r="I19" s="4">
        <f t="shared" si="6"/>
        <v>0.28352850968911181</v>
      </c>
      <c r="J19" s="4">
        <f t="shared" si="7"/>
        <v>0.3034912340551803</v>
      </c>
      <c r="K19" s="2">
        <f t="shared" si="8"/>
        <v>0.80893700729635076</v>
      </c>
      <c r="L19" s="2">
        <f t="shared" si="9"/>
        <v>1.8089370072963509</v>
      </c>
      <c r="M19" s="4">
        <f t="shared" si="5"/>
        <v>7.3906419514597685E-2</v>
      </c>
    </row>
    <row r="20" spans="1:13" x14ac:dyDescent="0.25">
      <c r="A20" s="14" t="s">
        <v>118</v>
      </c>
      <c r="B20" s="15" t="s">
        <v>166</v>
      </c>
      <c r="C20" t="s">
        <v>166</v>
      </c>
      <c r="D20" t="s">
        <v>186</v>
      </c>
      <c r="E20" s="2">
        <v>1864664973929</v>
      </c>
      <c r="F20" s="2">
        <v>893.04</v>
      </c>
      <c r="G20" s="2">
        <v>678.35</v>
      </c>
      <c r="H20" s="4">
        <v>0.92688373991756157</v>
      </c>
      <c r="I20" s="4">
        <f t="shared" si="6"/>
        <v>0.31648853836515056</v>
      </c>
      <c r="J20" s="4">
        <f t="shared" si="7"/>
        <v>0.3414544076404874</v>
      </c>
      <c r="K20" s="2">
        <f t="shared" si="8"/>
        <v>1.0927501978325944</v>
      </c>
      <c r="L20" s="2">
        <f t="shared" si="9"/>
        <v>2.0927501978325944</v>
      </c>
      <c r="M20" s="4">
        <f t="shared" si="5"/>
        <v>8.5501967971477549E-2</v>
      </c>
    </row>
    <row r="21" spans="1:13" x14ac:dyDescent="0.25">
      <c r="A21" s="11" t="s">
        <v>115</v>
      </c>
      <c r="B21" s="12" t="s">
        <v>167</v>
      </c>
      <c r="C21" t="s">
        <v>167</v>
      </c>
      <c r="D21" t="s">
        <v>187</v>
      </c>
      <c r="E21" s="2">
        <v>243794985609.54498</v>
      </c>
      <c r="F21" s="2">
        <v>465.45</v>
      </c>
      <c r="G21" s="2">
        <v>363.74</v>
      </c>
      <c r="H21" s="4">
        <v>0.73846091518187917</v>
      </c>
      <c r="I21" s="4">
        <f t="shared" si="6"/>
        <v>0.27962280749986257</v>
      </c>
      <c r="J21" s="4">
        <f t="shared" si="7"/>
        <v>0.37865620475119238</v>
      </c>
      <c r="K21" s="2">
        <f t="shared" si="8"/>
        <v>1.3708713277203652</v>
      </c>
      <c r="L21" s="2">
        <f t="shared" si="9"/>
        <v>2.3708713277203652</v>
      </c>
      <c r="M21" s="4">
        <f t="shared" si="5"/>
        <v>9.6864960059345237E-2</v>
      </c>
    </row>
    <row r="22" spans="1:13" x14ac:dyDescent="0.25">
      <c r="A22" s="11" t="s">
        <v>115</v>
      </c>
      <c r="B22" s="12" t="s">
        <v>168</v>
      </c>
      <c r="C22" t="s">
        <v>168</v>
      </c>
      <c r="D22" t="s">
        <v>188</v>
      </c>
      <c r="E22" s="2">
        <v>350709028114</v>
      </c>
      <c r="F22" s="2">
        <v>583.15</v>
      </c>
      <c r="G22" s="2">
        <v>596.17999999999995</v>
      </c>
      <c r="H22" s="4">
        <v>1.101798492614952</v>
      </c>
      <c r="I22" s="4">
        <f t="shared" si="6"/>
        <v>-2.1855815357777808E-2</v>
      </c>
      <c r="J22" s="4">
        <f t="shared" si="7"/>
        <v>-1.9836490523694888E-2</v>
      </c>
      <c r="K22" s="2">
        <f t="shared" si="8"/>
        <v>-1.6082653610817796</v>
      </c>
      <c r="L22" s="2">
        <f t="shared" si="9"/>
        <v>0.38339657264982013</v>
      </c>
      <c r="M22" s="4">
        <f t="shared" si="5"/>
        <v>1.5664154044295282E-2</v>
      </c>
    </row>
    <row r="23" spans="1:13" x14ac:dyDescent="0.25">
      <c r="A23" s="11" t="s">
        <v>115</v>
      </c>
      <c r="B23" s="12" t="s">
        <v>169</v>
      </c>
      <c r="C23" t="s">
        <v>169</v>
      </c>
      <c r="D23" t="s">
        <v>189</v>
      </c>
      <c r="E23" s="2">
        <v>250561982238.332</v>
      </c>
      <c r="F23" s="2">
        <v>481.17</v>
      </c>
      <c r="G23" s="2">
        <v>367.94</v>
      </c>
      <c r="H23" s="4">
        <v>1.1170759910292374</v>
      </c>
      <c r="I23" s="4">
        <f t="shared" si="6"/>
        <v>0.30774039245529172</v>
      </c>
      <c r="J23" s="4">
        <f t="shared" si="7"/>
        <v>0.27548742872161253</v>
      </c>
      <c r="K23" s="2">
        <f t="shared" si="8"/>
        <v>0.59958018624407161</v>
      </c>
      <c r="L23" s="2">
        <f t="shared" si="9"/>
        <v>1.5995801862440717</v>
      </c>
      <c r="M23" s="4">
        <f t="shared" si="5"/>
        <v>6.5352880622683449E-2</v>
      </c>
    </row>
    <row r="24" spans="1:13" x14ac:dyDescent="0.25">
      <c r="A24" s="11" t="s">
        <v>115</v>
      </c>
      <c r="B24" s="12" t="s">
        <v>170</v>
      </c>
      <c r="C24" t="s">
        <v>170</v>
      </c>
      <c r="D24" t="s">
        <v>190</v>
      </c>
      <c r="E24" s="2">
        <v>1255280157291.5601</v>
      </c>
      <c r="F24" s="2">
        <v>409.3</v>
      </c>
      <c r="G24" s="2">
        <v>377.26</v>
      </c>
      <c r="H24" s="4">
        <v>1.1670251997479562</v>
      </c>
      <c r="I24" s="4">
        <f t="shared" si="6"/>
        <v>8.4928166251391657E-2</v>
      </c>
      <c r="J24" s="4">
        <f t="shared" si="7"/>
        <v>7.2773206842263294E-2</v>
      </c>
      <c r="K24" s="2">
        <f t="shared" si="8"/>
        <v>-0.91591403210328781</v>
      </c>
      <c r="L24" s="2">
        <f t="shared" si="9"/>
        <v>0.52194408686604865</v>
      </c>
      <c r="M24" s="4">
        <f t="shared" si="5"/>
        <v>2.1324688748968815E-2</v>
      </c>
    </row>
    <row r="25" spans="1:13" x14ac:dyDescent="0.25">
      <c r="A25" s="11" t="s">
        <v>115</v>
      </c>
      <c r="B25" s="12" t="s">
        <v>171</v>
      </c>
      <c r="C25" t="s">
        <v>171</v>
      </c>
      <c r="D25" t="s">
        <v>191</v>
      </c>
      <c r="E25" s="2">
        <v>122573650701.21201</v>
      </c>
      <c r="F25" s="2">
        <v>254.95</v>
      </c>
      <c r="G25" s="2">
        <v>219.65</v>
      </c>
      <c r="H25" s="4">
        <v>1.0934833796637853</v>
      </c>
      <c r="I25" s="4">
        <f t="shared" si="6"/>
        <v>0.16071022080582731</v>
      </c>
      <c r="J25" s="4">
        <f t="shared" si="7"/>
        <v>0.14697088569854722</v>
      </c>
      <c r="K25" s="2">
        <f t="shared" si="8"/>
        <v>-0.36121119833557258</v>
      </c>
      <c r="L25" s="2">
        <f t="shared" si="9"/>
        <v>0.7346398569323811</v>
      </c>
      <c r="M25" s="4">
        <f t="shared" si="5"/>
        <v>3.0014644644667673E-2</v>
      </c>
    </row>
    <row r="26" spans="1:13" x14ac:dyDescent="0.25">
      <c r="A26" s="9" t="s">
        <v>111</v>
      </c>
      <c r="B26" s="10" t="s">
        <v>172</v>
      </c>
      <c r="C26" t="s">
        <v>172</v>
      </c>
      <c r="D26" t="s">
        <v>192</v>
      </c>
      <c r="E26" s="2">
        <v>842236321563.84399</v>
      </c>
      <c r="F26" s="2">
        <v>192.94</v>
      </c>
      <c r="G26" s="2">
        <v>193.61</v>
      </c>
      <c r="H26" s="4">
        <v>0.70020248528703721</v>
      </c>
      <c r="I26" s="4">
        <f t="shared" si="6"/>
        <v>-3.4605650534580423E-3</v>
      </c>
      <c r="J26" s="4">
        <f t="shared" si="7"/>
        <v>-4.9422347480521109E-3</v>
      </c>
      <c r="K26" s="2">
        <f t="shared" si="8"/>
        <v>-1.4969157068478116</v>
      </c>
      <c r="L26" s="2">
        <f t="shared" si="9"/>
        <v>0.40049409647970563</v>
      </c>
      <c r="M26" s="4">
        <f t="shared" si="5"/>
        <v>1.636269510113449E-2</v>
      </c>
    </row>
    <row r="27" spans="1:13" x14ac:dyDescent="0.25">
      <c r="A27" s="9" t="s">
        <v>111</v>
      </c>
      <c r="B27" s="10" t="s">
        <v>173</v>
      </c>
      <c r="C27" t="s">
        <v>173</v>
      </c>
      <c r="D27" t="s">
        <v>193</v>
      </c>
      <c r="E27" s="2">
        <v>362713611377.849</v>
      </c>
      <c r="F27" s="2">
        <v>167.97</v>
      </c>
      <c r="G27" s="2">
        <v>149.44999999999999</v>
      </c>
      <c r="H27" s="4">
        <v>0.65036232727695698</v>
      </c>
      <c r="I27" s="4">
        <f t="shared" si="6"/>
        <v>0.12392104382736702</v>
      </c>
      <c r="J27" s="4">
        <f t="shared" si="7"/>
        <v>0.19054154681163629</v>
      </c>
      <c r="K27" s="2">
        <f t="shared" si="8"/>
        <v>-3.5476356476480994E-2</v>
      </c>
      <c r="L27" s="2">
        <f t="shared" si="9"/>
        <v>0.96573909558186344</v>
      </c>
      <c r="M27" s="4">
        <f t="shared" si="5"/>
        <v>3.94564976291783E-2</v>
      </c>
    </row>
    <row r="28" spans="1:13" x14ac:dyDescent="0.25">
      <c r="A28" s="3" t="s">
        <v>121</v>
      </c>
      <c r="B28" t="s">
        <v>174</v>
      </c>
      <c r="C28" t="s">
        <v>174</v>
      </c>
      <c r="D28" t="s">
        <v>194</v>
      </c>
      <c r="E28" s="2">
        <v>2023234915339.3401</v>
      </c>
      <c r="F28" s="2">
        <v>1211.0999999999999</v>
      </c>
      <c r="G28" s="2">
        <v>1059.92</v>
      </c>
      <c r="H28" s="4">
        <v>0.74792651864604587</v>
      </c>
      <c r="I28" s="4">
        <f t="shared" si="6"/>
        <v>0.14263340629481447</v>
      </c>
      <c r="J28" s="4">
        <f t="shared" si="7"/>
        <v>0.19070510636930008</v>
      </c>
      <c r="K28" s="2">
        <f t="shared" si="8"/>
        <v>-3.4253583048465451E-2</v>
      </c>
      <c r="L28" s="2">
        <f t="shared" si="9"/>
        <v>0.96688086595987144</v>
      </c>
      <c r="M28" s="4">
        <f t="shared" si="5"/>
        <v>3.9503146108481914E-2</v>
      </c>
    </row>
    <row r="29" spans="1:13" x14ac:dyDescent="0.25">
      <c r="A29" s="13" t="s">
        <v>117</v>
      </c>
      <c r="B29" s="13" t="s">
        <v>175</v>
      </c>
      <c r="C29" t="s">
        <v>175</v>
      </c>
      <c r="D29" t="s">
        <v>195</v>
      </c>
      <c r="E29" s="2">
        <v>559778248485.56396</v>
      </c>
      <c r="F29" s="2">
        <v>809.52</v>
      </c>
      <c r="G29" s="2">
        <v>617.95000000000005</v>
      </c>
      <c r="H29" s="4">
        <v>0.91179109864099273</v>
      </c>
      <c r="I29" s="4">
        <f t="shared" si="6"/>
        <v>0.31000890039647211</v>
      </c>
      <c r="J29" s="4">
        <f t="shared" si="7"/>
        <v>0.33999991978265032</v>
      </c>
      <c r="K29" s="2">
        <f t="shared" si="8"/>
        <v>1.0818764272664598</v>
      </c>
      <c r="L29" s="2">
        <f t="shared" si="9"/>
        <v>2.0818764272664598</v>
      </c>
      <c r="M29" s="4">
        <f t="shared" si="5"/>
        <v>8.5057706260912316E-2</v>
      </c>
    </row>
    <row r="30" spans="1:13" x14ac:dyDescent="0.25">
      <c r="A30" s="13" t="s">
        <v>117</v>
      </c>
      <c r="B30" s="13" t="s">
        <v>176</v>
      </c>
      <c r="C30" t="s">
        <v>176</v>
      </c>
      <c r="D30" t="s">
        <v>196</v>
      </c>
      <c r="E30" s="2">
        <v>1221586949063.4402</v>
      </c>
      <c r="F30" s="2">
        <v>206.2</v>
      </c>
      <c r="G30" s="2">
        <v>159.57</v>
      </c>
      <c r="H30" s="4">
        <v>1.004842472752556</v>
      </c>
      <c r="I30" s="4">
        <f t="shared" si="6"/>
        <v>0.29222284890643602</v>
      </c>
      <c r="J30" s="4">
        <f t="shared" si="7"/>
        <v>0.29081458719191333</v>
      </c>
      <c r="K30" s="2">
        <f t="shared" si="8"/>
        <v>0.71416622677979447</v>
      </c>
      <c r="L30" s="2">
        <f t="shared" si="9"/>
        <v>1.7141662267797946</v>
      </c>
      <c r="M30" s="4">
        <f t="shared" si="5"/>
        <v>7.0034438879378699E-2</v>
      </c>
    </row>
    <row r="31" spans="1:13" x14ac:dyDescent="0.25">
      <c r="A31" s="13" t="s">
        <v>117</v>
      </c>
      <c r="B31" s="13" t="s">
        <v>177</v>
      </c>
      <c r="C31" t="s">
        <v>177</v>
      </c>
      <c r="D31" t="s">
        <v>197</v>
      </c>
      <c r="E31" s="2">
        <v>719523926848.99597</v>
      </c>
      <c r="F31" s="2">
        <v>406.82</v>
      </c>
      <c r="G31" s="2">
        <v>327.16000000000003</v>
      </c>
      <c r="H31" s="4">
        <v>0.74327999046168813</v>
      </c>
      <c r="I31" s="4">
        <f t="shared" si="6"/>
        <v>0.24348942413497965</v>
      </c>
      <c r="J31" s="4">
        <f t="shared" si="7"/>
        <v>0.32758775597300321</v>
      </c>
      <c r="K31" s="2">
        <f t="shared" si="8"/>
        <v>0.98908292557570954</v>
      </c>
      <c r="L31" s="2">
        <f t="shared" si="9"/>
        <v>1.9890829255757096</v>
      </c>
      <c r="M31" s="4">
        <f t="shared" si="5"/>
        <v>8.126650986406532E-2</v>
      </c>
    </row>
    <row r="32" spans="1:13" x14ac:dyDescent="0.25">
      <c r="A32" s="3" t="s">
        <v>109</v>
      </c>
      <c r="B32" t="s">
        <v>178</v>
      </c>
      <c r="C32" t="s">
        <v>178</v>
      </c>
      <c r="D32" t="s">
        <v>198</v>
      </c>
      <c r="E32" s="2">
        <v>999851715755.76196</v>
      </c>
      <c r="F32" s="2">
        <v>829.41</v>
      </c>
      <c r="G32" s="2">
        <v>641.28</v>
      </c>
      <c r="H32" s="4">
        <v>1.3568242604308736</v>
      </c>
      <c r="I32" s="4">
        <f t="shared" si="6"/>
        <v>0.29336639221556893</v>
      </c>
      <c r="J32" s="4">
        <f t="shared" si="7"/>
        <v>0.21621546781777576</v>
      </c>
      <c r="K32" s="2">
        <f t="shared" si="8"/>
        <v>0.15646221836247984</v>
      </c>
      <c r="L32" s="2">
        <f t="shared" si="9"/>
        <v>1.1564622183624798</v>
      </c>
      <c r="M32" s="4">
        <f t="shared" si="5"/>
        <v>4.7248733105871778E-2</v>
      </c>
    </row>
    <row r="33" spans="1:13" x14ac:dyDescent="0.25">
      <c r="A33" s="3" t="s">
        <v>113</v>
      </c>
      <c r="B33" t="s">
        <v>179</v>
      </c>
      <c r="C33" t="s">
        <v>179</v>
      </c>
      <c r="D33" t="s">
        <v>199</v>
      </c>
      <c r="E33" s="2">
        <v>406119515106.47803</v>
      </c>
      <c r="F33" s="2">
        <v>229.78</v>
      </c>
      <c r="G33" s="2">
        <v>193.18</v>
      </c>
      <c r="H33" s="4">
        <v>0.65300559307093642</v>
      </c>
      <c r="I33" s="4">
        <f t="shared" si="6"/>
        <v>0.18946060668806286</v>
      </c>
      <c r="J33" s="4">
        <f t="shared" si="7"/>
        <v>0.29013626942622778</v>
      </c>
      <c r="K33" s="2">
        <f t="shared" si="8"/>
        <v>0.70909511414364912</v>
      </c>
      <c r="L33" s="2">
        <f t="shared" si="9"/>
        <v>1.7090951141436492</v>
      </c>
      <c r="M33" s="4">
        <f t="shared" si="5"/>
        <v>6.9827252130265249E-2</v>
      </c>
    </row>
    <row r="34" spans="1:13" x14ac:dyDescent="0.25">
      <c r="A34" s="3" t="s">
        <v>123</v>
      </c>
      <c r="B34" t="s">
        <v>180</v>
      </c>
      <c r="C34" t="s">
        <v>180</v>
      </c>
      <c r="D34" t="s">
        <v>200</v>
      </c>
      <c r="E34" s="2">
        <v>587978602913.07104</v>
      </c>
      <c r="F34" s="2">
        <v>412.54</v>
      </c>
      <c r="G34" s="2">
        <v>357</v>
      </c>
      <c r="H34" s="4">
        <v>0.87069285848488487</v>
      </c>
      <c r="I34" s="4">
        <f t="shared" si="6"/>
        <v>0.15557422969187673</v>
      </c>
      <c r="J34" s="4">
        <f t="shared" si="7"/>
        <v>0.17867865594142515</v>
      </c>
      <c r="K34" s="2">
        <f t="shared" si="8"/>
        <v>-0.1241634863680918</v>
      </c>
      <c r="L34" s="2">
        <f t="shared" si="9"/>
        <v>0.88955032975743153</v>
      </c>
      <c r="M34" s="4">
        <f t="shared" si="5"/>
        <v>3.6343708810878984E-2</v>
      </c>
    </row>
    <row r="35" spans="1:13" x14ac:dyDescent="0.25">
      <c r="A35" s="3" t="s">
        <v>128</v>
      </c>
      <c r="B35" t="s">
        <v>181</v>
      </c>
      <c r="C35" t="s">
        <v>181</v>
      </c>
      <c r="D35" t="s">
        <v>201</v>
      </c>
      <c r="E35" s="2">
        <v>195252396033.88</v>
      </c>
      <c r="F35" s="2">
        <v>142.85</v>
      </c>
      <c r="G35" s="2">
        <v>107.58</v>
      </c>
      <c r="H35" s="4">
        <v>1.3306860952762654</v>
      </c>
      <c r="I35" s="4">
        <f t="shared" si="6"/>
        <v>0.32784904257296898</v>
      </c>
      <c r="J35" s="4">
        <f t="shared" si="7"/>
        <v>0.24637594376072883</v>
      </c>
      <c r="K35" s="2">
        <f t="shared" si="8"/>
        <v>0.381942337568691</v>
      </c>
      <c r="L35" s="2">
        <f t="shared" si="9"/>
        <v>1.381942337568691</v>
      </c>
      <c r="M35" s="4">
        <f t="shared" si="5"/>
        <v>5.6461009826973586E-2</v>
      </c>
    </row>
    <row r="36" spans="1:13" x14ac:dyDescent="0.25">
      <c r="E36" s="17"/>
      <c r="L36" s="5"/>
    </row>
    <row r="37" spans="1:13" x14ac:dyDescent="0.25">
      <c r="A37" s="6" t="s">
        <v>130</v>
      </c>
      <c r="E37" s="6"/>
      <c r="F37" s="6"/>
      <c r="G37" s="6"/>
      <c r="H37" s="6" t="s">
        <v>156</v>
      </c>
      <c r="I37" s="6" t="s">
        <v>157</v>
      </c>
      <c r="J37" s="6" t="s">
        <v>159</v>
      </c>
      <c r="K37" s="6" t="s">
        <v>158</v>
      </c>
      <c r="L37" s="6" t="s">
        <v>160</v>
      </c>
    </row>
    <row r="38" spans="1:13" x14ac:dyDescent="0.25">
      <c r="A38" s="3" t="s">
        <v>125</v>
      </c>
      <c r="E38" s="17"/>
      <c r="H38" s="4">
        <f>F16/G16-1</f>
        <v>-8.9612530915086475E-2</v>
      </c>
      <c r="I38" s="5">
        <f>H38/H16</f>
        <v>-8.9687146759452649E-2</v>
      </c>
      <c r="J38" s="2">
        <f>(I38 - AVERAGE($I$38:$I$48)) / _xlfn.STDEV.S($I$38:$I$48)</f>
        <v>-2.0993835899506839</v>
      </c>
      <c r="K38" s="2">
        <f>IF(J38&lt;0,1/(1-J38),1+J38)</f>
        <v>0.32264480048302496</v>
      </c>
      <c r="L38" s="4">
        <f>K38/SUM($K$38:$K$48)</f>
        <v>2.4193902977966388E-2</v>
      </c>
    </row>
    <row r="39" spans="1:13" x14ac:dyDescent="0.25">
      <c r="A39" s="3" t="s">
        <v>126</v>
      </c>
      <c r="E39" s="17"/>
      <c r="H39" s="4">
        <f>((F17/G17)*(E17/SUM(E17:E18))+(F18/G18)*(E18/SUM(E17:E18)))-1</f>
        <v>0.10270066478513606</v>
      </c>
      <c r="I39" s="4">
        <f>H39/(H17*(E17/SUM(E17:E18))+H18*(E18/SUM(E17:E18)))</f>
        <v>9.7670194028607313E-2</v>
      </c>
      <c r="J39" s="2">
        <f t="shared" ref="J39:J48" si="10">(I39 - AVERAGE($I$38:$I$48)) / _xlfn.STDEV.S($I$38:$I$48)</f>
        <v>-0.61763962633574898</v>
      </c>
      <c r="K39" s="2">
        <f t="shared" ref="K39:K48" si="11">IF(J39&lt;0,1/(1-J39),1+J39)</f>
        <v>0.61818465851085991</v>
      </c>
      <c r="L39" s="4">
        <f t="shared" ref="L39:L48" si="12">K39/SUM($K$38:$K$48)</f>
        <v>4.6355309703079842E-2</v>
      </c>
    </row>
    <row r="40" spans="1:13" x14ac:dyDescent="0.25">
      <c r="A40" s="3" t="s">
        <v>118</v>
      </c>
      <c r="E40" s="17"/>
      <c r="H40" s="4">
        <f>((F19/G19)*(E19/SUM(E19:E20))+(F20/G20)*(E20/SUM(E19:E20)))-1</f>
        <v>0.31004695017367934</v>
      </c>
      <c r="I40" s="4">
        <f>H40/(H19*(E19/SUM(E19:E20))+H20*(E20/SUM(E19:E20)))</f>
        <v>0.33398782893322404</v>
      </c>
      <c r="J40" s="2">
        <f t="shared" si="10"/>
        <v>1.2513142536821147</v>
      </c>
      <c r="K40" s="2">
        <f t="shared" si="11"/>
        <v>2.2513142536821147</v>
      </c>
      <c r="L40" s="4">
        <f t="shared" si="12"/>
        <v>0.16881746907111114</v>
      </c>
    </row>
    <row r="41" spans="1:13" x14ac:dyDescent="0.25">
      <c r="A41" s="3" t="s">
        <v>115</v>
      </c>
      <c r="E41" s="17"/>
      <c r="H41" s="4">
        <f>((F21/G21)*(E21/SUM(E21:E25))+(F22/G22)*(E22/SUM(E21:E25))+(F23/G23)*(E23/SUM(E21:E25))+(F24/G24)*(E24/SUM(E21:E25))+(F25/G25)*(E25/SUM(E21:E25)))-1</f>
        <v>0.11872723847542277</v>
      </c>
      <c r="I41" s="4">
        <f>H41/(H21*(E21/SUM(E21:E25))+H22*(E22/SUM(E21:E25))+H23*(E23/SUM(E21:E25))+H24*(E24/SUM(E21:E25))+H25*(E25/SUM(E21:E25)))</f>
        <v>0.10792923784665982</v>
      </c>
      <c r="J41" s="2">
        <f t="shared" si="10"/>
        <v>-0.53650442135300846</v>
      </c>
      <c r="K41" s="2">
        <f t="shared" si="11"/>
        <v>0.65082793521636884</v>
      </c>
      <c r="L41" s="4">
        <f t="shared" si="12"/>
        <v>4.8803104517419475E-2</v>
      </c>
    </row>
    <row r="42" spans="1:13" x14ac:dyDescent="0.25">
      <c r="A42" s="3" t="s">
        <v>111</v>
      </c>
      <c r="E42" s="17"/>
      <c r="H42" s="4">
        <f>((F26/G26)*(E26/SUM(E26:E27))+(F27/G27)*(E27/SUM(E26:E27)))-1</f>
        <v>3.4883802722460722E-2</v>
      </c>
      <c r="I42" s="4">
        <f>H42/(H26*(E26/SUM(E26:E27))+H27*(E27/SUM(E26:E27)))</f>
        <v>5.09104234684917E-2</v>
      </c>
      <c r="J42" s="2">
        <f t="shared" si="10"/>
        <v>-0.9874463682335618</v>
      </c>
      <c r="K42" s="2">
        <f t="shared" si="11"/>
        <v>0.50315823157975226</v>
      </c>
      <c r="L42" s="4">
        <f t="shared" si="12"/>
        <v>3.7729916673633596E-2</v>
      </c>
    </row>
    <row r="43" spans="1:13" x14ac:dyDescent="0.25">
      <c r="A43" s="3" t="s">
        <v>121</v>
      </c>
      <c r="E43" s="17"/>
      <c r="H43" s="4">
        <f>F28/G28-1</f>
        <v>0.14263340629481447</v>
      </c>
      <c r="I43" s="5">
        <f>H43/H28</f>
        <v>0.19070510636930008</v>
      </c>
      <c r="J43" s="2">
        <f t="shared" si="10"/>
        <v>0.11814109720797109</v>
      </c>
      <c r="K43" s="2">
        <f t="shared" si="11"/>
        <v>1.1181410972079711</v>
      </c>
      <c r="L43" s="4">
        <f t="shared" si="12"/>
        <v>8.3845136140508827E-2</v>
      </c>
    </row>
    <row r="44" spans="1:13" x14ac:dyDescent="0.25">
      <c r="A44" s="3" t="s">
        <v>117</v>
      </c>
      <c r="E44" s="17"/>
      <c r="H44" s="4">
        <f>((F29/G29)*(E29/SUM(E29:E31))+(F30/G30)*(E30/SUM(E29:E31))+(F31/G31)*(E31/SUM(E29:E31)))-1</f>
        <v>0.28218297142252902</v>
      </c>
      <c r="I44" s="5">
        <f>H44/(H29*(E29/SUM(E29:E31))+H30*(E30/SUM(E29:E31))+H31*(E31/SUM(E29:E31)))</f>
        <v>0.31051388430743337</v>
      </c>
      <c r="J44" s="2">
        <f t="shared" si="10"/>
        <v>1.0656670001227111</v>
      </c>
      <c r="K44" s="2">
        <f t="shared" si="11"/>
        <v>2.0656670001227111</v>
      </c>
      <c r="L44" s="4">
        <f t="shared" si="12"/>
        <v>0.15489648961005067</v>
      </c>
    </row>
    <row r="45" spans="1:13" x14ac:dyDescent="0.25">
      <c r="A45" s="3" t="s">
        <v>109</v>
      </c>
      <c r="E45" s="17"/>
      <c r="H45" s="4">
        <f>F32/G32-1</f>
        <v>0.29336639221556893</v>
      </c>
      <c r="I45" s="5">
        <f>H45/H32</f>
        <v>0.21621546781777576</v>
      </c>
      <c r="J45" s="2">
        <f t="shared" si="10"/>
        <v>0.31989366226317983</v>
      </c>
      <c r="K45" s="2">
        <f t="shared" si="11"/>
        <v>1.3198936622631798</v>
      </c>
      <c r="L45" s="4">
        <f t="shared" si="12"/>
        <v>9.8973791482835902E-2</v>
      </c>
    </row>
    <row r="46" spans="1:13" x14ac:dyDescent="0.25">
      <c r="A46" s="3" t="s">
        <v>113</v>
      </c>
      <c r="E46" s="17"/>
      <c r="H46" s="4">
        <f>F33/G33-1</f>
        <v>0.18946060668806286</v>
      </c>
      <c r="I46" s="5">
        <f>H46/H33</f>
        <v>0.29013626942622778</v>
      </c>
      <c r="J46" s="2">
        <f t="shared" si="10"/>
        <v>0.90450754025797919</v>
      </c>
      <c r="K46" s="2">
        <f t="shared" si="11"/>
        <v>1.9045075402579792</v>
      </c>
      <c r="L46" s="4">
        <f t="shared" si="12"/>
        <v>0.14281175639844595</v>
      </c>
    </row>
    <row r="47" spans="1:13" x14ac:dyDescent="0.25">
      <c r="A47" s="3" t="s">
        <v>123</v>
      </c>
      <c r="E47" s="17"/>
      <c r="H47" s="4">
        <f>F34/G34-1</f>
        <v>0.15557422969187673</v>
      </c>
      <c r="I47" s="5">
        <f t="shared" ref="I47:I48" si="13">H47/H34</f>
        <v>0.17867865594142515</v>
      </c>
      <c r="J47" s="2">
        <f t="shared" si="10"/>
        <v>2.3028088823761731E-2</v>
      </c>
      <c r="K47" s="2">
        <f t="shared" si="11"/>
        <v>1.0230280888237617</v>
      </c>
      <c r="L47" s="4">
        <f t="shared" si="12"/>
        <v>7.6712974415463042E-2</v>
      </c>
    </row>
    <row r="48" spans="1:13" x14ac:dyDescent="0.25">
      <c r="A48" s="3" t="s">
        <v>128</v>
      </c>
      <c r="E48" s="17"/>
      <c r="H48" s="4">
        <f>F35/G35-1</f>
        <v>0.32784904257296898</v>
      </c>
      <c r="I48" s="5">
        <f t="shared" si="13"/>
        <v>0.24637594376072883</v>
      </c>
      <c r="J48" s="2">
        <f t="shared" si="10"/>
        <v>0.55842236351528585</v>
      </c>
      <c r="K48" s="2">
        <f t="shared" si="11"/>
        <v>1.5584223635152858</v>
      </c>
      <c r="L48" s="4">
        <f t="shared" si="12"/>
        <v>0.1168601490094851</v>
      </c>
    </row>
    <row r="49" spans="5:5" x14ac:dyDescent="0.25">
      <c r="E49" s="17"/>
    </row>
    <row r="50" spans="5:5" x14ac:dyDescent="0.25">
      <c r="E50" s="17"/>
    </row>
    <row r="51" spans="5:5" x14ac:dyDescent="0.25">
      <c r="E51" s="17"/>
    </row>
    <row r="52" spans="5:5" x14ac:dyDescent="0.25">
      <c r="E52" s="17"/>
    </row>
    <row r="53" spans="5:5" x14ac:dyDescent="0.25">
      <c r="E53" s="17"/>
    </row>
    <row r="54" spans="5:5" x14ac:dyDescent="0.25">
      <c r="E54" s="17"/>
    </row>
    <row r="55" spans="5:5" x14ac:dyDescent="0.25">
      <c r="E55" s="17"/>
    </row>
    <row r="56" spans="5:5" x14ac:dyDescent="0.25">
      <c r="E56" s="17"/>
    </row>
  </sheetData>
  <conditionalFormatting sqref="L2:L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{6469D456-6F1B-41C8-A881-37B15F48022C}</x14:id>
        </ext>
      </extLst>
    </cfRule>
  </conditionalFormatting>
  <conditionalFormatting sqref="L38:L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{8A921249-08C3-4C8B-91A4-12DAA1D54C8D}</x14:id>
        </ext>
      </extLst>
    </cfRule>
  </conditionalFormatting>
  <conditionalFormatting sqref="M16:M3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{CDDF08FA-3F60-49D6-B894-D72F6FCCE637}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69D456-6F1B-41C8-A881-37B15F480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8A921249-08C3-4C8B-91A4-12DAA1D54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L38:L48</xm:sqref>
        </x14:conditionalFormatting>
        <x14:conditionalFormatting xmlns:xm="http://schemas.microsoft.com/office/excel/2006/main">
          <x14:cfRule type="dataBar" id="{CDDF08FA-3F60-49D6-B894-D72F6FCCE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261-539B-402D-85A1-BA6AB617386E}">
  <dimension ref="A1:I26"/>
  <sheetViews>
    <sheetView tabSelected="1" workbookViewId="0">
      <selection activeCell="K15" sqref="J15:K15"/>
    </sheetView>
  </sheetViews>
  <sheetFormatPr defaultRowHeight="15" x14ac:dyDescent="0.25"/>
  <cols>
    <col min="1" max="1" width="25.7109375" bestFit="1" customWidth="1"/>
    <col min="2" max="2" width="19.42578125" customWidth="1"/>
    <col min="3" max="3" width="22.140625" customWidth="1"/>
    <col min="4" max="4" width="23.140625" customWidth="1"/>
    <col min="5" max="5" width="18.42578125" customWidth="1"/>
    <col min="6" max="6" width="20.140625" customWidth="1"/>
    <col min="7" max="7" width="25.85546875" customWidth="1"/>
    <col min="8" max="8" width="25" bestFit="1" customWidth="1"/>
    <col min="9" max="9" width="26.28515625" bestFit="1" customWidth="1"/>
  </cols>
  <sheetData>
    <row r="1" spans="1:9" x14ac:dyDescent="0.25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211</v>
      </c>
      <c r="I1" s="6" t="s">
        <v>212</v>
      </c>
    </row>
    <row r="2" spans="1:9" x14ac:dyDescent="0.25">
      <c r="A2" s="3" t="s">
        <v>125</v>
      </c>
      <c r="B2" s="4" cm="1">
        <f t="array" ref="B2:B12">'Sector Calc'!L2:L12</f>
        <v>2.0716737707030333E-2</v>
      </c>
      <c r="C2" s="5" cm="1">
        <f t="array" ref="C2:C12">'Sector Calc'!L38:L48</f>
        <v>2.4193902977966388E-2</v>
      </c>
      <c r="D2" s="4">
        <f>0.6*C2+0.4*B2</f>
        <v>2.2803036869591967E-2</v>
      </c>
      <c r="E2" s="4">
        <v>3.5499999999999997E-2</v>
      </c>
      <c r="F2" s="5">
        <f>D2-E2</f>
        <v>-1.269696313040803E-2</v>
      </c>
      <c r="G2" s="4">
        <v>3.1099999999999999E-2</v>
      </c>
      <c r="H2" s="5">
        <f>G2-E2</f>
        <v>-4.3999999999999977E-3</v>
      </c>
      <c r="I2" s="5">
        <f>G2-D2</f>
        <v>8.2969631304080325E-3</v>
      </c>
    </row>
    <row r="3" spans="1:9" x14ac:dyDescent="0.25">
      <c r="A3" s="3" t="s">
        <v>126</v>
      </c>
      <c r="B3" s="4">
        <v>6.9156735181560472E-2</v>
      </c>
      <c r="C3" s="4">
        <v>4.6355309703079842E-2</v>
      </c>
      <c r="D3" s="4">
        <f t="shared" ref="D3:D12" si="0">0.6*C3+0.4*B3</f>
        <v>5.5475879894472092E-2</v>
      </c>
      <c r="E3" s="4">
        <v>7.0699999999999999E-2</v>
      </c>
      <c r="F3" s="5">
        <f t="shared" ref="F3:F12" si="1">D3-E3</f>
        <v>-1.5224120105527907E-2</v>
      </c>
      <c r="G3" s="4">
        <v>5.4699999999999999E-2</v>
      </c>
      <c r="H3" s="5">
        <f t="shared" ref="H3:H12" si="2">G3-E3</f>
        <v>-1.6E-2</v>
      </c>
      <c r="I3" s="5">
        <f t="shared" ref="I3:I12" si="3">G3-D3</f>
        <v>-7.7587989447209377E-4</v>
      </c>
    </row>
    <row r="4" spans="1:9" x14ac:dyDescent="0.25">
      <c r="A4" s="3" t="s">
        <v>118</v>
      </c>
      <c r="B4" s="4">
        <v>0.13313666898887874</v>
      </c>
      <c r="C4" s="4">
        <v>0.16881746907111114</v>
      </c>
      <c r="D4" s="4">
        <f t="shared" si="0"/>
        <v>0.1545451490382182</v>
      </c>
      <c r="E4" s="4">
        <v>0.19320000000000001</v>
      </c>
      <c r="F4" s="5">
        <f t="shared" si="1"/>
        <v>-3.8654850961781811E-2</v>
      </c>
      <c r="G4" s="4">
        <v>0.10220000000000001</v>
      </c>
      <c r="H4" s="5">
        <f t="shared" si="2"/>
        <v>-9.0999999999999998E-2</v>
      </c>
      <c r="I4" s="5">
        <f t="shared" si="3"/>
        <v>-5.2345149038218186E-2</v>
      </c>
    </row>
    <row r="5" spans="1:9" x14ac:dyDescent="0.25">
      <c r="A5" s="3" t="s">
        <v>115</v>
      </c>
      <c r="B5" s="4">
        <v>5.8386756602677212E-2</v>
      </c>
      <c r="C5" s="4">
        <v>4.8803104517419475E-2</v>
      </c>
      <c r="D5" s="4">
        <f t="shared" si="0"/>
        <v>5.2636565351522571E-2</v>
      </c>
      <c r="E5" s="4">
        <v>0.1046</v>
      </c>
      <c r="F5" s="5">
        <f t="shared" si="1"/>
        <v>-5.1963434648477427E-2</v>
      </c>
      <c r="G5" s="4">
        <v>0.12590000000000001</v>
      </c>
      <c r="H5" s="5">
        <f t="shared" si="2"/>
        <v>2.1300000000000013E-2</v>
      </c>
      <c r="I5" s="5">
        <f t="shared" si="3"/>
        <v>7.3263434648477441E-2</v>
      </c>
    </row>
    <row r="6" spans="1:9" x14ac:dyDescent="0.25">
      <c r="A6" s="3" t="s">
        <v>111</v>
      </c>
      <c r="B6" s="4">
        <v>0.10143230956345407</v>
      </c>
      <c r="C6" s="4">
        <v>3.7729916673633596E-2</v>
      </c>
      <c r="D6" s="4">
        <f t="shared" si="0"/>
        <v>6.3210873829561795E-2</v>
      </c>
      <c r="E6" s="4">
        <v>7.6499999999999999E-2</v>
      </c>
      <c r="F6" s="5">
        <f t="shared" si="1"/>
        <v>-1.3289126170438204E-2</v>
      </c>
      <c r="G6" s="4">
        <v>6.8400000000000002E-2</v>
      </c>
      <c r="H6" s="5">
        <f t="shared" si="2"/>
        <v>-8.0999999999999961E-3</v>
      </c>
      <c r="I6" s="5">
        <f t="shared" si="3"/>
        <v>5.1891261704382075E-3</v>
      </c>
    </row>
    <row r="7" spans="1:9" x14ac:dyDescent="0.25">
      <c r="A7" s="3" t="s">
        <v>121</v>
      </c>
      <c r="B7" s="4">
        <v>6.7459435818305338E-2</v>
      </c>
      <c r="C7" s="5">
        <v>8.3845136140508827E-2</v>
      </c>
      <c r="D7" s="4">
        <f t="shared" si="0"/>
        <v>7.729085601162744E-2</v>
      </c>
      <c r="E7" s="4">
        <v>0.1024</v>
      </c>
      <c r="F7" s="5">
        <f t="shared" si="1"/>
        <v>-2.5109143988372565E-2</v>
      </c>
      <c r="G7" s="4">
        <v>0.14130000000000001</v>
      </c>
      <c r="H7" s="5">
        <f t="shared" si="2"/>
        <v>3.8900000000000004E-2</v>
      </c>
      <c r="I7" s="5">
        <f t="shared" si="3"/>
        <v>6.4009143988372569E-2</v>
      </c>
    </row>
    <row r="8" spans="1:9" x14ac:dyDescent="0.25">
      <c r="A8" s="3" t="s">
        <v>117</v>
      </c>
      <c r="B8" s="4">
        <v>0.16391464955856958</v>
      </c>
      <c r="C8" s="18">
        <v>0.15489648961005067</v>
      </c>
      <c r="D8" s="4">
        <f t="shared" si="0"/>
        <v>0.15850375358945823</v>
      </c>
      <c r="E8" s="4">
        <v>0.1729</v>
      </c>
      <c r="F8" s="5">
        <f t="shared" si="1"/>
        <v>-1.4396246410541769E-2</v>
      </c>
      <c r="G8" s="4">
        <v>0.20469999999999999</v>
      </c>
      <c r="H8" s="5">
        <f t="shared" si="2"/>
        <v>3.1799999999999995E-2</v>
      </c>
      <c r="I8" s="5">
        <f t="shared" si="3"/>
        <v>4.6196246410541764E-2</v>
      </c>
    </row>
    <row r="9" spans="1:9" x14ac:dyDescent="0.25">
      <c r="A9" s="3" t="s">
        <v>109</v>
      </c>
      <c r="B9" s="4">
        <v>0.13495085601296952</v>
      </c>
      <c r="C9" s="5">
        <v>9.8973791482835902E-2</v>
      </c>
      <c r="D9" s="4">
        <f t="shared" si="0"/>
        <v>0.11336461729488935</v>
      </c>
      <c r="E9" s="4">
        <v>8.2699999999999996E-2</v>
      </c>
      <c r="F9" s="5">
        <f t="shared" si="1"/>
        <v>3.0664617294889354E-2</v>
      </c>
      <c r="G9" s="4">
        <v>0.18600000000000003</v>
      </c>
      <c r="H9" s="5">
        <f t="shared" si="2"/>
        <v>0.10330000000000003</v>
      </c>
      <c r="I9" s="5">
        <f t="shared" si="3"/>
        <v>7.2635382705110677E-2</v>
      </c>
    </row>
    <row r="10" spans="1:9" x14ac:dyDescent="0.25">
      <c r="A10" s="3" t="s">
        <v>113</v>
      </c>
      <c r="B10" s="4">
        <v>9.4525863492162354E-2</v>
      </c>
      <c r="C10" s="5">
        <v>0.14281175639844595</v>
      </c>
      <c r="D10" s="4">
        <f t="shared" si="0"/>
        <v>0.1234973992359325</v>
      </c>
      <c r="E10" s="4">
        <v>5.0500000000000003E-2</v>
      </c>
      <c r="F10" s="5">
        <f t="shared" si="1"/>
        <v>7.29973992359325E-2</v>
      </c>
      <c r="G10" s="4">
        <v>5.16E-2</v>
      </c>
      <c r="H10" s="5">
        <f t="shared" si="2"/>
        <v>1.0999999999999968E-3</v>
      </c>
      <c r="I10" s="5">
        <f t="shared" si="3"/>
        <v>-7.1897399235932496E-2</v>
      </c>
    </row>
    <row r="11" spans="1:9" x14ac:dyDescent="0.25">
      <c r="A11" s="3" t="s">
        <v>123</v>
      </c>
      <c r="B11" s="4">
        <v>8.6122428891094477E-2</v>
      </c>
      <c r="C11" s="5">
        <v>7.6712974415463042E-2</v>
      </c>
      <c r="D11" s="4">
        <f t="shared" si="0"/>
        <v>8.0476756205715622E-2</v>
      </c>
      <c r="E11" s="4">
        <v>5.7599999999999998E-2</v>
      </c>
      <c r="F11" s="5">
        <f t="shared" si="1"/>
        <v>2.2876756205715623E-2</v>
      </c>
      <c r="G11" s="4">
        <v>7.0099999999999996E-2</v>
      </c>
      <c r="H11" s="5">
        <f t="shared" si="2"/>
        <v>1.2499999999999997E-2</v>
      </c>
      <c r="I11" s="5">
        <f t="shared" si="3"/>
        <v>-1.0376756205715626E-2</v>
      </c>
    </row>
    <row r="12" spans="1:9" x14ac:dyDescent="0.25">
      <c r="A12" s="3" t="s">
        <v>128</v>
      </c>
      <c r="B12" s="4">
        <v>7.0197558183297926E-2</v>
      </c>
      <c r="C12" s="5">
        <v>0.1168601490094851</v>
      </c>
      <c r="D12" s="4">
        <f t="shared" si="0"/>
        <v>9.8195112679010224E-2</v>
      </c>
      <c r="E12" s="4">
        <v>5.3400000000000003E-2</v>
      </c>
      <c r="F12" s="5">
        <f t="shared" si="1"/>
        <v>4.4795112679010221E-2</v>
      </c>
      <c r="G12" s="4">
        <v>7.4000000000000003E-3</v>
      </c>
      <c r="H12" s="5">
        <f t="shared" si="2"/>
        <v>-4.5999999999999999E-2</v>
      </c>
      <c r="I12" s="5">
        <f t="shared" si="3"/>
        <v>-9.079511267901022E-2</v>
      </c>
    </row>
    <row r="14" spans="1:9" x14ac:dyDescent="0.25">
      <c r="G14" s="6"/>
    </row>
    <row r="15" spans="1:9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207</v>
      </c>
      <c r="F15" s="6" t="s">
        <v>208</v>
      </c>
      <c r="G15" s="6" t="s">
        <v>210</v>
      </c>
    </row>
    <row r="16" spans="1:9" x14ac:dyDescent="0.25">
      <c r="A16" s="3" t="s">
        <v>125</v>
      </c>
      <c r="B16" s="4" cm="1">
        <f t="array" ref="B16:B26">'Sector Calc'!L2:L12</f>
        <v>2.0716737707030333E-2</v>
      </c>
      <c r="C16" s="5" cm="1">
        <f t="array" ref="C16:C26">'Sector Calc'!L38:L48</f>
        <v>2.4193902977966388E-2</v>
      </c>
      <c r="D16" s="4">
        <f>0.6*C2+0.4*B2</f>
        <v>2.2803036869591967E-2</v>
      </c>
      <c r="E16" s="4">
        <v>3.5499999999999997E-2</v>
      </c>
      <c r="F16" s="5">
        <f>D16-E16</f>
        <v>-1.269696313040803E-2</v>
      </c>
      <c r="G16" s="4">
        <v>1.3100000000000001E-2</v>
      </c>
      <c r="H16" s="5">
        <f>G16-E16</f>
        <v>-2.2399999999999996E-2</v>
      </c>
      <c r="I16" s="4">
        <f>G16-D16</f>
        <v>-9.7030368695919661E-3</v>
      </c>
    </row>
    <row r="17" spans="1:9" x14ac:dyDescent="0.25">
      <c r="A17" s="3" t="s">
        <v>126</v>
      </c>
      <c r="B17" s="4">
        <v>6.9156735181560472E-2</v>
      </c>
      <c r="C17" s="4">
        <v>4.6355309703079842E-2</v>
      </c>
      <c r="D17" s="4">
        <f t="shared" ref="D17:D26" si="4">0.6*C3+0.4*B3</f>
        <v>5.5475879894472092E-2</v>
      </c>
      <c r="E17" s="4">
        <v>7.0699999999999999E-2</v>
      </c>
      <c r="F17" s="5">
        <f t="shared" ref="F17:F26" si="5">D17-E17</f>
        <v>-1.5224120105527907E-2</v>
      </c>
      <c r="G17" s="4">
        <v>4.3099999999999999E-2</v>
      </c>
      <c r="H17" s="5">
        <f t="shared" ref="H17:H26" si="6">G17-E17</f>
        <v>-2.76E-2</v>
      </c>
      <c r="I17" s="4">
        <f t="shared" ref="I17:I26" si="7">G17-D17</f>
        <v>-1.2375879894472093E-2</v>
      </c>
    </row>
    <row r="18" spans="1:9" x14ac:dyDescent="0.25">
      <c r="A18" s="3" t="s">
        <v>118</v>
      </c>
      <c r="B18" s="4">
        <v>0.13313666898887874</v>
      </c>
      <c r="C18" s="4">
        <v>0.16881746907111114</v>
      </c>
      <c r="D18" s="4">
        <f t="shared" si="4"/>
        <v>0.1545451490382182</v>
      </c>
      <c r="E18" s="4">
        <v>0.19320000000000001</v>
      </c>
      <c r="F18" s="5">
        <f t="shared" si="5"/>
        <v>-3.8654850961781811E-2</v>
      </c>
      <c r="G18" s="4">
        <v>0.16370000000000001</v>
      </c>
      <c r="H18" s="5">
        <f t="shared" si="6"/>
        <v>-2.9499999999999998E-2</v>
      </c>
      <c r="I18" s="4">
        <f t="shared" si="7"/>
        <v>9.154850961781813E-3</v>
      </c>
    </row>
    <row r="19" spans="1:9" x14ac:dyDescent="0.25">
      <c r="A19" s="3" t="s">
        <v>115</v>
      </c>
      <c r="B19" s="4">
        <v>5.8386756602677212E-2</v>
      </c>
      <c r="C19" s="4">
        <v>4.8803104517419475E-2</v>
      </c>
      <c r="D19" s="4">
        <f t="shared" si="4"/>
        <v>5.2636565351522571E-2</v>
      </c>
      <c r="E19" s="4">
        <v>0.1046</v>
      </c>
      <c r="F19" s="5">
        <f t="shared" si="5"/>
        <v>-5.1963434648477427E-2</v>
      </c>
      <c r="G19" s="4">
        <v>0.112</v>
      </c>
      <c r="H19" s="5">
        <f t="shared" si="6"/>
        <v>7.4000000000000038E-3</v>
      </c>
      <c r="I19" s="4">
        <f t="shared" si="7"/>
        <v>5.9363434648477431E-2</v>
      </c>
    </row>
    <row r="20" spans="1:9" x14ac:dyDescent="0.25">
      <c r="A20" s="3" t="s">
        <v>111</v>
      </c>
      <c r="B20" s="4">
        <v>0.10143230956345407</v>
      </c>
      <c r="C20" s="4">
        <v>3.7729916673633596E-2</v>
      </c>
      <c r="D20" s="4">
        <f t="shared" si="4"/>
        <v>6.3210873829561795E-2</v>
      </c>
      <c r="E20" s="4">
        <v>7.6499999999999999E-2</v>
      </c>
      <c r="F20" s="5">
        <f t="shared" si="5"/>
        <v>-1.3289126170438204E-2</v>
      </c>
      <c r="G20" s="4">
        <v>7.6200000000000004E-2</v>
      </c>
      <c r="H20" s="5">
        <f t="shared" si="6"/>
        <v>-2.9999999999999472E-4</v>
      </c>
      <c r="I20" s="4">
        <f t="shared" si="7"/>
        <v>1.2989126170438209E-2</v>
      </c>
    </row>
    <row r="21" spans="1:9" x14ac:dyDescent="0.25">
      <c r="A21" s="3" t="s">
        <v>121</v>
      </c>
      <c r="B21" s="4">
        <v>6.7459435818305338E-2</v>
      </c>
      <c r="C21" s="5">
        <v>8.3845136140508827E-2</v>
      </c>
      <c r="D21" s="4">
        <f t="shared" si="4"/>
        <v>7.729085601162744E-2</v>
      </c>
      <c r="E21" s="4">
        <v>0.1024</v>
      </c>
      <c r="F21" s="5">
        <f t="shared" si="5"/>
        <v>-2.5109143988372565E-2</v>
      </c>
      <c r="G21" s="4">
        <v>7.3400000000000007E-2</v>
      </c>
      <c r="H21" s="5">
        <f t="shared" si="6"/>
        <v>-2.8999999999999998E-2</v>
      </c>
      <c r="I21" s="4">
        <f t="shared" si="7"/>
        <v>-3.8908560116274332E-3</v>
      </c>
    </row>
    <row r="22" spans="1:9" x14ac:dyDescent="0.25">
      <c r="A22" s="3" t="s">
        <v>117</v>
      </c>
      <c r="B22" s="4">
        <v>0.16391464955856958</v>
      </c>
      <c r="C22" s="18">
        <v>0.15489648961005067</v>
      </c>
      <c r="D22" s="4">
        <f t="shared" si="4"/>
        <v>0.15850375358945823</v>
      </c>
      <c r="E22" s="4">
        <v>0.1729</v>
      </c>
      <c r="F22" s="5">
        <f t="shared" si="5"/>
        <v>-1.4396246410541769E-2</v>
      </c>
      <c r="G22" s="4">
        <v>0.192</v>
      </c>
      <c r="H22" s="5">
        <f t="shared" si="6"/>
        <v>1.9100000000000006E-2</v>
      </c>
      <c r="I22" s="4">
        <f t="shared" si="7"/>
        <v>3.3496246410541775E-2</v>
      </c>
    </row>
    <row r="23" spans="1:9" x14ac:dyDescent="0.25">
      <c r="A23" s="3" t="s">
        <v>109</v>
      </c>
      <c r="B23" s="4">
        <v>0.13495085601296952</v>
      </c>
      <c r="C23" s="5">
        <v>9.8973791482835902E-2</v>
      </c>
      <c r="D23" s="4">
        <f t="shared" si="4"/>
        <v>0.11336461729488935</v>
      </c>
      <c r="E23" s="4">
        <v>8.2699999999999996E-2</v>
      </c>
      <c r="F23" s="5">
        <f t="shared" si="5"/>
        <v>3.0664617294889354E-2</v>
      </c>
      <c r="G23" s="4">
        <v>0.1762</v>
      </c>
      <c r="H23" s="5">
        <f t="shared" si="6"/>
        <v>9.35E-2</v>
      </c>
      <c r="I23" s="4">
        <f t="shared" si="7"/>
        <v>6.2835382705110646E-2</v>
      </c>
    </row>
    <row r="24" spans="1:9" x14ac:dyDescent="0.25">
      <c r="A24" s="3" t="s">
        <v>113</v>
      </c>
      <c r="B24" s="4">
        <v>9.4525863492162354E-2</v>
      </c>
      <c r="C24" s="5">
        <v>0.14281175639844595</v>
      </c>
      <c r="D24" s="4">
        <f t="shared" si="4"/>
        <v>0.1234973992359325</v>
      </c>
      <c r="E24" s="4">
        <v>5.0500000000000003E-2</v>
      </c>
      <c r="F24" s="5">
        <f t="shared" si="5"/>
        <v>7.29973992359325E-2</v>
      </c>
      <c r="G24" s="4">
        <v>5.11E-2</v>
      </c>
      <c r="H24" s="5">
        <f t="shared" si="6"/>
        <v>5.9999999999999637E-4</v>
      </c>
      <c r="I24" s="4">
        <f t="shared" si="7"/>
        <v>-7.2397399235932497E-2</v>
      </c>
    </row>
    <row r="25" spans="1:9" x14ac:dyDescent="0.25">
      <c r="A25" s="3" t="s">
        <v>123</v>
      </c>
      <c r="B25" s="4">
        <v>8.6122428891094477E-2</v>
      </c>
      <c r="C25" s="5">
        <v>7.6712974415463042E-2</v>
      </c>
      <c r="D25" s="4">
        <f t="shared" si="4"/>
        <v>8.0476756205715622E-2</v>
      </c>
      <c r="E25" s="4">
        <v>5.7599999999999998E-2</v>
      </c>
      <c r="F25" s="5">
        <f t="shared" si="5"/>
        <v>2.2876756205715623E-2</v>
      </c>
      <c r="G25" s="4">
        <v>5.0599999999999999E-2</v>
      </c>
      <c r="H25" s="5">
        <f t="shared" si="6"/>
        <v>-6.9999999999999993E-3</v>
      </c>
      <c r="I25" s="4">
        <f t="shared" si="7"/>
        <v>-2.9876756205715622E-2</v>
      </c>
    </row>
    <row r="26" spans="1:9" x14ac:dyDescent="0.25">
      <c r="A26" s="3" t="s">
        <v>128</v>
      </c>
      <c r="B26" s="4">
        <v>7.0197558183297926E-2</v>
      </c>
      <c r="C26" s="5">
        <v>0.1168601490094851</v>
      </c>
      <c r="D26" s="4">
        <f t="shared" si="4"/>
        <v>9.8195112679010224E-2</v>
      </c>
      <c r="E26" s="4">
        <v>5.3400000000000003E-2</v>
      </c>
      <c r="F26" s="5">
        <f t="shared" si="5"/>
        <v>4.4795112679010221E-2</v>
      </c>
      <c r="G26" s="4">
        <v>0</v>
      </c>
      <c r="H26" s="5">
        <f t="shared" si="6"/>
        <v>-5.3400000000000003E-2</v>
      </c>
      <c r="I26" s="4">
        <f t="shared" si="7"/>
        <v>-9.8195112679010224E-2</v>
      </c>
    </row>
  </sheetData>
  <conditionalFormatting sqref="B2:B12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{A923BEB8-6C0D-469C-95AD-6D8C3D09522A}</x14:id>
        </ext>
      </extLst>
    </cfRule>
  </conditionalFormatting>
  <conditionalFormatting sqref="B16:B2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{F59E2D7D-26B7-4EA4-BC45-45B3EA696B8E}</x14:id>
        </ext>
      </extLst>
    </cfRule>
  </conditionalFormatting>
  <conditionalFormatting sqref="C2:C1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{E68B6C14-5101-45A9-9224-480C4C811C14}</x14:id>
        </ext>
      </extLst>
    </cfRule>
  </conditionalFormatting>
  <conditionalFormatting sqref="C16:C2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{D2E22838-F3B8-4A9E-8771-38DC5A4C74AA}</x14:id>
        </ext>
      </extLst>
    </cfRule>
  </conditionalFormatting>
  <conditionalFormatting sqref="D2:D1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{D013DC8C-C10E-48D7-A0B7-6149D9BBF7C7}</x14:id>
        </ext>
      </extLst>
    </cfRule>
  </conditionalFormatting>
  <conditionalFormatting sqref="D16:D2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{86327F32-44FE-4B36-93BE-AC8AB48E72AD}</x14:id>
        </ext>
      </extLst>
    </cfRule>
  </conditionalFormatting>
  <conditionalFormatting sqref="E2:E1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{6BF32C73-A33C-4E7F-ABAA-B8035B837192}</x14:id>
        </ext>
      </extLst>
    </cfRule>
  </conditionalFormatting>
  <conditionalFormatting sqref="E16:E2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{6A6E0B32-E78D-40D1-8112-108CED65A9E3}</x14:id>
        </ext>
      </extLst>
    </cfRule>
  </conditionalFormatting>
  <conditionalFormatting sqref="F2:F1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{E3DD5F58-E864-481C-9BDC-992F0C3B2301}</x14:id>
        </ext>
      </extLst>
    </cfRule>
  </conditionalFormatting>
  <conditionalFormatting sqref="F16:F2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{F6DC62FE-4596-4A13-8182-815E8BDF3E04}</x14:id>
        </ext>
      </extLst>
    </cfRule>
  </conditionalFormatting>
  <conditionalFormatting sqref="G2:G1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{D84D64CF-C9EE-42A1-8C18-DFA44B398362}</x14:id>
        </ext>
      </extLst>
    </cfRule>
  </conditionalFormatting>
  <conditionalFormatting sqref="G16:G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{7E5F9D29-0D36-474E-8ACA-E7B08372DD30}</x14:id>
        </ext>
      </extLst>
    </cfRule>
  </conditionalFormatting>
  <conditionalFormatting sqref="H2:H1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{EADF49D3-8DBB-416D-91F7-69AFA05E1825}</x14:id>
        </ext>
      </extLst>
    </cfRule>
  </conditionalFormatting>
  <conditionalFormatting sqref="H16:H2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{C47407E4-43C7-4C37-8EF2-21EB1248BFF9}</x14:id>
        </ext>
      </extLst>
    </cfRule>
  </conditionalFormatting>
  <conditionalFormatting sqref="I2:I1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{6186E6AD-D3F8-44B5-A0A2-222FEABFB05D}</x14:id>
        </ext>
      </extLst>
    </cfRule>
  </conditionalFormatting>
  <conditionalFormatting sqref="I16:I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{7256C06A-9B91-448D-B38E-DF408593AC9F}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23BEB8-6C0D-469C-95AD-6D8C3D095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F59E2D7D-26B7-4EA4-BC45-45B3EA696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B16:B26</xm:sqref>
        </x14:conditionalFormatting>
        <x14:conditionalFormatting xmlns:xm="http://schemas.microsoft.com/office/excel/2006/main">
          <x14:cfRule type="dataBar" id="{E68B6C14-5101-45A9-9224-480C4C811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D2E22838-F3B8-4A9E-8771-38DC5A4C74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C16:C26</xm:sqref>
        </x14:conditionalFormatting>
        <x14:conditionalFormatting xmlns:xm="http://schemas.microsoft.com/office/excel/2006/main">
          <x14:cfRule type="dataBar" id="{D013DC8C-C10E-48D7-A0B7-6149D9BBF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86327F32-44FE-4B36-93BE-AC8AB48E7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D16:D26</xm:sqref>
        </x14:conditionalFormatting>
        <x14:conditionalFormatting xmlns:xm="http://schemas.microsoft.com/office/excel/2006/main">
          <x14:cfRule type="dataBar" id="{6BF32C73-A33C-4E7F-ABAA-B8035B837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6A6E0B32-E78D-40D1-8112-108CED65A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E16:E26</xm:sqref>
        </x14:conditionalFormatting>
        <x14:conditionalFormatting xmlns:xm="http://schemas.microsoft.com/office/excel/2006/main">
          <x14:cfRule type="dataBar" id="{E3DD5F58-E864-481C-9BDC-992F0C3B23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F6DC62FE-4596-4A13-8182-815E8BDF3E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F16:F26</xm:sqref>
        </x14:conditionalFormatting>
        <x14:conditionalFormatting xmlns:xm="http://schemas.microsoft.com/office/excel/2006/main">
          <x14:cfRule type="dataBar" id="{D84D64CF-C9EE-42A1-8C18-DFA44B3983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G2:G12</xm:sqref>
        </x14:conditionalFormatting>
        <x14:conditionalFormatting xmlns:xm="http://schemas.microsoft.com/office/excel/2006/main">
          <x14:cfRule type="dataBar" id="{7E5F9D29-0D36-474E-8ACA-E7B08372D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G16:G26</xm:sqref>
        </x14:conditionalFormatting>
        <x14:conditionalFormatting xmlns:xm="http://schemas.microsoft.com/office/excel/2006/main">
          <x14:cfRule type="dataBar" id="{EADF49D3-8DBB-416D-91F7-69AFA05E1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H2:H12</xm:sqref>
        </x14:conditionalFormatting>
        <x14:conditionalFormatting xmlns:xm="http://schemas.microsoft.com/office/excel/2006/main">
          <x14:cfRule type="dataBar" id="{C47407E4-43C7-4C37-8EF2-21EB1248B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H16:H26</xm:sqref>
        </x14:conditionalFormatting>
        <x14:conditionalFormatting xmlns:xm="http://schemas.microsoft.com/office/excel/2006/main">
          <x14:cfRule type="dataBar" id="{6186E6AD-D3F8-44B5-A0A2-222FEABFB0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7256C06A-9B91-448D-B38E-DF408593AC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I16:I26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A6D0-4F38-4168-85EC-F78A377EF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Sector Calc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2024-09-20T12:59:37Z</dcterms:created>
  <dcterms:modified xsi:type="dcterms:W3CDTF">2024-09-27T12:32:40Z</dcterms:modified>
</cp:coreProperties>
</file>