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定增投后管理\data\"/>
    </mc:Choice>
  </mc:AlternateContent>
  <bookViews>
    <workbookView xWindow="0" yWindow="465" windowWidth="21825" windowHeight="15315"/>
  </bookViews>
  <sheets>
    <sheet name="持仓" sheetId="1" r:id="rId1"/>
    <sheet name="互换策略收益" sheetId="2" r:id="rId2"/>
    <sheet name="财通（君享天成）定增" sheetId="3" r:id="rId3"/>
    <sheet name="2129" sheetId="4" r:id="rId4"/>
    <sheet name="2021年底核对" sheetId="5" r:id="rId5"/>
  </sheets>
  <externalReferences>
    <externalReference r:id="rId6"/>
    <externalReference r:id="rId7"/>
  </externalReferences>
  <definedNames>
    <definedName name="_xlnm._FilterDatabase" localSheetId="0" hidden="1">持仓!$A$1:$T$55</definedName>
  </definedNames>
  <calcPr calcId="152511"/>
</workbook>
</file>

<file path=xl/calcChain.xml><?xml version="1.0" encoding="utf-8"?>
<calcChain xmlns="http://schemas.openxmlformats.org/spreadsheetml/2006/main">
  <c r="U3" i="1" l="1"/>
  <c r="Q63" i="1"/>
  <c r="Q61" i="1"/>
  <c r="T3" i="1"/>
  <c r="H174" i="2" l="1"/>
  <c r="D51" i="4"/>
  <c r="E174" i="3"/>
  <c r="E173" i="3" l="1"/>
  <c r="H173" i="2"/>
  <c r="D55" i="1" l="1"/>
  <c r="D54" i="1"/>
  <c r="D53" i="1"/>
  <c r="J53" i="1"/>
  <c r="H54" i="1"/>
  <c r="H55" i="1"/>
  <c r="J55" i="1"/>
  <c r="H53" i="1"/>
  <c r="J54" i="1"/>
  <c r="I55" i="1" l="1"/>
  <c r="I54" i="1"/>
  <c r="I53" i="1"/>
  <c r="M55" i="1"/>
  <c r="L55" i="1"/>
  <c r="M54" i="1"/>
  <c r="L54" i="1"/>
  <c r="M53" i="1"/>
  <c r="L53" i="1"/>
  <c r="D50" i="4"/>
  <c r="H172" i="2" l="1"/>
  <c r="D172" i="2"/>
  <c r="E172" i="2" s="1"/>
  <c r="D49" i="4"/>
  <c r="H171" i="2" l="1"/>
  <c r="D171" i="2"/>
  <c r="E171" i="2" s="1"/>
  <c r="D48" i="4"/>
  <c r="H170" i="2" l="1"/>
  <c r="D170" i="2"/>
  <c r="E170" i="2" s="1"/>
  <c r="D45" i="4"/>
  <c r="D46" i="4"/>
  <c r="D47" i="4"/>
  <c r="D168" i="2"/>
  <c r="E168" i="2" s="1"/>
  <c r="H168" i="2"/>
  <c r="D169" i="2"/>
  <c r="E169" i="2" s="1"/>
  <c r="H169" i="2"/>
  <c r="H167" i="2" l="1"/>
  <c r="D167" i="2"/>
  <c r="D44" i="4"/>
  <c r="J63" i="1"/>
  <c r="M63" i="1" l="1"/>
  <c r="E167" i="2"/>
  <c r="H166" i="2"/>
  <c r="D166" i="2"/>
  <c r="E166" i="2" s="1"/>
  <c r="D43" i="4"/>
  <c r="H165" i="2" l="1"/>
  <c r="D165" i="2"/>
  <c r="D42" i="4"/>
  <c r="E165" i="2" l="1"/>
  <c r="H164" i="2"/>
  <c r="D164" i="2"/>
  <c r="E164" i="2" s="1"/>
  <c r="D41" i="4"/>
  <c r="H163" i="2" l="1"/>
  <c r="D163" i="2"/>
  <c r="D31" i="4"/>
  <c r="D32" i="4"/>
  <c r="D33" i="4"/>
  <c r="D34" i="4"/>
  <c r="D35" i="4"/>
  <c r="D36" i="4"/>
  <c r="D37" i="4"/>
  <c r="D38" i="4"/>
  <c r="D39" i="4"/>
  <c r="D40" i="4"/>
  <c r="D154" i="2"/>
  <c r="E154" i="2" s="1"/>
  <c r="H154" i="2"/>
  <c r="D155" i="2"/>
  <c r="H155" i="2"/>
  <c r="D156" i="2"/>
  <c r="E156" i="2" s="1"/>
  <c r="H156" i="2"/>
  <c r="D157" i="2"/>
  <c r="E157" i="2" s="1"/>
  <c r="H157" i="2"/>
  <c r="D158" i="2"/>
  <c r="E158" i="2" s="1"/>
  <c r="H158" i="2"/>
  <c r="D159" i="2"/>
  <c r="H159" i="2"/>
  <c r="D160" i="2"/>
  <c r="E160" i="2" s="1"/>
  <c r="H160" i="2"/>
  <c r="D161" i="2"/>
  <c r="E161" i="2" s="1"/>
  <c r="H161" i="2"/>
  <c r="D162" i="2"/>
  <c r="E162" i="2" s="1"/>
  <c r="H162" i="2"/>
  <c r="E163" i="2" l="1"/>
  <c r="E159" i="2"/>
  <c r="E155" i="2"/>
  <c r="H153" i="2"/>
  <c r="D153" i="2"/>
  <c r="E153" i="2" s="1"/>
  <c r="D152" i="2"/>
  <c r="E152" i="2" s="1"/>
  <c r="D30" i="4"/>
  <c r="H43" i="1"/>
  <c r="H45" i="1"/>
  <c r="H47" i="1"/>
  <c r="H39" i="1"/>
  <c r="H18" i="1"/>
  <c r="H35" i="1"/>
  <c r="H14" i="1"/>
  <c r="H13" i="1"/>
  <c r="H23" i="1"/>
  <c r="H2" i="1"/>
  <c r="H29" i="1"/>
  <c r="H41" i="1"/>
  <c r="H16" i="1"/>
  <c r="H19" i="1"/>
  <c r="H20" i="1"/>
  <c r="H12" i="1"/>
  <c r="H27" i="1"/>
  <c r="H46" i="1"/>
  <c r="H31" i="1"/>
  <c r="H15" i="1"/>
  <c r="H52" i="1"/>
  <c r="H4" i="1"/>
  <c r="H36" i="1"/>
  <c r="H33" i="1"/>
  <c r="H50" i="1"/>
  <c r="H3" i="1"/>
  <c r="H9" i="1"/>
  <c r="H8" i="1"/>
  <c r="H17" i="1"/>
  <c r="H7" i="1"/>
  <c r="H49" i="1"/>
  <c r="H25" i="1"/>
  <c r="H51" i="1"/>
  <c r="H34" i="1"/>
  <c r="H6" i="1"/>
  <c r="H37" i="1"/>
  <c r="H32" i="1"/>
  <c r="H5" i="1"/>
  <c r="H42" i="1"/>
  <c r="H40" i="1"/>
  <c r="H24" i="1"/>
  <c r="H21" i="1"/>
  <c r="H11" i="1"/>
  <c r="H28" i="1"/>
  <c r="H38" i="1"/>
  <c r="H48" i="1"/>
  <c r="H22" i="1"/>
  <c r="H26" i="1"/>
  <c r="H30" i="1"/>
  <c r="H10" i="1"/>
  <c r="H44" i="1"/>
  <c r="D52" i="1" l="1"/>
  <c r="I52" i="1" l="1"/>
  <c r="H152" i="2"/>
  <c r="D29" i="4"/>
  <c r="J52" i="1"/>
  <c r="I51" i="1" l="1"/>
  <c r="M52" i="1"/>
  <c r="L52" i="1"/>
  <c r="H151" i="2"/>
  <c r="D151" i="2"/>
  <c r="E151" i="2" s="1"/>
  <c r="D28" i="4"/>
  <c r="H150" i="2" l="1"/>
  <c r="D150" i="2"/>
  <c r="E150" i="2" s="1"/>
  <c r="D27" i="4"/>
  <c r="H149" i="2" l="1"/>
  <c r="D149" i="2"/>
  <c r="E149" i="2" s="1"/>
  <c r="D24" i="4"/>
  <c r="D25" i="4"/>
  <c r="D26" i="4"/>
  <c r="D147" i="2"/>
  <c r="E147" i="2" s="1"/>
  <c r="H147" i="2"/>
  <c r="D148" i="2"/>
  <c r="E148" i="2" s="1"/>
  <c r="H148" i="2"/>
  <c r="H146" i="2" l="1"/>
  <c r="D146" i="2"/>
  <c r="E146" i="2" s="1"/>
  <c r="D23" i="4"/>
  <c r="H145" i="2" l="1"/>
  <c r="D145" i="2"/>
  <c r="E145" i="2" s="1"/>
  <c r="D22" i="4"/>
  <c r="H144" i="2" l="1"/>
  <c r="D144" i="2"/>
  <c r="E144" i="2" s="1"/>
  <c r="D21" i="4"/>
  <c r="J51" i="1"/>
  <c r="L51" i="1" l="1"/>
  <c r="M51" i="1"/>
  <c r="D6" i="5"/>
  <c r="E6" i="5" s="1"/>
  <c r="C6" i="5"/>
  <c r="M4" i="5"/>
  <c r="J4" i="5"/>
  <c r="H4" i="5"/>
  <c r="D4" i="5"/>
  <c r="C4" i="5"/>
  <c r="E3" i="5"/>
  <c r="G3" i="5" s="1"/>
  <c r="K3" i="5" s="1"/>
  <c r="N3" i="5" s="1"/>
  <c r="E2" i="5"/>
  <c r="G2" i="5" s="1"/>
  <c r="D20" i="4"/>
  <c r="D19" i="4"/>
  <c r="D18" i="4"/>
  <c r="D17" i="4"/>
  <c r="D16" i="4"/>
  <c r="D15" i="4"/>
  <c r="D14" i="4"/>
  <c r="D13" i="4"/>
  <c r="D12" i="4"/>
  <c r="D11" i="4"/>
  <c r="D10" i="4"/>
  <c r="D9" i="4"/>
  <c r="E8" i="4"/>
  <c r="E7" i="4"/>
  <c r="E6" i="4"/>
  <c r="E5" i="4"/>
  <c r="E4" i="4"/>
  <c r="E3" i="4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E71" i="3"/>
  <c r="G71" i="3" s="1"/>
  <c r="G70" i="3"/>
  <c r="E69" i="3"/>
  <c r="G69" i="3" s="1"/>
  <c r="G68" i="3"/>
  <c r="G67" i="3"/>
  <c r="G66" i="3"/>
  <c r="G65" i="3"/>
  <c r="G64" i="3"/>
  <c r="G63" i="3"/>
  <c r="G62" i="3"/>
  <c r="G61" i="3"/>
  <c r="G60" i="3"/>
  <c r="G59" i="3"/>
  <c r="G58" i="3"/>
  <c r="F58" i="3" s="1"/>
  <c r="H143" i="2"/>
  <c r="D143" i="2"/>
  <c r="E143" i="2" s="1"/>
  <c r="H142" i="2"/>
  <c r="D142" i="2"/>
  <c r="H141" i="2"/>
  <c r="D141" i="2"/>
  <c r="E141" i="2" s="1"/>
  <c r="H140" i="2"/>
  <c r="D140" i="2"/>
  <c r="H139" i="2"/>
  <c r="D139" i="2"/>
  <c r="E139" i="2" s="1"/>
  <c r="H138" i="2"/>
  <c r="D138" i="2"/>
  <c r="H137" i="2"/>
  <c r="D137" i="2"/>
  <c r="E137" i="2" s="1"/>
  <c r="H136" i="2"/>
  <c r="D136" i="2"/>
  <c r="H135" i="2"/>
  <c r="D135" i="2"/>
  <c r="E135" i="2" s="1"/>
  <c r="H134" i="2"/>
  <c r="D134" i="2"/>
  <c r="H133" i="2"/>
  <c r="D133" i="2"/>
  <c r="E133" i="2" s="1"/>
  <c r="H132" i="2"/>
  <c r="D132" i="2"/>
  <c r="H131" i="2"/>
  <c r="D131" i="2"/>
  <c r="E131" i="2" s="1"/>
  <c r="H130" i="2"/>
  <c r="D130" i="2"/>
  <c r="E129" i="2"/>
  <c r="D128" i="2"/>
  <c r="E128" i="2" s="1"/>
  <c r="D127" i="2"/>
  <c r="E127" i="2" s="1"/>
  <c r="D126" i="2"/>
  <c r="E126" i="2" s="1"/>
  <c r="H125" i="2"/>
  <c r="D125" i="2"/>
  <c r="H124" i="2"/>
  <c r="D124" i="2"/>
  <c r="E124" i="2" s="1"/>
  <c r="H123" i="2"/>
  <c r="D123" i="2"/>
  <c r="H122" i="2"/>
  <c r="D122" i="2"/>
  <c r="E122" i="2" s="1"/>
  <c r="H121" i="2"/>
  <c r="D121" i="2"/>
  <c r="H120" i="2"/>
  <c r="D120" i="2"/>
  <c r="E120" i="2" s="1"/>
  <c r="H119" i="2"/>
  <c r="D119" i="2"/>
  <c r="H118" i="2"/>
  <c r="D118" i="2"/>
  <c r="E118" i="2" s="1"/>
  <c r="H117" i="2"/>
  <c r="D117" i="2"/>
  <c r="H116" i="2"/>
  <c r="D116" i="2"/>
  <c r="E116" i="2" s="1"/>
  <c r="H115" i="2"/>
  <c r="D115" i="2"/>
  <c r="H114" i="2"/>
  <c r="D114" i="2"/>
  <c r="E114" i="2" s="1"/>
  <c r="H113" i="2"/>
  <c r="D113" i="2"/>
  <c r="H112" i="2"/>
  <c r="D112" i="2"/>
  <c r="E112" i="2" s="1"/>
  <c r="H111" i="2"/>
  <c r="D111" i="2"/>
  <c r="H110" i="2"/>
  <c r="D110" i="2"/>
  <c r="E110" i="2" s="1"/>
  <c r="H109" i="2"/>
  <c r="D109" i="2"/>
  <c r="H108" i="2"/>
  <c r="D108" i="2"/>
  <c r="E108" i="2" s="1"/>
  <c r="H107" i="2"/>
  <c r="D107" i="2"/>
  <c r="H106" i="2"/>
  <c r="D106" i="2"/>
  <c r="E106" i="2" s="1"/>
  <c r="H105" i="2"/>
  <c r="D105" i="2"/>
  <c r="H104" i="2"/>
  <c r="D104" i="2"/>
  <c r="E104" i="2" s="1"/>
  <c r="H103" i="2"/>
  <c r="D103" i="2"/>
  <c r="H102" i="2"/>
  <c r="D102" i="2"/>
  <c r="E102" i="2" s="1"/>
  <c r="H101" i="2"/>
  <c r="D101" i="2"/>
  <c r="H100" i="2"/>
  <c r="D100" i="2"/>
  <c r="E100" i="2" s="1"/>
  <c r="B100" i="2"/>
  <c r="H99" i="2"/>
  <c r="D99" i="2"/>
  <c r="E99" i="2" s="1"/>
  <c r="H98" i="2"/>
  <c r="D98" i="2"/>
  <c r="H97" i="2"/>
  <c r="D97" i="2"/>
  <c r="E97" i="2" s="1"/>
  <c r="H96" i="2"/>
  <c r="D96" i="2"/>
  <c r="H95" i="2"/>
  <c r="D95" i="2"/>
  <c r="E95" i="2" s="1"/>
  <c r="H94" i="2"/>
  <c r="D94" i="2"/>
  <c r="H93" i="2"/>
  <c r="D93" i="2"/>
  <c r="E93" i="2" s="1"/>
  <c r="H92" i="2"/>
  <c r="D92" i="2"/>
  <c r="H91" i="2"/>
  <c r="D91" i="2"/>
  <c r="E91" i="2" s="1"/>
  <c r="H90" i="2"/>
  <c r="D90" i="2"/>
  <c r="H89" i="2"/>
  <c r="D89" i="2"/>
  <c r="E89" i="2" s="1"/>
  <c r="H88" i="2"/>
  <c r="D88" i="2"/>
  <c r="H87" i="2"/>
  <c r="D87" i="2"/>
  <c r="E87" i="2" s="1"/>
  <c r="H86" i="2"/>
  <c r="D86" i="2"/>
  <c r="H85" i="2"/>
  <c r="D85" i="2"/>
  <c r="E85" i="2" s="1"/>
  <c r="H84" i="2"/>
  <c r="D84" i="2"/>
  <c r="H83" i="2"/>
  <c r="D83" i="2"/>
  <c r="E83" i="2" s="1"/>
  <c r="H82" i="2"/>
  <c r="D82" i="2"/>
  <c r="H81" i="2"/>
  <c r="D81" i="2"/>
  <c r="H80" i="2"/>
  <c r="D80" i="2"/>
  <c r="E80" i="2" s="1"/>
  <c r="H79" i="2"/>
  <c r="D79" i="2"/>
  <c r="H78" i="2"/>
  <c r="D78" i="2"/>
  <c r="E78" i="2" s="1"/>
  <c r="H77" i="2"/>
  <c r="D77" i="2"/>
  <c r="H76" i="2"/>
  <c r="D76" i="2"/>
  <c r="E76" i="2" s="1"/>
  <c r="H75" i="2"/>
  <c r="D75" i="2"/>
  <c r="H74" i="2"/>
  <c r="D74" i="2"/>
  <c r="E74" i="2" s="1"/>
  <c r="H73" i="2"/>
  <c r="D73" i="2"/>
  <c r="H72" i="2"/>
  <c r="D72" i="2"/>
  <c r="E72" i="2" s="1"/>
  <c r="H71" i="2"/>
  <c r="D71" i="2"/>
  <c r="H70" i="2"/>
  <c r="D70" i="2"/>
  <c r="E70" i="2" s="1"/>
  <c r="H69" i="2"/>
  <c r="D69" i="2"/>
  <c r="H68" i="2"/>
  <c r="D68" i="2"/>
  <c r="E68" i="2" s="1"/>
  <c r="H67" i="2"/>
  <c r="D67" i="2"/>
  <c r="H66" i="2"/>
  <c r="D66" i="2"/>
  <c r="E66" i="2" s="1"/>
  <c r="E65" i="2"/>
  <c r="H64" i="2"/>
  <c r="D64" i="2"/>
  <c r="E64" i="2" s="1"/>
  <c r="H63" i="2"/>
  <c r="D63" i="2"/>
  <c r="H62" i="2"/>
  <c r="D62" i="2"/>
  <c r="E62" i="2" s="1"/>
  <c r="H61" i="2"/>
  <c r="D61" i="2"/>
  <c r="H60" i="2"/>
  <c r="D60" i="2"/>
  <c r="E60" i="2" s="1"/>
  <c r="H59" i="2"/>
  <c r="D59" i="2"/>
  <c r="H58" i="2"/>
  <c r="D58" i="2"/>
  <c r="E58" i="2" s="1"/>
  <c r="H57" i="2"/>
  <c r="D57" i="2"/>
  <c r="H56" i="2"/>
  <c r="D56" i="2"/>
  <c r="E56" i="2" s="1"/>
  <c r="H55" i="2"/>
  <c r="D55" i="2"/>
  <c r="H54" i="2"/>
  <c r="D54" i="2"/>
  <c r="E54" i="2" s="1"/>
  <c r="H53" i="2"/>
  <c r="D53" i="2"/>
  <c r="H52" i="2"/>
  <c r="D52" i="2"/>
  <c r="E52" i="2" s="1"/>
  <c r="H51" i="2"/>
  <c r="D51" i="2"/>
  <c r="H50" i="2"/>
  <c r="D50" i="2"/>
  <c r="E50" i="2" s="1"/>
  <c r="H49" i="2"/>
  <c r="D49" i="2"/>
  <c r="H48" i="2"/>
  <c r="D48" i="2"/>
  <c r="E48" i="2" s="1"/>
  <c r="H47" i="2"/>
  <c r="D47" i="2"/>
  <c r="H46" i="2"/>
  <c r="D46" i="2"/>
  <c r="E46" i="2" s="1"/>
  <c r="H45" i="2"/>
  <c r="D45" i="2"/>
  <c r="H44" i="2"/>
  <c r="D44" i="2"/>
  <c r="E44" i="2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5" i="2"/>
  <c r="C6" i="2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F33" i="1"/>
  <c r="D32" i="1"/>
  <c r="D31" i="1"/>
  <c r="D30" i="1"/>
  <c r="D29" i="1"/>
  <c r="D24" i="1"/>
  <c r="D23" i="1"/>
  <c r="F6" i="1"/>
  <c r="F5" i="1"/>
  <c r="F4" i="1"/>
  <c r="F3" i="1"/>
  <c r="F2" i="1"/>
  <c r="C174" i="2" s="1"/>
  <c r="J31" i="1"/>
  <c r="J42" i="1"/>
  <c r="J5" i="1"/>
  <c r="J34" i="1"/>
  <c r="J47" i="1"/>
  <c r="J24" i="1"/>
  <c r="J44" i="1"/>
  <c r="J18" i="1"/>
  <c r="J23" i="1"/>
  <c r="J4" i="1"/>
  <c r="J46" i="1"/>
  <c r="J33" i="1"/>
  <c r="J48" i="1"/>
  <c r="J62" i="1"/>
  <c r="J21" i="1"/>
  <c r="J7" i="1"/>
  <c r="J8" i="1"/>
  <c r="J26" i="1"/>
  <c r="J3" i="1"/>
  <c r="J35" i="1"/>
  <c r="J43" i="1"/>
  <c r="J38" i="1"/>
  <c r="J20" i="1"/>
  <c r="J22" i="1"/>
  <c r="J32" i="1"/>
  <c r="J10" i="1"/>
  <c r="J11" i="1"/>
  <c r="J9" i="1"/>
  <c r="J27" i="1"/>
  <c r="J25" i="1"/>
  <c r="J6" i="1"/>
  <c r="J36" i="1"/>
  <c r="J14" i="1"/>
  <c r="J37" i="1"/>
  <c r="J61" i="1"/>
  <c r="J40" i="1"/>
  <c r="J30" i="1"/>
  <c r="J13" i="1"/>
  <c r="J17" i="1"/>
  <c r="J16" i="1"/>
  <c r="J29" i="1"/>
  <c r="J15" i="1"/>
  <c r="J12" i="1"/>
  <c r="J41" i="1"/>
  <c r="J45" i="1"/>
  <c r="J28" i="1"/>
  <c r="J19" i="1"/>
  <c r="J50" i="1"/>
  <c r="J49" i="1"/>
  <c r="J2" i="1"/>
  <c r="J39" i="1"/>
  <c r="M2" i="1" l="1"/>
  <c r="G171" i="3"/>
  <c r="G172" i="3"/>
  <c r="G169" i="3"/>
  <c r="G170" i="3"/>
  <c r="G168" i="3"/>
  <c r="G166" i="3"/>
  <c r="G167" i="3"/>
  <c r="G164" i="3"/>
  <c r="G165" i="3"/>
  <c r="G154" i="3"/>
  <c r="G156" i="3"/>
  <c r="G158" i="3"/>
  <c r="G160" i="3"/>
  <c r="G162" i="3"/>
  <c r="G163" i="3"/>
  <c r="G155" i="3"/>
  <c r="G157" i="3"/>
  <c r="G159" i="3"/>
  <c r="G161" i="3"/>
  <c r="G152" i="3"/>
  <c r="G153" i="3"/>
  <c r="G150" i="3"/>
  <c r="G151" i="3"/>
  <c r="G146" i="3"/>
  <c r="G147" i="3"/>
  <c r="G148" i="3"/>
  <c r="G149" i="3"/>
  <c r="G6" i="2"/>
  <c r="G144" i="3"/>
  <c r="G145" i="3"/>
  <c r="D6" i="4"/>
  <c r="D8" i="4"/>
  <c r="G4" i="5"/>
  <c r="D5" i="4"/>
  <c r="D7" i="4"/>
  <c r="F62" i="3"/>
  <c r="F64" i="3"/>
  <c r="F66" i="3"/>
  <c r="F74" i="3"/>
  <c r="D4" i="4"/>
  <c r="D3" i="4"/>
  <c r="G5" i="2"/>
  <c r="F68" i="3"/>
  <c r="F76" i="3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K2" i="5"/>
  <c r="N2" i="5" s="1"/>
  <c r="F59" i="3"/>
  <c r="F61" i="3"/>
  <c r="F63" i="3"/>
  <c r="F65" i="3"/>
  <c r="F67" i="3"/>
  <c r="F71" i="3"/>
  <c r="F73" i="3"/>
  <c r="F75" i="3"/>
  <c r="F77" i="3"/>
  <c r="F79" i="3"/>
  <c r="F81" i="3"/>
  <c r="F83" i="3"/>
  <c r="F85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9" i="3"/>
  <c r="F121" i="3"/>
  <c r="F123" i="3"/>
  <c r="I2" i="1"/>
  <c r="L2" i="1"/>
  <c r="I3" i="1"/>
  <c r="M3" i="1"/>
  <c r="L3" i="1"/>
  <c r="I4" i="1"/>
  <c r="M4" i="1"/>
  <c r="L4" i="1"/>
  <c r="I5" i="1"/>
  <c r="M5" i="1"/>
  <c r="L5" i="1"/>
  <c r="I6" i="1"/>
  <c r="L6" i="1"/>
  <c r="M6" i="1"/>
  <c r="I8" i="1"/>
  <c r="L8" i="1"/>
  <c r="M8" i="1"/>
  <c r="I10" i="1"/>
  <c r="L10" i="1"/>
  <c r="M10" i="1"/>
  <c r="I12" i="1"/>
  <c r="L12" i="1"/>
  <c r="M12" i="1"/>
  <c r="I14" i="1"/>
  <c r="L14" i="1"/>
  <c r="M14" i="1"/>
  <c r="I17" i="1"/>
  <c r="L17" i="1"/>
  <c r="M17" i="1"/>
  <c r="I19" i="1"/>
  <c r="L19" i="1"/>
  <c r="M19" i="1"/>
  <c r="I21" i="1"/>
  <c r="L21" i="1"/>
  <c r="M21" i="1"/>
  <c r="I25" i="1"/>
  <c r="L25" i="1"/>
  <c r="M25" i="1"/>
  <c r="I27" i="1"/>
  <c r="L27" i="1"/>
  <c r="M27" i="1"/>
  <c r="M61" i="1"/>
  <c r="I7" i="1"/>
  <c r="M7" i="1"/>
  <c r="L7" i="1"/>
  <c r="I9" i="1"/>
  <c r="M9" i="1"/>
  <c r="L9" i="1"/>
  <c r="I11" i="1"/>
  <c r="M11" i="1"/>
  <c r="L11" i="1"/>
  <c r="I13" i="1"/>
  <c r="M13" i="1"/>
  <c r="L13" i="1"/>
  <c r="I15" i="1"/>
  <c r="M15" i="1"/>
  <c r="L15" i="1"/>
  <c r="I16" i="1"/>
  <c r="M16" i="1"/>
  <c r="L16" i="1"/>
  <c r="I18" i="1"/>
  <c r="M18" i="1"/>
  <c r="L18" i="1"/>
  <c r="I20" i="1"/>
  <c r="M20" i="1"/>
  <c r="L20" i="1"/>
  <c r="I22" i="1"/>
  <c r="M22" i="1"/>
  <c r="L22" i="1"/>
  <c r="I23" i="1"/>
  <c r="M23" i="1"/>
  <c r="L23" i="1"/>
  <c r="I24" i="1"/>
  <c r="M24" i="1"/>
  <c r="L24" i="1"/>
  <c r="I26" i="1"/>
  <c r="M26" i="1"/>
  <c r="L26" i="1"/>
  <c r="I28" i="1"/>
  <c r="M28" i="1"/>
  <c r="L28" i="1"/>
  <c r="I29" i="1"/>
  <c r="M29" i="1"/>
  <c r="L29" i="1"/>
  <c r="I30" i="1"/>
  <c r="M30" i="1"/>
  <c r="L30" i="1"/>
  <c r="I31" i="1"/>
  <c r="M31" i="1"/>
  <c r="L31" i="1"/>
  <c r="I32" i="1"/>
  <c r="M32" i="1"/>
  <c r="L32" i="1"/>
  <c r="I33" i="1"/>
  <c r="M33" i="1"/>
  <c r="L33" i="1"/>
  <c r="I34" i="1"/>
  <c r="M34" i="1"/>
  <c r="L34" i="1"/>
  <c r="I35" i="1"/>
  <c r="M35" i="1"/>
  <c r="L35" i="1"/>
  <c r="I36" i="1"/>
  <c r="M36" i="1"/>
  <c r="L36" i="1"/>
  <c r="I37" i="1"/>
  <c r="M37" i="1"/>
  <c r="L37" i="1"/>
  <c r="I38" i="1"/>
  <c r="M38" i="1"/>
  <c r="L38" i="1"/>
  <c r="I39" i="1"/>
  <c r="M39" i="1"/>
  <c r="L39" i="1"/>
  <c r="I40" i="1"/>
  <c r="M40" i="1"/>
  <c r="L40" i="1"/>
  <c r="I41" i="1"/>
  <c r="M41" i="1"/>
  <c r="L41" i="1"/>
  <c r="I42" i="1"/>
  <c r="M42" i="1"/>
  <c r="L42" i="1"/>
  <c r="I43" i="1"/>
  <c r="M43" i="1"/>
  <c r="L43" i="1"/>
  <c r="I44" i="1"/>
  <c r="M44" i="1"/>
  <c r="L44" i="1"/>
  <c r="I45" i="1"/>
  <c r="M45" i="1"/>
  <c r="L45" i="1"/>
  <c r="I46" i="1"/>
  <c r="M46" i="1"/>
  <c r="L46" i="1"/>
  <c r="I47" i="1"/>
  <c r="M47" i="1"/>
  <c r="L47" i="1"/>
  <c r="I48" i="1"/>
  <c r="M48" i="1"/>
  <c r="L48" i="1"/>
  <c r="I49" i="1"/>
  <c r="M49" i="1"/>
  <c r="L49" i="1"/>
  <c r="I50" i="1"/>
  <c r="M50" i="1"/>
  <c r="L50" i="1"/>
  <c r="M62" i="1"/>
  <c r="H6" i="2"/>
  <c r="C7" i="2"/>
  <c r="E45" i="2"/>
  <c r="E47" i="2"/>
  <c r="E49" i="2"/>
  <c r="E51" i="2"/>
  <c r="E53" i="2"/>
  <c r="E55" i="2"/>
  <c r="E57" i="2"/>
  <c r="E59" i="2"/>
  <c r="E61" i="2"/>
  <c r="E63" i="2"/>
  <c r="E67" i="2"/>
  <c r="E69" i="2"/>
  <c r="E71" i="2"/>
  <c r="E73" i="2"/>
  <c r="E75" i="2"/>
  <c r="E77" i="2"/>
  <c r="E79" i="2"/>
  <c r="E81" i="2"/>
  <c r="E82" i="2"/>
  <c r="E84" i="2"/>
  <c r="E86" i="2"/>
  <c r="E88" i="2"/>
  <c r="E90" i="2"/>
  <c r="E92" i="2"/>
  <c r="E94" i="2"/>
  <c r="E96" i="2"/>
  <c r="E98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30" i="2"/>
  <c r="E132" i="2"/>
  <c r="E134" i="2"/>
  <c r="E136" i="2"/>
  <c r="E138" i="2"/>
  <c r="E142" i="2"/>
  <c r="F70" i="3"/>
  <c r="F69" i="3"/>
  <c r="E140" i="2"/>
  <c r="F60" i="3"/>
  <c r="F72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6" i="3"/>
  <c r="F125" i="3"/>
  <c r="K5" i="5"/>
  <c r="F78" i="3"/>
  <c r="F80" i="3"/>
  <c r="F82" i="3"/>
  <c r="F84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8" i="3"/>
  <c r="F120" i="3"/>
  <c r="F122" i="3"/>
  <c r="F124" i="3"/>
  <c r="G127" i="3"/>
  <c r="E4" i="5"/>
  <c r="G6" i="5"/>
  <c r="K6" i="5" s="1"/>
  <c r="K6" i="2" l="1"/>
  <c r="F171" i="3"/>
  <c r="F172" i="3"/>
  <c r="F166" i="3"/>
  <c r="F168" i="3"/>
  <c r="F170" i="3"/>
  <c r="F167" i="3"/>
  <c r="F169" i="3"/>
  <c r="F165" i="3"/>
  <c r="F158" i="3"/>
  <c r="F155" i="3"/>
  <c r="F163" i="3"/>
  <c r="F161" i="3"/>
  <c r="F157" i="3"/>
  <c r="F160" i="3"/>
  <c r="F164" i="3"/>
  <c r="F153" i="3"/>
  <c r="F152" i="3"/>
  <c r="F156" i="3"/>
  <c r="F159" i="3"/>
  <c r="F162" i="3"/>
  <c r="F154" i="3"/>
  <c r="F146" i="3"/>
  <c r="F6" i="2"/>
  <c r="F150" i="3"/>
  <c r="F151" i="3"/>
  <c r="F148" i="3"/>
  <c r="F149" i="3"/>
  <c r="F147" i="3"/>
  <c r="F144" i="3"/>
  <c r="F145" i="3"/>
  <c r="F5" i="2"/>
  <c r="K5" i="2"/>
  <c r="L5" i="2" s="1"/>
  <c r="M8" i="5"/>
  <c r="K4" i="5"/>
  <c r="K8" i="5" s="1"/>
  <c r="F129" i="3"/>
  <c r="F131" i="3"/>
  <c r="F133" i="3"/>
  <c r="F135" i="3"/>
  <c r="F137" i="3"/>
  <c r="F139" i="3"/>
  <c r="F141" i="3"/>
  <c r="F143" i="3"/>
  <c r="L6" i="2"/>
  <c r="F130" i="3"/>
  <c r="F132" i="3"/>
  <c r="F134" i="3"/>
  <c r="F136" i="3"/>
  <c r="F138" i="3"/>
  <c r="F140" i="3"/>
  <c r="F142" i="3"/>
  <c r="G7" i="2"/>
  <c r="C8" i="2"/>
  <c r="H7" i="2"/>
  <c r="J6" i="2" l="1"/>
  <c r="J5" i="2"/>
  <c r="N8" i="5"/>
  <c r="K7" i="2"/>
  <c r="F7" i="2"/>
  <c r="G8" i="2"/>
  <c r="C9" i="2"/>
  <c r="H8" i="2"/>
  <c r="K8" i="2" l="1"/>
  <c r="F8" i="2"/>
  <c r="L7" i="2"/>
  <c r="J7" i="2"/>
  <c r="G9" i="2"/>
  <c r="C10" i="2"/>
  <c r="H9" i="2"/>
  <c r="K9" i="2" l="1"/>
  <c r="F9" i="2"/>
  <c r="L8" i="2"/>
  <c r="J8" i="2"/>
  <c r="G10" i="2"/>
  <c r="C11" i="2"/>
  <c r="H10" i="2"/>
  <c r="K10" i="2" l="1"/>
  <c r="F10" i="2"/>
  <c r="L9" i="2"/>
  <c r="J9" i="2"/>
  <c r="G11" i="2"/>
  <c r="C12" i="2"/>
  <c r="H11" i="2"/>
  <c r="K11" i="2" l="1"/>
  <c r="F11" i="2"/>
  <c r="C13" i="2"/>
  <c r="G12" i="2"/>
  <c r="L10" i="2"/>
  <c r="J10" i="2"/>
  <c r="C14" i="2" l="1"/>
  <c r="G13" i="2"/>
  <c r="L11" i="2"/>
  <c r="J11" i="2"/>
  <c r="K12" i="2"/>
  <c r="F12" i="2"/>
  <c r="L12" i="2" l="1"/>
  <c r="J12" i="2"/>
  <c r="C15" i="2"/>
  <c r="G14" i="2"/>
  <c r="F13" i="2"/>
  <c r="K13" i="2"/>
  <c r="L13" i="2" l="1"/>
  <c r="J13" i="2"/>
  <c r="K14" i="2"/>
  <c r="F14" i="2"/>
  <c r="C16" i="2"/>
  <c r="G15" i="2"/>
  <c r="F15" i="2" l="1"/>
  <c r="K15" i="2"/>
  <c r="C17" i="2"/>
  <c r="G16" i="2"/>
  <c r="L14" i="2"/>
  <c r="J14" i="2"/>
  <c r="K16" i="2" l="1"/>
  <c r="F16" i="2"/>
  <c r="L15" i="2"/>
  <c r="J15" i="2"/>
  <c r="C18" i="2"/>
  <c r="G17" i="2"/>
  <c r="F17" i="2" l="1"/>
  <c r="K17" i="2"/>
  <c r="C19" i="2"/>
  <c r="G18" i="2"/>
  <c r="L16" i="2"/>
  <c r="J16" i="2"/>
  <c r="K18" i="2" l="1"/>
  <c r="F18" i="2"/>
  <c r="L17" i="2"/>
  <c r="J17" i="2"/>
  <c r="C20" i="2"/>
  <c r="G19" i="2"/>
  <c r="F19" i="2" l="1"/>
  <c r="K19" i="2"/>
  <c r="C21" i="2"/>
  <c r="G20" i="2"/>
  <c r="L18" i="2"/>
  <c r="J18" i="2"/>
  <c r="K20" i="2" l="1"/>
  <c r="F20" i="2"/>
  <c r="L19" i="2"/>
  <c r="J19" i="2"/>
  <c r="C22" i="2"/>
  <c r="G21" i="2"/>
  <c r="F21" i="2" l="1"/>
  <c r="K21" i="2"/>
  <c r="C23" i="2"/>
  <c r="G22" i="2"/>
  <c r="L20" i="2"/>
  <c r="J20" i="2"/>
  <c r="K22" i="2" l="1"/>
  <c r="F22" i="2"/>
  <c r="L21" i="2"/>
  <c r="J21" i="2"/>
  <c r="C24" i="2"/>
  <c r="G23" i="2"/>
  <c r="F23" i="2" l="1"/>
  <c r="K23" i="2"/>
  <c r="C25" i="2"/>
  <c r="G24" i="2"/>
  <c r="L22" i="2"/>
  <c r="J22" i="2"/>
  <c r="K24" i="2" l="1"/>
  <c r="F24" i="2"/>
  <c r="L23" i="2"/>
  <c r="J23" i="2"/>
  <c r="C26" i="2"/>
  <c r="G25" i="2"/>
  <c r="F25" i="2" l="1"/>
  <c r="K25" i="2"/>
  <c r="C27" i="2"/>
  <c r="G26" i="2"/>
  <c r="L24" i="2"/>
  <c r="J24" i="2"/>
  <c r="K26" i="2" l="1"/>
  <c r="F26" i="2"/>
  <c r="L25" i="2"/>
  <c r="J25" i="2"/>
  <c r="C28" i="2"/>
  <c r="G27" i="2"/>
  <c r="F27" i="2" l="1"/>
  <c r="K27" i="2"/>
  <c r="C29" i="2"/>
  <c r="G28" i="2"/>
  <c r="L26" i="2"/>
  <c r="J26" i="2"/>
  <c r="K28" i="2" l="1"/>
  <c r="F28" i="2"/>
  <c r="L27" i="2"/>
  <c r="J27" i="2"/>
  <c r="C30" i="2"/>
  <c r="G29" i="2"/>
  <c r="F29" i="2" l="1"/>
  <c r="K29" i="2"/>
  <c r="C31" i="2"/>
  <c r="G30" i="2"/>
  <c r="L28" i="2"/>
  <c r="J28" i="2"/>
  <c r="K30" i="2" l="1"/>
  <c r="F30" i="2"/>
  <c r="L29" i="2"/>
  <c r="J29" i="2"/>
  <c r="C32" i="2"/>
  <c r="G31" i="2"/>
  <c r="K31" i="2" l="1"/>
  <c r="F31" i="2"/>
  <c r="C33" i="2"/>
  <c r="G32" i="2"/>
  <c r="L30" i="2"/>
  <c r="J30" i="2"/>
  <c r="K32" i="2" l="1"/>
  <c r="F32" i="2"/>
  <c r="C34" i="2"/>
  <c r="G33" i="2"/>
  <c r="L31" i="2"/>
  <c r="J31" i="2"/>
  <c r="F33" i="2" l="1"/>
  <c r="K33" i="2"/>
  <c r="C35" i="2"/>
  <c r="G34" i="2"/>
  <c r="J32" i="2"/>
  <c r="L32" i="2"/>
  <c r="K34" i="2" l="1"/>
  <c r="F34" i="2"/>
  <c r="L33" i="2"/>
  <c r="J33" i="2"/>
  <c r="C36" i="2"/>
  <c r="G35" i="2"/>
  <c r="F35" i="2" l="1"/>
  <c r="K35" i="2"/>
  <c r="C37" i="2"/>
  <c r="G36" i="2"/>
  <c r="J34" i="2"/>
  <c r="L34" i="2"/>
  <c r="K36" i="2" l="1"/>
  <c r="F36" i="2"/>
  <c r="L35" i="2"/>
  <c r="J35" i="2"/>
  <c r="C38" i="2"/>
  <c r="G37" i="2"/>
  <c r="F37" i="2" l="1"/>
  <c r="K37" i="2"/>
  <c r="C39" i="2"/>
  <c r="G38" i="2"/>
  <c r="J36" i="2"/>
  <c r="L36" i="2"/>
  <c r="K38" i="2" l="1"/>
  <c r="F38" i="2"/>
  <c r="L37" i="2"/>
  <c r="J37" i="2"/>
  <c r="C40" i="2"/>
  <c r="G39" i="2"/>
  <c r="F39" i="2" l="1"/>
  <c r="K39" i="2"/>
  <c r="C41" i="2"/>
  <c r="G40" i="2"/>
  <c r="J38" i="2"/>
  <c r="L38" i="2"/>
  <c r="L39" i="2" l="1"/>
  <c r="J39" i="2"/>
  <c r="K40" i="2"/>
  <c r="F40" i="2"/>
  <c r="C42" i="2"/>
  <c r="G41" i="2"/>
  <c r="K41" i="2" l="1"/>
  <c r="F41" i="2"/>
  <c r="C43" i="2"/>
  <c r="G42" i="2"/>
  <c r="L40" i="2"/>
  <c r="J40" i="2"/>
  <c r="F42" i="2" l="1"/>
  <c r="K42" i="2"/>
  <c r="C44" i="2"/>
  <c r="G43" i="2"/>
  <c r="L41" i="2"/>
  <c r="J41" i="2"/>
  <c r="L42" i="2" l="1"/>
  <c r="J42" i="2"/>
  <c r="K43" i="2"/>
  <c r="F43" i="2"/>
  <c r="G44" i="2"/>
  <c r="C45" i="2"/>
  <c r="C46" i="2" l="1"/>
  <c r="G45" i="2"/>
  <c r="K44" i="2"/>
  <c r="F44" i="2"/>
  <c r="L43" i="2"/>
  <c r="J43" i="2"/>
  <c r="K45" i="2" l="1"/>
  <c r="F45" i="2"/>
  <c r="L44" i="2"/>
  <c r="J44" i="2"/>
  <c r="G46" i="2"/>
  <c r="C47" i="2"/>
  <c r="C48" i="2" l="1"/>
  <c r="G47" i="2"/>
  <c r="K46" i="2"/>
  <c r="F46" i="2"/>
  <c r="L45" i="2"/>
  <c r="J45" i="2"/>
  <c r="K47" i="2" l="1"/>
  <c r="F47" i="2"/>
  <c r="L46" i="2"/>
  <c r="J46" i="2"/>
  <c r="G48" i="2"/>
  <c r="C49" i="2"/>
  <c r="C50" i="2" l="1"/>
  <c r="G49" i="2"/>
  <c r="K48" i="2"/>
  <c r="F48" i="2"/>
  <c r="L47" i="2"/>
  <c r="J47" i="2"/>
  <c r="K49" i="2" l="1"/>
  <c r="F49" i="2"/>
  <c r="L48" i="2"/>
  <c r="J48" i="2"/>
  <c r="G50" i="2"/>
  <c r="C51" i="2"/>
  <c r="C52" i="2" l="1"/>
  <c r="G51" i="2"/>
  <c r="K50" i="2"/>
  <c r="F50" i="2"/>
  <c r="L49" i="2"/>
  <c r="J49" i="2"/>
  <c r="K51" i="2" l="1"/>
  <c r="F51" i="2"/>
  <c r="L50" i="2"/>
  <c r="J50" i="2"/>
  <c r="G52" i="2"/>
  <c r="C53" i="2"/>
  <c r="C54" i="2" l="1"/>
  <c r="G53" i="2"/>
  <c r="K52" i="2"/>
  <c r="F52" i="2"/>
  <c r="L51" i="2"/>
  <c r="J51" i="2"/>
  <c r="L52" i="2" l="1"/>
  <c r="J52" i="2"/>
  <c r="G54" i="2"/>
  <c r="C55" i="2"/>
  <c r="K53" i="2"/>
  <c r="F53" i="2"/>
  <c r="L53" i="2" l="1"/>
  <c r="J53" i="2"/>
  <c r="K54" i="2"/>
  <c r="F54" i="2"/>
  <c r="C56" i="2"/>
  <c r="G55" i="2"/>
  <c r="G56" i="2" l="1"/>
  <c r="C57" i="2"/>
  <c r="L54" i="2"/>
  <c r="J54" i="2"/>
  <c r="K55" i="2"/>
  <c r="F55" i="2"/>
  <c r="L55" i="2" l="1"/>
  <c r="J55" i="2"/>
  <c r="K56" i="2"/>
  <c r="F56" i="2"/>
  <c r="C58" i="2"/>
  <c r="G57" i="2"/>
  <c r="G58" i="2" l="1"/>
  <c r="C59" i="2"/>
  <c r="L56" i="2"/>
  <c r="J56" i="2"/>
  <c r="K57" i="2"/>
  <c r="F57" i="2"/>
  <c r="L57" i="2" l="1"/>
  <c r="J57" i="2"/>
  <c r="C60" i="2"/>
  <c r="G59" i="2"/>
  <c r="K58" i="2"/>
  <c r="F58" i="2"/>
  <c r="L58" i="2" l="1"/>
  <c r="J58" i="2"/>
  <c r="G60" i="2"/>
  <c r="C61" i="2"/>
  <c r="K59" i="2"/>
  <c r="F59" i="2"/>
  <c r="L59" i="2" l="1"/>
  <c r="J59" i="2"/>
  <c r="K60" i="2"/>
  <c r="F60" i="2"/>
  <c r="C62" i="2"/>
  <c r="G61" i="2"/>
  <c r="G62" i="2" l="1"/>
  <c r="C63" i="2"/>
  <c r="L60" i="2"/>
  <c r="J60" i="2"/>
  <c r="K61" i="2"/>
  <c r="F61" i="2"/>
  <c r="C64" i="2" l="1"/>
  <c r="G63" i="2"/>
  <c r="L61" i="2"/>
  <c r="J61" i="2"/>
  <c r="K62" i="2"/>
  <c r="F62" i="2"/>
  <c r="K63" i="2" l="1"/>
  <c r="F63" i="2"/>
  <c r="L62" i="2"/>
  <c r="J62" i="2"/>
  <c r="G64" i="2"/>
  <c r="C65" i="2"/>
  <c r="C66" i="2" l="1"/>
  <c r="G65" i="2"/>
  <c r="K64" i="2"/>
  <c r="F64" i="2"/>
  <c r="L63" i="2"/>
  <c r="J63" i="2"/>
  <c r="K65" i="2" l="1"/>
  <c r="F65" i="2"/>
  <c r="L64" i="2"/>
  <c r="J64" i="2"/>
  <c r="G66" i="2"/>
  <c r="C67" i="2"/>
  <c r="C68" i="2" l="1"/>
  <c r="G67" i="2"/>
  <c r="K66" i="2"/>
  <c r="F66" i="2"/>
  <c r="L65" i="2"/>
  <c r="J65" i="2"/>
  <c r="K67" i="2" l="1"/>
  <c r="F67" i="2"/>
  <c r="L66" i="2"/>
  <c r="J66" i="2"/>
  <c r="G68" i="2"/>
  <c r="C69" i="2"/>
  <c r="C70" i="2" l="1"/>
  <c r="G69" i="2"/>
  <c r="K68" i="2"/>
  <c r="F68" i="2"/>
  <c r="L67" i="2"/>
  <c r="J67" i="2"/>
  <c r="K69" i="2" l="1"/>
  <c r="F69" i="2"/>
  <c r="L68" i="2"/>
  <c r="J68" i="2"/>
  <c r="G70" i="2"/>
  <c r="C71" i="2"/>
  <c r="C72" i="2" l="1"/>
  <c r="G71" i="2"/>
  <c r="K70" i="2"/>
  <c r="F70" i="2"/>
  <c r="L69" i="2"/>
  <c r="J69" i="2"/>
  <c r="K71" i="2" l="1"/>
  <c r="F71" i="2"/>
  <c r="L70" i="2"/>
  <c r="J70" i="2"/>
  <c r="G72" i="2"/>
  <c r="C73" i="2"/>
  <c r="C74" i="2" l="1"/>
  <c r="G73" i="2"/>
  <c r="K72" i="2"/>
  <c r="F72" i="2"/>
  <c r="L71" i="2"/>
  <c r="J71" i="2"/>
  <c r="K73" i="2" l="1"/>
  <c r="F73" i="2"/>
  <c r="L72" i="2"/>
  <c r="J72" i="2"/>
  <c r="G74" i="2"/>
  <c r="C75" i="2"/>
  <c r="C76" i="2" l="1"/>
  <c r="G75" i="2"/>
  <c r="K74" i="2"/>
  <c r="F74" i="2"/>
  <c r="L73" i="2"/>
  <c r="J73" i="2"/>
  <c r="K75" i="2" l="1"/>
  <c r="F75" i="2"/>
  <c r="L74" i="2"/>
  <c r="J74" i="2"/>
  <c r="G76" i="2"/>
  <c r="C77" i="2"/>
  <c r="C78" i="2" l="1"/>
  <c r="G77" i="2"/>
  <c r="K76" i="2"/>
  <c r="F76" i="2"/>
  <c r="L75" i="2"/>
  <c r="J75" i="2"/>
  <c r="K77" i="2" l="1"/>
  <c r="F77" i="2"/>
  <c r="L76" i="2"/>
  <c r="J76" i="2"/>
  <c r="G78" i="2"/>
  <c r="C79" i="2"/>
  <c r="C80" i="2" l="1"/>
  <c r="G79" i="2"/>
  <c r="K78" i="2"/>
  <c r="F78" i="2"/>
  <c r="L77" i="2"/>
  <c r="J77" i="2"/>
  <c r="K79" i="2" l="1"/>
  <c r="F79" i="2"/>
  <c r="L78" i="2"/>
  <c r="J78" i="2"/>
  <c r="G80" i="2"/>
  <c r="C81" i="2"/>
  <c r="C82" i="2" l="1"/>
  <c r="G81" i="2"/>
  <c r="K80" i="2"/>
  <c r="F80" i="2"/>
  <c r="L79" i="2"/>
  <c r="J79" i="2"/>
  <c r="K81" i="2" l="1"/>
  <c r="F81" i="2"/>
  <c r="L80" i="2"/>
  <c r="J80" i="2"/>
  <c r="C83" i="2"/>
  <c r="G82" i="2"/>
  <c r="K82" i="2" l="1"/>
  <c r="F82" i="2"/>
  <c r="C84" i="2"/>
  <c r="G83" i="2"/>
  <c r="L81" i="2"/>
  <c r="J81" i="2"/>
  <c r="K83" i="2" l="1"/>
  <c r="F83" i="2"/>
  <c r="C85" i="2"/>
  <c r="G84" i="2"/>
  <c r="L82" i="2"/>
  <c r="J82" i="2"/>
  <c r="K84" i="2" l="1"/>
  <c r="F84" i="2"/>
  <c r="C86" i="2"/>
  <c r="G85" i="2"/>
  <c r="L83" i="2"/>
  <c r="J83" i="2"/>
  <c r="K85" i="2" l="1"/>
  <c r="F85" i="2"/>
  <c r="C87" i="2"/>
  <c r="G86" i="2"/>
  <c r="L84" i="2"/>
  <c r="J84" i="2"/>
  <c r="K86" i="2" l="1"/>
  <c r="F86" i="2"/>
  <c r="C88" i="2"/>
  <c r="G87" i="2"/>
  <c r="L85" i="2"/>
  <c r="J85" i="2"/>
  <c r="K87" i="2" l="1"/>
  <c r="F87" i="2"/>
  <c r="C89" i="2"/>
  <c r="G88" i="2"/>
  <c r="L86" i="2"/>
  <c r="J86" i="2"/>
  <c r="K88" i="2" l="1"/>
  <c r="F88" i="2"/>
  <c r="C90" i="2"/>
  <c r="G89" i="2"/>
  <c r="L87" i="2"/>
  <c r="J87" i="2"/>
  <c r="K89" i="2" l="1"/>
  <c r="F89" i="2"/>
  <c r="C91" i="2"/>
  <c r="G90" i="2"/>
  <c r="L88" i="2"/>
  <c r="J88" i="2"/>
  <c r="K90" i="2" l="1"/>
  <c r="F90" i="2"/>
  <c r="C92" i="2"/>
  <c r="G91" i="2"/>
  <c r="L89" i="2"/>
  <c r="J89" i="2"/>
  <c r="K91" i="2" l="1"/>
  <c r="F91" i="2"/>
  <c r="C93" i="2"/>
  <c r="G92" i="2"/>
  <c r="L90" i="2"/>
  <c r="J90" i="2"/>
  <c r="K92" i="2" l="1"/>
  <c r="F92" i="2"/>
  <c r="C94" i="2"/>
  <c r="G93" i="2"/>
  <c r="J91" i="2"/>
  <c r="L91" i="2"/>
  <c r="K93" i="2" l="1"/>
  <c r="F93" i="2"/>
  <c r="C95" i="2"/>
  <c r="G94" i="2"/>
  <c r="L92" i="2"/>
  <c r="J92" i="2"/>
  <c r="K94" i="2" l="1"/>
  <c r="F94" i="2"/>
  <c r="G95" i="2"/>
  <c r="C96" i="2"/>
  <c r="L93" i="2"/>
  <c r="J93" i="2"/>
  <c r="C97" i="2" l="1"/>
  <c r="G96" i="2"/>
  <c r="K95" i="2"/>
  <c r="F95" i="2"/>
  <c r="L94" i="2"/>
  <c r="J94" i="2"/>
  <c r="K96" i="2" l="1"/>
  <c r="F96" i="2"/>
  <c r="L95" i="2"/>
  <c r="J95" i="2"/>
  <c r="G97" i="2"/>
  <c r="C98" i="2"/>
  <c r="C99" i="2" l="1"/>
  <c r="G98" i="2"/>
  <c r="K97" i="2"/>
  <c r="F97" i="2"/>
  <c r="L96" i="2"/>
  <c r="J96" i="2"/>
  <c r="K98" i="2" l="1"/>
  <c r="F98" i="2"/>
  <c r="L97" i="2"/>
  <c r="J97" i="2"/>
  <c r="C100" i="2"/>
  <c r="G99" i="2"/>
  <c r="K99" i="2" l="1"/>
  <c r="F99" i="2"/>
  <c r="G100" i="2"/>
  <c r="C101" i="2"/>
  <c r="L98" i="2"/>
  <c r="J98" i="2"/>
  <c r="C102" i="2" l="1"/>
  <c r="G101" i="2"/>
  <c r="K100" i="2"/>
  <c r="F100" i="2"/>
  <c r="L99" i="2"/>
  <c r="J99" i="2"/>
  <c r="K101" i="2" l="1"/>
  <c r="F101" i="2"/>
  <c r="L100" i="2"/>
  <c r="J100" i="2"/>
  <c r="G102" i="2"/>
  <c r="C103" i="2"/>
  <c r="C104" i="2" l="1"/>
  <c r="G103" i="2"/>
  <c r="K102" i="2"/>
  <c r="F102" i="2"/>
  <c r="L101" i="2"/>
  <c r="J101" i="2"/>
  <c r="K103" i="2" l="1"/>
  <c r="F103" i="2"/>
  <c r="L102" i="2"/>
  <c r="J102" i="2"/>
  <c r="G104" i="2"/>
  <c r="C105" i="2"/>
  <c r="C106" i="2" l="1"/>
  <c r="G105" i="2"/>
  <c r="K104" i="2"/>
  <c r="F104" i="2"/>
  <c r="L103" i="2"/>
  <c r="J103" i="2"/>
  <c r="K105" i="2" l="1"/>
  <c r="F105" i="2"/>
  <c r="L104" i="2"/>
  <c r="J104" i="2"/>
  <c r="G106" i="2"/>
  <c r="C107" i="2"/>
  <c r="C108" i="2" l="1"/>
  <c r="G107" i="2"/>
  <c r="K106" i="2"/>
  <c r="F106" i="2"/>
  <c r="L105" i="2"/>
  <c r="J105" i="2"/>
  <c r="K107" i="2" l="1"/>
  <c r="F107" i="2"/>
  <c r="L106" i="2"/>
  <c r="J106" i="2"/>
  <c r="G108" i="2"/>
  <c r="C109" i="2"/>
  <c r="C110" i="2" l="1"/>
  <c r="G109" i="2"/>
  <c r="K108" i="2"/>
  <c r="F108" i="2"/>
  <c r="L107" i="2"/>
  <c r="J107" i="2"/>
  <c r="K109" i="2" l="1"/>
  <c r="F109" i="2"/>
  <c r="L108" i="2"/>
  <c r="J108" i="2"/>
  <c r="G110" i="2"/>
  <c r="C111" i="2"/>
  <c r="C112" i="2" l="1"/>
  <c r="G111" i="2"/>
  <c r="K110" i="2"/>
  <c r="F110" i="2"/>
  <c r="L109" i="2"/>
  <c r="J109" i="2"/>
  <c r="K111" i="2" l="1"/>
  <c r="F111" i="2"/>
  <c r="L110" i="2"/>
  <c r="J110" i="2"/>
  <c r="G112" i="2"/>
  <c r="C113" i="2"/>
  <c r="C114" i="2" l="1"/>
  <c r="G113" i="2"/>
  <c r="K112" i="2"/>
  <c r="F112" i="2"/>
  <c r="L111" i="2"/>
  <c r="J111" i="2"/>
  <c r="K113" i="2" l="1"/>
  <c r="F113" i="2"/>
  <c r="L112" i="2"/>
  <c r="J112" i="2"/>
  <c r="G114" i="2"/>
  <c r="C115" i="2"/>
  <c r="C116" i="2" l="1"/>
  <c r="G115" i="2"/>
  <c r="K114" i="2"/>
  <c r="F114" i="2"/>
  <c r="L113" i="2"/>
  <c r="J113" i="2"/>
  <c r="K115" i="2" l="1"/>
  <c r="F115" i="2"/>
  <c r="L114" i="2"/>
  <c r="J114" i="2"/>
  <c r="G116" i="2"/>
  <c r="C117" i="2"/>
  <c r="C118" i="2" l="1"/>
  <c r="G117" i="2"/>
  <c r="K116" i="2"/>
  <c r="F116" i="2"/>
  <c r="L115" i="2"/>
  <c r="J115" i="2"/>
  <c r="K117" i="2" l="1"/>
  <c r="F117" i="2"/>
  <c r="L116" i="2"/>
  <c r="J116" i="2"/>
  <c r="G118" i="2"/>
  <c r="C119" i="2"/>
  <c r="C120" i="2" l="1"/>
  <c r="G119" i="2"/>
  <c r="K118" i="2"/>
  <c r="F118" i="2"/>
  <c r="L117" i="2"/>
  <c r="J117" i="2"/>
  <c r="K119" i="2" l="1"/>
  <c r="F119" i="2"/>
  <c r="L118" i="2"/>
  <c r="J118" i="2"/>
  <c r="G120" i="2"/>
  <c r="C121" i="2"/>
  <c r="C122" i="2" l="1"/>
  <c r="G121" i="2"/>
  <c r="K120" i="2"/>
  <c r="F120" i="2"/>
  <c r="L119" i="2"/>
  <c r="J119" i="2"/>
  <c r="K121" i="2" l="1"/>
  <c r="F121" i="2"/>
  <c r="L120" i="2"/>
  <c r="J120" i="2"/>
  <c r="G122" i="2"/>
  <c r="C123" i="2"/>
  <c r="C124" i="2" l="1"/>
  <c r="G123" i="2"/>
  <c r="K122" i="2"/>
  <c r="F122" i="2"/>
  <c r="L121" i="2"/>
  <c r="J121" i="2"/>
  <c r="K123" i="2" l="1"/>
  <c r="F123" i="2"/>
  <c r="L122" i="2"/>
  <c r="J122" i="2"/>
  <c r="G124" i="2"/>
  <c r="C125" i="2"/>
  <c r="C126" i="2" l="1"/>
  <c r="G125" i="2"/>
  <c r="K124" i="2"/>
  <c r="F124" i="2"/>
  <c r="L123" i="2"/>
  <c r="J123" i="2"/>
  <c r="K125" i="2" l="1"/>
  <c r="F125" i="2"/>
  <c r="L124" i="2"/>
  <c r="J124" i="2"/>
  <c r="C127" i="2"/>
  <c r="G126" i="2"/>
  <c r="K126" i="2" l="1"/>
  <c r="F126" i="2"/>
  <c r="C128" i="2"/>
  <c r="G127" i="2"/>
  <c r="L125" i="2"/>
  <c r="J125" i="2"/>
  <c r="K127" i="2" l="1"/>
  <c r="F127" i="2"/>
  <c r="C129" i="2"/>
  <c r="G128" i="2"/>
  <c r="L126" i="2"/>
  <c r="J126" i="2"/>
  <c r="K128" i="2" l="1"/>
  <c r="F128" i="2"/>
  <c r="C130" i="2"/>
  <c r="G129" i="2"/>
  <c r="L127" i="2"/>
  <c r="J127" i="2"/>
  <c r="F129" i="2" l="1"/>
  <c r="K129" i="2"/>
  <c r="C131" i="2"/>
  <c r="G130" i="2"/>
  <c r="L128" i="2"/>
  <c r="J128" i="2"/>
  <c r="K130" i="2" l="1"/>
  <c r="F130" i="2"/>
  <c r="L129" i="2"/>
  <c r="J129" i="2"/>
  <c r="G131" i="2"/>
  <c r="C132" i="2"/>
  <c r="C133" i="2" l="1"/>
  <c r="G132" i="2"/>
  <c r="K131" i="2"/>
  <c r="F131" i="2"/>
  <c r="L130" i="2"/>
  <c r="J130" i="2"/>
  <c r="K132" i="2" l="1"/>
  <c r="F132" i="2"/>
  <c r="L131" i="2"/>
  <c r="J131" i="2"/>
  <c r="G133" i="2"/>
  <c r="C134" i="2"/>
  <c r="C135" i="2" l="1"/>
  <c r="G134" i="2"/>
  <c r="K133" i="2"/>
  <c r="F133" i="2"/>
  <c r="L132" i="2"/>
  <c r="J132" i="2"/>
  <c r="K134" i="2" l="1"/>
  <c r="F134" i="2"/>
  <c r="L133" i="2"/>
  <c r="J133" i="2"/>
  <c r="G135" i="2"/>
  <c r="C136" i="2"/>
  <c r="C137" i="2" l="1"/>
  <c r="G136" i="2"/>
  <c r="K135" i="2"/>
  <c r="F135" i="2"/>
  <c r="L134" i="2"/>
  <c r="J134" i="2"/>
  <c r="F136" i="2" l="1"/>
  <c r="K136" i="2"/>
  <c r="L135" i="2"/>
  <c r="J135" i="2"/>
  <c r="C138" i="2"/>
  <c r="G137" i="2"/>
  <c r="K137" i="2" l="1"/>
  <c r="F137" i="2"/>
  <c r="L136" i="2"/>
  <c r="J136" i="2"/>
  <c r="C139" i="2"/>
  <c r="G138" i="2"/>
  <c r="K138" i="2" l="1"/>
  <c r="F138" i="2"/>
  <c r="C140" i="2"/>
  <c r="G139" i="2"/>
  <c r="L137" i="2"/>
  <c r="J137" i="2"/>
  <c r="K139" i="2" l="1"/>
  <c r="F139" i="2"/>
  <c r="C141" i="2"/>
  <c r="G140" i="2"/>
  <c r="L138" i="2"/>
  <c r="J138" i="2"/>
  <c r="K140" i="2" l="1"/>
  <c r="F140" i="2"/>
  <c r="C142" i="2"/>
  <c r="G141" i="2"/>
  <c r="J139" i="2"/>
  <c r="L139" i="2"/>
  <c r="K141" i="2" l="1"/>
  <c r="F141" i="2"/>
  <c r="C143" i="2"/>
  <c r="G142" i="2"/>
  <c r="L140" i="2"/>
  <c r="J140" i="2"/>
  <c r="G143" i="2" l="1"/>
  <c r="F143" i="2" s="1"/>
  <c r="C144" i="2"/>
  <c r="K142" i="2"/>
  <c r="F142" i="2"/>
  <c r="L141" i="2"/>
  <c r="J141" i="2"/>
  <c r="G144" i="2" l="1"/>
  <c r="F144" i="2" s="1"/>
  <c r="C145" i="2"/>
  <c r="K143" i="2"/>
  <c r="J143" i="2" s="1"/>
  <c r="L142" i="2"/>
  <c r="J142" i="2"/>
  <c r="G145" i="2" l="1"/>
  <c r="F145" i="2" s="1"/>
  <c r="C146" i="2"/>
  <c r="K144" i="2"/>
  <c r="L144" i="2" s="1"/>
  <c r="L143" i="2"/>
  <c r="G146" i="2" l="1"/>
  <c r="K146" i="2" s="1"/>
  <c r="C147" i="2"/>
  <c r="J144" i="2"/>
  <c r="K145" i="2"/>
  <c r="L145" i="2" s="1"/>
  <c r="F146" i="2"/>
  <c r="C148" i="2" l="1"/>
  <c r="G147" i="2"/>
  <c r="J145" i="2"/>
  <c r="L146" i="2"/>
  <c r="J146" i="2"/>
  <c r="C149" i="2" l="1"/>
  <c r="G148" i="2"/>
  <c r="F147" i="2"/>
  <c r="K147" i="2"/>
  <c r="G149" i="2" l="1"/>
  <c r="F149" i="2" s="1"/>
  <c r="C150" i="2"/>
  <c r="J147" i="2"/>
  <c r="L147" i="2"/>
  <c r="K148" i="2"/>
  <c r="F148" i="2"/>
  <c r="G150" i="2" l="1"/>
  <c r="F150" i="2" s="1"/>
  <c r="C151" i="2"/>
  <c r="C152" i="2" s="1"/>
  <c r="C153" i="2" s="1"/>
  <c r="K149" i="2"/>
  <c r="J149" i="2" s="1"/>
  <c r="L148" i="2"/>
  <c r="J148" i="2"/>
  <c r="G153" i="2" l="1"/>
  <c r="K153" i="2" s="1"/>
  <c r="C154" i="2"/>
  <c r="G151" i="2"/>
  <c r="K151" i="2" s="1"/>
  <c r="G152" i="2"/>
  <c r="K150" i="2"/>
  <c r="L150" i="2" s="1"/>
  <c r="L149" i="2"/>
  <c r="F153" i="2" l="1"/>
  <c r="C155" i="2"/>
  <c r="G154" i="2"/>
  <c r="L153" i="2"/>
  <c r="F151" i="2"/>
  <c r="F152" i="2"/>
  <c r="K152" i="2"/>
  <c r="J153" i="2" s="1"/>
  <c r="J150" i="2"/>
  <c r="L151" i="2"/>
  <c r="J151" i="2"/>
  <c r="F154" i="2" l="1"/>
  <c r="K154" i="2"/>
  <c r="C156" i="2"/>
  <c r="G155" i="2"/>
  <c r="L152" i="2"/>
  <c r="J152" i="2"/>
  <c r="F155" i="2" l="1"/>
  <c r="K155" i="2"/>
  <c r="C157" i="2"/>
  <c r="G156" i="2"/>
  <c r="L154" i="2"/>
  <c r="J154" i="2"/>
  <c r="K156" i="2" l="1"/>
  <c r="F156" i="2"/>
  <c r="C158" i="2"/>
  <c r="G157" i="2"/>
  <c r="L155" i="2"/>
  <c r="J155" i="2"/>
  <c r="F157" i="2" l="1"/>
  <c r="K157" i="2"/>
  <c r="C159" i="2"/>
  <c r="G158" i="2"/>
  <c r="L156" i="2"/>
  <c r="J156" i="2"/>
  <c r="F158" i="2" l="1"/>
  <c r="K158" i="2"/>
  <c r="C160" i="2"/>
  <c r="G159" i="2"/>
  <c r="J157" i="2"/>
  <c r="L157" i="2"/>
  <c r="F159" i="2" l="1"/>
  <c r="K159" i="2"/>
  <c r="G160" i="2"/>
  <c r="C161" i="2"/>
  <c r="J158" i="2"/>
  <c r="L158" i="2"/>
  <c r="G161" i="2" l="1"/>
  <c r="C162" i="2"/>
  <c r="K160" i="2"/>
  <c r="F160" i="2"/>
  <c r="L159" i="2"/>
  <c r="J159" i="2"/>
  <c r="J160" i="2" l="1"/>
  <c r="L160" i="2"/>
  <c r="C163" i="2"/>
  <c r="G162" i="2"/>
  <c r="F161" i="2"/>
  <c r="K161" i="2"/>
  <c r="G163" i="2" l="1"/>
  <c r="K163" i="2" s="1"/>
  <c r="C164" i="2"/>
  <c r="F162" i="2"/>
  <c r="K162" i="2"/>
  <c r="J161" i="2"/>
  <c r="L161" i="2"/>
  <c r="F163" i="2" l="1"/>
  <c r="G164" i="2"/>
  <c r="K164" i="2" s="1"/>
  <c r="C165" i="2"/>
  <c r="L163" i="2"/>
  <c r="J163" i="2"/>
  <c r="L162" i="2"/>
  <c r="J162" i="2"/>
  <c r="F164" i="2" l="1"/>
  <c r="G165" i="2"/>
  <c r="F165" i="2" s="1"/>
  <c r="C166" i="2"/>
  <c r="L164" i="2"/>
  <c r="J164" i="2"/>
  <c r="K165" i="2" l="1"/>
  <c r="L165" i="2" s="1"/>
  <c r="G166" i="2"/>
  <c r="F166" i="2" s="1"/>
  <c r="C167" i="2"/>
  <c r="G167" i="2" l="1"/>
  <c r="K167" i="2" s="1"/>
  <c r="C168" i="2"/>
  <c r="J165" i="2"/>
  <c r="K166" i="2"/>
  <c r="L166" i="2" s="1"/>
  <c r="F167" i="2"/>
  <c r="C169" i="2" l="1"/>
  <c r="G168" i="2"/>
  <c r="J166" i="2"/>
  <c r="L167" i="2"/>
  <c r="J167" i="2"/>
  <c r="K168" i="2" l="1"/>
  <c r="F168" i="2"/>
  <c r="C170" i="2"/>
  <c r="G169" i="2"/>
  <c r="G170" i="2" l="1"/>
  <c r="F170" i="2" s="1"/>
  <c r="C171" i="2"/>
  <c r="K169" i="2"/>
  <c r="F169" i="2"/>
  <c r="K170" i="2"/>
  <c r="L168" i="2"/>
  <c r="J168" i="2"/>
  <c r="G171" i="2" l="1"/>
  <c r="K171" i="2" s="1"/>
  <c r="C172" i="2"/>
  <c r="L170" i="2"/>
  <c r="J170" i="2"/>
  <c r="J169" i="2"/>
  <c r="L169" i="2"/>
  <c r="F171" i="2" l="1"/>
  <c r="G172" i="2"/>
  <c r="F172" i="2" s="1"/>
  <c r="L171" i="2"/>
  <c r="J171" i="2"/>
  <c r="K172" i="2" l="1"/>
  <c r="L172" i="2" s="1"/>
  <c r="J172" i="2" l="1"/>
  <c r="A1" i="2"/>
  <c r="K7" i="1"/>
  <c r="K32" i="1"/>
  <c r="K31" i="1"/>
  <c r="K47" i="1"/>
  <c r="K25" i="1"/>
  <c r="K2" i="1"/>
  <c r="K6" i="1"/>
  <c r="K42" i="1"/>
  <c r="K8" i="1"/>
  <c r="K20" i="1"/>
  <c r="K15" i="1"/>
  <c r="K52" i="1"/>
  <c r="K19" i="1"/>
  <c r="K22" i="1"/>
  <c r="K3" i="1"/>
  <c r="K4" i="1"/>
  <c r="K43" i="1"/>
  <c r="K21" i="1"/>
  <c r="K23" i="1"/>
  <c r="K34" i="1"/>
  <c r="K44" i="1"/>
  <c r="K33" i="1"/>
  <c r="K51" i="1"/>
  <c r="K28" i="1"/>
  <c r="K12" i="1"/>
  <c r="K35" i="1"/>
  <c r="K50" i="1"/>
  <c r="K40" i="1"/>
  <c r="K16" i="1"/>
  <c r="K18" i="1"/>
  <c r="K53" i="1"/>
  <c r="K24" i="1"/>
  <c r="K13" i="1"/>
  <c r="K27" i="1"/>
  <c r="K41" i="1"/>
  <c r="K14" i="1"/>
  <c r="K49" i="1"/>
  <c r="K37" i="1"/>
  <c r="K9" i="1"/>
  <c r="K11" i="1"/>
  <c r="K10" i="1"/>
  <c r="K46" i="1"/>
  <c r="K48" i="1"/>
  <c r="K45" i="1"/>
  <c r="K36" i="1"/>
  <c r="K39" i="1"/>
  <c r="K17" i="1"/>
  <c r="K5" i="1"/>
  <c r="K30" i="1"/>
  <c r="K38" i="1"/>
  <c r="K29" i="1"/>
  <c r="K55" i="1"/>
  <c r="K26" i="1"/>
  <c r="K54" i="1"/>
  <c r="N18" i="1" l="1"/>
  <c r="N21" i="1"/>
  <c r="N5" i="1"/>
  <c r="N20" i="1"/>
  <c r="N4" i="1"/>
  <c r="N27" i="1"/>
  <c r="N7" i="1"/>
  <c r="N13" i="1"/>
  <c r="N12" i="1"/>
  <c r="N15" i="1"/>
  <c r="N6" i="1"/>
  <c r="N17" i="1"/>
  <c r="N26" i="1"/>
  <c r="N16" i="1"/>
  <c r="N22" i="1"/>
  <c r="N19" i="1"/>
  <c r="N3" i="1"/>
  <c r="N33" i="1"/>
  <c r="N14" i="1"/>
  <c r="N10" i="1"/>
  <c r="N25" i="1"/>
  <c r="N9" i="1"/>
  <c r="N28" i="1"/>
  <c r="N8" i="1"/>
  <c r="N51" i="1"/>
  <c r="N11" i="1"/>
  <c r="D174" i="3" s="1"/>
  <c r="G174" i="3" s="1"/>
  <c r="N53" i="1"/>
  <c r="N54" i="1"/>
  <c r="N55" i="1"/>
  <c r="N52" i="1"/>
  <c r="N24" i="1"/>
  <c r="N44" i="1"/>
  <c r="N41" i="1"/>
  <c r="N34" i="1"/>
  <c r="N50" i="1"/>
  <c r="N39" i="1"/>
  <c r="N32" i="1"/>
  <c r="N48" i="1"/>
  <c r="N45" i="1"/>
  <c r="N38" i="1"/>
  <c r="N23" i="1"/>
  <c r="N43" i="1"/>
  <c r="N36" i="1"/>
  <c r="N29" i="1"/>
  <c r="N49" i="1"/>
  <c r="N42" i="1"/>
  <c r="N31" i="1"/>
  <c r="N47" i="1"/>
  <c r="N40" i="1"/>
  <c r="N37" i="1"/>
  <c r="N30" i="1"/>
  <c r="N46" i="1"/>
  <c r="N2" i="1"/>
  <c r="N35" i="1"/>
  <c r="D174" i="2" l="1"/>
  <c r="E174" i="2" s="1"/>
  <c r="E173" i="2"/>
  <c r="G173" i="2" s="1"/>
  <c r="U2" i="1"/>
  <c r="G173" i="3"/>
  <c r="F173" i="3" s="1"/>
  <c r="G174" i="2" l="1"/>
  <c r="F174" i="2" s="1"/>
  <c r="F174" i="3"/>
  <c r="F173" i="2"/>
  <c r="K173" i="2"/>
  <c r="K174" i="2" l="1"/>
  <c r="J174" i="2" s="1"/>
  <c r="L174" i="2"/>
  <c r="J173" i="2"/>
  <c r="L173" i="2"/>
</calcChain>
</file>

<file path=xl/sharedStrings.xml><?xml version="1.0" encoding="utf-8"?>
<sst xmlns="http://schemas.openxmlformats.org/spreadsheetml/2006/main" count="262" uniqueCount="177">
  <si>
    <t>购买方式</t>
  </si>
  <si>
    <t>股票代码</t>
  </si>
  <si>
    <t>股票名称</t>
  </si>
  <si>
    <t>股票数量</t>
  </si>
  <si>
    <t>发行价格</t>
  </si>
  <si>
    <t>申购金额</t>
  </si>
  <si>
    <t>合约
起始日</t>
  </si>
  <si>
    <t>发行前一日收盘价</t>
  </si>
  <si>
    <t>折扣率</t>
  </si>
  <si>
    <t>最新价格</t>
  </si>
  <si>
    <t>收益率</t>
  </si>
  <si>
    <t>发行日期/报价日期</t>
  </si>
  <si>
    <t>上市日期</t>
  </si>
  <si>
    <t>解禁日期</t>
  </si>
  <si>
    <t>国君互换</t>
  </si>
  <si>
    <t>300428.SZ</t>
  </si>
  <si>
    <t>立中集团</t>
  </si>
  <si>
    <t>2021/09/02</t>
  </si>
  <si>
    <t>002261.SZ</t>
  </si>
  <si>
    <t>拓维信息</t>
  </si>
  <si>
    <t>2021/09/09</t>
  </si>
  <si>
    <t>002042.SZ</t>
  </si>
  <si>
    <t>华孚时尚</t>
  </si>
  <si>
    <t>2021/09/13</t>
  </si>
  <si>
    <t>002218.SZ</t>
  </si>
  <si>
    <t>拓日新能</t>
  </si>
  <si>
    <t>2021/09/14</t>
  </si>
  <si>
    <t>002065.SZ</t>
  </si>
  <si>
    <t>东华软件</t>
  </si>
  <si>
    <t>2021/09/28</t>
  </si>
  <si>
    <t>605358.SH</t>
  </si>
  <si>
    <t>立昂微</t>
  </si>
  <si>
    <t>2021/09/30</t>
  </si>
  <si>
    <t>601828.SH</t>
  </si>
  <si>
    <t>美凯龙</t>
  </si>
  <si>
    <t>2021/10/08</t>
  </si>
  <si>
    <t>银河互换</t>
  </si>
  <si>
    <t>601198.SH</t>
  </si>
  <si>
    <t>东兴证券</t>
  </si>
  <si>
    <t>2021/10/11</t>
  </si>
  <si>
    <t>601515.SH</t>
  </si>
  <si>
    <t>东风股份</t>
  </si>
  <si>
    <t>财通产品</t>
  </si>
  <si>
    <t>002352.SZ</t>
  </si>
  <si>
    <t>顺丰控股</t>
  </si>
  <si>
    <t>300476.SZ</t>
  </si>
  <si>
    <t>胜宏科技</t>
  </si>
  <si>
    <t>603290.SH</t>
  </si>
  <si>
    <t>斯达半导</t>
  </si>
  <si>
    <t>300207.SZ</t>
  </si>
  <si>
    <t>欣旺达</t>
  </si>
  <si>
    <t>-</t>
  </si>
  <si>
    <t>002792.SZ</t>
  </si>
  <si>
    <t>通宇通讯</t>
  </si>
  <si>
    <t>2021/11/19</t>
  </si>
  <si>
    <t>300631.SZ</t>
  </si>
  <si>
    <t>久吾高科</t>
  </si>
  <si>
    <t>603115.SH</t>
  </si>
  <si>
    <t>海星股份</t>
  </si>
  <si>
    <t>300073.SZ</t>
  </si>
  <si>
    <t>当升科技</t>
  </si>
  <si>
    <t>300919.SZ</t>
  </si>
  <si>
    <t>中伟股份</t>
  </si>
  <si>
    <t>2021/11/16</t>
  </si>
  <si>
    <t>002100.SZ</t>
  </si>
  <si>
    <t>天康生物</t>
  </si>
  <si>
    <t>2021/11/17</t>
  </si>
  <si>
    <t>300587.SZ</t>
  </si>
  <si>
    <t>天铁股份</t>
  </si>
  <si>
    <t>300793.SZ</t>
  </si>
  <si>
    <t>佳禾智能</t>
  </si>
  <si>
    <t>600258.SH</t>
  </si>
  <si>
    <t>首旅酒店</t>
  </si>
  <si>
    <t>002180.SZ</t>
  </si>
  <si>
    <t>纳思达</t>
  </si>
  <si>
    <t>2021/11/24</t>
  </si>
  <si>
    <t>600233.SH</t>
  </si>
  <si>
    <t>圆通速递</t>
  </si>
  <si>
    <t>2021/11/26</t>
  </si>
  <si>
    <t>000807.SZ</t>
  </si>
  <si>
    <t>云铝股份</t>
  </si>
  <si>
    <t>600859.SH</t>
  </si>
  <si>
    <t>王府井</t>
  </si>
  <si>
    <t>300671.SZ</t>
  </si>
  <si>
    <t>富满微</t>
  </si>
  <si>
    <t>300383.SZ</t>
  </si>
  <si>
    <t>光环新网</t>
  </si>
  <si>
    <t>600597.SH</t>
  </si>
  <si>
    <t>光明乳业</t>
  </si>
  <si>
    <t>002215.SZ</t>
  </si>
  <si>
    <t>诺普信</t>
  </si>
  <si>
    <t>300095.SZ</t>
  </si>
  <si>
    <t>华伍股份</t>
  </si>
  <si>
    <t>300655.SZ</t>
  </si>
  <si>
    <t>晶瑞电材</t>
  </si>
  <si>
    <t>300552.SZ</t>
  </si>
  <si>
    <t>万集科技</t>
  </si>
  <si>
    <t>601866.SH</t>
  </si>
  <si>
    <t>中远海发</t>
  </si>
  <si>
    <t>600098.SH</t>
  </si>
  <si>
    <t>广州发展</t>
  </si>
  <si>
    <t>600956.SH</t>
  </si>
  <si>
    <t>新天绿能</t>
  </si>
  <si>
    <t>300571.SZ</t>
  </si>
  <si>
    <t>平治信息</t>
  </si>
  <si>
    <t>002438.SZ</t>
  </si>
  <si>
    <t>江苏神通</t>
  </si>
  <si>
    <t>002134.SZ</t>
  </si>
  <si>
    <t>东南网架</t>
  </si>
  <si>
    <t>000877.SZ</t>
  </si>
  <si>
    <t>天山股份</t>
  </si>
  <si>
    <t>300674.SZ</t>
  </si>
  <si>
    <t>宇信科技</t>
  </si>
  <si>
    <t>600477.SH</t>
  </si>
  <si>
    <t>杭萧钢构</t>
  </si>
  <si>
    <t>已融出</t>
  </si>
  <si>
    <t>已融入</t>
  </si>
  <si>
    <t>注1：一般发行后T+3日缴款</t>
  </si>
  <si>
    <t>备注：wind ECM发行上市解禁日期 财通-君享天成 国君互换-盯市 银河-收益互换：申购金额</t>
  </si>
  <si>
    <t>权益金额</t>
  </si>
  <si>
    <t>固定收益金额</t>
  </si>
  <si>
    <t>合约收益</t>
  </si>
  <si>
    <t>总损益</t>
  </si>
  <si>
    <t>日期</t>
  </si>
  <si>
    <t>当日新增市值</t>
  </si>
  <si>
    <t>标的总期初市值</t>
  </si>
  <si>
    <t>标的当前市值</t>
  </si>
  <si>
    <t>期末交易费</t>
  </si>
  <si>
    <t>权益日收益</t>
  </si>
  <si>
    <t>权益累计收益</t>
  </si>
  <si>
    <t>累计固定收益金额</t>
  </si>
  <si>
    <t>未结算现金分红</t>
  </si>
  <si>
    <t>合约日收益</t>
  </si>
  <si>
    <t>合约累计收益</t>
  </si>
  <si>
    <t>互换+产品+2129</t>
  </si>
  <si>
    <t>2021/12/30</t>
  </si>
  <si>
    <t>2021/12/31</t>
  </si>
  <si>
    <t>产品净值</t>
  </si>
  <si>
    <t>资金使用情况</t>
  </si>
  <si>
    <t>收益</t>
  </si>
  <si>
    <t>单位净值</t>
  </si>
  <si>
    <t>累计
单位净值</t>
  </si>
  <si>
    <t>资产净值</t>
  </si>
  <si>
    <t>资金余额</t>
  </si>
  <si>
    <t>单日收益</t>
  </si>
  <si>
    <t>累计收益</t>
  </si>
  <si>
    <t>单元资产净值（净价）</t>
  </si>
  <si>
    <t>出入金</t>
  </si>
  <si>
    <t>单元资产-期初资产-期末资产-出入金</t>
  </si>
  <si>
    <t>类型</t>
  </si>
  <si>
    <t>盯市表中合约收益</t>
  </si>
  <si>
    <t>差异</t>
  </si>
  <si>
    <t>互换-银河</t>
  </si>
  <si>
    <t>互换-国君</t>
  </si>
  <si>
    <t>互换合计</t>
  </si>
  <si>
    <t>融券-欣旺达</t>
  </si>
  <si>
    <t>合计</t>
  </si>
  <si>
    <t>优刻得</t>
    <phoneticPr fontId="2" type="noConversion"/>
  </si>
  <si>
    <r>
      <t>6</t>
    </r>
    <r>
      <rPr>
        <sz val="11"/>
        <color theme="1"/>
        <rFont val="等线"/>
        <family val="2"/>
        <scheme val="minor"/>
      </rPr>
      <t>88158.SH</t>
    </r>
    <phoneticPr fontId="2" type="noConversion"/>
  </si>
  <si>
    <t>协鑫能科</t>
    <phoneticPr fontId="2" type="noConversion"/>
  </si>
  <si>
    <t>002015.SZ</t>
    <phoneticPr fontId="2" type="noConversion"/>
  </si>
  <si>
    <r>
      <t>60047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scheme val="minor"/>
      </rPr>
      <t>.SH</t>
    </r>
    <phoneticPr fontId="2" type="noConversion"/>
  </si>
  <si>
    <r>
      <t>0</t>
    </r>
    <r>
      <rPr>
        <sz val="11"/>
        <color theme="1"/>
        <rFont val="等线"/>
        <family val="2"/>
        <scheme val="minor"/>
      </rPr>
      <t>00</t>
    </r>
    <r>
      <rPr>
        <sz val="11"/>
        <color theme="1"/>
        <rFont val="等线"/>
        <family val="2"/>
        <scheme val="minor"/>
      </rPr>
      <t>807</t>
    </r>
    <phoneticPr fontId="2" type="noConversion"/>
  </si>
  <si>
    <t>云铝股份</t>
    <phoneticPr fontId="2" type="noConversion"/>
  </si>
  <si>
    <t>安井食品</t>
    <phoneticPr fontId="2" type="noConversion"/>
  </si>
  <si>
    <t>宝泰隆</t>
    <phoneticPr fontId="2" type="noConversion"/>
  </si>
  <si>
    <t>国君互换</t>
    <phoneticPr fontId="2" type="noConversion"/>
  </si>
  <si>
    <t>财通产品</t>
    <phoneticPr fontId="2" type="noConversion"/>
  </si>
  <si>
    <t>603345.SH</t>
    <phoneticPr fontId="2" type="noConversion"/>
  </si>
  <si>
    <t>601011.SH</t>
    <phoneticPr fontId="2" type="noConversion"/>
  </si>
  <si>
    <t>前一日收盘价</t>
    <phoneticPr fontId="2" type="noConversion"/>
  </si>
  <si>
    <t>权益收益金额</t>
    <phoneticPr fontId="2" type="noConversion"/>
  </si>
  <si>
    <t>前一日权益收益金额</t>
    <phoneticPr fontId="2" type="noConversion"/>
  </si>
  <si>
    <t>对冲规模</t>
    <phoneticPr fontId="2" type="noConversion"/>
  </si>
  <si>
    <t>申购金额+权益收益金额</t>
    <phoneticPr fontId="2" type="noConversion"/>
  </si>
  <si>
    <t>敞口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</si>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</sst>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_ * #,##0_ ;_ * \-#,##0_ ;_ * &quot;-&quot;??_ ;_ @_ "/>
    <numFmt numFmtId="177" formatCode="0.00_ "/>
    <numFmt numFmtId="178" formatCode="0.0%"/>
    <numFmt numFmtId="179" formatCode="###,###,##0.0000"/>
    <numFmt numFmtId="180" formatCode="###,###,##0.00"/>
    <numFmt numFmtId="181" formatCode="#,##0.0_ "/>
    <numFmt numFmtId="182" formatCode="#,##0.00_ "/>
    <numFmt numFmtId="183" formatCode="0.0000_);[Red]\(0.0000\)"/>
    <numFmt numFmtId="184" formatCode="0.0000_)"/>
    <numFmt numFmtId="185" formatCode="_ * #,##0.00000_ ;_ * \-#,##0.00000_ ;_ * &quot;-&quot;??_ ;_ @_ "/>
    <numFmt numFmtId="186" formatCode="[$-F800]dddd\,\ mmmm\ dd\,\ yyyy"/>
  </numFmts>
  <fonts count="2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theme="1"/>
      <name val="Arial"/>
      <family val="2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scheme val="minor"/>
    </font>
    <font>
      <sz val="10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0" tint="-4.9989318521683403E-2"/>
      <name val="等线"/>
      <family val="2"/>
      <scheme val="minor"/>
    </font>
    <font>
      <sz val="11"/>
      <color theme="2"/>
      <name val="等线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43" fontId="1" fillId="0" borderId="0">
      <alignment vertical="center"/>
    </xf>
    <xf numFmtId="0" fontId="4" fillId="0" borderId="0"/>
    <xf numFmtId="0" fontId="5" fillId="0" borderId="0">
      <alignment vertical="center"/>
    </xf>
    <xf numFmtId="43" fontId="5" fillId="0" borderId="0">
      <alignment vertical="center"/>
    </xf>
    <xf numFmtId="0" fontId="8" fillId="0" borderId="0"/>
    <xf numFmtId="0" fontId="9" fillId="0" borderId="0">
      <alignment vertical="center"/>
    </xf>
    <xf numFmtId="9" fontId="10" fillId="0" borderId="0">
      <alignment vertical="center"/>
    </xf>
    <xf numFmtId="0" fontId="10" fillId="0" borderId="0">
      <alignment vertical="center"/>
    </xf>
    <xf numFmtId="186" fontId="10" fillId="0" borderId="0">
      <alignment vertical="center"/>
    </xf>
    <xf numFmtId="43" fontId="10" fillId="0" borderId="0">
      <alignment vertical="center"/>
    </xf>
    <xf numFmtId="43" fontId="5" fillId="0" borderId="0">
      <alignment vertical="center"/>
    </xf>
    <xf numFmtId="0" fontId="9" fillId="0" borderId="0">
      <alignment vertical="center"/>
    </xf>
    <xf numFmtId="9" fontId="5" fillId="0" borderId="0">
      <alignment vertical="center"/>
    </xf>
    <xf numFmtId="43" fontId="10" fillId="0" borderId="0">
      <alignment vertical="center"/>
    </xf>
    <xf numFmtId="0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0" fontId="1" fillId="0" borderId="0"/>
    <xf numFmtId="43" fontId="1" fillId="0" borderId="0">
      <alignment vertical="center"/>
    </xf>
    <xf numFmtId="9" fontId="1" fillId="0" borderId="0">
      <alignment vertical="center"/>
    </xf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4" fillId="0" borderId="0" xfId="2" applyAlignment="1">
      <alignment horizontal="left"/>
    </xf>
    <xf numFmtId="0" fontId="3" fillId="0" borderId="7" xfId="0" applyFont="1" applyBorder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3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4" fontId="0" fillId="11" borderId="0" xfId="0" applyNumberFormat="1" applyFill="1" applyAlignment="1">
      <alignment horizontal="right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3" fillId="2" borderId="0" xfId="19" applyFont="1" applyFill="1"/>
    <xf numFmtId="0" fontId="3" fillId="2" borderId="0" xfId="19" applyFont="1" applyFill="1" applyAlignment="1">
      <alignment horizontal="left"/>
    </xf>
    <xf numFmtId="0" fontId="1" fillId="0" borderId="0" xfId="19"/>
    <xf numFmtId="0" fontId="1" fillId="0" borderId="0" xfId="19" applyAlignment="1">
      <alignment horizontal="left"/>
    </xf>
    <xf numFmtId="0" fontId="1" fillId="0" borderId="0" xfId="19" applyAlignment="1">
      <alignment horizontal="center"/>
    </xf>
    <xf numFmtId="0" fontId="1" fillId="0" borderId="0" xfId="19" applyAlignment="1">
      <alignment horizontal="right"/>
    </xf>
    <xf numFmtId="14" fontId="1" fillId="0" borderId="0" xfId="19" applyNumberFormat="1" applyAlignment="1">
      <alignment horizontal="center"/>
    </xf>
    <xf numFmtId="14" fontId="0" fillId="0" borderId="0" xfId="20" applyNumberFormat="1" applyFont="1" applyAlignment="1">
      <alignment horizontal="center"/>
    </xf>
    <xf numFmtId="14" fontId="0" fillId="0" borderId="0" xfId="20" applyNumberFormat="1" applyFont="1" applyAlignment="1">
      <alignment horizontal="right"/>
    </xf>
    <xf numFmtId="14" fontId="0" fillId="9" borderId="0" xfId="20" applyNumberFormat="1" applyFont="1" applyFill="1" applyAlignment="1">
      <alignment horizontal="center"/>
    </xf>
    <xf numFmtId="0" fontId="1" fillId="3" borderId="0" xfId="19" applyFill="1"/>
    <xf numFmtId="0" fontId="1" fillId="3" borderId="0" xfId="19" applyFill="1" applyAlignment="1">
      <alignment horizontal="center"/>
    </xf>
    <xf numFmtId="0" fontId="1" fillId="3" borderId="0" xfId="19" applyFill="1" applyAlignment="1">
      <alignment horizontal="right"/>
    </xf>
    <xf numFmtId="14" fontId="0" fillId="3" borderId="0" xfId="20" applyNumberFormat="1" applyFont="1" applyFill="1" applyAlignment="1">
      <alignment horizontal="center"/>
    </xf>
    <xf numFmtId="14" fontId="1" fillId="3" borderId="0" xfId="19" applyNumberFormat="1" applyFill="1"/>
    <xf numFmtId="14" fontId="1" fillId="8" borderId="0" xfId="19" applyNumberFormat="1" applyFill="1"/>
    <xf numFmtId="0" fontId="3" fillId="0" borderId="0" xfId="0" applyFont="1" applyAlignment="1">
      <alignment horizontal="center"/>
    </xf>
    <xf numFmtId="14" fontId="7" fillId="0" borderId="0" xfId="0" applyNumberFormat="1" applyFont="1" applyAlignment="1">
      <alignment horizontal="right"/>
    </xf>
    <xf numFmtId="0" fontId="12" fillId="4" borderId="0" xfId="0" applyFont="1" applyFill="1" applyAlignment="1">
      <alignment horizontal="center"/>
    </xf>
    <xf numFmtId="0" fontId="13" fillId="4" borderId="0" xfId="0" applyFont="1" applyFill="1"/>
    <xf numFmtId="0" fontId="12" fillId="4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14" fontId="1" fillId="0" borderId="0" xfId="19" applyNumberFormat="1"/>
    <xf numFmtId="0" fontId="0" fillId="3" borderId="0" xfId="19" applyFont="1" applyFill="1"/>
    <xf numFmtId="2" fontId="1" fillId="3" borderId="0" xfId="19" applyNumberFormat="1" applyFill="1" applyAlignment="1">
      <alignment horizontal="right"/>
    </xf>
    <xf numFmtId="14" fontId="0" fillId="3" borderId="0" xfId="20" applyNumberFormat="1" applyFont="1" applyFill="1" applyAlignment="1">
      <alignment horizontal="right"/>
    </xf>
    <xf numFmtId="0" fontId="0" fillId="0" borderId="0" xfId="19" applyFont="1"/>
    <xf numFmtId="0" fontId="0" fillId="0" borderId="0" xfId="19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76" fontId="0" fillId="0" borderId="0" xfId="20" applyNumberFormat="1" applyFont="1" applyAlignment="1">
      <alignment horizontal="right"/>
    </xf>
    <xf numFmtId="43" fontId="0" fillId="0" borderId="0" xfId="20" applyFont="1" applyAlignment="1">
      <alignment horizontal="right"/>
    </xf>
    <xf numFmtId="177" fontId="1" fillId="0" borderId="0" xfId="19" applyNumberFormat="1" applyAlignment="1">
      <alignment horizontal="center"/>
    </xf>
    <xf numFmtId="176" fontId="3" fillId="2" borderId="0" xfId="20" applyNumberFormat="1" applyFont="1" applyFill="1" applyAlignment="1"/>
    <xf numFmtId="43" fontId="3" fillId="2" borderId="0" xfId="20" applyFont="1" applyFill="1" applyAlignment="1"/>
    <xf numFmtId="177" fontId="3" fillId="2" borderId="0" xfId="19" applyNumberFormat="1" applyFont="1" applyFill="1" applyAlignment="1">
      <alignment horizontal="center"/>
    </xf>
    <xf numFmtId="178" fontId="0" fillId="0" borderId="0" xfId="21" applyNumberFormat="1" applyFont="1" applyAlignment="1">
      <alignment horizontal="center"/>
    </xf>
    <xf numFmtId="179" fontId="1" fillId="0" borderId="0" xfId="19" applyNumberFormat="1" applyAlignment="1">
      <alignment horizontal="center"/>
    </xf>
    <xf numFmtId="180" fontId="1" fillId="0" borderId="0" xfId="19" applyNumberFormat="1" applyAlignment="1">
      <alignment horizontal="center"/>
    </xf>
    <xf numFmtId="176" fontId="0" fillId="3" borderId="0" xfId="20" applyNumberFormat="1" applyFont="1" applyFill="1" applyAlignment="1">
      <alignment horizontal="right"/>
    </xf>
    <xf numFmtId="43" fontId="0" fillId="3" borderId="0" xfId="20" applyFont="1" applyFill="1" applyAlignment="1">
      <alignment horizontal="right"/>
    </xf>
    <xf numFmtId="177" fontId="1" fillId="3" borderId="0" xfId="19" applyNumberFormat="1" applyFill="1" applyAlignment="1">
      <alignment horizontal="center"/>
    </xf>
    <xf numFmtId="178" fontId="0" fillId="3" borderId="0" xfId="21" applyNumberFormat="1" applyFont="1" applyFill="1" applyAlignment="1">
      <alignment horizontal="center"/>
    </xf>
    <xf numFmtId="179" fontId="1" fillId="3" borderId="0" xfId="19" applyNumberFormat="1" applyFill="1" applyAlignment="1">
      <alignment horizontal="center"/>
    </xf>
    <xf numFmtId="180" fontId="1" fillId="3" borderId="0" xfId="19" applyNumberFormat="1" applyFill="1" applyAlignment="1">
      <alignment horizontal="center"/>
    </xf>
    <xf numFmtId="43" fontId="0" fillId="8" borderId="0" xfId="20" applyFont="1" applyFill="1" applyAlignment="1">
      <alignment horizontal="right"/>
    </xf>
    <xf numFmtId="43" fontId="0" fillId="9" borderId="0" xfId="20" applyFont="1" applyFill="1" applyAlignment="1">
      <alignment horizontal="right"/>
    </xf>
    <xf numFmtId="176" fontId="0" fillId="23" borderId="0" xfId="20" applyNumberFormat="1" applyFont="1" applyFill="1" applyAlignment="1">
      <alignment horizontal="right"/>
    </xf>
    <xf numFmtId="181" fontId="1" fillId="3" borderId="0" xfId="19" applyNumberFormat="1" applyFill="1"/>
    <xf numFmtId="176" fontId="0" fillId="3" borderId="0" xfId="1" applyNumberFormat="1" applyFont="1" applyFill="1" applyAlignment="1"/>
    <xf numFmtId="176" fontId="0" fillId="0" borderId="0" xfId="1" applyNumberFormat="1" applyFont="1" applyAlignment="1"/>
    <xf numFmtId="176" fontId="0" fillId="5" borderId="0" xfId="1" applyNumberFormat="1" applyFont="1" applyFill="1" applyAlignment="1"/>
    <xf numFmtId="176" fontId="3" fillId="5" borderId="5" xfId="1" applyNumberFormat="1" applyFont="1" applyFill="1" applyBorder="1" applyAlignment="1">
      <alignment horizontal="center"/>
    </xf>
    <xf numFmtId="176" fontId="3" fillId="5" borderId="15" xfId="1" applyNumberFormat="1" applyFont="1" applyFill="1" applyBorder="1" applyAlignment="1">
      <alignment horizontal="center"/>
    </xf>
    <xf numFmtId="176" fontId="3" fillId="3" borderId="2" xfId="1" applyNumberFormat="1" applyFont="1" applyFill="1" applyBorder="1" applyAlignment="1"/>
    <xf numFmtId="176" fontId="3" fillId="3" borderId="3" xfId="1" applyNumberFormat="1" applyFont="1" applyFill="1" applyBorder="1" applyAlignment="1"/>
    <xf numFmtId="176" fontId="3" fillId="3" borderId="4" xfId="1" applyNumberFormat="1" applyFont="1" applyFill="1" applyBorder="1" applyAlignment="1"/>
    <xf numFmtId="176" fontId="3" fillId="5" borderId="6" xfId="1" applyNumberFormat="1" applyFont="1" applyFill="1" applyBorder="1" applyAlignment="1">
      <alignment horizontal="center"/>
    </xf>
    <xf numFmtId="176" fontId="3" fillId="5" borderId="16" xfId="1" applyNumberFormat="1" applyFont="1" applyFill="1" applyBorder="1" applyAlignment="1">
      <alignment horizontal="center"/>
    </xf>
    <xf numFmtId="176" fontId="3" fillId="4" borderId="2" xfId="1" applyNumberFormat="1" applyFont="1" applyFill="1" applyBorder="1" applyAlignment="1">
      <alignment horizontal="center"/>
    </xf>
    <xf numFmtId="176" fontId="3" fillId="4" borderId="4" xfId="1" applyNumberFormat="1" applyFont="1" applyFill="1" applyBorder="1" applyAlignment="1">
      <alignment horizontal="center"/>
    </xf>
    <xf numFmtId="176" fontId="0" fillId="0" borderId="0" xfId="0" applyNumberFormat="1"/>
    <xf numFmtId="176" fontId="0" fillId="11" borderId="0" xfId="1" applyNumberFormat="1" applyFont="1" applyFill="1" applyAlignment="1"/>
    <xf numFmtId="176" fontId="0" fillId="11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6" fontId="0" fillId="17" borderId="0" xfId="0" applyNumberFormat="1" applyFill="1"/>
    <xf numFmtId="176" fontId="0" fillId="18" borderId="0" xfId="0" applyNumberFormat="1" applyFill="1"/>
    <xf numFmtId="176" fontId="0" fillId="19" borderId="0" xfId="0" applyNumberFormat="1" applyFill="1"/>
    <xf numFmtId="176" fontId="0" fillId="20" borderId="0" xfId="0" applyNumberFormat="1" applyFill="1"/>
    <xf numFmtId="176" fontId="0" fillId="21" borderId="0" xfId="0" applyNumberFormat="1" applyFill="1"/>
    <xf numFmtId="176" fontId="0" fillId="22" borderId="0" xfId="0" applyNumberFormat="1" applyFill="1"/>
    <xf numFmtId="176" fontId="0" fillId="24" borderId="0" xfId="0" applyNumberFormat="1" applyFill="1"/>
    <xf numFmtId="176" fontId="0" fillId="25" borderId="0" xfId="0" applyNumberFormat="1" applyFill="1"/>
    <xf numFmtId="176" fontId="0" fillId="26" borderId="0" xfId="0" applyNumberFormat="1" applyFill="1"/>
    <xf numFmtId="176" fontId="0" fillId="27" borderId="0" xfId="0" applyNumberFormat="1" applyFill="1"/>
    <xf numFmtId="183" fontId="0" fillId="0" borderId="0" xfId="0" applyNumberFormat="1"/>
    <xf numFmtId="183" fontId="3" fillId="4" borderId="7" xfId="0" applyNumberFormat="1" applyFont="1" applyFill="1" applyBorder="1" applyAlignment="1">
      <alignment horizontal="center" wrapText="1"/>
    </xf>
    <xf numFmtId="176" fontId="3" fillId="4" borderId="7" xfId="1" applyNumberFormat="1" applyFont="1" applyFill="1" applyBorder="1" applyAlignment="1">
      <alignment horizontal="center" wrapText="1"/>
    </xf>
    <xf numFmtId="176" fontId="3" fillId="3" borderId="7" xfId="1" applyNumberFormat="1" applyFont="1" applyFill="1" applyBorder="1" applyAlignment="1">
      <alignment horizontal="center" wrapText="1"/>
    </xf>
    <xf numFmtId="176" fontId="3" fillId="6" borderId="7" xfId="1" applyNumberFormat="1" applyFont="1" applyFill="1" applyBorder="1" applyAlignment="1">
      <alignment horizontal="center" wrapText="1"/>
    </xf>
    <xf numFmtId="183" fontId="7" fillId="0" borderId="0" xfId="0" applyNumberFormat="1" applyFont="1" applyAlignment="1">
      <alignment horizontal="center" wrapText="1"/>
    </xf>
    <xf numFmtId="176" fontId="7" fillId="0" borderId="0" xfId="1" applyNumberFormat="1" applyFont="1" applyAlignment="1">
      <alignment horizontal="center" wrapText="1"/>
    </xf>
    <xf numFmtId="183" fontId="6" fillId="0" borderId="0" xfId="0" applyNumberFormat="1" applyFont="1" applyAlignment="1">
      <alignment horizontal="right"/>
    </xf>
    <xf numFmtId="183" fontId="6" fillId="12" borderId="0" xfId="0" applyNumberFormat="1" applyFont="1" applyFill="1" applyAlignment="1">
      <alignment horizontal="right"/>
    </xf>
    <xf numFmtId="176" fontId="0" fillId="12" borderId="0" xfId="1" applyNumberFormat="1" applyFont="1" applyFill="1" applyAlignment="1"/>
    <xf numFmtId="176" fontId="0" fillId="12" borderId="0" xfId="0" applyNumberFormat="1" applyFill="1"/>
    <xf numFmtId="184" fontId="11" fillId="0" borderId="0" xfId="0" applyNumberFormat="1" applyFont="1" applyAlignment="1">
      <alignment horizontal="right"/>
    </xf>
    <xf numFmtId="184" fontId="14" fillId="0" borderId="0" xfId="0" applyNumberFormat="1" applyFont="1" applyAlignment="1">
      <alignment horizontal="right"/>
    </xf>
    <xf numFmtId="184" fontId="15" fillId="0" borderId="0" xfId="0" applyNumberFormat="1" applyFont="1" applyAlignment="1">
      <alignment horizontal="right"/>
    </xf>
    <xf numFmtId="184" fontId="16" fillId="0" borderId="0" xfId="0" applyNumberFormat="1" applyFont="1" applyAlignment="1">
      <alignment horizontal="right"/>
    </xf>
    <xf numFmtId="184" fontId="17" fillId="0" borderId="0" xfId="0" applyNumberFormat="1" applyFont="1" applyAlignment="1">
      <alignment horizontal="right"/>
    </xf>
    <xf numFmtId="184" fontId="18" fillId="0" borderId="0" xfId="0" applyNumberFormat="1" applyFont="1" applyAlignment="1">
      <alignment horizontal="right"/>
    </xf>
    <xf numFmtId="184" fontId="19" fillId="0" borderId="0" xfId="0" applyNumberFormat="1" applyFont="1" applyAlignment="1">
      <alignment horizontal="right"/>
    </xf>
    <xf numFmtId="184" fontId="20" fillId="0" borderId="0" xfId="0" applyNumberFormat="1" applyFont="1" applyAlignment="1">
      <alignment horizontal="right"/>
    </xf>
    <xf numFmtId="43" fontId="13" fillId="4" borderId="0" xfId="1" applyFont="1" applyFill="1" applyAlignment="1">
      <alignment vertical="center"/>
    </xf>
    <xf numFmtId="43" fontId="0" fillId="0" borderId="0" xfId="0" applyNumberFormat="1"/>
    <xf numFmtId="43" fontId="3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176" fontId="1" fillId="0" borderId="0" xfId="1" applyNumberFormat="1" applyAlignment="1">
      <alignment vertical="center"/>
    </xf>
    <xf numFmtId="176" fontId="3" fillId="0" borderId="0" xfId="1" applyNumberFormat="1" applyFont="1" applyAlignment="1">
      <alignment vertical="center"/>
    </xf>
    <xf numFmtId="176" fontId="0" fillId="10" borderId="0" xfId="0" applyNumberFormat="1" applyFill="1"/>
    <xf numFmtId="185" fontId="0" fillId="0" borderId="0" xfId="1" applyNumberFormat="1" applyFont="1" applyAlignment="1"/>
    <xf numFmtId="14" fontId="0" fillId="0" borderId="0" xfId="0" applyNumberFormat="1" applyAlignment="1">
      <alignment horizontal="right"/>
    </xf>
    <xf numFmtId="176" fontId="0" fillId="0" borderId="0" xfId="0" applyNumberFormat="1"/>
    <xf numFmtId="176" fontId="0" fillId="28" borderId="0" xfId="0" applyNumberFormat="1" applyFill="1"/>
    <xf numFmtId="176" fontId="0" fillId="29" borderId="0" xfId="0" applyNumberFormat="1" applyFill="1"/>
    <xf numFmtId="14" fontId="0" fillId="0" borderId="0" xfId="0" applyNumberFormat="1" applyAlignment="1">
      <alignment horizontal="center"/>
    </xf>
    <xf numFmtId="43" fontId="0" fillId="0" borderId="0" xfId="0" applyNumberFormat="1"/>
    <xf numFmtId="0" fontId="21" fillId="0" borderId="0" xfId="0" applyFont="1"/>
    <xf numFmtId="0" fontId="0" fillId="0" borderId="0" xfId="19" applyFont="1" applyAlignment="1">
      <alignment horizontal="left"/>
    </xf>
    <xf numFmtId="43" fontId="0" fillId="0" borderId="0" xfId="20" applyFont="1" applyFill="1" applyAlignment="1">
      <alignment horizontal="right"/>
    </xf>
    <xf numFmtId="14" fontId="1" fillId="0" borderId="0" xfId="19" applyNumberFormat="1" applyFill="1"/>
    <xf numFmtId="176" fontId="0" fillId="0" borderId="0" xfId="20" applyNumberFormat="1" applyFont="1" applyFill="1" applyAlignment="1">
      <alignment horizontal="right"/>
    </xf>
    <xf numFmtId="14" fontId="0" fillId="0" borderId="0" xfId="20" applyNumberFormat="1" applyFont="1" applyFill="1" applyAlignment="1">
      <alignment horizontal="center"/>
    </xf>
    <xf numFmtId="0" fontId="1" fillId="0" borderId="0" xfId="19" applyFill="1" applyAlignment="1">
      <alignment horizontal="right"/>
    </xf>
    <xf numFmtId="49" fontId="1" fillId="3" borderId="0" xfId="19" applyNumberFormat="1" applyFill="1" applyAlignment="1">
      <alignment horizontal="left"/>
    </xf>
    <xf numFmtId="49" fontId="0" fillId="3" borderId="0" xfId="19" applyNumberFormat="1" applyFont="1" applyFill="1" applyAlignment="1">
      <alignment horizontal="left"/>
    </xf>
    <xf numFmtId="0" fontId="0" fillId="3" borderId="0" xfId="19" applyFont="1" applyFill="1" applyAlignment="1">
      <alignment horizontal="center"/>
    </xf>
    <xf numFmtId="0" fontId="22" fillId="0" borderId="0" xfId="19" applyFont="1"/>
    <xf numFmtId="49" fontId="0" fillId="0" borderId="0" xfId="19" applyNumberFormat="1" applyFont="1" applyAlignment="1">
      <alignment horizontal="left"/>
    </xf>
    <xf numFmtId="49" fontId="1" fillId="0" borderId="0" xfId="19" applyNumberFormat="1" applyAlignment="1">
      <alignment horizontal="left"/>
    </xf>
    <xf numFmtId="14" fontId="3" fillId="0" borderId="5" xfId="0" applyNumberFormat="1" applyFont="1" applyBorder="1" applyAlignment="1">
      <alignment horizontal="right"/>
    </xf>
    <xf numFmtId="43" fontId="1" fillId="0" borderId="0" xfId="19" applyNumberFormat="1"/>
    <xf numFmtId="0" fontId="3" fillId="30" borderId="0" xfId="19" applyFont="1" applyFill="1"/>
    <xf numFmtId="14" fontId="1" fillId="30" borderId="0" xfId="19" applyNumberFormat="1" applyFill="1"/>
    <xf numFmtId="0" fontId="1" fillId="30" borderId="0" xfId="19" applyFill="1"/>
    <xf numFmtId="176" fontId="3" fillId="3" borderId="1" xfId="1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3" fillId="6" borderId="8" xfId="0" applyFont="1" applyFill="1" applyBorder="1" applyAlignment="1">
      <alignment horizontal="center"/>
    </xf>
    <xf numFmtId="14" fontId="3" fillId="2" borderId="0" xfId="19" applyNumberFormat="1" applyFont="1" applyFill="1"/>
    <xf numFmtId="182" fontId="1" fillId="3" borderId="0" xfId="19" applyNumberFormat="1" applyFill="1"/>
  </cellXfs>
  <cellStyles count="22">
    <cellStyle name="百分比 2" xfId="7"/>
    <cellStyle name="百分比 2 2" xfId="13"/>
    <cellStyle name="百分比 2 3" xfId="21"/>
    <cellStyle name="常规" xfId="0" builtinId="0"/>
    <cellStyle name="常规 2" xfId="3"/>
    <cellStyle name="常规 2 2" xfId="19"/>
    <cellStyle name="常规 3" xfId="5"/>
    <cellStyle name="常规 3 2" xfId="8"/>
    <cellStyle name="常规 3 4" xfId="9"/>
    <cellStyle name="常规 4" xfId="6"/>
    <cellStyle name="常规 5" xfId="12"/>
    <cellStyle name="超链接" xfId="2" builtinId="8"/>
    <cellStyle name="千位分隔" xfId="1" builtinId="3"/>
    <cellStyle name="千位分隔 2" xfId="4"/>
    <cellStyle name="千位分隔 2 2" xfId="11"/>
    <cellStyle name="千位分隔 2 3" xfId="20"/>
    <cellStyle name="千位分隔 3" xfId="10"/>
    <cellStyle name="千位分隔 4" xfId="14"/>
    <cellStyle name="千位分隔 5" xfId="16"/>
    <cellStyle name="千位分隔 6" xfId="17"/>
    <cellStyle name="千位分隔 7" xfId="18"/>
    <cellStyle name="样式 1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14.21</v>
        <stp/>
        <stp>000807</stp>
        <stp>LastPrice</stp>
        <tr r="J63" s="1"/>
      </tp>
      <tp>
        <v>33.85</v>
        <stp/>
        <stp>300207</stp>
        <stp>LastPrice</stp>
        <tr r="J61" s="1"/>
        <tr r="J62" s="1"/>
      </tp>
      <tp>
        <v>126.52</v>
        <stp/>
        <stp>603345.SH</stp>
        <stp>LastPrice</stp>
        <tr r="J54" s="1"/>
        <tr r="J53" s="1"/>
      </tp>
      <tp>
        <v>27.25</v>
        <stp/>
        <stp>600859.SH</stp>
        <stp>LastPrice</stp>
        <tr r="J30" s="1"/>
        <tr r="J31" s="1"/>
      </tp>
      <tp>
        <v>108.81</v>
        <stp/>
        <stp>605358.SH</stp>
        <stp>LastPrice</stp>
        <tr r="J7" s="1"/>
      </tp>
      <tp>
        <v>25.91</v>
        <stp/>
        <stp>600258.SH</stp>
        <stp>LastPrice</stp>
        <tr r="J24" s="1"/>
      </tp>
      <tp>
        <v>26.62</v>
        <stp/>
        <stp>688158.SH</stp>
        <stp>LastPrice</stp>
        <tr r="J51" s="1"/>
      </tp>
      <tp>
        <v>14.23</v>
        <stp/>
        <stp>600956.SH</stp>
        <stp>LastPrice</stp>
        <tr r="J43" s="1"/>
      </tp>
      <tp>
        <v>3.24</v>
        <stp/>
        <stp>601866.SH</stp>
        <stp>LastPrice</stp>
        <tr r="J40" s="1"/>
      </tp>
      <tp>
        <v>4.55</v>
        <stp/>
        <stp>600477.SH</stp>
        <stp>LastPrice</stp>
        <tr r="J49" s="1"/>
        <tr r="J50" s="1"/>
      </tp>
      <tp>
        <v>5.17</v>
        <stp/>
        <stp>601011.SH</stp>
        <stp>LastPrice</stp>
        <tr r="J55" s="1"/>
      </tp>
      <tp>
        <v>22.650000000000002</v>
        <stp/>
        <stp>603115.SH</stp>
        <stp>LastPrice</stp>
        <tr r="J17" s="1"/>
      </tp>
      <tp>
        <v>7.09</v>
        <stp/>
        <stp>601515.SH</stp>
        <stp>LastPrice</stp>
        <tr r="J10" s="1"/>
      </tp>
      <tp>
        <v>8.66</v>
        <stp/>
        <stp>601828.SH</stp>
        <stp>LastPrice</stp>
        <tr r="J8" s="1"/>
      </tp>
      <tp>
        <v>16.25</v>
        <stp/>
        <stp>600233.SH</stp>
        <stp>LastPrice</stp>
        <tr r="J27" s="1"/>
        <tr r="J26" s="1"/>
      </tp>
      <tp>
        <v>6.8100000000000005</v>
        <stp/>
        <stp>600098.SH</stp>
        <stp>LastPrice</stp>
        <tr r="J41" s="1"/>
        <tr r="J42" s="1"/>
      </tp>
      <tp>
        <v>10.51</v>
        <stp/>
        <stp>601198.SH</stp>
        <stp>LastPrice</stp>
        <tr r="J9" s="1"/>
      </tp>
      <tp>
        <v>326.62</v>
        <stp/>
        <stp>603290.SH</stp>
        <stp>LastPrice</stp>
        <tr r="J13" s="1"/>
      </tp>
      <tp>
        <v>13.22</v>
        <stp/>
        <stp>600597.SH</stp>
        <stp>LastPrice</stp>
        <tr r="J35" s="1"/>
      </tp>
      <tp>
        <v>38.53</v>
        <stp/>
        <stp>300631.SZ</stp>
        <stp>LastPrice</stp>
        <tr r="J16" s="1"/>
      </tp>
      <tp>
        <v>11.58</v>
        <stp/>
        <stp>002100.SZ</stp>
        <stp>LastPrice</stp>
        <tr r="J20" s="1"/>
        <tr r="J21" s="1"/>
      </tp>
      <tp>
        <v>14.21</v>
        <stp/>
        <stp>000807.SZ</stp>
        <stp>LastPrice</stp>
        <tr r="J28" s="1"/>
        <tr r="J29" s="1"/>
      </tp>
      <tp>
        <v>6.04</v>
        <stp/>
        <stp>002218.SZ</stp>
        <stp>LastPrice</stp>
        <tr r="J5" s="1"/>
      </tp>
      <tp>
        <v>22.72</v>
        <stp/>
        <stp>300428.SZ</stp>
        <stp>LastPrice</stp>
        <tr r="J2" s="1"/>
      </tp>
      <tp>
        <v>17.100000000000001</v>
        <stp/>
        <stp>002015.SZ</stp>
        <stp>LastPrice</stp>
        <tr r="J52" s="1"/>
      </tp>
      <tp>
        <v>6.38</v>
        <stp/>
        <stp>002215.SZ</stp>
        <stp>LastPrice</stp>
        <tr r="J36" s="1"/>
      </tp>
      <tp>
        <v>122.3</v>
        <stp/>
        <stp>300919.SZ</stp>
        <stp>LastPrice</stp>
        <tr r="J19" s="1"/>
      </tp>
      <tp>
        <v>16.420000000000002</v>
        <stp/>
        <stp>002438.SZ</stp>
        <stp>LastPrice</stp>
        <tr r="J45" s="1"/>
      </tp>
      <tp>
        <v>10.67</v>
        <stp/>
        <stp>002134.SZ</stp>
        <stp>LastPrice</stp>
        <tr r="J46" s="1"/>
      </tp>
      <tp>
        <v>33.85</v>
        <stp/>
        <stp>300207.SZ</stp>
        <stp>LastPrice</stp>
        <tr r="J14" s="1"/>
      </tp>
      <tp>
        <v>48.69</v>
        <stp/>
        <stp>300571.SZ</stp>
        <stp>LastPrice</stp>
        <tr r="J44" s="1"/>
      </tp>
      <tp>
        <v>64.25</v>
        <stp/>
        <stp>300671.SZ</stp>
        <stp>LastPrice</stp>
        <tr r="J32" s="1"/>
      </tp>
      <tp>
        <v>80.34</v>
        <stp/>
        <stp>300073.SZ</stp>
        <stp>LastPrice</stp>
        <tr r="J18" s="1"/>
      </tp>
      <tp>
        <v>4.6399999999999997</v>
        <stp/>
        <stp>002042.SZ</stp>
        <stp>LastPrice</stp>
        <tr r="J4" s="1"/>
      </tp>
      <tp>
        <v>21.48</v>
        <stp/>
        <stp>300674.SZ</stp>
        <stp>LastPrice</stp>
        <tr r="J48" s="1"/>
      </tp>
      <tp>
        <v>26.240000000000002</v>
        <stp/>
        <stp>300476.SZ</stp>
        <stp>LastPrice</stp>
        <tr r="J12" s="1"/>
      </tp>
      <tp>
        <v>60.21</v>
        <stp/>
        <stp>002352.SZ</stp>
        <stp>LastPrice</stp>
        <tr r="J11" s="1"/>
      </tp>
      <tp>
        <v>8.0400000000000009</v>
        <stp/>
        <stp>002261.SZ</stp>
        <stp>LastPrice</stp>
        <tr r="J3" s="1"/>
      </tp>
      <tp>
        <v>26.73</v>
        <stp/>
        <stp>300552.SZ</stp>
        <stp>LastPrice</stp>
        <tr r="J39" s="1"/>
      </tp>
      <tp>
        <v>8.44</v>
        <stp/>
        <stp>002065.SZ</stp>
        <stp>LastPrice</stp>
        <tr r="J6" s="1"/>
      </tp>
      <tp>
        <v>34.06</v>
        <stp/>
        <stp>300655.SZ</stp>
        <stp>LastPrice</stp>
        <tr r="J38" s="1"/>
      </tp>
      <tp>
        <v>15.120000000000001</v>
        <stp/>
        <stp>000877.SZ</stp>
        <stp>LastPrice</stp>
        <tr r="J47" s="1"/>
      </tp>
      <tp>
        <v>47.93</v>
        <stp/>
        <stp>002180.SZ</stp>
        <stp>LastPrice</stp>
        <tr r="J25" s="1"/>
      </tp>
      <tp>
        <v>15.88</v>
        <stp/>
        <stp>002792.SZ</stp>
        <stp>LastPrice</stp>
        <tr r="J15" s="1"/>
      </tp>
      <tp>
        <v>16.78</v>
        <stp/>
        <stp>300793.SZ</stp>
        <stp>LastPrice</stp>
        <tr r="J23" s="1"/>
      </tp>
      <tp>
        <v>14.67</v>
        <stp/>
        <stp>300095.SZ</stp>
        <stp>LastPrice</stp>
        <tr r="J37" s="1"/>
      </tp>
      <tp>
        <v>15.65</v>
        <stp/>
        <stp>300383.SZ</stp>
        <stp>LastPrice</stp>
        <tr r="J33" s="1"/>
        <tr r="J34" s="1"/>
      </tp>
      <tp>
        <v>19.830000000000002</v>
        <stp/>
        <stp>300587.SZ</stp>
        <stp>LastPrice</stp>
        <tr r="J2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yysyx/Desktop/&#23450;&#22686;&#25237;&#21518;&#31649;&#29702;/&#23450;&#22686;&#25237;&#21518;&#31649;&#29702;-202201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持仓"/>
      <sheetName val="策略收益"/>
      <sheetName val="财通（君享天成）定增"/>
    </sheetNames>
    <sheetDataSet>
      <sheetData sheetId="0">
        <row r="2">
          <cell r="G2" t="str">
            <v>2021/09/02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3" sqref="T3"/>
    </sheetView>
  </sheetViews>
  <sheetFormatPr defaultColWidth="8.875" defaultRowHeight="13.5"/>
  <cols>
    <col min="1" max="1" width="8.875" style="21" customWidth="1"/>
    <col min="2" max="2" width="10" style="22" bestFit="1" customWidth="1"/>
    <col min="3" max="3" width="8.625" style="23" customWidth="1"/>
    <col min="4" max="4" width="12" style="51" bestFit="1" customWidth="1"/>
    <col min="5" max="5" width="11" style="24" bestFit="1" customWidth="1"/>
    <col min="6" max="6" width="19" style="52" customWidth="1"/>
    <col min="7" max="7" width="12.625" style="52" customWidth="1"/>
    <col min="8" max="8" width="16.125" style="53" bestFit="1" customWidth="1"/>
    <col min="9" max="9" width="9.125" style="21" bestFit="1" customWidth="1"/>
    <col min="10" max="11" width="8.875" style="21" customWidth="1"/>
    <col min="12" max="12" width="7.125" style="21" bestFit="1" customWidth="1"/>
    <col min="13" max="13" width="15" style="21" bestFit="1" customWidth="1"/>
    <col min="14" max="14" width="20.125" style="21" customWidth="1"/>
    <col min="15" max="15" width="11.125" style="21" bestFit="1" customWidth="1"/>
    <col min="16" max="16" width="11.625" style="21" bestFit="1" customWidth="1"/>
    <col min="17" max="17" width="13" style="21" customWidth="1"/>
    <col min="18" max="18" width="1.25" style="149" customWidth="1"/>
    <col min="19" max="19" width="11.125" style="43" customWidth="1"/>
    <col min="20" max="20" width="17.125" style="21" customWidth="1"/>
    <col min="21" max="21" width="17.625" style="21" customWidth="1"/>
    <col min="22" max="28" width="8.875" style="21" customWidth="1"/>
    <col min="29" max="16384" width="8.875" style="21"/>
  </cols>
  <sheetData>
    <row r="1" spans="1:21">
      <c r="A1" s="19" t="s">
        <v>0</v>
      </c>
      <c r="B1" s="20" t="s">
        <v>1</v>
      </c>
      <c r="C1" s="19" t="s">
        <v>2</v>
      </c>
      <c r="D1" s="54" t="s">
        <v>3</v>
      </c>
      <c r="E1" s="19" t="s">
        <v>4</v>
      </c>
      <c r="F1" s="55" t="s">
        <v>5</v>
      </c>
      <c r="G1" s="55" t="s">
        <v>6</v>
      </c>
      <c r="H1" s="56" t="s">
        <v>7</v>
      </c>
      <c r="I1" s="19" t="s">
        <v>8</v>
      </c>
      <c r="J1" s="19" t="s">
        <v>9</v>
      </c>
      <c r="K1" s="19" t="s">
        <v>170</v>
      </c>
      <c r="L1" s="19" t="s">
        <v>10</v>
      </c>
      <c r="M1" s="19" t="s">
        <v>171</v>
      </c>
      <c r="N1" s="19" t="s">
        <v>172</v>
      </c>
      <c r="O1" s="19" t="s">
        <v>11</v>
      </c>
      <c r="P1" s="19" t="s">
        <v>12</v>
      </c>
      <c r="Q1" s="19" t="s">
        <v>13</v>
      </c>
      <c r="R1" s="147"/>
      <c r="S1" s="158" t="s">
        <v>176</v>
      </c>
      <c r="T1" s="19" t="s">
        <v>174</v>
      </c>
      <c r="U1" s="19" t="s">
        <v>175</v>
      </c>
    </row>
    <row r="2" spans="1:21">
      <c r="A2" s="21" t="s">
        <v>14</v>
      </c>
      <c r="B2" s="22" t="s">
        <v>15</v>
      </c>
      <c r="C2" s="23" t="s">
        <v>16</v>
      </c>
      <c r="D2" s="51">
        <v>22333</v>
      </c>
      <c r="E2" s="24">
        <v>18.02</v>
      </c>
      <c r="F2" s="52">
        <f>D2*E2</f>
        <v>402440.66</v>
      </c>
      <c r="G2" s="52" t="s">
        <v>17</v>
      </c>
      <c r="H2" s="53">
        <f>[1]!s_dq_close(B2,O2-1,1)</f>
        <v>20.27</v>
      </c>
      <c r="I2" s="57">
        <f t="shared" ref="I2:I33" si="0">E2/H2</f>
        <v>0.88899851998026636</v>
      </c>
      <c r="J2" s="58">
        <f>RTD("wdf.rtq",,B2,"LastPrice")</f>
        <v>22.72</v>
      </c>
      <c r="K2" s="58">
        <f>[1]!s_dq_close(B2,互换策略收益!$A$1,1)</f>
        <v>23.35</v>
      </c>
      <c r="L2" s="57">
        <f t="shared" ref="L2:L33" si="1">J2/E2-1</f>
        <v>0.26082130965593775</v>
      </c>
      <c r="M2" s="59">
        <f>(J2-E2)*D2</f>
        <v>104965.09999999999</v>
      </c>
      <c r="N2" s="59">
        <f>(K2-E2)*D2</f>
        <v>119034.89000000004</v>
      </c>
      <c r="O2" s="25">
        <v>44438</v>
      </c>
      <c r="P2" s="26">
        <v>44463</v>
      </c>
      <c r="Q2" s="43">
        <v>44645</v>
      </c>
      <c r="R2" s="148"/>
      <c r="S2" s="43">
        <v>44609</v>
      </c>
      <c r="T2" s="146">
        <v>150781635.99000001</v>
      </c>
      <c r="U2" s="146">
        <f>T2-'2129'!F50</f>
        <v>38472675.99000001</v>
      </c>
    </row>
    <row r="3" spans="1:21">
      <c r="A3" s="21" t="s">
        <v>14</v>
      </c>
      <c r="B3" s="22" t="s">
        <v>18</v>
      </c>
      <c r="C3" s="23" t="s">
        <v>19</v>
      </c>
      <c r="D3" s="51">
        <v>160772</v>
      </c>
      <c r="E3" s="24">
        <v>6.22</v>
      </c>
      <c r="F3" s="52">
        <f>D3*E3</f>
        <v>1000001.84</v>
      </c>
      <c r="G3" s="52" t="s">
        <v>20</v>
      </c>
      <c r="H3" s="53">
        <f>[1]!s_dq_close(B3,O3-1,1)</f>
        <v>8.09</v>
      </c>
      <c r="I3" s="57">
        <f t="shared" si="0"/>
        <v>0.76885043263288011</v>
      </c>
      <c r="J3" s="58">
        <f>RTD("wdf.rtq",,B3,"LastPrice")</f>
        <v>8.0400000000000009</v>
      </c>
      <c r="K3" s="58">
        <f>[1]!s_dq_close(B3,互换策略收益!$A$1,1)</f>
        <v>7.77</v>
      </c>
      <c r="L3" s="57">
        <f t="shared" si="1"/>
        <v>0.29260450160771723</v>
      </c>
      <c r="M3" s="59">
        <f t="shared" ref="M3:M33" si="2">(J3-E3)*D3</f>
        <v>292605.04000000021</v>
      </c>
      <c r="N3" s="59">
        <f t="shared" ref="N3:N55" si="3">(K3-E3)*D3</f>
        <v>249196.59999999998</v>
      </c>
      <c r="O3" s="26">
        <v>44446</v>
      </c>
      <c r="P3" s="26">
        <v>44469</v>
      </c>
      <c r="Q3" s="43">
        <v>44651</v>
      </c>
      <c r="R3" s="148"/>
      <c r="S3" s="43">
        <v>44610</v>
      </c>
      <c r="T3" s="146">
        <f>SUM(F2:F1048576)+SUM(N2:N1048576)</f>
        <v>152765495.4630982</v>
      </c>
      <c r="U3" s="146">
        <f>T3-'2129'!F51</f>
        <v>39513655.463098198</v>
      </c>
    </row>
    <row r="4" spans="1:21">
      <c r="A4" s="21" t="s">
        <v>14</v>
      </c>
      <c r="B4" s="22" t="s">
        <v>21</v>
      </c>
      <c r="C4" s="23" t="s">
        <v>22</v>
      </c>
      <c r="D4" s="51">
        <v>240384</v>
      </c>
      <c r="E4" s="24">
        <v>4.16</v>
      </c>
      <c r="F4" s="52">
        <f>D4*E4</f>
        <v>999997.44000000006</v>
      </c>
      <c r="G4" s="52" t="s">
        <v>23</v>
      </c>
      <c r="H4" s="53">
        <f>[1]!s_dq_close(B4,O4-1,1)</f>
        <v>5.34</v>
      </c>
      <c r="I4" s="57">
        <f t="shared" si="0"/>
        <v>0.77902621722846443</v>
      </c>
      <c r="J4" s="58">
        <f>RTD("wdf.rtq",,B4,"LastPrice")</f>
        <v>4.6399999999999997</v>
      </c>
      <c r="K4" s="58">
        <f>[1]!s_dq_close(B4,互换策略收益!$A$1,1)</f>
        <v>4.67</v>
      </c>
      <c r="L4" s="57">
        <f t="shared" si="1"/>
        <v>0.1153846153846152</v>
      </c>
      <c r="M4" s="59">
        <f t="shared" si="2"/>
        <v>115384.31999999989</v>
      </c>
      <c r="N4" s="59">
        <f t="shared" si="3"/>
        <v>122595.83999999995</v>
      </c>
      <c r="O4" s="26">
        <v>44448</v>
      </c>
      <c r="P4" s="26">
        <v>44483</v>
      </c>
      <c r="Q4" s="43">
        <v>44665</v>
      </c>
      <c r="R4" s="148"/>
      <c r="T4" s="146"/>
    </row>
    <row r="5" spans="1:21">
      <c r="A5" s="21" t="s">
        <v>14</v>
      </c>
      <c r="B5" s="22" t="s">
        <v>24</v>
      </c>
      <c r="C5" s="23" t="s">
        <v>25</v>
      </c>
      <c r="D5" s="51">
        <v>176678</v>
      </c>
      <c r="E5" s="24">
        <v>5.66</v>
      </c>
      <c r="F5" s="52">
        <f>D5*E5</f>
        <v>999997.48</v>
      </c>
      <c r="G5" s="52" t="s">
        <v>26</v>
      </c>
      <c r="H5" s="53">
        <f>[1]!s_dq_close(B5,O5-1,1)</f>
        <v>7.27</v>
      </c>
      <c r="I5" s="57">
        <f t="shared" si="0"/>
        <v>0.77854195323246222</v>
      </c>
      <c r="J5" s="58">
        <f>RTD("wdf.rtq",,B5,"LastPrice")</f>
        <v>6.04</v>
      </c>
      <c r="K5" s="58">
        <f>[1]!s_dq_close(B5,互换策略收益!$A$1,1)</f>
        <v>5.78</v>
      </c>
      <c r="L5" s="57">
        <f t="shared" si="1"/>
        <v>6.7137809187279185E-2</v>
      </c>
      <c r="M5" s="59">
        <f t="shared" si="2"/>
        <v>67137.639999999985</v>
      </c>
      <c r="N5" s="59">
        <f t="shared" si="3"/>
        <v>21201.360000000019</v>
      </c>
      <c r="O5" s="26">
        <v>44448</v>
      </c>
      <c r="P5" s="26">
        <v>44477</v>
      </c>
      <c r="Q5" s="43">
        <v>44659</v>
      </c>
      <c r="R5" s="148"/>
      <c r="T5" s="146"/>
    </row>
    <row r="6" spans="1:21">
      <c r="A6" s="21" t="s">
        <v>14</v>
      </c>
      <c r="B6" s="22" t="s">
        <v>27</v>
      </c>
      <c r="C6" s="23" t="s">
        <v>28</v>
      </c>
      <c r="D6" s="51">
        <v>293255</v>
      </c>
      <c r="E6" s="24">
        <v>6.82</v>
      </c>
      <c r="F6" s="52">
        <f>D6*E6</f>
        <v>1999999.1</v>
      </c>
      <c r="G6" s="52" t="s">
        <v>29</v>
      </c>
      <c r="H6" s="53">
        <f>[1]!s_dq_close(B6,O6-1,1)</f>
        <v>7.55</v>
      </c>
      <c r="I6" s="57">
        <f t="shared" si="0"/>
        <v>0.90331125827814573</v>
      </c>
      <c r="J6" s="58">
        <f>RTD("wdf.rtq",,B6,"LastPrice")</f>
        <v>8.44</v>
      </c>
      <c r="K6" s="58">
        <f>[1]!s_dq_close(B6,互换策略收益!$A$1,1)</f>
        <v>8.1999999999999993</v>
      </c>
      <c r="L6" s="57">
        <f t="shared" si="1"/>
        <v>0.23753665689149539</v>
      </c>
      <c r="M6" s="59">
        <f t="shared" si="2"/>
        <v>475073.09999999974</v>
      </c>
      <c r="N6" s="59">
        <f t="shared" si="3"/>
        <v>404691.89999999973</v>
      </c>
      <c r="O6" s="26">
        <v>44462</v>
      </c>
      <c r="P6" s="26">
        <v>44483</v>
      </c>
      <c r="Q6" s="43">
        <v>44665</v>
      </c>
      <c r="R6" s="148"/>
      <c r="T6" s="146"/>
    </row>
    <row r="7" spans="1:21">
      <c r="A7" s="21" t="s">
        <v>14</v>
      </c>
      <c r="B7" s="22" t="s">
        <v>30</v>
      </c>
      <c r="C7" s="23" t="s">
        <v>31</v>
      </c>
      <c r="D7" s="51">
        <v>21827</v>
      </c>
      <c r="E7" s="24">
        <v>91.63</v>
      </c>
      <c r="F7" s="52">
        <v>2000008.01</v>
      </c>
      <c r="G7" s="52" t="s">
        <v>32</v>
      </c>
      <c r="H7" s="53">
        <f>[1]!s_dq_close(B7,O7-1,1)</f>
        <v>118.5</v>
      </c>
      <c r="I7" s="57">
        <f t="shared" si="0"/>
        <v>0.77324894514767928</v>
      </c>
      <c r="J7" s="58">
        <f>RTD("wdf.rtq",,B7,"LastPrice")</f>
        <v>108.81</v>
      </c>
      <c r="K7" s="58">
        <f>[1]!s_dq_close(B7,互换策略收益!$A$1,1)</f>
        <v>112.7</v>
      </c>
      <c r="L7" s="57">
        <f t="shared" si="1"/>
        <v>0.18749317908981777</v>
      </c>
      <c r="M7" s="59">
        <f t="shared" si="2"/>
        <v>374987.86000000016</v>
      </c>
      <c r="N7" s="59">
        <f t="shared" si="3"/>
        <v>459894.89000000019</v>
      </c>
      <c r="O7" s="26">
        <v>44466</v>
      </c>
      <c r="P7" s="26">
        <v>44487</v>
      </c>
      <c r="Q7" s="43">
        <v>44670</v>
      </c>
      <c r="R7" s="148"/>
      <c r="T7" s="146"/>
    </row>
    <row r="8" spans="1:21">
      <c r="A8" s="21" t="s">
        <v>14</v>
      </c>
      <c r="B8" s="22" t="s">
        <v>33</v>
      </c>
      <c r="C8" s="23" t="s">
        <v>34</v>
      </c>
      <c r="D8" s="51">
        <v>243013</v>
      </c>
      <c r="E8" s="24">
        <v>8.23</v>
      </c>
      <c r="F8" s="52">
        <v>1999996.99</v>
      </c>
      <c r="G8" s="52" t="s">
        <v>35</v>
      </c>
      <c r="H8" s="53">
        <f>[1]!s_dq_close(B8,O8-1,1)</f>
        <v>10.220000000000001</v>
      </c>
      <c r="I8" s="57">
        <f t="shared" si="0"/>
        <v>0.80528375733855184</v>
      </c>
      <c r="J8" s="58">
        <f>RTD("wdf.rtq",,B8,"LastPrice")</f>
        <v>8.66</v>
      </c>
      <c r="K8" s="58">
        <f>[1]!s_dq_close(B8,互换策略收益!$A$1,1)</f>
        <v>8.73</v>
      </c>
      <c r="L8" s="57">
        <f t="shared" si="1"/>
        <v>5.2247873633049835E-2</v>
      </c>
      <c r="M8" s="59">
        <f t="shared" si="2"/>
        <v>104495.58999999992</v>
      </c>
      <c r="N8" s="59">
        <f t="shared" si="3"/>
        <v>121506.5</v>
      </c>
      <c r="O8" s="26">
        <v>44452</v>
      </c>
      <c r="P8" s="26">
        <v>44489</v>
      </c>
      <c r="Q8" s="43">
        <v>44672</v>
      </c>
      <c r="R8" s="148"/>
      <c r="T8" s="146"/>
    </row>
    <row r="9" spans="1:21">
      <c r="A9" s="21" t="s">
        <v>36</v>
      </c>
      <c r="B9" s="22" t="s">
        <v>37</v>
      </c>
      <c r="C9" s="23" t="s">
        <v>38</v>
      </c>
      <c r="D9" s="51">
        <v>211193</v>
      </c>
      <c r="E9" s="24">
        <v>9.4700000000000006</v>
      </c>
      <c r="F9" s="52">
        <v>1999997.71</v>
      </c>
      <c r="G9" s="52" t="s">
        <v>39</v>
      </c>
      <c r="H9" s="53">
        <f>[1]!s_dq_close(B9,O9-1,1)</f>
        <v>11.32</v>
      </c>
      <c r="I9" s="57">
        <f t="shared" si="0"/>
        <v>0.83657243816254423</v>
      </c>
      <c r="J9" s="58">
        <f>RTD("wdf.rtq",,B9,"LastPrice")</f>
        <v>10.51</v>
      </c>
      <c r="K9" s="58">
        <f>[1]!s_dq_close(B9,互换策略收益!$A$1,1)</f>
        <v>10.6</v>
      </c>
      <c r="L9" s="57">
        <f t="shared" si="1"/>
        <v>0.10982048574445602</v>
      </c>
      <c r="M9" s="59">
        <f t="shared" si="2"/>
        <v>219640.71999999983</v>
      </c>
      <c r="N9" s="59">
        <f t="shared" si="3"/>
        <v>238648.08999999979</v>
      </c>
      <c r="O9" s="26">
        <v>44468</v>
      </c>
      <c r="P9" s="26">
        <v>44491</v>
      </c>
      <c r="Q9" s="43">
        <v>44672</v>
      </c>
      <c r="R9" s="148"/>
      <c r="T9" s="146"/>
    </row>
    <row r="10" spans="1:21">
      <c r="A10" s="21" t="s">
        <v>36</v>
      </c>
      <c r="B10" s="22" t="s">
        <v>40</v>
      </c>
      <c r="C10" s="23" t="s">
        <v>41</v>
      </c>
      <c r="D10" s="51">
        <v>330033</v>
      </c>
      <c r="E10" s="24">
        <v>6.06</v>
      </c>
      <c r="F10" s="52">
        <v>1999999.98</v>
      </c>
      <c r="G10" s="52" t="s">
        <v>39</v>
      </c>
      <c r="H10" s="53">
        <f>[1]!s_dq_close(B10,O10-1,1)</f>
        <v>7.64</v>
      </c>
      <c r="I10" s="57">
        <f t="shared" si="0"/>
        <v>0.79319371727748689</v>
      </c>
      <c r="J10" s="58">
        <f>RTD("wdf.rtq",,B10,"LastPrice")</f>
        <v>7.09</v>
      </c>
      <c r="K10" s="58">
        <f>[1]!s_dq_close(B10,互换策略收益!$A$1,1)</f>
        <v>7.17</v>
      </c>
      <c r="L10" s="57">
        <f t="shared" si="1"/>
        <v>0.16996699669966997</v>
      </c>
      <c r="M10" s="59">
        <f t="shared" si="2"/>
        <v>339933.99000000011</v>
      </c>
      <c r="N10" s="59">
        <f t="shared" si="3"/>
        <v>366336.63000000012</v>
      </c>
      <c r="O10" s="26">
        <v>44468</v>
      </c>
      <c r="P10" s="26">
        <v>44503</v>
      </c>
      <c r="Q10" s="43">
        <v>44686</v>
      </c>
      <c r="R10" s="148"/>
      <c r="T10" s="146"/>
    </row>
    <row r="11" spans="1:21">
      <c r="A11" s="21" t="s">
        <v>42</v>
      </c>
      <c r="B11" s="22" t="s">
        <v>43</v>
      </c>
      <c r="C11" s="23" t="s">
        <v>44</v>
      </c>
      <c r="D11" s="51">
        <v>34977</v>
      </c>
      <c r="E11" s="24">
        <v>57.18</v>
      </c>
      <c r="F11" s="52">
        <v>1999984.86</v>
      </c>
      <c r="G11" s="27">
        <v>44517</v>
      </c>
      <c r="H11" s="53">
        <f>[1]!s_dq_close(B11,O11-1,1)</f>
        <v>63.52</v>
      </c>
      <c r="I11" s="57">
        <f t="shared" si="0"/>
        <v>0.90018891687657421</v>
      </c>
      <c r="J11" s="58">
        <f>RTD("wdf.rtq",,B11,"LastPrice")</f>
        <v>60.21</v>
      </c>
      <c r="K11" s="58">
        <f>[1]!s_dq_close(B11,互换策略收益!$A$1,1)</f>
        <v>61.4</v>
      </c>
      <c r="L11" s="57">
        <f t="shared" si="1"/>
        <v>5.2990556138510003E-2</v>
      </c>
      <c r="M11" s="59">
        <f t="shared" si="2"/>
        <v>105980.31000000004</v>
      </c>
      <c r="N11" s="59">
        <f t="shared" si="3"/>
        <v>147602.93999999997</v>
      </c>
      <c r="O11" s="26">
        <v>44491</v>
      </c>
      <c r="P11" s="26">
        <v>44519</v>
      </c>
      <c r="Q11" s="43">
        <v>44700</v>
      </c>
      <c r="R11" s="148"/>
      <c r="T11" s="146"/>
    </row>
    <row r="12" spans="1:21">
      <c r="A12" s="21" t="s">
        <v>42</v>
      </c>
      <c r="B12" s="22" t="s">
        <v>45</v>
      </c>
      <c r="C12" s="23" t="s">
        <v>46</v>
      </c>
      <c r="D12" s="51">
        <v>86095</v>
      </c>
      <c r="E12" s="24">
        <v>23.23</v>
      </c>
      <c r="F12" s="52">
        <v>1999986.85</v>
      </c>
      <c r="G12" s="27">
        <v>44523</v>
      </c>
      <c r="H12" s="53">
        <f>[1]!s_dq_close(B12,O12-1,1)</f>
        <v>26.83</v>
      </c>
      <c r="I12" s="57">
        <f t="shared" si="0"/>
        <v>0.86582184122251216</v>
      </c>
      <c r="J12" s="58">
        <f>RTD("wdf.rtq",,B12,"LastPrice")</f>
        <v>26.240000000000002</v>
      </c>
      <c r="K12" s="58">
        <f>[1]!s_dq_close(B12,互换策略收益!$A$1,1)</f>
        <v>26.5</v>
      </c>
      <c r="L12" s="57">
        <f t="shared" si="1"/>
        <v>0.12957382694791231</v>
      </c>
      <c r="M12" s="59">
        <f t="shared" si="2"/>
        <v>259145.95000000013</v>
      </c>
      <c r="N12" s="59">
        <f t="shared" si="3"/>
        <v>281530.64999999997</v>
      </c>
      <c r="O12" s="28">
        <v>44498</v>
      </c>
      <c r="P12" s="43">
        <v>44524</v>
      </c>
      <c r="Q12" s="43">
        <v>44705</v>
      </c>
      <c r="R12" s="148"/>
      <c r="T12" s="146"/>
    </row>
    <row r="13" spans="1:21">
      <c r="A13" s="21" t="s">
        <v>42</v>
      </c>
      <c r="B13" s="22" t="s">
        <v>47</v>
      </c>
      <c r="C13" s="23" t="s">
        <v>48</v>
      </c>
      <c r="D13" s="51">
        <v>3030</v>
      </c>
      <c r="E13" s="24">
        <v>330</v>
      </c>
      <c r="F13" s="52">
        <v>999900</v>
      </c>
      <c r="G13" s="27">
        <v>44516</v>
      </c>
      <c r="H13" s="53">
        <f>[1]!s_dq_close(B13,O13-1,1)</f>
        <v>418.62</v>
      </c>
      <c r="I13" s="57">
        <f t="shared" si="0"/>
        <v>0.78830442883760932</v>
      </c>
      <c r="J13" s="58">
        <f>RTD("wdf.rtq",,B13,"LastPrice")</f>
        <v>326.62</v>
      </c>
      <c r="K13" s="58">
        <f>[1]!s_dq_close(B13,互换策略收益!$A$1,1)</f>
        <v>313.8</v>
      </c>
      <c r="L13" s="57">
        <f t="shared" si="1"/>
        <v>-1.0242424242424275E-2</v>
      </c>
      <c r="M13" s="59">
        <f t="shared" si="2"/>
        <v>-10241.399999999987</v>
      </c>
      <c r="N13" s="59">
        <f t="shared" si="3"/>
        <v>-49085.999999999964</v>
      </c>
      <c r="O13" s="28">
        <v>44497</v>
      </c>
      <c r="P13" s="43">
        <v>44512</v>
      </c>
      <c r="Q13" s="43">
        <v>44694</v>
      </c>
      <c r="R13" s="148"/>
      <c r="T13" s="146"/>
    </row>
    <row r="14" spans="1:21">
      <c r="A14" s="29" t="s">
        <v>42</v>
      </c>
      <c r="B14" s="29" t="s">
        <v>49</v>
      </c>
      <c r="C14" s="30" t="s">
        <v>50</v>
      </c>
      <c r="D14" s="60">
        <v>23866</v>
      </c>
      <c r="E14" s="31">
        <v>41.9</v>
      </c>
      <c r="F14" s="61">
        <v>999985.4</v>
      </c>
      <c r="G14" s="61" t="s">
        <v>51</v>
      </c>
      <c r="H14" s="62">
        <f>[1]!s_dq_close(B14,O14-1,1)</f>
        <v>47.59</v>
      </c>
      <c r="I14" s="63">
        <f t="shared" si="0"/>
        <v>0.88043706661063237</v>
      </c>
      <c r="J14" s="64">
        <f>RTD("wdf.rtq",,B14,"LastPrice")</f>
        <v>33.85</v>
      </c>
      <c r="K14" s="58">
        <f>[1]!s_dq_close(B14,互换策略收益!$A$1,1)</f>
        <v>35.200000000000003</v>
      </c>
      <c r="L14" s="63">
        <f t="shared" si="1"/>
        <v>-0.19212410501193311</v>
      </c>
      <c r="M14" s="65">
        <f t="shared" si="2"/>
        <v>-192121.29999999993</v>
      </c>
      <c r="N14" s="65">
        <f t="shared" si="3"/>
        <v>-159902.1999999999</v>
      </c>
      <c r="O14" s="32">
        <v>44503</v>
      </c>
      <c r="P14" s="33">
        <v>44529</v>
      </c>
      <c r="Q14" s="33">
        <v>44711</v>
      </c>
      <c r="R14" s="148"/>
      <c r="S14" s="33"/>
      <c r="T14" s="146"/>
    </row>
    <row r="15" spans="1:21">
      <c r="A15" s="21" t="s">
        <v>14</v>
      </c>
      <c r="B15" s="22" t="s">
        <v>52</v>
      </c>
      <c r="C15" s="23" t="s">
        <v>53</v>
      </c>
      <c r="D15" s="51">
        <v>395569</v>
      </c>
      <c r="E15" s="24">
        <v>12.64</v>
      </c>
      <c r="F15" s="52">
        <v>4999992.16</v>
      </c>
      <c r="G15" s="52" t="s">
        <v>54</v>
      </c>
      <c r="H15" s="53">
        <f>[1]!s_dq_close(B15,O15-1,1)</f>
        <v>15.39</v>
      </c>
      <c r="I15" s="57">
        <f t="shared" si="0"/>
        <v>0.82131254061078618</v>
      </c>
      <c r="J15" s="58">
        <f>RTD("wdf.rtq",,B15,"LastPrice")</f>
        <v>15.88</v>
      </c>
      <c r="K15" s="58">
        <f>[1]!s_dq_close(B15,互换策略收益!$A$1,1)</f>
        <v>15.61</v>
      </c>
      <c r="L15" s="57">
        <f t="shared" si="1"/>
        <v>0.25632911392405067</v>
      </c>
      <c r="M15" s="59">
        <f t="shared" si="2"/>
        <v>1281643.56</v>
      </c>
      <c r="N15" s="59">
        <f t="shared" si="3"/>
        <v>1174839.9299999995</v>
      </c>
      <c r="O15" s="26">
        <v>44508</v>
      </c>
      <c r="P15" s="43">
        <v>44540</v>
      </c>
      <c r="Q15" s="43">
        <v>44725</v>
      </c>
      <c r="R15" s="148"/>
      <c r="T15" s="146"/>
    </row>
    <row r="16" spans="1:21">
      <c r="A16" s="21" t="s">
        <v>42</v>
      </c>
      <c r="B16" s="22" t="s">
        <v>55</v>
      </c>
      <c r="C16" s="23" t="s">
        <v>56</v>
      </c>
      <c r="D16" s="51">
        <v>58523</v>
      </c>
      <c r="E16" s="24">
        <v>33</v>
      </c>
      <c r="F16" s="134">
        <v>1931259</v>
      </c>
      <c r="G16" s="27">
        <v>44579</v>
      </c>
      <c r="H16" s="53">
        <f>[1]!s_dq_close(B16,O16-1,1)</f>
        <v>37.11</v>
      </c>
      <c r="I16" s="57">
        <f t="shared" si="0"/>
        <v>0.88924818108326598</v>
      </c>
      <c r="J16" s="58">
        <f>RTD("wdf.rtq",,B16,"LastPrice")</f>
        <v>38.53</v>
      </c>
      <c r="K16" s="58">
        <f>[1]!s_dq_close(B16,互换策略收益!$A$1,1)</f>
        <v>37.880000000000003</v>
      </c>
      <c r="L16" s="57">
        <f t="shared" si="1"/>
        <v>0.16757575757575771</v>
      </c>
      <c r="M16" s="59">
        <f t="shared" si="2"/>
        <v>323632.19000000006</v>
      </c>
      <c r="N16" s="59">
        <f t="shared" si="3"/>
        <v>285592.24000000017</v>
      </c>
      <c r="O16" s="137">
        <v>44508</v>
      </c>
      <c r="P16" s="43">
        <v>44581</v>
      </c>
      <c r="Q16" s="43">
        <v>44762</v>
      </c>
      <c r="R16" s="148"/>
      <c r="T16" s="146"/>
    </row>
    <row r="17" spans="1:20">
      <c r="A17" s="21" t="s">
        <v>42</v>
      </c>
      <c r="B17" s="22" t="s">
        <v>57</v>
      </c>
      <c r="C17" s="23" t="s">
        <v>58</v>
      </c>
      <c r="D17" s="51">
        <v>130000</v>
      </c>
      <c r="E17" s="24">
        <v>22</v>
      </c>
      <c r="F17" s="67">
        <v>2860000</v>
      </c>
      <c r="G17" s="27">
        <v>44526</v>
      </c>
      <c r="H17" s="53">
        <f>[1]!s_dq_close(B17,O17-1,1)</f>
        <v>26.9</v>
      </c>
      <c r="I17" s="57">
        <f t="shared" si="0"/>
        <v>0.8178438661710038</v>
      </c>
      <c r="J17" s="58">
        <f>RTD("wdf.rtq",,B17,"LastPrice")</f>
        <v>22.650000000000002</v>
      </c>
      <c r="K17" s="58">
        <f>[1]!s_dq_close(B17,互换策略收益!$A$1,1)</f>
        <v>22.68</v>
      </c>
      <c r="L17" s="57">
        <f t="shared" si="1"/>
        <v>2.9545454545454541E-2</v>
      </c>
      <c r="M17" s="59">
        <f t="shared" si="2"/>
        <v>84500.000000000276</v>
      </c>
      <c r="N17" s="59">
        <f t="shared" si="3"/>
        <v>88399.999999999956</v>
      </c>
      <c r="O17" s="26">
        <v>44508</v>
      </c>
      <c r="P17" s="43">
        <v>44524</v>
      </c>
      <c r="Q17" s="43">
        <v>44706</v>
      </c>
      <c r="R17" s="148"/>
      <c r="T17" s="146"/>
    </row>
    <row r="18" spans="1:20">
      <c r="A18" s="21" t="s">
        <v>42</v>
      </c>
      <c r="B18" s="22" t="s">
        <v>59</v>
      </c>
      <c r="C18" s="23" t="s">
        <v>60</v>
      </c>
      <c r="D18" s="51">
        <v>19494</v>
      </c>
      <c r="E18" s="24">
        <v>87.84</v>
      </c>
      <c r="F18" s="52">
        <v>1712352.96</v>
      </c>
      <c r="G18" s="27">
        <v>44531</v>
      </c>
      <c r="H18" s="53">
        <f>[1]!s_dq_close(B18,O18-1,1)</f>
        <v>97.6</v>
      </c>
      <c r="I18" s="57">
        <f t="shared" si="0"/>
        <v>0.90000000000000013</v>
      </c>
      <c r="J18" s="58">
        <f>RTD("wdf.rtq",,B18,"LastPrice")</f>
        <v>80.34</v>
      </c>
      <c r="K18" s="58">
        <f>[1]!s_dq_close(B18,互换策略收益!$A$1,1)</f>
        <v>81.260000000000005</v>
      </c>
      <c r="L18" s="57">
        <f t="shared" si="1"/>
        <v>-8.5382513661202197E-2</v>
      </c>
      <c r="M18" s="59">
        <f t="shared" si="2"/>
        <v>-146205</v>
      </c>
      <c r="N18" s="59">
        <f t="shared" si="3"/>
        <v>-128270.51999999996</v>
      </c>
      <c r="O18" s="28">
        <v>44510</v>
      </c>
      <c r="P18" s="43">
        <v>44533</v>
      </c>
      <c r="Q18" s="43">
        <v>44718</v>
      </c>
      <c r="R18" s="148"/>
      <c r="T18" s="146"/>
    </row>
    <row r="19" spans="1:20">
      <c r="A19" s="21" t="s">
        <v>14</v>
      </c>
      <c r="B19" s="22" t="s">
        <v>61</v>
      </c>
      <c r="C19" s="23" t="s">
        <v>62</v>
      </c>
      <c r="D19" s="51">
        <v>36023</v>
      </c>
      <c r="E19" s="24">
        <v>138.80000000000001</v>
      </c>
      <c r="F19" s="52">
        <v>4999992.4000000004</v>
      </c>
      <c r="G19" s="52" t="s">
        <v>63</v>
      </c>
      <c r="H19" s="53">
        <f>[1]!s_dq_close(B19,O19-1,1)</f>
        <v>164.87</v>
      </c>
      <c r="I19" s="57">
        <f t="shared" si="0"/>
        <v>0.8418754169952084</v>
      </c>
      <c r="J19" s="58">
        <f>RTD("wdf.rtq",,B19,"LastPrice")</f>
        <v>122.3</v>
      </c>
      <c r="K19" s="58">
        <f>[1]!s_dq_close(B19,互换策略收益!$A$1,1)</f>
        <v>125.15</v>
      </c>
      <c r="L19" s="57">
        <f t="shared" si="1"/>
        <v>-0.11887608069164279</v>
      </c>
      <c r="M19" s="59">
        <f t="shared" si="2"/>
        <v>-594379.50000000047</v>
      </c>
      <c r="N19" s="59">
        <f t="shared" si="3"/>
        <v>-491713.95000000019</v>
      </c>
      <c r="O19" s="28">
        <v>44511</v>
      </c>
      <c r="P19" s="43">
        <v>44532</v>
      </c>
      <c r="Q19" s="43">
        <v>44714</v>
      </c>
      <c r="R19" s="148"/>
      <c r="T19" s="146"/>
    </row>
    <row r="20" spans="1:20">
      <c r="A20" s="21" t="s">
        <v>14</v>
      </c>
      <c r="B20" s="22" t="s">
        <v>64</v>
      </c>
      <c r="C20" s="23" t="s">
        <v>65</v>
      </c>
      <c r="D20" s="51">
        <v>671141</v>
      </c>
      <c r="E20" s="24">
        <v>7.45</v>
      </c>
      <c r="F20" s="52">
        <v>5000000.45</v>
      </c>
      <c r="G20" s="52" t="s">
        <v>66</v>
      </c>
      <c r="H20" s="53">
        <f>[1]!s_dq_close(B20,O20-1,1)</f>
        <v>9.6300000000000008</v>
      </c>
      <c r="I20" s="57">
        <f t="shared" si="0"/>
        <v>0.77362409138110066</v>
      </c>
      <c r="J20" s="58">
        <f>RTD("wdf.rtq",,B20,"LastPrice")</f>
        <v>11.58</v>
      </c>
      <c r="K20" s="58">
        <f>[1]!s_dq_close(B20,互换策略收益!$A$1,1)</f>
        <v>11.93</v>
      </c>
      <c r="L20" s="57">
        <f t="shared" si="1"/>
        <v>0.55436241610738257</v>
      </c>
      <c r="M20" s="59">
        <f t="shared" si="2"/>
        <v>2771812.33</v>
      </c>
      <c r="N20" s="59">
        <f t="shared" si="3"/>
        <v>3006711.6799999997</v>
      </c>
      <c r="O20" s="26">
        <v>44512</v>
      </c>
      <c r="P20" s="43">
        <v>44554</v>
      </c>
      <c r="Q20" s="43">
        <v>44739</v>
      </c>
      <c r="R20" s="148"/>
      <c r="T20" s="146"/>
    </row>
    <row r="21" spans="1:20">
      <c r="A21" s="21" t="s">
        <v>42</v>
      </c>
      <c r="B21" s="22" t="s">
        <v>64</v>
      </c>
      <c r="C21" s="23" t="s">
        <v>65</v>
      </c>
      <c r="D21" s="51">
        <v>134228</v>
      </c>
      <c r="E21" s="24">
        <v>7.45</v>
      </c>
      <c r="F21" s="52">
        <v>999998.6</v>
      </c>
      <c r="G21" s="27">
        <v>44553</v>
      </c>
      <c r="H21" s="53">
        <f>[1]!s_dq_close(B21,O21-1,1)</f>
        <v>9.6300000000000008</v>
      </c>
      <c r="I21" s="57">
        <f t="shared" si="0"/>
        <v>0.77362409138110066</v>
      </c>
      <c r="J21" s="58">
        <f>RTD("wdf.rtq",,B21,"LastPrice")</f>
        <v>11.58</v>
      </c>
      <c r="K21" s="58">
        <f>[1]!s_dq_close(B21,互换策略收益!$A$1,1)</f>
        <v>11.93</v>
      </c>
      <c r="L21" s="57">
        <f t="shared" si="1"/>
        <v>0.55436241610738257</v>
      </c>
      <c r="M21" s="59">
        <f t="shared" si="2"/>
        <v>554361.64</v>
      </c>
      <c r="N21" s="59">
        <f t="shared" si="3"/>
        <v>601341.43999999994</v>
      </c>
      <c r="O21" s="26">
        <v>44512</v>
      </c>
      <c r="P21" s="43">
        <v>44554</v>
      </c>
      <c r="Q21" s="43">
        <v>44739</v>
      </c>
      <c r="R21" s="148"/>
      <c r="T21" s="146"/>
    </row>
    <row r="22" spans="1:20">
      <c r="A22" s="21" t="s">
        <v>42</v>
      </c>
      <c r="B22" s="22" t="s">
        <v>67</v>
      </c>
      <c r="C22" s="23" t="s">
        <v>68</v>
      </c>
      <c r="D22" s="51">
        <v>120627</v>
      </c>
      <c r="E22" s="24">
        <v>16.579999999999998</v>
      </c>
      <c r="F22" s="52">
        <v>1999995.66</v>
      </c>
      <c r="G22" s="27">
        <v>44536</v>
      </c>
      <c r="H22" s="53">
        <f>[1]!s_dq_close(B22,O22-1,1)</f>
        <v>19.25</v>
      </c>
      <c r="I22" s="57">
        <f t="shared" si="0"/>
        <v>0.86129870129870123</v>
      </c>
      <c r="J22" s="58">
        <f>RTD("wdf.rtq",,B22,"LastPrice")</f>
        <v>19.830000000000002</v>
      </c>
      <c r="K22" s="58">
        <f>[1]!s_dq_close(B22,互换策略收益!$A$1,1)</f>
        <v>19.850000000000001</v>
      </c>
      <c r="L22" s="57">
        <f t="shared" si="1"/>
        <v>0.19601930036188198</v>
      </c>
      <c r="M22" s="59">
        <f t="shared" si="2"/>
        <v>392037.75000000041</v>
      </c>
      <c r="N22" s="59">
        <f t="shared" si="3"/>
        <v>394450.29000000039</v>
      </c>
      <c r="O22" s="26">
        <v>44518</v>
      </c>
      <c r="P22" s="43">
        <v>44537</v>
      </c>
      <c r="Q22" s="43">
        <v>44720</v>
      </c>
      <c r="R22" s="148"/>
      <c r="T22" s="146"/>
    </row>
    <row r="23" spans="1:20">
      <c r="A23" s="21" t="s">
        <v>42</v>
      </c>
      <c r="B23" s="22" t="s">
        <v>69</v>
      </c>
      <c r="C23" s="23" t="s">
        <v>70</v>
      </c>
      <c r="D23" s="51">
        <f>1000000/E23</f>
        <v>70621.468926553673</v>
      </c>
      <c r="E23" s="24">
        <v>14.16</v>
      </c>
      <c r="F23" s="52">
        <v>2999994.24</v>
      </c>
      <c r="G23" s="27">
        <v>44539</v>
      </c>
      <c r="H23" s="53">
        <f>[1]!s_dq_close(B23,O23-1,1)</f>
        <v>19.82</v>
      </c>
      <c r="I23" s="57">
        <f t="shared" si="0"/>
        <v>0.71442986881937431</v>
      </c>
      <c r="J23" s="58">
        <f>RTD("wdf.rtq",,B23,"LastPrice")</f>
        <v>16.78</v>
      </c>
      <c r="K23" s="58">
        <f>[1]!s_dq_close(B23,互换策略收益!$A$1,1)</f>
        <v>17.18</v>
      </c>
      <c r="L23" s="57">
        <f t="shared" si="1"/>
        <v>0.18502824858757072</v>
      </c>
      <c r="M23" s="59">
        <f t="shared" si="2"/>
        <v>185028.24858757071</v>
      </c>
      <c r="N23" s="59">
        <f t="shared" si="3"/>
        <v>213276.83615819205</v>
      </c>
      <c r="O23" s="26">
        <v>44518</v>
      </c>
      <c r="P23" s="43">
        <v>44540</v>
      </c>
      <c r="Q23" s="43">
        <v>44722</v>
      </c>
      <c r="R23" s="148"/>
      <c r="T23" s="146"/>
    </row>
    <row r="24" spans="1:20">
      <c r="A24" s="21" t="s">
        <v>42</v>
      </c>
      <c r="B24" s="22" t="s">
        <v>71</v>
      </c>
      <c r="C24" s="23" t="s">
        <v>72</v>
      </c>
      <c r="D24" s="51">
        <f>1000000/E24</f>
        <v>44782.803403493061</v>
      </c>
      <c r="E24" s="24">
        <v>22.33</v>
      </c>
      <c r="F24" s="52">
        <v>1000004.39</v>
      </c>
      <c r="G24" s="27">
        <v>44550</v>
      </c>
      <c r="H24" s="53">
        <f>[1]!s_dq_close(B24,O24-1,1)</f>
        <v>25.84</v>
      </c>
      <c r="I24" s="57">
        <f t="shared" si="0"/>
        <v>0.86416408668730649</v>
      </c>
      <c r="J24" s="58">
        <f>RTD("wdf.rtq",,B24,"LastPrice")</f>
        <v>25.91</v>
      </c>
      <c r="K24" s="58">
        <f>[1]!s_dq_close(B24,互换策略收益!$A$1,1)</f>
        <v>26.85</v>
      </c>
      <c r="L24" s="57">
        <f t="shared" si="1"/>
        <v>0.16032243618450526</v>
      </c>
      <c r="M24" s="59">
        <f t="shared" si="2"/>
        <v>160322.43618450523</v>
      </c>
      <c r="N24" s="59">
        <f t="shared" si="3"/>
        <v>202418.27138378879</v>
      </c>
      <c r="O24" s="26">
        <v>44518</v>
      </c>
      <c r="P24" s="43">
        <v>44546</v>
      </c>
      <c r="Q24" s="43">
        <v>44728</v>
      </c>
      <c r="R24" s="148"/>
      <c r="T24" s="146"/>
    </row>
    <row r="25" spans="1:20">
      <c r="A25" s="21" t="s">
        <v>14</v>
      </c>
      <c r="B25" s="22" t="s">
        <v>73</v>
      </c>
      <c r="C25" s="23" t="s">
        <v>74</v>
      </c>
      <c r="D25" s="51">
        <v>155715</v>
      </c>
      <c r="E25" s="24">
        <v>32.11</v>
      </c>
      <c r="F25" s="52">
        <v>5000008.6500000004</v>
      </c>
      <c r="G25" s="27" t="s">
        <v>75</v>
      </c>
      <c r="H25" s="53">
        <f>[1]!s_dq_close(B25,O25-1,1)</f>
        <v>36.299999999999997</v>
      </c>
      <c r="I25" s="57">
        <f t="shared" si="0"/>
        <v>0.88457300275482098</v>
      </c>
      <c r="J25" s="58">
        <f>RTD("wdf.rtq",,B25,"LastPrice")</f>
        <v>47.93</v>
      </c>
      <c r="K25" s="58">
        <f>[1]!s_dq_close(B25,互换策略收益!$A$1,1)</f>
        <v>47.44</v>
      </c>
      <c r="L25" s="57">
        <f t="shared" si="1"/>
        <v>0.49268140766116475</v>
      </c>
      <c r="M25" s="59">
        <f t="shared" si="2"/>
        <v>2463411.2999999998</v>
      </c>
      <c r="N25" s="59">
        <f t="shared" si="3"/>
        <v>2387110.9499999997</v>
      </c>
      <c r="O25" s="26">
        <v>44519</v>
      </c>
      <c r="P25" s="43">
        <v>44552</v>
      </c>
      <c r="Q25" s="43">
        <v>44734</v>
      </c>
      <c r="R25" s="148"/>
      <c r="T25" s="146"/>
    </row>
    <row r="26" spans="1:20">
      <c r="A26" s="21" t="s">
        <v>14</v>
      </c>
      <c r="B26" s="22" t="s">
        <v>76</v>
      </c>
      <c r="C26" s="23" t="s">
        <v>77</v>
      </c>
      <c r="D26" s="51">
        <v>35541</v>
      </c>
      <c r="E26" s="24">
        <v>14.04</v>
      </c>
      <c r="F26" s="52">
        <v>498995.64</v>
      </c>
      <c r="G26" s="27" t="s">
        <v>78</v>
      </c>
      <c r="H26" s="53">
        <f>[1]!s_dq_close(B26,O26-1,1)</f>
        <v>16.7</v>
      </c>
      <c r="I26" s="57">
        <f t="shared" si="0"/>
        <v>0.84071856287425151</v>
      </c>
      <c r="J26" s="58">
        <f>RTD("wdf.rtq",,B26,"LastPrice")</f>
        <v>16.25</v>
      </c>
      <c r="K26" s="58">
        <f>[1]!s_dq_close(B26,互换策略收益!$A$1,1)</f>
        <v>16.72</v>
      </c>
      <c r="L26" s="57">
        <f t="shared" si="1"/>
        <v>0.15740740740740744</v>
      </c>
      <c r="M26" s="59">
        <f t="shared" si="2"/>
        <v>78545.61000000003</v>
      </c>
      <c r="N26" s="59">
        <f t="shared" si="3"/>
        <v>95249.87999999999</v>
      </c>
      <c r="O26" s="43">
        <v>44523</v>
      </c>
      <c r="P26" s="43">
        <v>44532</v>
      </c>
      <c r="Q26" s="43">
        <v>44714</v>
      </c>
      <c r="R26" s="148"/>
      <c r="T26" s="146"/>
    </row>
    <row r="27" spans="1:20">
      <c r="A27" s="21" t="s">
        <v>42</v>
      </c>
      <c r="B27" s="22" t="s">
        <v>76</v>
      </c>
      <c r="C27" s="23" t="s">
        <v>77</v>
      </c>
      <c r="D27" s="51">
        <v>71225</v>
      </c>
      <c r="E27" s="24">
        <v>14.04</v>
      </c>
      <c r="F27" s="52">
        <v>999999</v>
      </c>
      <c r="G27" s="27">
        <v>44536</v>
      </c>
      <c r="H27" s="53">
        <f>[1]!s_dq_close(B27,O27-1,1)</f>
        <v>16.7</v>
      </c>
      <c r="I27" s="57">
        <f t="shared" si="0"/>
        <v>0.84071856287425151</v>
      </c>
      <c r="J27" s="58">
        <f>RTD("wdf.rtq",,B27,"LastPrice")</f>
        <v>16.25</v>
      </c>
      <c r="K27" s="58">
        <f>[1]!s_dq_close(B27,互换策略收益!$A$1,1)</f>
        <v>16.72</v>
      </c>
      <c r="L27" s="57">
        <f t="shared" si="1"/>
        <v>0.15740740740740744</v>
      </c>
      <c r="M27" s="59">
        <f t="shared" si="2"/>
        <v>157407.25000000006</v>
      </c>
      <c r="N27" s="59">
        <f t="shared" si="3"/>
        <v>190882.99999999997</v>
      </c>
      <c r="O27" s="43">
        <v>44523</v>
      </c>
      <c r="P27" s="43">
        <v>44532</v>
      </c>
      <c r="Q27" s="43">
        <v>44714</v>
      </c>
      <c r="R27" s="148"/>
      <c r="T27" s="146"/>
    </row>
    <row r="28" spans="1:20">
      <c r="A28" s="21" t="s">
        <v>14</v>
      </c>
      <c r="B28" s="22" t="s">
        <v>79</v>
      </c>
      <c r="C28" s="23" t="s">
        <v>80</v>
      </c>
      <c r="D28" s="51">
        <v>566251</v>
      </c>
      <c r="E28" s="24">
        <v>8.83</v>
      </c>
      <c r="F28" s="52">
        <v>4999996.33</v>
      </c>
      <c r="G28" s="27">
        <v>44532</v>
      </c>
      <c r="H28" s="53">
        <f>[1]!s_dq_close(B28,O28-1,1)</f>
        <v>11.03</v>
      </c>
      <c r="I28" s="57">
        <f t="shared" si="0"/>
        <v>0.80054397098821406</v>
      </c>
      <c r="J28" s="58">
        <f>RTD("wdf.rtq",,B28,"LastPrice")</f>
        <v>14.21</v>
      </c>
      <c r="K28" s="58">
        <f>[1]!s_dq_close(B28,互换策略收益!$A$1,1)</f>
        <v>13.56</v>
      </c>
      <c r="L28" s="57">
        <f t="shared" si="1"/>
        <v>0.60928652321630805</v>
      </c>
      <c r="M28" s="59">
        <f t="shared" si="2"/>
        <v>3046430.3800000004</v>
      </c>
      <c r="N28" s="59">
        <f t="shared" si="3"/>
        <v>2678367.2300000004</v>
      </c>
      <c r="O28" s="43">
        <v>44529</v>
      </c>
      <c r="P28" s="43">
        <v>44558</v>
      </c>
      <c r="Q28" s="43">
        <v>44741</v>
      </c>
      <c r="R28" s="148"/>
      <c r="T28" s="146"/>
    </row>
    <row r="29" spans="1:20">
      <c r="A29" s="21" t="s">
        <v>42</v>
      </c>
      <c r="B29" s="22" t="s">
        <v>79</v>
      </c>
      <c r="C29" s="23" t="s">
        <v>80</v>
      </c>
      <c r="D29" s="51">
        <f>F29/E29</f>
        <v>226501</v>
      </c>
      <c r="E29" s="24">
        <v>8.83</v>
      </c>
      <c r="F29" s="52">
        <v>2000003.83</v>
      </c>
      <c r="G29" s="27">
        <v>44557</v>
      </c>
      <c r="H29" s="53">
        <f>[1]!s_dq_close(B29,O29-1,1)</f>
        <v>11.03</v>
      </c>
      <c r="I29" s="57">
        <f t="shared" si="0"/>
        <v>0.80054397098821406</v>
      </c>
      <c r="J29" s="58">
        <f>RTD("wdf.rtq",,B29,"LastPrice")</f>
        <v>14.21</v>
      </c>
      <c r="K29" s="58">
        <f>[1]!s_dq_close(B29,互换策略收益!$A$1,1)</f>
        <v>13.56</v>
      </c>
      <c r="L29" s="57">
        <f t="shared" si="1"/>
        <v>0.60928652321630805</v>
      </c>
      <c r="M29" s="59">
        <f t="shared" si="2"/>
        <v>1218575.3800000001</v>
      </c>
      <c r="N29" s="59">
        <f t="shared" si="3"/>
        <v>1071349.73</v>
      </c>
      <c r="O29" s="43">
        <v>44529</v>
      </c>
      <c r="P29" s="43">
        <v>44558</v>
      </c>
      <c r="Q29" s="43">
        <v>44741</v>
      </c>
      <c r="R29" s="148"/>
      <c r="T29" s="146"/>
    </row>
    <row r="30" spans="1:20">
      <c r="A30" s="21" t="s">
        <v>14</v>
      </c>
      <c r="B30" s="22" t="s">
        <v>81</v>
      </c>
      <c r="C30" s="23" t="s">
        <v>82</v>
      </c>
      <c r="D30" s="51">
        <f>F30/E30</f>
        <v>207383</v>
      </c>
      <c r="E30" s="24">
        <v>24.11</v>
      </c>
      <c r="F30" s="52">
        <v>5000004.13</v>
      </c>
      <c r="G30" s="27">
        <v>44533</v>
      </c>
      <c r="H30" s="53">
        <f>[1]!s_dq_close(B30,O30-1,1)</f>
        <v>29.52</v>
      </c>
      <c r="I30" s="57">
        <f t="shared" si="0"/>
        <v>0.8167344173441734</v>
      </c>
      <c r="J30" s="58">
        <f>RTD("wdf.rtq",,B30,"LastPrice")</f>
        <v>27.25</v>
      </c>
      <c r="K30" s="58">
        <f>[1]!s_dq_close(B30,互换策略收益!$A$1,1)</f>
        <v>28.16</v>
      </c>
      <c r="L30" s="57">
        <f t="shared" si="1"/>
        <v>0.13023641642472006</v>
      </c>
      <c r="M30" s="59">
        <f t="shared" si="2"/>
        <v>651182.62000000011</v>
      </c>
      <c r="N30" s="59">
        <f t="shared" si="3"/>
        <v>839901.15000000014</v>
      </c>
      <c r="O30" s="43">
        <v>44530</v>
      </c>
      <c r="P30" s="43">
        <v>44546</v>
      </c>
      <c r="Q30" s="43">
        <v>44364</v>
      </c>
      <c r="R30" s="148"/>
      <c r="T30" s="146"/>
    </row>
    <row r="31" spans="1:20">
      <c r="A31" s="21" t="s">
        <v>42</v>
      </c>
      <c r="B31" s="22" t="s">
        <v>81</v>
      </c>
      <c r="C31" s="23" t="s">
        <v>82</v>
      </c>
      <c r="D31" s="51">
        <f>F31/E31</f>
        <v>41477</v>
      </c>
      <c r="E31" s="24">
        <v>24.11</v>
      </c>
      <c r="F31" s="52">
        <v>1000010.47</v>
      </c>
      <c r="G31" s="27">
        <v>44550</v>
      </c>
      <c r="H31" s="53">
        <f>[1]!s_dq_close(B31,O31-1,1)</f>
        <v>29.52</v>
      </c>
      <c r="I31" s="57">
        <f t="shared" si="0"/>
        <v>0.8167344173441734</v>
      </c>
      <c r="J31" s="58">
        <f>RTD("wdf.rtq",,B31,"LastPrice")</f>
        <v>27.25</v>
      </c>
      <c r="K31" s="58">
        <f>[1]!s_dq_close(B31,互换策略收益!$A$1,1)</f>
        <v>28.16</v>
      </c>
      <c r="L31" s="57">
        <f t="shared" si="1"/>
        <v>0.13023641642472006</v>
      </c>
      <c r="M31" s="59">
        <f t="shared" si="2"/>
        <v>130237.78000000003</v>
      </c>
      <c r="N31" s="59">
        <f t="shared" si="3"/>
        <v>167981.85000000003</v>
      </c>
      <c r="O31" s="43">
        <v>44530</v>
      </c>
      <c r="P31" s="43">
        <v>44546</v>
      </c>
      <c r="Q31" s="43">
        <v>44729</v>
      </c>
      <c r="R31" s="148"/>
      <c r="T31" s="146"/>
    </row>
    <row r="32" spans="1:20">
      <c r="A32" s="21" t="s">
        <v>42</v>
      </c>
      <c r="B32" s="22" t="s">
        <v>83</v>
      </c>
      <c r="C32" s="23" t="s">
        <v>84</v>
      </c>
      <c r="D32" s="51">
        <f>F32/E32</f>
        <v>13036.000000000002</v>
      </c>
      <c r="E32" s="24">
        <v>76.709999999999994</v>
      </c>
      <c r="F32" s="52">
        <v>999991.56</v>
      </c>
      <c r="G32" s="27">
        <v>44554</v>
      </c>
      <c r="H32" s="53">
        <f>[1]!s_dq_close(B32,O32-1,1)</f>
        <v>88.73</v>
      </c>
      <c r="I32" s="57">
        <f t="shared" si="0"/>
        <v>0.86453285247379685</v>
      </c>
      <c r="J32" s="58">
        <f>RTD("wdf.rtq",,B32,"LastPrice")</f>
        <v>64.25</v>
      </c>
      <c r="K32" s="58">
        <f>[1]!s_dq_close(B32,互换策略收益!$A$1,1)</f>
        <v>65.959999999999994</v>
      </c>
      <c r="L32" s="57">
        <f t="shared" si="1"/>
        <v>-0.16242993090861679</v>
      </c>
      <c r="M32" s="59">
        <f t="shared" si="2"/>
        <v>-162428.55999999994</v>
      </c>
      <c r="N32" s="59">
        <f t="shared" si="3"/>
        <v>-140137.00000000003</v>
      </c>
      <c r="O32" s="43">
        <v>44531</v>
      </c>
      <c r="P32" s="43">
        <v>44557</v>
      </c>
      <c r="Q32" s="43">
        <v>44739</v>
      </c>
      <c r="R32" s="148"/>
      <c r="T32" s="146"/>
    </row>
    <row r="33" spans="1:20">
      <c r="A33" s="21" t="s">
        <v>36</v>
      </c>
      <c r="B33" s="22" t="s">
        <v>85</v>
      </c>
      <c r="C33" s="23" t="s">
        <v>86</v>
      </c>
      <c r="D33" s="51">
        <v>933271</v>
      </c>
      <c r="E33" s="24">
        <v>11.79</v>
      </c>
      <c r="F33" s="52">
        <f>D33*E33</f>
        <v>11003265.09</v>
      </c>
      <c r="G33" s="27">
        <v>44533</v>
      </c>
      <c r="H33" s="53">
        <f>[1]!s_dq_close(B33,O33-1,1)</f>
        <v>15.06</v>
      </c>
      <c r="I33" s="57">
        <f t="shared" si="0"/>
        <v>0.78286852589641431</v>
      </c>
      <c r="J33" s="58">
        <f>RTD("wdf.rtq",,B33,"LastPrice")</f>
        <v>15.65</v>
      </c>
      <c r="K33" s="58">
        <f>[1]!s_dq_close(B33,互换策略收益!$A$1,1)</f>
        <v>14.99</v>
      </c>
      <c r="L33" s="57">
        <f t="shared" si="1"/>
        <v>0.32739609838846495</v>
      </c>
      <c r="M33" s="59">
        <f t="shared" si="2"/>
        <v>3602426.060000001</v>
      </c>
      <c r="N33" s="59">
        <f t="shared" si="3"/>
        <v>2986467.2000000011</v>
      </c>
      <c r="O33" s="43">
        <v>44532</v>
      </c>
      <c r="P33" s="43">
        <v>44561</v>
      </c>
      <c r="Q33" s="43">
        <v>44743</v>
      </c>
      <c r="R33" s="148"/>
      <c r="T33" s="146"/>
    </row>
    <row r="34" spans="1:20">
      <c r="A34" s="21" t="s">
        <v>42</v>
      </c>
      <c r="B34" s="22" t="s">
        <v>85</v>
      </c>
      <c r="C34" s="23" t="s">
        <v>86</v>
      </c>
      <c r="D34" s="51">
        <f t="shared" ref="D34:D55" si="4">F34/E34</f>
        <v>84817.000000000015</v>
      </c>
      <c r="E34" s="24">
        <v>11.79</v>
      </c>
      <c r="F34" s="52">
        <v>999992.43</v>
      </c>
      <c r="G34" s="27">
        <v>44559</v>
      </c>
      <c r="H34" s="53">
        <f>[1]!s_dq_close(B34,O34-1,1)</f>
        <v>15.06</v>
      </c>
      <c r="I34" s="57">
        <f t="shared" ref="I34:I55" si="5">E34/H34</f>
        <v>0.78286852589641431</v>
      </c>
      <c r="J34" s="58">
        <f>RTD("wdf.rtq",,B34,"LastPrice")</f>
        <v>15.65</v>
      </c>
      <c r="K34" s="58">
        <f>[1]!s_dq_close(B34,互换策略收益!$A$1,1)</f>
        <v>14.99</v>
      </c>
      <c r="L34" s="57">
        <f t="shared" ref="L34:L55" si="6">J34/E34-1</f>
        <v>0.32739609838846495</v>
      </c>
      <c r="M34" s="59">
        <f t="shared" ref="M34:M55" si="7">(J34-E34)*D34</f>
        <v>327393.62000000017</v>
      </c>
      <c r="N34" s="59">
        <f t="shared" si="3"/>
        <v>271414.40000000014</v>
      </c>
      <c r="O34" s="43">
        <v>44532</v>
      </c>
      <c r="P34" s="43">
        <v>44561</v>
      </c>
      <c r="Q34" s="43">
        <v>44743</v>
      </c>
      <c r="R34" s="148"/>
      <c r="T34" s="146"/>
    </row>
    <row r="35" spans="1:20">
      <c r="A35" s="21" t="s">
        <v>14</v>
      </c>
      <c r="B35" s="22" t="s">
        <v>87</v>
      </c>
      <c r="C35" s="23" t="s">
        <v>88</v>
      </c>
      <c r="D35" s="51">
        <f t="shared" si="4"/>
        <v>399361</v>
      </c>
      <c r="E35" s="24">
        <v>12.52</v>
      </c>
      <c r="F35" s="52">
        <v>4999999.72</v>
      </c>
      <c r="G35" s="27">
        <v>44536</v>
      </c>
      <c r="H35" s="53">
        <f>[1]!s_dq_close(B35,O35-1,1)</f>
        <v>13.91</v>
      </c>
      <c r="I35" s="57">
        <f t="shared" si="5"/>
        <v>0.90007189072609628</v>
      </c>
      <c r="J35" s="58">
        <f>RTD("wdf.rtq",,B35,"LastPrice")</f>
        <v>13.22</v>
      </c>
      <c r="K35" s="58">
        <f>[1]!s_dq_close(B35,互换策略收益!$A$1,1)</f>
        <v>13.3</v>
      </c>
      <c r="L35" s="57">
        <f t="shared" si="6"/>
        <v>5.5910543130990531E-2</v>
      </c>
      <c r="M35" s="59">
        <f t="shared" si="7"/>
        <v>279552.70000000042</v>
      </c>
      <c r="N35" s="59">
        <f t="shared" si="3"/>
        <v>311501.58000000048</v>
      </c>
      <c r="O35" s="43">
        <v>44532</v>
      </c>
      <c r="P35" s="43">
        <v>44550</v>
      </c>
      <c r="Q35" s="43">
        <v>44733</v>
      </c>
      <c r="R35" s="148"/>
      <c r="T35" s="146"/>
    </row>
    <row r="36" spans="1:20">
      <c r="A36" s="21" t="s">
        <v>14</v>
      </c>
      <c r="B36" s="22" t="s">
        <v>89</v>
      </c>
      <c r="C36" s="23" t="s">
        <v>90</v>
      </c>
      <c r="D36" s="51">
        <f t="shared" si="4"/>
        <v>638657</v>
      </c>
      <c r="E36" s="24">
        <v>4.76</v>
      </c>
      <c r="F36" s="52">
        <v>3040007.32</v>
      </c>
      <c r="G36" s="27">
        <v>44537</v>
      </c>
      <c r="H36" s="53">
        <f>[1]!s_dq_close(B36,O36-1,1)</f>
        <v>5.92</v>
      </c>
      <c r="I36" s="57">
        <f t="shared" si="5"/>
        <v>0.80405405405405406</v>
      </c>
      <c r="J36" s="58">
        <f>RTD("wdf.rtq",,B36,"LastPrice")</f>
        <v>6.38</v>
      </c>
      <c r="K36" s="58">
        <f>[1]!s_dq_close(B36,互换策略收益!$A$1,1)</f>
        <v>6.34</v>
      </c>
      <c r="L36" s="57">
        <f t="shared" si="6"/>
        <v>0.34033613445378164</v>
      </c>
      <c r="M36" s="59">
        <f t="shared" si="7"/>
        <v>1034624.3400000001</v>
      </c>
      <c r="N36" s="59">
        <f t="shared" si="3"/>
        <v>1009078.06</v>
      </c>
      <c r="O36" s="43">
        <v>44533</v>
      </c>
      <c r="P36" s="43">
        <v>44559</v>
      </c>
      <c r="Q36" s="43">
        <v>44742</v>
      </c>
      <c r="R36" s="148"/>
      <c r="T36" s="146"/>
    </row>
    <row r="37" spans="1:20">
      <c r="A37" s="21" t="s">
        <v>42</v>
      </c>
      <c r="B37" s="22" t="s">
        <v>91</v>
      </c>
      <c r="C37" s="23" t="s">
        <v>92</v>
      </c>
      <c r="D37" s="51">
        <f t="shared" si="4"/>
        <v>68966</v>
      </c>
      <c r="E37" s="24">
        <v>14.5</v>
      </c>
      <c r="F37" s="52">
        <v>1000007</v>
      </c>
      <c r="G37" s="27">
        <v>44557</v>
      </c>
      <c r="H37" s="53">
        <f>[1]!s_dq_close(B37,O37-1,1)</f>
        <v>16.73</v>
      </c>
      <c r="I37" s="57">
        <f t="shared" si="5"/>
        <v>0.86670651524208009</v>
      </c>
      <c r="J37" s="58">
        <f>RTD("wdf.rtq",,B37,"LastPrice")</f>
        <v>14.67</v>
      </c>
      <c r="K37" s="58">
        <f>[1]!s_dq_close(B37,互换策略收益!$A$1,1)</f>
        <v>14.39</v>
      </c>
      <c r="L37" s="57">
        <f t="shared" si="6"/>
        <v>1.172413793103444E-2</v>
      </c>
      <c r="M37" s="59">
        <f t="shared" si="7"/>
        <v>11724.219999999996</v>
      </c>
      <c r="N37" s="59">
        <f t="shared" si="3"/>
        <v>-7586.2599999999611</v>
      </c>
      <c r="O37" s="43">
        <v>44533</v>
      </c>
      <c r="P37" s="43">
        <v>44558</v>
      </c>
      <c r="Q37" s="43">
        <v>44740</v>
      </c>
      <c r="R37" s="148"/>
      <c r="T37" s="146"/>
    </row>
    <row r="38" spans="1:20">
      <c r="A38" s="21" t="s">
        <v>42</v>
      </c>
      <c r="B38" s="22" t="s">
        <v>93</v>
      </c>
      <c r="C38" s="23" t="s">
        <v>94</v>
      </c>
      <c r="D38" s="51">
        <f t="shared" si="4"/>
        <v>20975</v>
      </c>
      <c r="E38" s="24">
        <v>41.48</v>
      </c>
      <c r="F38" s="134">
        <v>870043</v>
      </c>
      <c r="G38" s="27">
        <v>44589</v>
      </c>
      <c r="H38" s="53">
        <f>[1]!s_dq_close(B38,O38-1,1)</f>
        <v>44.78</v>
      </c>
      <c r="I38" s="57">
        <f t="shared" si="5"/>
        <v>0.92630638677981236</v>
      </c>
      <c r="J38" s="58">
        <f>RTD("wdf.rtq",,B38,"LastPrice")</f>
        <v>34.06</v>
      </c>
      <c r="K38" s="58">
        <f>[1]!s_dq_close(B38,互换策略收益!$A$1,1)</f>
        <v>34.72</v>
      </c>
      <c r="L38" s="57">
        <f t="shared" si="6"/>
        <v>-0.1788813886210221</v>
      </c>
      <c r="M38" s="59">
        <f t="shared" si="7"/>
        <v>-155634.49999999988</v>
      </c>
      <c r="N38" s="59">
        <f t="shared" si="3"/>
        <v>-141790.99999999997</v>
      </c>
      <c r="O38" s="135">
        <v>44538</v>
      </c>
      <c r="P38" s="43">
        <v>44588</v>
      </c>
      <c r="Q38" s="43">
        <v>44781</v>
      </c>
      <c r="R38" s="148"/>
      <c r="T38" s="146"/>
    </row>
    <row r="39" spans="1:20">
      <c r="A39" s="21" t="s">
        <v>42</v>
      </c>
      <c r="B39" s="22" t="s">
        <v>95</v>
      </c>
      <c r="C39" s="23" t="s">
        <v>96</v>
      </c>
      <c r="D39" s="51">
        <f t="shared" si="4"/>
        <v>38081</v>
      </c>
      <c r="E39" s="24">
        <v>26.26</v>
      </c>
      <c r="F39" s="52">
        <v>1000007.06</v>
      </c>
      <c r="G39" s="27">
        <v>44566</v>
      </c>
      <c r="H39" s="53">
        <f>[1]!s_dq_close(B39,O39-1,1)</f>
        <v>32</v>
      </c>
      <c r="I39" s="57">
        <f t="shared" si="5"/>
        <v>0.82062500000000005</v>
      </c>
      <c r="J39" s="58">
        <f>RTD("wdf.rtq",,B39,"LastPrice")</f>
        <v>26.73</v>
      </c>
      <c r="K39" s="58">
        <f>[1]!s_dq_close(B39,互换策略收益!$A$1,1)</f>
        <v>27.29</v>
      </c>
      <c r="L39" s="57">
        <f t="shared" si="6"/>
        <v>1.7897943640517777E-2</v>
      </c>
      <c r="M39" s="59">
        <f t="shared" si="7"/>
        <v>17898.069999999956</v>
      </c>
      <c r="N39" s="59">
        <f t="shared" si="3"/>
        <v>39223.429999999906</v>
      </c>
      <c r="O39" s="43">
        <v>44538</v>
      </c>
      <c r="P39" s="43">
        <v>44571</v>
      </c>
      <c r="Q39" s="43">
        <v>44753</v>
      </c>
      <c r="R39" s="148"/>
      <c r="T39" s="146"/>
    </row>
    <row r="40" spans="1:20">
      <c r="A40" s="21" t="s">
        <v>42</v>
      </c>
      <c r="B40" s="22" t="s">
        <v>97</v>
      </c>
      <c r="C40" s="23" t="s">
        <v>98</v>
      </c>
      <c r="D40" s="51">
        <f t="shared" si="4"/>
        <v>362319</v>
      </c>
      <c r="E40" s="24">
        <v>2.76</v>
      </c>
      <c r="F40" s="52">
        <v>1000000.44</v>
      </c>
      <c r="G40" s="27">
        <v>44554</v>
      </c>
      <c r="H40" s="53">
        <f>[1]!s_dq_close(B40,O40-1,1)</f>
        <v>3.33</v>
      </c>
      <c r="I40" s="57">
        <f t="shared" si="5"/>
        <v>0.8288288288288288</v>
      </c>
      <c r="J40" s="58">
        <f>RTD("wdf.rtq",,B40,"LastPrice")</f>
        <v>3.24</v>
      </c>
      <c r="K40" s="58">
        <f>[1]!s_dq_close(B40,互换策略收益!$A$1,1)</f>
        <v>3.28</v>
      </c>
      <c r="L40" s="57">
        <f t="shared" si="6"/>
        <v>0.17391304347826098</v>
      </c>
      <c r="M40" s="59">
        <f t="shared" si="7"/>
        <v>173913.12000000014</v>
      </c>
      <c r="N40" s="59">
        <f t="shared" si="3"/>
        <v>188405.88</v>
      </c>
      <c r="O40" s="43">
        <v>44539</v>
      </c>
      <c r="P40" s="43">
        <v>44539</v>
      </c>
      <c r="Q40" s="43">
        <v>44559</v>
      </c>
      <c r="R40" s="148"/>
      <c r="T40" s="146"/>
    </row>
    <row r="41" spans="1:20">
      <c r="A41" s="21" t="s">
        <v>42</v>
      </c>
      <c r="B41" s="22" t="s">
        <v>99</v>
      </c>
      <c r="C41" s="23" t="s">
        <v>100</v>
      </c>
      <c r="D41" s="51">
        <f t="shared" si="4"/>
        <v>311042</v>
      </c>
      <c r="E41" s="24">
        <v>6.43</v>
      </c>
      <c r="F41" s="52">
        <v>2000000.06</v>
      </c>
      <c r="G41" s="27">
        <v>44566</v>
      </c>
      <c r="H41" s="53">
        <f>[1]!s_dq_close(B41,O41-1,1)</f>
        <v>7.74</v>
      </c>
      <c r="I41" s="57">
        <f t="shared" si="5"/>
        <v>0.83074935400516792</v>
      </c>
      <c r="J41" s="58">
        <f>RTD("wdf.rtq",,B41,"LastPrice")</f>
        <v>6.8100000000000005</v>
      </c>
      <c r="K41" s="58">
        <f>[1]!s_dq_close(B41,互换策略收益!$A$1,1)</f>
        <v>7.06</v>
      </c>
      <c r="L41" s="57">
        <f t="shared" si="6"/>
        <v>5.9097978227060866E-2</v>
      </c>
      <c r="M41" s="59">
        <f t="shared" si="7"/>
        <v>118195.96000000024</v>
      </c>
      <c r="N41" s="59">
        <f t="shared" si="3"/>
        <v>195956.45999999996</v>
      </c>
      <c r="O41" s="43">
        <v>44540</v>
      </c>
      <c r="P41" s="43">
        <v>44561</v>
      </c>
      <c r="Q41" s="43">
        <v>44743</v>
      </c>
      <c r="R41" s="148"/>
      <c r="T41" s="146"/>
    </row>
    <row r="42" spans="1:20">
      <c r="A42" s="21" t="s">
        <v>14</v>
      </c>
      <c r="B42" s="22" t="s">
        <v>99</v>
      </c>
      <c r="C42" s="23" t="s">
        <v>100</v>
      </c>
      <c r="D42" s="51">
        <f t="shared" si="4"/>
        <v>632068.00000000012</v>
      </c>
      <c r="E42" s="24">
        <v>6.43</v>
      </c>
      <c r="F42" s="52">
        <v>4064197.24</v>
      </c>
      <c r="G42" s="27">
        <v>44545</v>
      </c>
      <c r="H42" s="53">
        <f>[1]!s_dq_close(B42,O42-1,1)</f>
        <v>7.74</v>
      </c>
      <c r="I42" s="57">
        <f t="shared" si="5"/>
        <v>0.83074935400516792</v>
      </c>
      <c r="J42" s="58">
        <f>RTD("wdf.rtq",,B42,"LastPrice")</f>
        <v>6.8100000000000005</v>
      </c>
      <c r="K42" s="58">
        <f>[1]!s_dq_close(B42,互换策略收益!$A$1,1)</f>
        <v>7.06</v>
      </c>
      <c r="L42" s="57">
        <f t="shared" si="6"/>
        <v>5.9097978227060866E-2</v>
      </c>
      <c r="M42" s="59">
        <f t="shared" si="7"/>
        <v>240185.84000000055</v>
      </c>
      <c r="N42" s="59">
        <f t="shared" si="3"/>
        <v>398202.84</v>
      </c>
      <c r="O42" s="43">
        <v>44540</v>
      </c>
      <c r="P42" s="43">
        <v>44561</v>
      </c>
      <c r="Q42" s="43">
        <v>44743</v>
      </c>
      <c r="R42" s="148"/>
      <c r="T42" s="146"/>
    </row>
    <row r="43" spans="1:20">
      <c r="A43" s="21" t="s">
        <v>42</v>
      </c>
      <c r="B43" s="22" t="s">
        <v>101</v>
      </c>
      <c r="C43" s="23" t="s">
        <v>102</v>
      </c>
      <c r="D43" s="51">
        <f t="shared" si="4"/>
        <v>73367</v>
      </c>
      <c r="E43" s="24">
        <v>13.63</v>
      </c>
      <c r="F43" s="52">
        <v>999992.21</v>
      </c>
      <c r="G43" s="27">
        <v>44571</v>
      </c>
      <c r="H43" s="53">
        <f>[1]!s_dq_close(B43,O43-1,1)</f>
        <v>17.600000000000001</v>
      </c>
      <c r="I43" s="57">
        <f t="shared" si="5"/>
        <v>0.77443181818181817</v>
      </c>
      <c r="J43" s="58">
        <f>RTD("wdf.rtq",,B43,"LastPrice")</f>
        <v>14.23</v>
      </c>
      <c r="K43" s="58">
        <f>[1]!s_dq_close(B43,互换策略收益!$A$1,1)</f>
        <v>14.4</v>
      </c>
      <c r="L43" s="57">
        <f t="shared" si="6"/>
        <v>4.4020542920029326E-2</v>
      </c>
      <c r="M43" s="59">
        <f t="shared" si="7"/>
        <v>44020.199999999975</v>
      </c>
      <c r="N43" s="59">
        <f t="shared" si="3"/>
        <v>56492.589999999967</v>
      </c>
      <c r="O43" s="43">
        <v>44543</v>
      </c>
      <c r="P43" s="43">
        <v>44567</v>
      </c>
      <c r="Q43" s="43">
        <v>44749</v>
      </c>
      <c r="R43" s="148"/>
      <c r="T43" s="146"/>
    </row>
    <row r="44" spans="1:20">
      <c r="A44" s="21" t="s">
        <v>14</v>
      </c>
      <c r="B44" s="22" t="s">
        <v>103</v>
      </c>
      <c r="C44" s="23" t="s">
        <v>104</v>
      </c>
      <c r="D44" s="51">
        <f t="shared" si="4"/>
        <v>129198.99999999999</v>
      </c>
      <c r="E44" s="24">
        <v>38.700000000000003</v>
      </c>
      <c r="F44" s="52">
        <v>5000001.3</v>
      </c>
      <c r="G44" s="27">
        <v>44550</v>
      </c>
      <c r="H44" s="53">
        <f>[1]!s_dq_close(B44,O44-1,1)</f>
        <v>48.52</v>
      </c>
      <c r="I44" s="57">
        <f t="shared" si="5"/>
        <v>0.79760923330585332</v>
      </c>
      <c r="J44" s="58">
        <f>RTD("wdf.rtq",,B44,"LastPrice")</f>
        <v>48.69</v>
      </c>
      <c r="K44" s="58">
        <f>[1]!s_dq_close(B44,互换策略收益!$A$1,1)</f>
        <v>49.12</v>
      </c>
      <c r="L44" s="57">
        <f t="shared" si="6"/>
        <v>0.25813953488372077</v>
      </c>
      <c r="M44" s="59">
        <f t="shared" si="7"/>
        <v>1290698.0099999991</v>
      </c>
      <c r="N44" s="59">
        <f t="shared" si="3"/>
        <v>1346253.5799999991</v>
      </c>
      <c r="O44" s="43">
        <v>44545</v>
      </c>
      <c r="P44" s="43">
        <v>44560</v>
      </c>
      <c r="Q44" s="43">
        <v>44742</v>
      </c>
      <c r="R44" s="148"/>
      <c r="T44" s="146"/>
    </row>
    <row r="45" spans="1:20">
      <c r="A45" s="21" t="s">
        <v>42</v>
      </c>
      <c r="B45" s="22" t="s">
        <v>105</v>
      </c>
      <c r="C45" s="23" t="s">
        <v>106</v>
      </c>
      <c r="D45" s="51">
        <f t="shared" si="4"/>
        <v>58788.999999999993</v>
      </c>
      <c r="E45" s="24">
        <v>17.010000000000002</v>
      </c>
      <c r="F45" s="134">
        <v>1000000.89</v>
      </c>
      <c r="G45" s="27">
        <v>44580</v>
      </c>
      <c r="H45" s="53">
        <f>[1]!s_dq_close(B45,O45-1,1)</f>
        <v>18.93</v>
      </c>
      <c r="I45" s="57">
        <f t="shared" si="5"/>
        <v>0.89857369255150565</v>
      </c>
      <c r="J45" s="58">
        <f>RTD("wdf.rtq",,B45,"LastPrice")</f>
        <v>16.420000000000002</v>
      </c>
      <c r="K45" s="58">
        <f>[1]!s_dq_close(B45,互换策略收益!$A$1,1)</f>
        <v>15.2</v>
      </c>
      <c r="L45" s="57">
        <f t="shared" si="6"/>
        <v>-3.4685479129923591E-2</v>
      </c>
      <c r="M45" s="59">
        <f t="shared" si="7"/>
        <v>-34685.509999999987</v>
      </c>
      <c r="N45" s="59">
        <f t="shared" si="3"/>
        <v>-106408.09000000013</v>
      </c>
      <c r="O45" s="135">
        <v>44552</v>
      </c>
      <c r="P45" s="43">
        <v>44580</v>
      </c>
      <c r="Q45" s="43">
        <v>44763</v>
      </c>
      <c r="R45" s="148"/>
      <c r="T45" s="146"/>
    </row>
    <row r="46" spans="1:20">
      <c r="A46" s="21" t="s">
        <v>42</v>
      </c>
      <c r="B46" s="22" t="s">
        <v>107</v>
      </c>
      <c r="C46" s="23" t="s">
        <v>108</v>
      </c>
      <c r="D46" s="51">
        <f t="shared" si="4"/>
        <v>109290</v>
      </c>
      <c r="E46" s="24">
        <v>9.15</v>
      </c>
      <c r="F46" s="134">
        <v>1000003.5</v>
      </c>
      <c r="G46" s="27">
        <v>44578</v>
      </c>
      <c r="H46" s="53">
        <f>[1]!s_dq_close(B46,O46-1,1)</f>
        <v>9.7100000000000009</v>
      </c>
      <c r="I46" s="57">
        <f t="shared" si="5"/>
        <v>0.94232749742533461</v>
      </c>
      <c r="J46" s="58">
        <f>RTD("wdf.rtq",,B46,"LastPrice")</f>
        <v>10.67</v>
      </c>
      <c r="K46" s="58">
        <f>[1]!s_dq_close(B46,互换策略收益!$A$1,1)</f>
        <v>11.1</v>
      </c>
      <c r="L46" s="57">
        <f t="shared" si="6"/>
        <v>0.16612021857923498</v>
      </c>
      <c r="M46" s="59">
        <f t="shared" si="7"/>
        <v>166120.79999999996</v>
      </c>
      <c r="N46" s="59">
        <f t="shared" si="3"/>
        <v>213115.49999999991</v>
      </c>
      <c r="O46" s="43">
        <v>44554</v>
      </c>
      <c r="P46" s="43">
        <v>44578</v>
      </c>
      <c r="Q46" s="43">
        <v>44762</v>
      </c>
      <c r="R46" s="148"/>
      <c r="T46" s="146"/>
    </row>
    <row r="47" spans="1:20">
      <c r="A47" s="21" t="s">
        <v>42</v>
      </c>
      <c r="B47" s="22" t="s">
        <v>109</v>
      </c>
      <c r="C47" s="48" t="s">
        <v>110</v>
      </c>
      <c r="D47" s="68">
        <f t="shared" si="4"/>
        <v>148148.14814814815</v>
      </c>
      <c r="E47" s="24">
        <v>13.5</v>
      </c>
      <c r="F47" s="66">
        <v>2000000</v>
      </c>
      <c r="H47" s="53">
        <f>[1]!s_dq_close(B47,O47-1,1)</f>
        <v>16.149999999999999</v>
      </c>
      <c r="I47" s="57">
        <f t="shared" si="5"/>
        <v>0.83591331269349856</v>
      </c>
      <c r="J47" s="58">
        <f>RTD("wdf.rtq",,B47,"LastPrice")</f>
        <v>15.120000000000001</v>
      </c>
      <c r="K47" s="58">
        <f>[1]!s_dq_close(B47,互换策略收益!$A$1,1)</f>
        <v>15.57</v>
      </c>
      <c r="L47" s="57">
        <f t="shared" si="6"/>
        <v>0.12000000000000011</v>
      </c>
      <c r="M47" s="59">
        <f t="shared" si="7"/>
        <v>240000.00000000015</v>
      </c>
      <c r="N47" s="59">
        <f t="shared" si="3"/>
        <v>306666.66666666669</v>
      </c>
      <c r="O47" s="34">
        <v>44568</v>
      </c>
      <c r="T47" s="146"/>
    </row>
    <row r="48" spans="1:20">
      <c r="A48" s="21" t="s">
        <v>42</v>
      </c>
      <c r="B48" s="22" t="s">
        <v>111</v>
      </c>
      <c r="C48" s="48" t="s">
        <v>112</v>
      </c>
      <c r="D48" s="136">
        <f t="shared" si="4"/>
        <v>71326</v>
      </c>
      <c r="E48" s="138">
        <v>22.1</v>
      </c>
      <c r="F48" s="134">
        <v>1576304.6</v>
      </c>
      <c r="G48" s="27">
        <v>44599</v>
      </c>
      <c r="H48" s="53">
        <f>[1]!s_dq_close(B48,O48-1,1)</f>
        <v>23.84</v>
      </c>
      <c r="I48" s="57">
        <f t="shared" si="5"/>
        <v>0.92701342281879207</v>
      </c>
      <c r="J48" s="58">
        <f>RTD("wdf.rtq",,B48,"LastPrice")</f>
        <v>21.48</v>
      </c>
      <c r="K48" s="58">
        <f>[1]!s_dq_close(B48,互换策略收益!$A$1,1)</f>
        <v>22.45</v>
      </c>
      <c r="L48" s="57">
        <f t="shared" si="6"/>
        <v>-2.8054298642533948E-2</v>
      </c>
      <c r="M48" s="59">
        <f t="shared" si="7"/>
        <v>-44222.120000000068</v>
      </c>
      <c r="N48" s="59">
        <f t="shared" si="3"/>
        <v>24964.099999999849</v>
      </c>
      <c r="O48" s="135">
        <v>44571</v>
      </c>
      <c r="P48" s="43">
        <v>44589</v>
      </c>
      <c r="Q48" s="43">
        <v>44782</v>
      </c>
      <c r="R48" s="148"/>
      <c r="T48" s="146"/>
    </row>
    <row r="49" spans="1:20">
      <c r="A49" s="21" t="s">
        <v>42</v>
      </c>
      <c r="B49" s="22" t="s">
        <v>113</v>
      </c>
      <c r="C49" s="48" t="s">
        <v>114</v>
      </c>
      <c r="D49" s="68">
        <f t="shared" si="4"/>
        <v>518134.71502590674</v>
      </c>
      <c r="E49" s="24">
        <v>3.86</v>
      </c>
      <c r="F49" s="66">
        <v>2000000</v>
      </c>
      <c r="H49" s="53">
        <f>[1]!s_dq_close(B49,O49-1,1)</f>
        <v>4.49</v>
      </c>
      <c r="I49" s="57">
        <f t="shared" si="5"/>
        <v>0.85968819599109125</v>
      </c>
      <c r="J49" s="58">
        <f>RTD("wdf.rtq",,B49,"LastPrice")</f>
        <v>4.55</v>
      </c>
      <c r="K49" s="58">
        <f>[1]!s_dq_close(B49,互换策略收益!$A$1,1)</f>
        <v>4.6900000000000004</v>
      </c>
      <c r="L49" s="57">
        <f t="shared" si="6"/>
        <v>0.17875647668393779</v>
      </c>
      <c r="M49" s="59">
        <f t="shared" si="7"/>
        <v>357512.9533678756</v>
      </c>
      <c r="N49" s="59">
        <f t="shared" si="3"/>
        <v>430051.81347150286</v>
      </c>
      <c r="O49" s="34">
        <v>44574</v>
      </c>
      <c r="T49" s="146"/>
    </row>
    <row r="50" spans="1:20">
      <c r="A50" s="47" t="s">
        <v>166</v>
      </c>
      <c r="B50" s="133" t="s">
        <v>161</v>
      </c>
      <c r="C50" s="48" t="s">
        <v>114</v>
      </c>
      <c r="D50" s="136">
        <f t="shared" si="4"/>
        <v>1295337.0000000002</v>
      </c>
      <c r="E50" s="24">
        <v>3.86</v>
      </c>
      <c r="F50" s="134">
        <v>5000000.82</v>
      </c>
      <c r="G50" s="27">
        <v>44579</v>
      </c>
      <c r="H50" s="53">
        <f>[1]!s_dq_close(B50,O50-1,1)</f>
        <v>4.49</v>
      </c>
      <c r="I50" s="57">
        <f t="shared" si="5"/>
        <v>0.85968819599109125</v>
      </c>
      <c r="J50" s="58">
        <f>RTD("wdf.rtq",,B50,"LastPrice")</f>
        <v>4.55</v>
      </c>
      <c r="K50" s="58">
        <f>[1]!s_dq_close(B50,互换策略收益!$A$1,1)</f>
        <v>4.6900000000000004</v>
      </c>
      <c r="L50" s="57">
        <f t="shared" si="6"/>
        <v>0.17875647668393779</v>
      </c>
      <c r="M50" s="59">
        <f t="shared" si="7"/>
        <v>893782.53000000014</v>
      </c>
      <c r="N50" s="59">
        <f t="shared" si="3"/>
        <v>1075129.7100000009</v>
      </c>
      <c r="O50" s="34">
        <v>44574</v>
      </c>
      <c r="T50" s="146"/>
    </row>
    <row r="51" spans="1:20">
      <c r="A51" s="21" t="s">
        <v>42</v>
      </c>
      <c r="B51" s="133" t="s">
        <v>158</v>
      </c>
      <c r="C51" s="48" t="s">
        <v>157</v>
      </c>
      <c r="D51" s="136">
        <v>77590</v>
      </c>
      <c r="E51" s="24">
        <v>23.11</v>
      </c>
      <c r="F51" s="134">
        <v>1793104.9</v>
      </c>
      <c r="G51" s="27">
        <v>44608</v>
      </c>
      <c r="H51" s="53">
        <f>[1]!s_dq_close(B51,O51-1,1)</f>
        <v>26.87</v>
      </c>
      <c r="I51" s="57">
        <f t="shared" si="5"/>
        <v>0.8600669892072943</v>
      </c>
      <c r="J51" s="58">
        <f>RTD("wdf.rtq",,B51,"LastPrice")</f>
        <v>26.62</v>
      </c>
      <c r="K51" s="58">
        <f>[1]!s_dq_close(B51,互换策略收益!$A$1,1)</f>
        <v>25</v>
      </c>
      <c r="L51" s="57">
        <f t="shared" si="6"/>
        <v>0.15188230203375164</v>
      </c>
      <c r="M51" s="59">
        <f t="shared" si="7"/>
        <v>272340.90000000014</v>
      </c>
      <c r="N51" s="59">
        <f t="shared" si="3"/>
        <v>146645.10000000003</v>
      </c>
      <c r="O51" s="135">
        <v>44580</v>
      </c>
      <c r="P51" s="43">
        <v>44608</v>
      </c>
      <c r="Q51" s="43">
        <v>44788</v>
      </c>
      <c r="R51" s="148"/>
      <c r="T51" s="146"/>
    </row>
    <row r="52" spans="1:20">
      <c r="A52" s="47" t="s">
        <v>167</v>
      </c>
      <c r="B52" s="133" t="s">
        <v>160</v>
      </c>
      <c r="C52" s="48" t="s">
        <v>159</v>
      </c>
      <c r="D52" s="68">
        <f t="shared" si="4"/>
        <v>71942.446043165459</v>
      </c>
      <c r="E52" s="24">
        <v>13.9</v>
      </c>
      <c r="F52" s="66">
        <v>1000000</v>
      </c>
      <c r="H52" s="53">
        <f>[1]!s_dq_close(B52,O52-1,1)</f>
        <v>16.55</v>
      </c>
      <c r="I52" s="57">
        <f t="shared" si="5"/>
        <v>0.83987915407854985</v>
      </c>
      <c r="J52" s="58">
        <f>RTD("wdf.rtq",,B52,"LastPrice")</f>
        <v>17.100000000000001</v>
      </c>
      <c r="K52" s="58">
        <f>[1]!s_dq_close(B52,互换策略收益!$A$1,1)</f>
        <v>16.690000000000001</v>
      </c>
      <c r="L52" s="57">
        <f t="shared" si="6"/>
        <v>0.23021582733812962</v>
      </c>
      <c r="M52" s="59">
        <f t="shared" si="7"/>
        <v>230215.82733812954</v>
      </c>
      <c r="N52" s="59">
        <f t="shared" si="3"/>
        <v>200719.42446043171</v>
      </c>
      <c r="O52" s="34">
        <v>44585</v>
      </c>
      <c r="T52" s="146"/>
    </row>
    <row r="53" spans="1:20">
      <c r="A53" s="47" t="s">
        <v>14</v>
      </c>
      <c r="B53" s="133" t="s">
        <v>168</v>
      </c>
      <c r="C53" s="48" t="s">
        <v>164</v>
      </c>
      <c r="D53" s="68">
        <f t="shared" si="4"/>
        <v>51688.490696071676</v>
      </c>
      <c r="E53" s="24">
        <v>116.08</v>
      </c>
      <c r="F53" s="66">
        <v>6000000</v>
      </c>
      <c r="H53" s="53">
        <f>[1]!s_dq_close(B53,O53-1,1)</f>
        <v>138.19999999999999</v>
      </c>
      <c r="I53" s="57">
        <f t="shared" si="5"/>
        <v>0.8399421128798843</v>
      </c>
      <c r="J53" s="58">
        <f>RTD("wdf.rtq",,B53,"LastPrice")</f>
        <v>126.52</v>
      </c>
      <c r="K53" s="58">
        <f>[1]!s_dq_close(B53,互换策略收益!$A$1,1)</f>
        <v>129.54</v>
      </c>
      <c r="L53" s="57">
        <f t="shared" si="6"/>
        <v>8.9937973811164751E-2</v>
      </c>
      <c r="M53" s="59">
        <f t="shared" si="7"/>
        <v>539627.84286698815</v>
      </c>
      <c r="N53" s="59">
        <f t="shared" si="3"/>
        <v>695727.0847691244</v>
      </c>
      <c r="O53" s="34">
        <v>44609</v>
      </c>
      <c r="T53" s="146"/>
    </row>
    <row r="54" spans="1:20">
      <c r="A54" s="47" t="s">
        <v>42</v>
      </c>
      <c r="B54" s="133" t="s">
        <v>168</v>
      </c>
      <c r="C54" s="48" t="s">
        <v>164</v>
      </c>
      <c r="D54" s="68">
        <f t="shared" si="4"/>
        <v>8614.7484493452794</v>
      </c>
      <c r="E54" s="24">
        <v>116.08</v>
      </c>
      <c r="F54" s="66">
        <v>1000000</v>
      </c>
      <c r="H54" s="53">
        <f>[1]!s_dq_close(B54,O54-1,1)</f>
        <v>138.19999999999999</v>
      </c>
      <c r="I54" s="57">
        <f t="shared" si="5"/>
        <v>0.8399421128798843</v>
      </c>
      <c r="J54" s="58">
        <f>RTD("wdf.rtq",,B54,"LastPrice")</f>
        <v>126.52</v>
      </c>
      <c r="K54" s="58">
        <f>[1]!s_dq_close(B54,互换策略收益!$A$1,1)</f>
        <v>129.54</v>
      </c>
      <c r="L54" s="57">
        <f t="shared" si="6"/>
        <v>8.9937973811164751E-2</v>
      </c>
      <c r="M54" s="59">
        <f t="shared" si="7"/>
        <v>89937.973811164702</v>
      </c>
      <c r="N54" s="59">
        <f t="shared" si="3"/>
        <v>115954.51412818741</v>
      </c>
      <c r="O54" s="34">
        <v>44609</v>
      </c>
      <c r="T54" s="146"/>
    </row>
    <row r="55" spans="1:20">
      <c r="A55" s="47" t="s">
        <v>42</v>
      </c>
      <c r="B55" s="143" t="s">
        <v>169</v>
      </c>
      <c r="C55" s="48" t="s">
        <v>165</v>
      </c>
      <c r="D55" s="68">
        <f t="shared" si="4"/>
        <v>251256.28140703519</v>
      </c>
      <c r="E55" s="24">
        <v>3.98</v>
      </c>
      <c r="F55" s="66">
        <v>1000000</v>
      </c>
      <c r="H55" s="53">
        <f>[1]!s_dq_close(B55,O55-1,1)</f>
        <v>5.05</v>
      </c>
      <c r="I55" s="57">
        <f t="shared" si="5"/>
        <v>0.78811881188118815</v>
      </c>
      <c r="J55" s="58">
        <f>RTD("wdf.rtq",,B55,"LastPrice")</f>
        <v>5.17</v>
      </c>
      <c r="K55" s="58">
        <f>[1]!s_dq_close(B55,互换策略收益!$A$1,1)</f>
        <v>5.16</v>
      </c>
      <c r="L55" s="57">
        <f t="shared" si="6"/>
        <v>0.29899497487437188</v>
      </c>
      <c r="M55" s="59">
        <f t="shared" si="7"/>
        <v>298994.97487437184</v>
      </c>
      <c r="N55" s="59">
        <f t="shared" si="3"/>
        <v>296482.41206030158</v>
      </c>
      <c r="O55" s="34">
        <v>44609</v>
      </c>
      <c r="T55" s="146"/>
    </row>
    <row r="56" spans="1:20">
      <c r="A56" s="47"/>
      <c r="B56" s="143"/>
      <c r="C56" s="48"/>
      <c r="D56" s="68"/>
      <c r="F56" s="66"/>
      <c r="I56" s="57"/>
      <c r="J56" s="58"/>
      <c r="K56" s="58"/>
      <c r="L56" s="57"/>
      <c r="M56" s="59"/>
      <c r="N56" s="59"/>
      <c r="O56" s="34"/>
      <c r="T56" s="146"/>
    </row>
    <row r="57" spans="1:20">
      <c r="A57" s="47"/>
      <c r="B57" s="144"/>
      <c r="C57" s="48"/>
      <c r="D57" s="68"/>
      <c r="F57" s="66"/>
      <c r="I57" s="57"/>
      <c r="J57" s="58"/>
      <c r="K57" s="58"/>
      <c r="L57" s="57"/>
      <c r="M57" s="59"/>
      <c r="N57" s="59"/>
      <c r="O57" s="34"/>
      <c r="T57" s="146"/>
    </row>
    <row r="58" spans="1:20">
      <c r="B58" s="144"/>
      <c r="F58" s="66"/>
      <c r="I58" s="57"/>
      <c r="J58" s="58"/>
      <c r="K58" s="58"/>
      <c r="L58" s="57"/>
      <c r="M58" s="59"/>
      <c r="N58" s="59"/>
      <c r="O58" s="34"/>
      <c r="T58" s="146"/>
    </row>
    <row r="59" spans="1:20">
      <c r="B59" s="144"/>
      <c r="F59" s="66"/>
      <c r="I59" s="57"/>
      <c r="J59" s="58"/>
      <c r="K59" s="58"/>
      <c r="L59" s="57"/>
      <c r="M59" s="59"/>
      <c r="N59" s="59"/>
      <c r="O59" s="34"/>
      <c r="T59" s="146"/>
    </row>
    <row r="60" spans="1:20">
      <c r="T60" s="146"/>
    </row>
    <row r="61" spans="1:20">
      <c r="A61" s="29" t="s">
        <v>115</v>
      </c>
      <c r="B61" s="139">
        <v>300207</v>
      </c>
      <c r="C61" s="30" t="s">
        <v>50</v>
      </c>
      <c r="D61" s="60">
        <v>23900</v>
      </c>
      <c r="E61" s="31">
        <v>48.55</v>
      </c>
      <c r="F61" s="61"/>
      <c r="G61" s="61"/>
      <c r="H61" s="62"/>
      <c r="I61" s="29"/>
      <c r="J61" s="64">
        <f>RTD("wdf.rtq",,B61,"LastPrice")</f>
        <v>33.85</v>
      </c>
      <c r="K61" s="64"/>
      <c r="L61" s="29"/>
      <c r="M61" s="65">
        <f>(E61-J61)*D61</f>
        <v>351329.99999999988</v>
      </c>
      <c r="N61" s="65"/>
      <c r="O61" s="29"/>
      <c r="P61" s="29"/>
      <c r="Q61" s="69">
        <f>M14+M61+M62</f>
        <v>73790.100000000006</v>
      </c>
      <c r="S61" s="33"/>
      <c r="T61" s="146"/>
    </row>
    <row r="62" spans="1:20">
      <c r="A62" s="44" t="s">
        <v>116</v>
      </c>
      <c r="B62" s="139">
        <v>300207</v>
      </c>
      <c r="C62" s="30" t="s">
        <v>50</v>
      </c>
      <c r="D62" s="60">
        <v>23900</v>
      </c>
      <c r="E62" s="45">
        <v>37.423999999999999</v>
      </c>
      <c r="F62" s="61"/>
      <c r="G62" s="46">
        <v>44575</v>
      </c>
      <c r="H62" s="62"/>
      <c r="I62" s="29"/>
      <c r="J62" s="64">
        <f>RTD("wdf.rtq",,B62,"LastPrice")</f>
        <v>33.85</v>
      </c>
      <c r="K62" s="64"/>
      <c r="L62" s="29"/>
      <c r="M62" s="65">
        <f>(-E62+J62)*D62</f>
        <v>-85418.599999999948</v>
      </c>
      <c r="N62" s="65"/>
      <c r="O62" s="29"/>
      <c r="P62" s="29"/>
      <c r="Q62" s="29"/>
      <c r="S62" s="33"/>
      <c r="T62" s="146"/>
    </row>
    <row r="63" spans="1:20">
      <c r="A63" s="29" t="s">
        <v>115</v>
      </c>
      <c r="B63" s="140" t="s">
        <v>162</v>
      </c>
      <c r="C63" s="141" t="s">
        <v>163</v>
      </c>
      <c r="D63" s="60">
        <v>53500</v>
      </c>
      <c r="E63" s="31">
        <v>13.32</v>
      </c>
      <c r="F63" s="61"/>
      <c r="G63" s="46">
        <v>44606</v>
      </c>
      <c r="H63" s="62"/>
      <c r="I63" s="29"/>
      <c r="J63" s="64">
        <f>RTD("wdf.rtq",,B63,"LastPrice")</f>
        <v>14.21</v>
      </c>
      <c r="K63" s="64"/>
      <c r="L63" s="29"/>
      <c r="M63" s="65">
        <f>(E63-J63)*D63</f>
        <v>-47615.000000000029</v>
      </c>
      <c r="N63" s="65"/>
      <c r="O63" s="29"/>
      <c r="P63" s="29"/>
      <c r="Q63" s="159">
        <f>M28+M29+M63+M64</f>
        <v>4217390.7600000007</v>
      </c>
      <c r="S63" s="33"/>
      <c r="T63" s="146"/>
    </row>
    <row r="64" spans="1:20">
      <c r="T64" s="146"/>
    </row>
    <row r="65" spans="1:20">
      <c r="A65" s="22" t="s">
        <v>117</v>
      </c>
      <c r="T65" s="146"/>
    </row>
    <row r="66" spans="1:20">
      <c r="A66" s="142" t="s">
        <v>118</v>
      </c>
      <c r="T66" s="146"/>
    </row>
    <row r="67" spans="1:20">
      <c r="B67" s="3"/>
    </row>
  </sheetData>
  <autoFilter ref="A1:T55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workbookViewId="0">
      <pane xSplit="1" ySplit="2" topLeftCell="E157" activePane="bottomRight" state="frozen"/>
      <selection pane="topRight" activeCell="B1" sqref="B1"/>
      <selection pane="bottomLeft" activeCell="A3" sqref="A3"/>
      <selection pane="bottomRight"/>
    </sheetView>
  </sheetViews>
  <sheetFormatPr defaultColWidth="8.875" defaultRowHeight="13.5"/>
  <cols>
    <col min="1" max="1" width="12" style="10" bestFit="1" customWidth="1"/>
    <col min="2" max="2" width="13.375" style="70" bestFit="1" customWidth="1"/>
    <col min="3" max="3" width="14.375" style="71" customWidth="1"/>
    <col min="4" max="4" width="13.875" style="70" customWidth="1"/>
    <col min="5" max="5" width="12.125" style="71" customWidth="1"/>
    <col min="6" max="6" width="15" style="71" customWidth="1"/>
    <col min="7" max="7" width="13.375" style="71" bestFit="1" customWidth="1"/>
    <col min="8" max="9" width="16.375" style="72" customWidth="1"/>
    <col min="10" max="10" width="12.625" style="2" customWidth="1"/>
    <col min="11" max="11" width="13.375" style="2" customWidth="1"/>
    <col min="12" max="12" width="16.125" style="2" bestFit="1" customWidth="1"/>
    <col min="13" max="13" width="10.125" style="2" bestFit="1" customWidth="1"/>
  </cols>
  <sheetData>
    <row r="1" spans="1:12">
      <c r="A1" s="145">
        <f>LOOKUP(9^9,A:A)</f>
        <v>44610</v>
      </c>
      <c r="B1" s="150" t="s">
        <v>119</v>
      </c>
      <c r="C1" s="151"/>
      <c r="D1" s="151"/>
      <c r="E1" s="151"/>
      <c r="F1" s="151"/>
      <c r="G1" s="152"/>
      <c r="H1" s="73" t="s">
        <v>120</v>
      </c>
      <c r="I1" s="74"/>
      <c r="J1" s="153" t="s">
        <v>121</v>
      </c>
      <c r="K1" s="152"/>
      <c r="L1" s="8" t="s">
        <v>122</v>
      </c>
    </row>
    <row r="2" spans="1:12" ht="15" customHeight="1" thickBot="1">
      <c r="A2" s="11" t="s">
        <v>123</v>
      </c>
      <c r="B2" s="75" t="s">
        <v>124</v>
      </c>
      <c r="C2" s="76" t="s">
        <v>125</v>
      </c>
      <c r="D2" s="76" t="s">
        <v>126</v>
      </c>
      <c r="E2" s="76" t="s">
        <v>127</v>
      </c>
      <c r="F2" s="76" t="s">
        <v>128</v>
      </c>
      <c r="G2" s="77" t="s">
        <v>129</v>
      </c>
      <c r="H2" s="78" t="s">
        <v>130</v>
      </c>
      <c r="I2" s="79" t="s">
        <v>131</v>
      </c>
      <c r="J2" s="80" t="s">
        <v>132</v>
      </c>
      <c r="K2" s="81" t="s">
        <v>133</v>
      </c>
      <c r="L2" s="9" t="s">
        <v>134</v>
      </c>
    </row>
    <row r="3" spans="1:12">
      <c r="A3" s="49">
        <v>44439</v>
      </c>
    </row>
    <row r="4" spans="1:12">
      <c r="A4" s="49">
        <v>44440</v>
      </c>
    </row>
    <row r="5" spans="1:12">
      <c r="A5" s="49">
        <v>44441</v>
      </c>
      <c r="B5" s="70">
        <v>402440.66</v>
      </c>
      <c r="C5" s="71">
        <f t="shared" ref="C5:C36" si="0">B5+C4</f>
        <v>402440.66</v>
      </c>
      <c r="D5" s="70">
        <v>494229.29</v>
      </c>
      <c r="E5" s="71">
        <f t="shared" ref="E5:E36" si="1">D5*0.0013</f>
        <v>642.49807699999997</v>
      </c>
      <c r="F5" s="71">
        <f t="shared" ref="F5:F36" si="2">G5-G4</f>
        <v>91146.131923000008</v>
      </c>
      <c r="G5" s="71">
        <f t="shared" ref="G5:G36" si="3">D5-C5-E5</f>
        <v>91146.131923000008</v>
      </c>
      <c r="H5" s="72">
        <v>0</v>
      </c>
      <c r="J5" s="82">
        <f t="shared" ref="J5:J36" si="4">K5-K4</f>
        <v>91146.131923000008</v>
      </c>
      <c r="K5" s="82">
        <f t="shared" ref="K5:K36" si="5">G5-H5</f>
        <v>91146.131923000008</v>
      </c>
      <c r="L5" s="82">
        <f>K5+'财通（君享天成）定增'!G5</f>
        <v>91146.131923000008</v>
      </c>
    </row>
    <row r="6" spans="1:12">
      <c r="A6" s="49">
        <v>44442</v>
      </c>
      <c r="C6" s="71">
        <f t="shared" si="0"/>
        <v>402440.66</v>
      </c>
      <c r="D6" s="70">
        <v>495792.6</v>
      </c>
      <c r="E6" s="71">
        <f t="shared" si="1"/>
        <v>644.53037999999992</v>
      </c>
      <c r="F6" s="71">
        <f t="shared" si="2"/>
        <v>1561.2776969999977</v>
      </c>
      <c r="G6" s="71">
        <f t="shared" si="3"/>
        <v>92707.409620000006</v>
      </c>
      <c r="H6" s="72">
        <f>(A6-[2]持仓!$G$2)*C6*0.048/365</f>
        <v>52.923703232876711</v>
      </c>
      <c r="J6" s="82">
        <f t="shared" si="4"/>
        <v>1508.3539937671158</v>
      </c>
      <c r="K6" s="82">
        <f t="shared" si="5"/>
        <v>92654.485916767124</v>
      </c>
      <c r="L6" s="82">
        <f>K6+'财通（君享天成）定增'!G6</f>
        <v>92654.485916767124</v>
      </c>
    </row>
    <row r="7" spans="1:12">
      <c r="A7" s="49">
        <v>44443</v>
      </c>
      <c r="C7" s="71">
        <f t="shared" si="0"/>
        <v>402440.66</v>
      </c>
      <c r="D7" s="70">
        <v>495792.6</v>
      </c>
      <c r="E7" s="71">
        <f t="shared" si="1"/>
        <v>644.53037999999992</v>
      </c>
      <c r="F7" s="71">
        <f t="shared" si="2"/>
        <v>0</v>
      </c>
      <c r="G7" s="71">
        <f t="shared" si="3"/>
        <v>92707.409620000006</v>
      </c>
      <c r="H7" s="72">
        <f>(A7-[2]持仓!$G$2)*C7*0.048/365</f>
        <v>105.84740646575342</v>
      </c>
      <c r="J7" s="82">
        <f t="shared" si="4"/>
        <v>-52.92370323286741</v>
      </c>
      <c r="K7" s="82">
        <f t="shared" si="5"/>
        <v>92601.562213534256</v>
      </c>
      <c r="L7" s="82">
        <f>K7+'财通（君享天成）定增'!G7</f>
        <v>92601.562213534256</v>
      </c>
    </row>
    <row r="8" spans="1:12">
      <c r="A8" s="49">
        <v>44444</v>
      </c>
      <c r="C8" s="71">
        <f t="shared" si="0"/>
        <v>402440.66</v>
      </c>
      <c r="D8" s="70">
        <v>495792.6</v>
      </c>
      <c r="E8" s="71">
        <f t="shared" si="1"/>
        <v>644.53037999999992</v>
      </c>
      <c r="F8" s="71">
        <f t="shared" si="2"/>
        <v>0</v>
      </c>
      <c r="G8" s="71">
        <f t="shared" si="3"/>
        <v>92707.409620000006</v>
      </c>
      <c r="H8" s="72">
        <f>(A8-[2]持仓!$G$2)*C8*0.048/365</f>
        <v>158.77110969863014</v>
      </c>
      <c r="J8" s="82">
        <f t="shared" si="4"/>
        <v>-52.923703232881962</v>
      </c>
      <c r="K8" s="82">
        <f t="shared" si="5"/>
        <v>92548.638510301374</v>
      </c>
      <c r="L8" s="82">
        <f>K8+'财通（君享天成）定增'!G8</f>
        <v>92548.638510301374</v>
      </c>
    </row>
    <row r="9" spans="1:12">
      <c r="A9" s="49">
        <v>44445</v>
      </c>
      <c r="C9" s="71">
        <f t="shared" si="0"/>
        <v>402440.66</v>
      </c>
      <c r="D9" s="70">
        <v>504055.81</v>
      </c>
      <c r="E9" s="71">
        <f t="shared" si="1"/>
        <v>655.27255300000002</v>
      </c>
      <c r="F9" s="71">
        <f t="shared" si="2"/>
        <v>8252.4678270000149</v>
      </c>
      <c r="G9" s="71">
        <f t="shared" si="3"/>
        <v>100959.87744700002</v>
      </c>
      <c r="H9" s="72">
        <f>(A9-[2]持仓!$G$2)*C9*0.048/365</f>
        <v>211.69481293150685</v>
      </c>
      <c r="J9" s="82">
        <f t="shared" si="4"/>
        <v>8199.544123767133</v>
      </c>
      <c r="K9" s="82">
        <f t="shared" si="5"/>
        <v>100748.18263406851</v>
      </c>
      <c r="L9" s="82">
        <f>K9+'财通（君享天成）定增'!G9</f>
        <v>100748.18263406851</v>
      </c>
    </row>
    <row r="10" spans="1:12">
      <c r="A10" s="49">
        <v>44446</v>
      </c>
      <c r="C10" s="71">
        <f t="shared" si="0"/>
        <v>402440.66</v>
      </c>
      <c r="D10" s="70">
        <v>490656.01</v>
      </c>
      <c r="E10" s="71">
        <f t="shared" si="1"/>
        <v>637.85281299999997</v>
      </c>
      <c r="F10" s="71">
        <f t="shared" si="2"/>
        <v>-13382.380259999991</v>
      </c>
      <c r="G10" s="71">
        <f t="shared" si="3"/>
        <v>87577.49718700003</v>
      </c>
      <c r="H10" s="72">
        <f>(A10-[2]持仓!$G$2)*C10*0.048/365</f>
        <v>264.61851616438355</v>
      </c>
      <c r="J10" s="82">
        <f t="shared" si="4"/>
        <v>-13435.303963232858</v>
      </c>
      <c r="K10" s="82">
        <f t="shared" si="5"/>
        <v>87312.878670835649</v>
      </c>
      <c r="L10" s="82">
        <f>K10+'财通（君享天成）定增'!G10</f>
        <v>87312.878670835649</v>
      </c>
    </row>
    <row r="11" spans="1:12">
      <c r="A11" s="49">
        <v>44447</v>
      </c>
      <c r="C11" s="71">
        <f t="shared" si="0"/>
        <v>402440.66</v>
      </c>
      <c r="D11" s="70">
        <v>478372.86</v>
      </c>
      <c r="E11" s="71">
        <f t="shared" si="1"/>
        <v>621.88471799999991</v>
      </c>
      <c r="F11" s="71">
        <f t="shared" si="2"/>
        <v>-12267.181905000019</v>
      </c>
      <c r="G11" s="71">
        <f t="shared" si="3"/>
        <v>75310.31528200001</v>
      </c>
      <c r="H11" s="72">
        <f>(A11-[2]持仓!$G$2)*C11*0.048/365</f>
        <v>317.54221939726028</v>
      </c>
      <c r="J11" s="82">
        <f t="shared" si="4"/>
        <v>-12320.105608232901</v>
      </c>
      <c r="K11" s="82">
        <f t="shared" si="5"/>
        <v>74992.773062602748</v>
      </c>
      <c r="L11" s="82">
        <f>K11+'财通（君享天成）定增'!G11</f>
        <v>74992.773062602748</v>
      </c>
    </row>
    <row r="12" spans="1:12">
      <c r="A12" s="49">
        <v>44448</v>
      </c>
      <c r="B12" s="70">
        <v>1000001.84</v>
      </c>
      <c r="C12" s="71">
        <f t="shared" si="0"/>
        <v>1402442.5</v>
      </c>
      <c r="D12" s="70">
        <v>1753872.15</v>
      </c>
      <c r="E12" s="71">
        <f t="shared" si="1"/>
        <v>2280.0337949999998</v>
      </c>
      <c r="F12" s="71">
        <f t="shared" si="2"/>
        <v>273839.30092299992</v>
      </c>
      <c r="G12" s="71">
        <f t="shared" si="3"/>
        <v>349149.61620499991</v>
      </c>
      <c r="H12" s="72">
        <v>370.47</v>
      </c>
      <c r="J12" s="82">
        <f t="shared" si="4"/>
        <v>273786.37314239721</v>
      </c>
      <c r="K12" s="82">
        <f t="shared" si="5"/>
        <v>348779.14620499994</v>
      </c>
      <c r="L12" s="82">
        <f>K12+'财通（君享天成）定增'!G12</f>
        <v>348779.14620499994</v>
      </c>
    </row>
    <row r="13" spans="1:12">
      <c r="A13" s="49">
        <v>44449</v>
      </c>
      <c r="C13" s="71">
        <f t="shared" si="0"/>
        <v>1402442.5</v>
      </c>
      <c r="D13" s="70">
        <v>1753113.34</v>
      </c>
      <c r="E13" s="71">
        <f t="shared" si="1"/>
        <v>2279.0473419999998</v>
      </c>
      <c r="F13" s="71">
        <f t="shared" si="2"/>
        <v>-757.82354699983262</v>
      </c>
      <c r="G13" s="71">
        <f t="shared" si="3"/>
        <v>348391.79265800008</v>
      </c>
      <c r="H13" s="72">
        <v>554.9</v>
      </c>
      <c r="J13" s="82">
        <f t="shared" si="4"/>
        <v>-942.25354699988384</v>
      </c>
      <c r="K13" s="82">
        <f t="shared" si="5"/>
        <v>347836.89265800006</v>
      </c>
      <c r="L13" s="82">
        <f>K13+'财通（君享天成）定增'!G13</f>
        <v>347836.89265800006</v>
      </c>
    </row>
    <row r="14" spans="1:12">
      <c r="A14" s="49">
        <v>44450</v>
      </c>
      <c r="C14" s="71">
        <f t="shared" si="0"/>
        <v>1402442.5</v>
      </c>
      <c r="D14" s="70">
        <v>1753113.34</v>
      </c>
      <c r="E14" s="71">
        <f t="shared" si="1"/>
        <v>2279.0473419999998</v>
      </c>
      <c r="F14" s="71">
        <f t="shared" si="2"/>
        <v>0</v>
      </c>
      <c r="G14" s="71">
        <f t="shared" si="3"/>
        <v>348391.79265800008</v>
      </c>
      <c r="H14" s="72">
        <v>554.9</v>
      </c>
      <c r="J14" s="82">
        <f t="shared" si="4"/>
        <v>0</v>
      </c>
      <c r="K14" s="82">
        <f t="shared" si="5"/>
        <v>347836.89265800006</v>
      </c>
      <c r="L14" s="82">
        <f>K14+'财通（君享天成）定增'!G14</f>
        <v>347836.89265800006</v>
      </c>
    </row>
    <row r="15" spans="1:12">
      <c r="A15" s="49">
        <v>44451</v>
      </c>
      <c r="C15" s="71">
        <f t="shared" si="0"/>
        <v>1402442.5</v>
      </c>
      <c r="D15" s="70">
        <v>1753113.34</v>
      </c>
      <c r="E15" s="71">
        <f t="shared" si="1"/>
        <v>2279.0473419999998</v>
      </c>
      <c r="F15" s="71">
        <f t="shared" si="2"/>
        <v>0</v>
      </c>
      <c r="G15" s="71">
        <f t="shared" si="3"/>
        <v>348391.79265800008</v>
      </c>
      <c r="H15" s="72">
        <v>554.9</v>
      </c>
      <c r="J15" s="82">
        <f t="shared" si="4"/>
        <v>0</v>
      </c>
      <c r="K15" s="82">
        <f t="shared" si="5"/>
        <v>347836.89265800006</v>
      </c>
      <c r="L15" s="82">
        <f>K15+'财通（君享天成）定增'!G15</f>
        <v>347836.89265800006</v>
      </c>
    </row>
    <row r="16" spans="1:12">
      <c r="A16" s="49">
        <v>44452</v>
      </c>
      <c r="B16" s="70">
        <v>999997.43999999994</v>
      </c>
      <c r="C16" s="71">
        <f t="shared" si="0"/>
        <v>2402439.94</v>
      </c>
      <c r="D16" s="70">
        <v>3065814.04</v>
      </c>
      <c r="E16" s="71">
        <f t="shared" si="1"/>
        <v>3985.5582519999998</v>
      </c>
      <c r="F16" s="71">
        <f t="shared" si="2"/>
        <v>310996.74909</v>
      </c>
      <c r="G16" s="71">
        <f t="shared" si="3"/>
        <v>659388.54174800008</v>
      </c>
      <c r="H16" s="72">
        <v>1108.19</v>
      </c>
      <c r="J16" s="82">
        <f t="shared" si="4"/>
        <v>310443.45909000008</v>
      </c>
      <c r="K16" s="82">
        <f t="shared" si="5"/>
        <v>658280.35174800013</v>
      </c>
      <c r="L16" s="82">
        <f>K16+'财通（君享天成）定增'!G16</f>
        <v>658280.35174800013</v>
      </c>
    </row>
    <row r="17" spans="1:12">
      <c r="A17" s="49">
        <v>44453</v>
      </c>
      <c r="B17" s="70">
        <v>999997.48</v>
      </c>
      <c r="C17" s="71">
        <f t="shared" si="0"/>
        <v>3402437.42</v>
      </c>
      <c r="D17" s="70">
        <v>4543275.22</v>
      </c>
      <c r="E17" s="71">
        <f t="shared" si="1"/>
        <v>5906.2577859999992</v>
      </c>
      <c r="F17" s="71">
        <f t="shared" si="2"/>
        <v>475543.00046599982</v>
      </c>
      <c r="G17" s="71">
        <f t="shared" si="3"/>
        <v>1134931.5422139999</v>
      </c>
      <c r="H17" s="72">
        <v>1424.13</v>
      </c>
      <c r="J17" s="82">
        <f t="shared" si="4"/>
        <v>475227.06046599988</v>
      </c>
      <c r="K17" s="82">
        <f t="shared" si="5"/>
        <v>1133507.412214</v>
      </c>
      <c r="L17" s="82">
        <f>K17+'财通（君享天成）定增'!G17</f>
        <v>1133507.412214</v>
      </c>
    </row>
    <row r="18" spans="1:12">
      <c r="A18" s="49">
        <v>44454</v>
      </c>
      <c r="C18" s="71">
        <f t="shared" si="0"/>
        <v>3402437.42</v>
      </c>
      <c r="D18" s="70">
        <v>4649653.51</v>
      </c>
      <c r="E18" s="71">
        <f t="shared" si="1"/>
        <v>6044.5495629999996</v>
      </c>
      <c r="F18" s="71">
        <f t="shared" si="2"/>
        <v>106239.99822299997</v>
      </c>
      <c r="G18" s="71">
        <f t="shared" si="3"/>
        <v>1241171.5404369999</v>
      </c>
      <c r="H18" s="72">
        <v>1871.57</v>
      </c>
      <c r="J18" s="82">
        <f t="shared" si="4"/>
        <v>105792.5582229998</v>
      </c>
      <c r="K18" s="82">
        <f t="shared" si="5"/>
        <v>1239299.9704369998</v>
      </c>
      <c r="L18" s="82">
        <f>K18+'财通（君享天成）定增'!G18</f>
        <v>1239299.9704369998</v>
      </c>
    </row>
    <row r="19" spans="1:12">
      <c r="A19" s="49">
        <v>44455</v>
      </c>
      <c r="C19" s="71">
        <f t="shared" si="0"/>
        <v>3402437.42</v>
      </c>
      <c r="D19" s="70">
        <v>4653374.5999999996</v>
      </c>
      <c r="E19" s="71">
        <f t="shared" si="1"/>
        <v>6049.3869799999993</v>
      </c>
      <c r="F19" s="71">
        <f t="shared" si="2"/>
        <v>3716.2525829998776</v>
      </c>
      <c r="G19" s="71">
        <f t="shared" si="3"/>
        <v>1244887.7930199997</v>
      </c>
      <c r="H19" s="72">
        <v>2319.0100000000002</v>
      </c>
      <c r="J19" s="82">
        <f t="shared" si="4"/>
        <v>3268.8125829999335</v>
      </c>
      <c r="K19" s="82">
        <f t="shared" si="5"/>
        <v>1242568.7830199997</v>
      </c>
      <c r="L19" s="82">
        <f>K19+'财通（君享天成）定增'!G19</f>
        <v>1242568.7830199997</v>
      </c>
    </row>
    <row r="20" spans="1:12">
      <c r="A20" s="49">
        <v>44456</v>
      </c>
      <c r="C20" s="71">
        <f t="shared" si="0"/>
        <v>3402437.42</v>
      </c>
      <c r="D20" s="70">
        <v>4542940.6399999997</v>
      </c>
      <c r="E20" s="71">
        <f t="shared" si="1"/>
        <v>5905.8228319999989</v>
      </c>
      <c r="F20" s="71">
        <f t="shared" si="2"/>
        <v>-110290.39585199999</v>
      </c>
      <c r="G20" s="71">
        <f t="shared" si="3"/>
        <v>1134597.3971679998</v>
      </c>
      <c r="H20" s="72">
        <v>2766.47</v>
      </c>
      <c r="J20" s="82">
        <f t="shared" si="4"/>
        <v>-110737.85585199995</v>
      </c>
      <c r="K20" s="82">
        <f t="shared" si="5"/>
        <v>1131830.9271679998</v>
      </c>
      <c r="L20" s="82">
        <f>K20+'财通（君享天成）定增'!G20</f>
        <v>1131830.9271679998</v>
      </c>
    </row>
    <row r="21" spans="1:12">
      <c r="A21" s="49">
        <v>44457</v>
      </c>
      <c r="C21" s="71">
        <f t="shared" si="0"/>
        <v>3402437.42</v>
      </c>
      <c r="D21" s="70">
        <v>4542940.6399999997</v>
      </c>
      <c r="E21" s="71">
        <f t="shared" si="1"/>
        <v>5905.8228319999989</v>
      </c>
      <c r="F21" s="71">
        <f t="shared" si="2"/>
        <v>0</v>
      </c>
      <c r="G21" s="71">
        <f t="shared" si="3"/>
        <v>1134597.3971679998</v>
      </c>
      <c r="H21" s="72">
        <v>2766.47</v>
      </c>
      <c r="J21" s="82">
        <f t="shared" si="4"/>
        <v>0</v>
      </c>
      <c r="K21" s="82">
        <f t="shared" si="5"/>
        <v>1131830.9271679998</v>
      </c>
      <c r="L21" s="82">
        <f>K21+'财通（君享天成）定增'!G21</f>
        <v>1131830.9271679998</v>
      </c>
    </row>
    <row r="22" spans="1:12">
      <c r="A22" s="49">
        <v>44458</v>
      </c>
      <c r="C22" s="71">
        <f t="shared" si="0"/>
        <v>3402437.42</v>
      </c>
      <c r="D22" s="70">
        <v>4542940.6399999997</v>
      </c>
      <c r="E22" s="71">
        <f t="shared" si="1"/>
        <v>5905.8228319999989</v>
      </c>
      <c r="F22" s="71">
        <f t="shared" si="2"/>
        <v>0</v>
      </c>
      <c r="G22" s="71">
        <f t="shared" si="3"/>
        <v>1134597.3971679998</v>
      </c>
      <c r="H22" s="72">
        <v>2766.47</v>
      </c>
      <c r="J22" s="82">
        <f t="shared" si="4"/>
        <v>0</v>
      </c>
      <c r="K22" s="82">
        <f t="shared" si="5"/>
        <v>1131830.9271679998</v>
      </c>
      <c r="L22" s="82">
        <f>K22+'财通（君享天成）定增'!G22</f>
        <v>1131830.9271679998</v>
      </c>
    </row>
    <row r="23" spans="1:12">
      <c r="A23" s="49">
        <v>44459</v>
      </c>
      <c r="C23" s="71">
        <f t="shared" si="0"/>
        <v>3402437.42</v>
      </c>
      <c r="D23" s="70">
        <v>4542940.6399999997</v>
      </c>
      <c r="E23" s="71">
        <f t="shared" si="1"/>
        <v>5905.8228319999989</v>
      </c>
      <c r="F23" s="71">
        <f t="shared" si="2"/>
        <v>0</v>
      </c>
      <c r="G23" s="71">
        <f t="shared" si="3"/>
        <v>1134597.3971679998</v>
      </c>
      <c r="H23" s="72">
        <v>2766.47</v>
      </c>
      <c r="J23" s="82">
        <f t="shared" si="4"/>
        <v>0</v>
      </c>
      <c r="K23" s="82">
        <f t="shared" si="5"/>
        <v>1131830.9271679998</v>
      </c>
      <c r="L23" s="82">
        <f>K23+'财通（君享天成）定增'!G23</f>
        <v>1131830.9271679998</v>
      </c>
    </row>
    <row r="24" spans="1:12">
      <c r="A24" s="49">
        <v>44460</v>
      </c>
      <c r="C24" s="71">
        <f t="shared" si="0"/>
        <v>3402437.42</v>
      </c>
      <c r="D24" s="70">
        <v>4542940.6399999997</v>
      </c>
      <c r="E24" s="71">
        <f t="shared" si="1"/>
        <v>5905.8228319999989</v>
      </c>
      <c r="F24" s="71">
        <f t="shared" si="2"/>
        <v>0</v>
      </c>
      <c r="G24" s="71">
        <f t="shared" si="3"/>
        <v>1134597.3971679998</v>
      </c>
      <c r="H24" s="72">
        <v>2766.47</v>
      </c>
      <c r="J24" s="82">
        <f t="shared" si="4"/>
        <v>0</v>
      </c>
      <c r="K24" s="82">
        <f t="shared" si="5"/>
        <v>1131830.9271679998</v>
      </c>
      <c r="L24" s="82">
        <f>K24+'财通（君享天成）定增'!G24</f>
        <v>1131830.9271679998</v>
      </c>
    </row>
    <row r="25" spans="1:12">
      <c r="A25" s="49">
        <v>44461</v>
      </c>
      <c r="C25" s="71">
        <f t="shared" si="0"/>
        <v>3402437.42</v>
      </c>
      <c r="D25" s="70">
        <v>4522848.91</v>
      </c>
      <c r="E25" s="71">
        <f t="shared" si="1"/>
        <v>5879.7035829999995</v>
      </c>
      <c r="F25" s="71">
        <f t="shared" si="2"/>
        <v>-20065.610750999535</v>
      </c>
      <c r="G25" s="71">
        <f t="shared" si="3"/>
        <v>1114531.7864170002</v>
      </c>
      <c r="H25" s="72">
        <v>5003.67</v>
      </c>
      <c r="J25" s="82">
        <f t="shared" si="4"/>
        <v>-22302.810750999488</v>
      </c>
      <c r="K25" s="82">
        <f t="shared" si="5"/>
        <v>1109528.1164170003</v>
      </c>
      <c r="L25" s="82">
        <f>K25+'财通（君享天成）定增'!G25</f>
        <v>1109528.1164170003</v>
      </c>
    </row>
    <row r="26" spans="1:12">
      <c r="A26" s="49">
        <v>44462</v>
      </c>
      <c r="C26" s="71">
        <f t="shared" si="0"/>
        <v>3402437.42</v>
      </c>
      <c r="D26" s="70">
        <v>4530241.92</v>
      </c>
      <c r="E26" s="71">
        <f t="shared" si="1"/>
        <v>5889.314496</v>
      </c>
      <c r="F26" s="71">
        <f t="shared" si="2"/>
        <v>7383.3990869997069</v>
      </c>
      <c r="G26" s="71">
        <f t="shared" si="3"/>
        <v>1121915.1855039999</v>
      </c>
      <c r="H26" s="72">
        <v>5451.13</v>
      </c>
      <c r="J26" s="82">
        <f t="shared" si="4"/>
        <v>6935.9390869997442</v>
      </c>
      <c r="K26" s="82">
        <f t="shared" si="5"/>
        <v>1116464.055504</v>
      </c>
      <c r="L26" s="82">
        <f>K26+'财通（君享天成）定增'!G26</f>
        <v>1116464.055504</v>
      </c>
    </row>
    <row r="27" spans="1:12">
      <c r="A27" s="49">
        <v>44463</v>
      </c>
      <c r="C27" s="71">
        <f t="shared" si="0"/>
        <v>3402437.42</v>
      </c>
      <c r="D27" s="70">
        <v>4541835.03</v>
      </c>
      <c r="E27" s="71">
        <f t="shared" si="1"/>
        <v>5904.3855389999999</v>
      </c>
      <c r="F27" s="71">
        <f t="shared" si="2"/>
        <v>11578.038957000477</v>
      </c>
      <c r="G27" s="71">
        <f t="shared" si="3"/>
        <v>1133493.2244610004</v>
      </c>
      <c r="H27" s="72">
        <v>5898.57</v>
      </c>
      <c r="J27" s="82">
        <f t="shared" si="4"/>
        <v>11130.5989570003</v>
      </c>
      <c r="K27" s="82">
        <f t="shared" si="5"/>
        <v>1127594.6544610003</v>
      </c>
      <c r="L27" s="82">
        <f>K27+'财通（君享天成）定增'!G27</f>
        <v>1127594.6544610003</v>
      </c>
    </row>
    <row r="28" spans="1:12">
      <c r="A28" s="49">
        <v>44464</v>
      </c>
      <c r="C28" s="71">
        <f t="shared" si="0"/>
        <v>3402437.42</v>
      </c>
      <c r="D28" s="70">
        <v>4541835.03</v>
      </c>
      <c r="E28" s="71">
        <f t="shared" si="1"/>
        <v>5904.3855389999999</v>
      </c>
      <c r="F28" s="71">
        <f t="shared" si="2"/>
        <v>0</v>
      </c>
      <c r="G28" s="71">
        <f t="shared" si="3"/>
        <v>1133493.2244610004</v>
      </c>
      <c r="H28" s="72">
        <v>5898.57</v>
      </c>
      <c r="J28" s="82">
        <f t="shared" si="4"/>
        <v>0</v>
      </c>
      <c r="K28" s="82">
        <f t="shared" si="5"/>
        <v>1127594.6544610003</v>
      </c>
      <c r="L28" s="82">
        <f>K28+'财通（君享天成）定增'!G28</f>
        <v>1127594.6544610003</v>
      </c>
    </row>
    <row r="29" spans="1:12">
      <c r="A29" s="49">
        <v>44465</v>
      </c>
      <c r="C29" s="71">
        <f t="shared" si="0"/>
        <v>3402437.42</v>
      </c>
      <c r="D29" s="70">
        <v>4541835.03</v>
      </c>
      <c r="E29" s="71">
        <f t="shared" si="1"/>
        <v>5904.3855389999999</v>
      </c>
      <c r="F29" s="71">
        <f t="shared" si="2"/>
        <v>0</v>
      </c>
      <c r="G29" s="71">
        <f t="shared" si="3"/>
        <v>1133493.2244610004</v>
      </c>
      <c r="H29" s="72">
        <v>5898.57</v>
      </c>
      <c r="J29" s="82">
        <f t="shared" si="4"/>
        <v>0</v>
      </c>
      <c r="K29" s="82">
        <f t="shared" si="5"/>
        <v>1127594.6544610003</v>
      </c>
      <c r="L29" s="82">
        <f>K29+'财通（君享天成）定增'!G29</f>
        <v>1127594.6544610003</v>
      </c>
    </row>
    <row r="30" spans="1:12">
      <c r="A30" s="49">
        <v>44466</v>
      </c>
      <c r="C30" s="71">
        <f t="shared" si="0"/>
        <v>3402437.42</v>
      </c>
      <c r="D30" s="70">
        <v>4332148.88</v>
      </c>
      <c r="E30" s="71">
        <f t="shared" si="1"/>
        <v>5631.7935439999992</v>
      </c>
      <c r="F30" s="71">
        <f t="shared" si="2"/>
        <v>-209413.55800500046</v>
      </c>
      <c r="G30" s="71">
        <f t="shared" si="3"/>
        <v>924079.66645599995</v>
      </c>
      <c r="H30" s="72">
        <v>7240.89</v>
      </c>
      <c r="J30" s="82">
        <f t="shared" si="4"/>
        <v>-210755.87800500041</v>
      </c>
      <c r="K30" s="82">
        <f t="shared" si="5"/>
        <v>916838.77645599993</v>
      </c>
      <c r="L30" s="82">
        <f>K30+'财通（君享天成）定增'!G30</f>
        <v>916838.77645599993</v>
      </c>
    </row>
    <row r="31" spans="1:12">
      <c r="A31" s="49">
        <v>44467</v>
      </c>
      <c r="B31" s="70">
        <v>1999999.1</v>
      </c>
      <c r="C31" s="71">
        <f t="shared" si="0"/>
        <v>5402436.5199999996</v>
      </c>
      <c r="D31" s="70">
        <v>6544558.2599999998</v>
      </c>
      <c r="E31" s="71">
        <f t="shared" si="1"/>
        <v>8507.9257379999999</v>
      </c>
      <c r="F31" s="71">
        <f t="shared" si="2"/>
        <v>209534.1478060002</v>
      </c>
      <c r="G31" s="71">
        <f t="shared" si="3"/>
        <v>1133613.8142620001</v>
      </c>
      <c r="H31" s="72">
        <v>7688.34</v>
      </c>
      <c r="J31" s="82">
        <f t="shared" si="4"/>
        <v>209086.69780600013</v>
      </c>
      <c r="K31" s="82">
        <f t="shared" si="5"/>
        <v>1125925.4742620001</v>
      </c>
      <c r="L31" s="82">
        <f>K31+'财通（君享天成）定增'!G31</f>
        <v>1125925.4742620001</v>
      </c>
    </row>
    <row r="32" spans="1:12">
      <c r="A32" s="49">
        <v>44468</v>
      </c>
      <c r="C32" s="71">
        <f t="shared" si="0"/>
        <v>5402436.5199999996</v>
      </c>
      <c r="D32" s="70">
        <v>6179511.54</v>
      </c>
      <c r="E32" s="71">
        <f t="shared" si="1"/>
        <v>8033.3650019999995</v>
      </c>
      <c r="F32" s="71">
        <f t="shared" si="2"/>
        <v>-364572.15926399967</v>
      </c>
      <c r="G32" s="71">
        <f t="shared" si="3"/>
        <v>769041.65499800048</v>
      </c>
      <c r="H32" s="72">
        <v>8398.7900000000009</v>
      </c>
      <c r="J32" s="82">
        <f t="shared" si="4"/>
        <v>-365282.60926399962</v>
      </c>
      <c r="K32" s="82">
        <f t="shared" si="5"/>
        <v>760642.86499800044</v>
      </c>
      <c r="L32" s="82">
        <f>K32+'财通（君享天成）定增'!G32</f>
        <v>760642.86499800044</v>
      </c>
    </row>
    <row r="33" spans="1:12">
      <c r="A33" s="49">
        <v>44469</v>
      </c>
      <c r="B33" s="70">
        <v>2000008.01</v>
      </c>
      <c r="C33" s="71">
        <f t="shared" si="0"/>
        <v>7402444.5299999993</v>
      </c>
      <c r="D33" s="70">
        <v>8888635.9199999999</v>
      </c>
      <c r="E33" s="71">
        <f t="shared" si="1"/>
        <v>11555.226696</v>
      </c>
      <c r="F33" s="71">
        <f t="shared" si="2"/>
        <v>705594.50830600015</v>
      </c>
      <c r="G33" s="71">
        <f t="shared" si="3"/>
        <v>1474636.1633040006</v>
      </c>
      <c r="H33" s="72">
        <v>9109.25</v>
      </c>
      <c r="J33" s="82">
        <f t="shared" si="4"/>
        <v>704884.04830600019</v>
      </c>
      <c r="K33" s="82">
        <f t="shared" si="5"/>
        <v>1465526.9133040006</v>
      </c>
      <c r="L33" s="82">
        <f>K33+'财通（君享天成）定增'!G33</f>
        <v>1465526.9133040006</v>
      </c>
    </row>
    <row r="34" spans="1:12">
      <c r="A34" s="49">
        <v>44470</v>
      </c>
      <c r="C34" s="71">
        <f t="shared" si="0"/>
        <v>7402444.5299999993</v>
      </c>
      <c r="D34" s="70">
        <v>8888635.9199999999</v>
      </c>
      <c r="E34" s="71">
        <f t="shared" si="1"/>
        <v>11555.226696</v>
      </c>
      <c r="F34" s="71">
        <f t="shared" si="2"/>
        <v>0</v>
      </c>
      <c r="G34" s="71">
        <f t="shared" si="3"/>
        <v>1474636.1633040006</v>
      </c>
      <c r="H34" s="72">
        <v>9109.25</v>
      </c>
      <c r="J34" s="82">
        <f t="shared" si="4"/>
        <v>0</v>
      </c>
      <c r="K34" s="82">
        <f t="shared" si="5"/>
        <v>1465526.9133040006</v>
      </c>
      <c r="L34" s="82">
        <f>K34+'财通（君享天成）定增'!G34</f>
        <v>1465526.9133040006</v>
      </c>
    </row>
    <row r="35" spans="1:12">
      <c r="A35" s="49">
        <v>44471</v>
      </c>
      <c r="C35" s="71">
        <f t="shared" si="0"/>
        <v>7402444.5299999993</v>
      </c>
      <c r="D35" s="70">
        <v>8888635.9199999999</v>
      </c>
      <c r="E35" s="71">
        <f t="shared" si="1"/>
        <v>11555.226696</v>
      </c>
      <c r="F35" s="71">
        <f t="shared" si="2"/>
        <v>0</v>
      </c>
      <c r="G35" s="71">
        <f t="shared" si="3"/>
        <v>1474636.1633040006</v>
      </c>
      <c r="H35" s="72">
        <v>9109.25</v>
      </c>
      <c r="J35" s="82">
        <f t="shared" si="4"/>
        <v>0</v>
      </c>
      <c r="K35" s="82">
        <f t="shared" si="5"/>
        <v>1465526.9133040006</v>
      </c>
      <c r="L35" s="82">
        <f>K35+'财通（君享天成）定增'!G35</f>
        <v>1465526.9133040006</v>
      </c>
    </row>
    <row r="36" spans="1:12">
      <c r="A36" s="49">
        <v>44472</v>
      </c>
      <c r="C36" s="71">
        <f t="shared" si="0"/>
        <v>7402444.5299999993</v>
      </c>
      <c r="D36" s="70">
        <v>8888635.9199999999</v>
      </c>
      <c r="E36" s="71">
        <f t="shared" si="1"/>
        <v>11555.226696</v>
      </c>
      <c r="F36" s="71">
        <f t="shared" si="2"/>
        <v>0</v>
      </c>
      <c r="G36" s="71">
        <f t="shared" si="3"/>
        <v>1474636.1633040006</v>
      </c>
      <c r="H36" s="72">
        <v>9109.25</v>
      </c>
      <c r="J36" s="82">
        <f t="shared" si="4"/>
        <v>0</v>
      </c>
      <c r="K36" s="82">
        <f t="shared" si="5"/>
        <v>1465526.9133040006</v>
      </c>
      <c r="L36" s="82">
        <f>K36+'财通（君享天成）定增'!G36</f>
        <v>1465526.9133040006</v>
      </c>
    </row>
    <row r="37" spans="1:12">
      <c r="A37" s="49">
        <v>44473</v>
      </c>
      <c r="C37" s="71">
        <f t="shared" ref="C37:C68" si="6">B37+C36</f>
        <v>7402444.5299999993</v>
      </c>
      <c r="D37" s="70">
        <v>8888635.9199999999</v>
      </c>
      <c r="E37" s="71">
        <f t="shared" ref="E37:E68" si="7">D37*0.0013</f>
        <v>11555.226696</v>
      </c>
      <c r="F37" s="71">
        <f t="shared" ref="F37:F68" si="8">G37-G36</f>
        <v>0</v>
      </c>
      <c r="G37" s="71">
        <f t="shared" ref="G37:G68" si="9">D37-C37-E37</f>
        <v>1474636.1633040006</v>
      </c>
      <c r="H37" s="72">
        <v>9109.25</v>
      </c>
      <c r="J37" s="82">
        <f t="shared" ref="J37:J68" si="10">K37-K36</f>
        <v>0</v>
      </c>
      <c r="K37" s="82">
        <f t="shared" ref="K37:K68" si="11">G37-H37</f>
        <v>1465526.9133040006</v>
      </c>
      <c r="L37" s="82">
        <f>K37+'财通（君享天成）定增'!G37</f>
        <v>1465526.9133040006</v>
      </c>
    </row>
    <row r="38" spans="1:12">
      <c r="A38" s="49">
        <v>44474</v>
      </c>
      <c r="C38" s="71">
        <f t="shared" si="6"/>
        <v>7402444.5299999993</v>
      </c>
      <c r="D38" s="70">
        <v>8888635.9199999999</v>
      </c>
      <c r="E38" s="71">
        <f t="shared" si="7"/>
        <v>11555.226696</v>
      </c>
      <c r="F38" s="71">
        <f t="shared" si="8"/>
        <v>0</v>
      </c>
      <c r="G38" s="71">
        <f t="shared" si="9"/>
        <v>1474636.1633040006</v>
      </c>
      <c r="H38" s="72">
        <v>9109.25</v>
      </c>
      <c r="J38" s="82">
        <f t="shared" si="10"/>
        <v>0</v>
      </c>
      <c r="K38" s="82">
        <f t="shared" si="11"/>
        <v>1465526.9133040006</v>
      </c>
      <c r="L38" s="82">
        <f>K38+'财通（君享天成）定增'!G38</f>
        <v>1465526.9133040006</v>
      </c>
    </row>
    <row r="39" spans="1:12">
      <c r="A39" s="49">
        <v>44475</v>
      </c>
      <c r="C39" s="71">
        <f t="shared" si="6"/>
        <v>7402444.5299999993</v>
      </c>
      <c r="D39" s="70">
        <v>8888635.9199999999</v>
      </c>
      <c r="E39" s="71">
        <f t="shared" si="7"/>
        <v>11555.226696</v>
      </c>
      <c r="F39" s="71">
        <f t="shared" si="8"/>
        <v>0</v>
      </c>
      <c r="G39" s="71">
        <f t="shared" si="9"/>
        <v>1474636.1633040006</v>
      </c>
      <c r="H39" s="72">
        <v>9109.25</v>
      </c>
      <c r="J39" s="82">
        <f t="shared" si="10"/>
        <v>0</v>
      </c>
      <c r="K39" s="82">
        <f t="shared" si="11"/>
        <v>1465526.9133040006</v>
      </c>
      <c r="L39" s="82">
        <f>K39+'财通（君享天成）定增'!G39</f>
        <v>1465526.9133040006</v>
      </c>
    </row>
    <row r="40" spans="1:12">
      <c r="A40" s="49">
        <v>44476</v>
      </c>
      <c r="C40" s="71">
        <f t="shared" si="6"/>
        <v>7402444.5299999993</v>
      </c>
      <c r="D40" s="70">
        <v>8888635.9199999999</v>
      </c>
      <c r="E40" s="71">
        <f t="shared" si="7"/>
        <v>11555.226696</v>
      </c>
      <c r="F40" s="71">
        <f t="shared" si="8"/>
        <v>0</v>
      </c>
      <c r="G40" s="71">
        <f t="shared" si="9"/>
        <v>1474636.1633040006</v>
      </c>
      <c r="H40" s="72">
        <v>9109.25</v>
      </c>
      <c r="J40" s="82">
        <f t="shared" si="10"/>
        <v>0</v>
      </c>
      <c r="K40" s="82">
        <f t="shared" si="11"/>
        <v>1465526.9133040006</v>
      </c>
      <c r="L40" s="82">
        <f>K40+'财通（君享天成）定增'!G40</f>
        <v>1465526.9133040006</v>
      </c>
    </row>
    <row r="41" spans="1:12">
      <c r="A41" s="49">
        <v>44477</v>
      </c>
      <c r="B41" s="70">
        <v>1999996.99</v>
      </c>
      <c r="C41" s="71">
        <f t="shared" si="6"/>
        <v>9402441.5199999996</v>
      </c>
      <c r="D41" s="70">
        <v>11361453.08</v>
      </c>
      <c r="E41" s="71">
        <f t="shared" si="7"/>
        <v>14769.889003999999</v>
      </c>
      <c r="F41" s="71">
        <f t="shared" si="8"/>
        <v>469605.5076919999</v>
      </c>
      <c r="G41" s="71">
        <f t="shared" si="9"/>
        <v>1944241.6709960005</v>
      </c>
      <c r="H41" s="72">
        <v>16897.04</v>
      </c>
      <c r="J41" s="82">
        <f t="shared" si="10"/>
        <v>461817.71769199986</v>
      </c>
      <c r="K41" s="82">
        <f t="shared" si="11"/>
        <v>1927344.6309960005</v>
      </c>
      <c r="L41" s="82">
        <f>K41+'财通（君享天成）定增'!G41</f>
        <v>1927344.6309960005</v>
      </c>
    </row>
    <row r="42" spans="1:12">
      <c r="A42" s="49">
        <v>44478</v>
      </c>
      <c r="C42" s="71">
        <f t="shared" si="6"/>
        <v>9402441.5199999996</v>
      </c>
      <c r="D42" s="70">
        <v>11361453.08</v>
      </c>
      <c r="E42" s="71">
        <f t="shared" si="7"/>
        <v>14769.889003999999</v>
      </c>
      <c r="F42" s="71">
        <f t="shared" si="8"/>
        <v>0</v>
      </c>
      <c r="G42" s="71">
        <f t="shared" si="9"/>
        <v>1944241.6709960005</v>
      </c>
      <c r="H42" s="72">
        <v>16897.04</v>
      </c>
      <c r="J42" s="82">
        <f t="shared" si="10"/>
        <v>0</v>
      </c>
      <c r="K42" s="82">
        <f t="shared" si="11"/>
        <v>1927344.6309960005</v>
      </c>
      <c r="L42" s="82">
        <f>K42+'财通（君享天成）定增'!G42</f>
        <v>1927344.6309960005</v>
      </c>
    </row>
    <row r="43" spans="1:12">
      <c r="A43" s="49">
        <v>44479</v>
      </c>
      <c r="C43" s="71">
        <f t="shared" si="6"/>
        <v>9402441.5199999996</v>
      </c>
      <c r="D43" s="70">
        <v>11361453.08</v>
      </c>
      <c r="E43" s="71">
        <f t="shared" si="7"/>
        <v>14769.889003999999</v>
      </c>
      <c r="F43" s="71">
        <f t="shared" si="8"/>
        <v>0</v>
      </c>
      <c r="G43" s="71">
        <f t="shared" si="9"/>
        <v>1944241.6709960005</v>
      </c>
      <c r="H43" s="72">
        <v>16897.04</v>
      </c>
      <c r="J43" s="82">
        <f t="shared" si="10"/>
        <v>0</v>
      </c>
      <c r="K43" s="82">
        <f t="shared" si="11"/>
        <v>1927344.6309960005</v>
      </c>
      <c r="L43" s="82">
        <f>K43+'财通（君享天成）定增'!G43</f>
        <v>1927344.6309960005</v>
      </c>
    </row>
    <row r="44" spans="1:12">
      <c r="A44" s="49">
        <v>44480</v>
      </c>
      <c r="B44" s="70">
        <v>3999997.69</v>
      </c>
      <c r="C44" s="71">
        <f t="shared" si="6"/>
        <v>13402439.209999999</v>
      </c>
      <c r="D44" s="70">
        <f>11420863.07+4887859.14</f>
        <v>16308722.210000001</v>
      </c>
      <c r="E44" s="71">
        <f t="shared" si="7"/>
        <v>21201.338873000001</v>
      </c>
      <c r="F44" s="71">
        <f t="shared" si="8"/>
        <v>940839.99013100145</v>
      </c>
      <c r="G44" s="71">
        <f t="shared" si="9"/>
        <v>2885081.661127002</v>
      </c>
      <c r="H44" s="72">
        <f>20606.49+986.3</f>
        <v>21592.79</v>
      </c>
      <c r="J44" s="82">
        <f t="shared" si="10"/>
        <v>936144.24013100145</v>
      </c>
      <c r="K44" s="82">
        <f t="shared" si="11"/>
        <v>2863488.8711270019</v>
      </c>
      <c r="L44" s="82">
        <f>K44+'财通（君享天成）定增'!G44</f>
        <v>2863488.8711270019</v>
      </c>
    </row>
    <row r="45" spans="1:12">
      <c r="A45" s="49">
        <v>44481</v>
      </c>
      <c r="C45" s="71">
        <f t="shared" si="6"/>
        <v>13402439.209999999</v>
      </c>
      <c r="D45" s="70">
        <f>11107272.33+4765224.22</f>
        <v>15872496.550000001</v>
      </c>
      <c r="E45" s="71">
        <f t="shared" si="7"/>
        <v>20634.245514999999</v>
      </c>
      <c r="F45" s="71">
        <f t="shared" si="8"/>
        <v>-435658.56664200034</v>
      </c>
      <c r="G45" s="71">
        <f t="shared" si="9"/>
        <v>2449423.0944850016</v>
      </c>
      <c r="H45" s="72">
        <f>21842.97+986.3</f>
        <v>22829.27</v>
      </c>
      <c r="J45" s="82">
        <f t="shared" si="10"/>
        <v>-436895.04664200032</v>
      </c>
      <c r="K45" s="82">
        <f t="shared" si="11"/>
        <v>2426593.8244850016</v>
      </c>
      <c r="L45" s="82">
        <f>K45+'财通（君享天成）定增'!G45</f>
        <v>2426593.8244850016</v>
      </c>
    </row>
    <row r="46" spans="1:12">
      <c r="A46" s="49">
        <v>44482</v>
      </c>
      <c r="C46" s="71">
        <f t="shared" si="6"/>
        <v>13402439.209999999</v>
      </c>
      <c r="D46" s="70">
        <f>11100730.25+4799279.97</f>
        <v>15900010.219999999</v>
      </c>
      <c r="E46" s="71">
        <f t="shared" si="7"/>
        <v>20670.013285999998</v>
      </c>
      <c r="F46" s="71">
        <f t="shared" si="8"/>
        <v>27477.90222899802</v>
      </c>
      <c r="G46" s="71">
        <f t="shared" si="9"/>
        <v>2476900.9967139997</v>
      </c>
      <c r="H46" s="72">
        <f>23079.46+1479.46</f>
        <v>24558.92</v>
      </c>
      <c r="J46" s="82">
        <f t="shared" si="10"/>
        <v>25748.252228998113</v>
      </c>
      <c r="K46" s="82">
        <f t="shared" si="11"/>
        <v>2452342.0767139997</v>
      </c>
      <c r="L46" s="82">
        <f>K46+'财通（君享天成）定增'!G46</f>
        <v>2452342.0767139997</v>
      </c>
    </row>
    <row r="47" spans="1:12">
      <c r="A47" s="49">
        <v>44483</v>
      </c>
      <c r="C47" s="71">
        <f t="shared" si="6"/>
        <v>13402439.209999999</v>
      </c>
      <c r="D47" s="70">
        <f>11077579.12+4840988.83</f>
        <v>15918567.949999999</v>
      </c>
      <c r="E47" s="71">
        <f t="shared" si="7"/>
        <v>20694.138335</v>
      </c>
      <c r="F47" s="71">
        <f t="shared" si="8"/>
        <v>18533.604951000772</v>
      </c>
      <c r="G47" s="71">
        <f t="shared" si="9"/>
        <v>2495434.6016650004</v>
      </c>
      <c r="H47" s="72">
        <f>24315.96+1972.6</f>
        <v>26288.559999999998</v>
      </c>
      <c r="J47" s="82">
        <f t="shared" si="10"/>
        <v>16803.964951000642</v>
      </c>
      <c r="K47" s="82">
        <f t="shared" si="11"/>
        <v>2469146.0416650004</v>
      </c>
      <c r="L47" s="82">
        <f>K47+'财通（君享天成）定增'!G47</f>
        <v>2469146.0416650004</v>
      </c>
    </row>
    <row r="48" spans="1:12">
      <c r="A48" s="49">
        <v>44484</v>
      </c>
      <c r="C48" s="71">
        <f t="shared" si="6"/>
        <v>13402439.209999999</v>
      </c>
      <c r="D48" s="70">
        <f>11244710.36+4825804.5</f>
        <v>16070514.859999999</v>
      </c>
      <c r="E48" s="71">
        <f t="shared" si="7"/>
        <v>20891.669317999997</v>
      </c>
      <c r="F48" s="71">
        <f t="shared" si="8"/>
        <v>151749.37901700009</v>
      </c>
      <c r="G48" s="71">
        <f t="shared" si="9"/>
        <v>2647183.9806820005</v>
      </c>
      <c r="H48" s="72">
        <f>2465.76+25552.43</f>
        <v>28018.190000000002</v>
      </c>
      <c r="J48" s="82">
        <f t="shared" si="10"/>
        <v>150019.7490170002</v>
      </c>
      <c r="K48" s="82">
        <f t="shared" si="11"/>
        <v>2619165.7906820006</v>
      </c>
      <c r="L48" s="82">
        <f>K48+'财通（君享天成）定增'!G48</f>
        <v>2619165.7906820006</v>
      </c>
    </row>
    <row r="49" spans="1:12">
      <c r="A49" s="49">
        <v>44485</v>
      </c>
      <c r="C49" s="71">
        <f t="shared" si="6"/>
        <v>13402439.209999999</v>
      </c>
      <c r="D49" s="70">
        <f>11244710.36+4825804.5</f>
        <v>16070514.859999999</v>
      </c>
      <c r="E49" s="71">
        <f t="shared" si="7"/>
        <v>20891.669317999997</v>
      </c>
      <c r="F49" s="71">
        <f t="shared" si="8"/>
        <v>0</v>
      </c>
      <c r="G49" s="71">
        <f t="shared" si="9"/>
        <v>2647183.9806820005</v>
      </c>
      <c r="H49" s="72">
        <f>2465.76+25552.43</f>
        <v>28018.190000000002</v>
      </c>
      <c r="J49" s="82">
        <f t="shared" si="10"/>
        <v>0</v>
      </c>
      <c r="K49" s="82">
        <f t="shared" si="11"/>
        <v>2619165.7906820006</v>
      </c>
      <c r="L49" s="82">
        <f>K49+'财通（君享天成）定增'!G49</f>
        <v>2619165.7906820006</v>
      </c>
    </row>
    <row r="50" spans="1:12">
      <c r="A50" s="49">
        <v>44486</v>
      </c>
      <c r="C50" s="71">
        <f t="shared" si="6"/>
        <v>13402439.209999999</v>
      </c>
      <c r="D50" s="70">
        <f>11244710.36+4825804.5</f>
        <v>16070514.859999999</v>
      </c>
      <c r="E50" s="71">
        <f t="shared" si="7"/>
        <v>20891.669317999997</v>
      </c>
      <c r="F50" s="71">
        <f t="shared" si="8"/>
        <v>0</v>
      </c>
      <c r="G50" s="71">
        <f t="shared" si="9"/>
        <v>2647183.9806820005</v>
      </c>
      <c r="H50" s="72">
        <f>2465.76+25552.43</f>
        <v>28018.190000000002</v>
      </c>
      <c r="J50" s="82">
        <f t="shared" si="10"/>
        <v>0</v>
      </c>
      <c r="K50" s="82">
        <f t="shared" si="11"/>
        <v>2619165.7906820006</v>
      </c>
      <c r="L50" s="82">
        <f>K50+'财通（君享天成）定增'!G50</f>
        <v>2619165.7906820006</v>
      </c>
    </row>
    <row r="51" spans="1:12">
      <c r="A51" s="49">
        <v>44487</v>
      </c>
      <c r="C51" s="71">
        <f t="shared" si="6"/>
        <v>13402439.209999999</v>
      </c>
      <c r="D51" s="70">
        <f>11186465.05+4816433.25</f>
        <v>16002898.300000001</v>
      </c>
      <c r="E51" s="71">
        <f t="shared" si="7"/>
        <v>20803.767790000002</v>
      </c>
      <c r="F51" s="71">
        <f t="shared" si="8"/>
        <v>-67528.658471998759</v>
      </c>
      <c r="G51" s="71">
        <f t="shared" si="9"/>
        <v>2579655.3222100018</v>
      </c>
      <c r="H51" s="72">
        <f>29261.89+3945.2</f>
        <v>33207.089999999997</v>
      </c>
      <c r="J51" s="82">
        <f t="shared" si="10"/>
        <v>-72717.558471998665</v>
      </c>
      <c r="K51" s="82">
        <f t="shared" si="11"/>
        <v>2546448.2322100019</v>
      </c>
      <c r="L51" s="82">
        <f>K51+'财通（君享天成）定增'!G51</f>
        <v>2546448.2322100019</v>
      </c>
    </row>
    <row r="52" spans="1:12">
      <c r="A52" s="49">
        <v>44488</v>
      </c>
      <c r="C52" s="71">
        <f t="shared" si="6"/>
        <v>13402439.209999999</v>
      </c>
      <c r="D52" s="70">
        <f>4799537.81+11374651.53</f>
        <v>16174189.34</v>
      </c>
      <c r="E52" s="71">
        <f t="shared" si="7"/>
        <v>21026.446141999997</v>
      </c>
      <c r="F52" s="71">
        <f t="shared" si="8"/>
        <v>171068.36164799891</v>
      </c>
      <c r="G52" s="71">
        <f t="shared" si="9"/>
        <v>2750723.6838580007</v>
      </c>
      <c r="H52" s="72">
        <f>4438.36+30498.37</f>
        <v>34936.729999999996</v>
      </c>
      <c r="J52" s="82">
        <f t="shared" si="10"/>
        <v>169338.72164799878</v>
      </c>
      <c r="K52" s="82">
        <f t="shared" si="11"/>
        <v>2715786.9538580007</v>
      </c>
      <c r="L52" s="82">
        <f>K52+'财通（君享天成）定增'!G52</f>
        <v>2715786.9538580007</v>
      </c>
    </row>
    <row r="53" spans="1:12">
      <c r="A53" s="49">
        <v>44489</v>
      </c>
      <c r="C53" s="71">
        <f t="shared" si="6"/>
        <v>13402439.209999999</v>
      </c>
      <c r="D53" s="70">
        <f>11465697.17+4875438.37</f>
        <v>16341135.539999999</v>
      </c>
      <c r="E53" s="71">
        <f t="shared" si="7"/>
        <v>21243.476201999998</v>
      </c>
      <c r="F53" s="71">
        <f t="shared" si="8"/>
        <v>166729.16993999947</v>
      </c>
      <c r="G53" s="71">
        <f t="shared" si="9"/>
        <v>2917452.8537980001</v>
      </c>
      <c r="H53" s="72">
        <f>31734.86+4931.5</f>
        <v>36666.36</v>
      </c>
      <c r="J53" s="82">
        <f t="shared" si="10"/>
        <v>164999.53993999958</v>
      </c>
      <c r="K53" s="82">
        <f t="shared" si="11"/>
        <v>2880786.4937980003</v>
      </c>
      <c r="L53" s="82">
        <f>K53+'财通（君享天成）定增'!G53</f>
        <v>2880786.4937980003</v>
      </c>
    </row>
    <row r="54" spans="1:12">
      <c r="A54" s="49">
        <v>44490</v>
      </c>
      <c r="C54" s="71">
        <f t="shared" si="6"/>
        <v>13402439.209999999</v>
      </c>
      <c r="D54" s="70">
        <f>11394768.67+4812603.18</f>
        <v>16207371.85</v>
      </c>
      <c r="E54" s="71">
        <f t="shared" si="7"/>
        <v>21069.583404999998</v>
      </c>
      <c r="F54" s="71">
        <f t="shared" si="8"/>
        <v>-133589.7972029997</v>
      </c>
      <c r="G54" s="71">
        <f t="shared" si="9"/>
        <v>2783863.0565950004</v>
      </c>
      <c r="H54" s="72">
        <f>32971.34+5424.66</f>
        <v>38396</v>
      </c>
      <c r="J54" s="82">
        <f t="shared" si="10"/>
        <v>-135319.43720299983</v>
      </c>
      <c r="K54" s="82">
        <f t="shared" si="11"/>
        <v>2745467.0565950004</v>
      </c>
      <c r="L54" s="82">
        <f>K54+'财通（君享天成）定增'!G54</f>
        <v>2745467.0565950004</v>
      </c>
    </row>
    <row r="55" spans="1:12">
      <c r="A55" s="49">
        <v>44491</v>
      </c>
      <c r="C55" s="71">
        <f t="shared" si="6"/>
        <v>13402439.209999999</v>
      </c>
      <c r="D55" s="70">
        <f>11398829.92+4805207.91</f>
        <v>16204037.83</v>
      </c>
      <c r="E55" s="71">
        <f t="shared" si="7"/>
        <v>21065.249178999999</v>
      </c>
      <c r="F55" s="71">
        <f t="shared" si="8"/>
        <v>-3329.6857739994302</v>
      </c>
      <c r="G55" s="71">
        <f t="shared" si="9"/>
        <v>2780533.370821001</v>
      </c>
      <c r="H55" s="72">
        <f>34207.83+5917.8</f>
        <v>40125.630000000005</v>
      </c>
      <c r="J55" s="82">
        <f t="shared" si="10"/>
        <v>-5059.3157739993185</v>
      </c>
      <c r="K55" s="82">
        <f t="shared" si="11"/>
        <v>2740407.7408210011</v>
      </c>
      <c r="L55" s="82">
        <f>K55+'财通（君享天成）定增'!G55</f>
        <v>2740407.7408210011</v>
      </c>
    </row>
    <row r="56" spans="1:12">
      <c r="A56" s="49">
        <v>44492</v>
      </c>
      <c r="C56" s="71">
        <f t="shared" si="6"/>
        <v>13402439.209999999</v>
      </c>
      <c r="D56" s="70">
        <f>11398829.92+4805207.91</f>
        <v>16204037.83</v>
      </c>
      <c r="E56" s="71">
        <f t="shared" si="7"/>
        <v>21065.249178999999</v>
      </c>
      <c r="F56" s="71">
        <f t="shared" si="8"/>
        <v>0</v>
      </c>
      <c r="G56" s="71">
        <f t="shared" si="9"/>
        <v>2780533.370821001</v>
      </c>
      <c r="H56" s="72">
        <f>34207.83+5917.8</f>
        <v>40125.630000000005</v>
      </c>
      <c r="J56" s="82">
        <f t="shared" si="10"/>
        <v>0</v>
      </c>
      <c r="K56" s="82">
        <f t="shared" si="11"/>
        <v>2740407.7408210011</v>
      </c>
      <c r="L56" s="82">
        <f>K56+'财通（君享天成）定增'!G56</f>
        <v>2740407.7408210011</v>
      </c>
    </row>
    <row r="57" spans="1:12">
      <c r="A57" s="49">
        <v>44493</v>
      </c>
      <c r="C57" s="71">
        <f t="shared" si="6"/>
        <v>13402439.209999999</v>
      </c>
      <c r="D57" s="70">
        <f>11398829.92+4805207.91</f>
        <v>16204037.83</v>
      </c>
      <c r="E57" s="71">
        <f t="shared" si="7"/>
        <v>21065.249178999999</v>
      </c>
      <c r="F57" s="71">
        <f t="shared" si="8"/>
        <v>0</v>
      </c>
      <c r="G57" s="71">
        <f t="shared" si="9"/>
        <v>2780533.370821001</v>
      </c>
      <c r="H57" s="72">
        <f>34207.83+5917.8</f>
        <v>40125.630000000005</v>
      </c>
      <c r="J57" s="82">
        <f t="shared" si="10"/>
        <v>0</v>
      </c>
      <c r="K57" s="82">
        <f t="shared" si="11"/>
        <v>2740407.7408210011</v>
      </c>
      <c r="L57" s="82">
        <f>K57+'财通（君享天成）定增'!G57</f>
        <v>2740407.7408210011</v>
      </c>
    </row>
    <row r="58" spans="1:12">
      <c r="A58" s="49">
        <v>44494</v>
      </c>
      <c r="C58" s="71">
        <f t="shared" si="6"/>
        <v>13402439.209999999</v>
      </c>
      <c r="D58" s="70">
        <f>11282416+4749903.94</f>
        <v>16032319.940000001</v>
      </c>
      <c r="E58" s="71">
        <f t="shared" si="7"/>
        <v>20842.015922000002</v>
      </c>
      <c r="F58" s="71">
        <f t="shared" si="8"/>
        <v>-171494.65674299886</v>
      </c>
      <c r="G58" s="71">
        <f t="shared" si="9"/>
        <v>2609038.7140780021</v>
      </c>
      <c r="H58" s="72">
        <f>37917.3+7397.26</f>
        <v>45314.560000000005</v>
      </c>
      <c r="J58" s="82">
        <f t="shared" si="10"/>
        <v>-176683.58674299903</v>
      </c>
      <c r="K58" s="82">
        <f t="shared" si="11"/>
        <v>2563724.1540780021</v>
      </c>
      <c r="L58" s="82">
        <f>K58+'财通（君享天成）定增'!G58</f>
        <v>2563084.2340780022</v>
      </c>
    </row>
    <row r="59" spans="1:12">
      <c r="A59" s="49">
        <v>44495</v>
      </c>
      <c r="C59" s="71">
        <f t="shared" si="6"/>
        <v>13402439.209999999</v>
      </c>
      <c r="D59" s="70">
        <f>11193132.91+4711488.38</f>
        <v>15904621.289999999</v>
      </c>
      <c r="E59" s="71">
        <f t="shared" si="7"/>
        <v>20676.007676999998</v>
      </c>
      <c r="F59" s="71">
        <f t="shared" si="8"/>
        <v>-127532.64175500209</v>
      </c>
      <c r="G59" s="71">
        <f t="shared" si="9"/>
        <v>2481506.0723230001</v>
      </c>
      <c r="H59" s="72">
        <f>39153.76+7890.41</f>
        <v>47044.17</v>
      </c>
      <c r="J59" s="82">
        <f t="shared" si="10"/>
        <v>-129262.25175500195</v>
      </c>
      <c r="K59" s="82">
        <f t="shared" si="11"/>
        <v>2434461.9023230001</v>
      </c>
      <c r="L59" s="82">
        <f>K59+'财通（君享天成）定增'!G59</f>
        <v>2433754.5523230005</v>
      </c>
    </row>
    <row r="60" spans="1:12">
      <c r="A60" s="49">
        <v>44496</v>
      </c>
      <c r="C60" s="71">
        <f t="shared" si="6"/>
        <v>13402439.209999999</v>
      </c>
      <c r="D60" s="70">
        <f>10825394.6+4543185.61</f>
        <v>15368580.210000001</v>
      </c>
      <c r="E60" s="71">
        <f t="shared" si="7"/>
        <v>19979.154273</v>
      </c>
      <c r="F60" s="71">
        <f t="shared" si="8"/>
        <v>-535344.22659599828</v>
      </c>
      <c r="G60" s="71">
        <f t="shared" si="9"/>
        <v>1946161.8457270018</v>
      </c>
      <c r="H60" s="72">
        <f>40390.25+8383.56</f>
        <v>48773.81</v>
      </c>
      <c r="J60" s="82">
        <f t="shared" si="10"/>
        <v>-537073.86659599841</v>
      </c>
      <c r="K60" s="82">
        <f t="shared" si="11"/>
        <v>1897388.0357270017</v>
      </c>
      <c r="L60" s="82">
        <f>K60+'财通（君享天成）定增'!G60</f>
        <v>1896613.2557270024</v>
      </c>
    </row>
    <row r="61" spans="1:12">
      <c r="A61" s="49">
        <v>44497</v>
      </c>
      <c r="C61" s="71">
        <f t="shared" si="6"/>
        <v>13402439.209999999</v>
      </c>
      <c r="D61" s="70">
        <f>10731620.61+4451313.14</f>
        <v>15182933.75</v>
      </c>
      <c r="E61" s="71">
        <f t="shared" si="7"/>
        <v>19737.813875</v>
      </c>
      <c r="F61" s="71">
        <f t="shared" si="8"/>
        <v>-185405.11960200081</v>
      </c>
      <c r="G61" s="71">
        <f t="shared" si="9"/>
        <v>1760756.726125001</v>
      </c>
      <c r="H61" s="72">
        <f>41626.75+8876.71</f>
        <v>50503.46</v>
      </c>
      <c r="J61" s="82">
        <f t="shared" si="10"/>
        <v>-187134.76960200071</v>
      </c>
      <c r="K61" s="82">
        <f t="shared" si="11"/>
        <v>1710253.266125001</v>
      </c>
      <c r="L61" s="82">
        <f>K61+'财通（君享天成）定增'!G61</f>
        <v>1709411.0561250001</v>
      </c>
    </row>
    <row r="62" spans="1:12">
      <c r="A62" s="49">
        <v>44498</v>
      </c>
      <c r="C62" s="71">
        <f t="shared" si="6"/>
        <v>13402439.209999999</v>
      </c>
      <c r="D62" s="70">
        <f>10827485.7+4512695.06</f>
        <v>15340180.759999998</v>
      </c>
      <c r="E62" s="71">
        <f t="shared" si="7"/>
        <v>19942.234987999997</v>
      </c>
      <c r="F62" s="71">
        <f t="shared" si="8"/>
        <v>157042.5888869979</v>
      </c>
      <c r="G62" s="71">
        <f t="shared" si="9"/>
        <v>1917799.3150119989</v>
      </c>
      <c r="H62" s="72">
        <f>42863.22+10356.16</f>
        <v>53219.380000000005</v>
      </c>
      <c r="J62" s="82">
        <f t="shared" si="10"/>
        <v>154326.66888699774</v>
      </c>
      <c r="K62" s="82">
        <f t="shared" si="11"/>
        <v>1864579.9350119988</v>
      </c>
      <c r="L62" s="82">
        <f>K62+'财通（君享天成）定增'!G62</f>
        <v>1863535.4650119981</v>
      </c>
    </row>
    <row r="63" spans="1:12">
      <c r="A63" s="49">
        <v>44499</v>
      </c>
      <c r="C63" s="71">
        <f t="shared" si="6"/>
        <v>13402439.209999999</v>
      </c>
      <c r="D63" s="70">
        <f>10827485.7+4512695.06</f>
        <v>15340180.759999998</v>
      </c>
      <c r="E63" s="71">
        <f t="shared" si="7"/>
        <v>19942.234987999997</v>
      </c>
      <c r="F63" s="71">
        <f t="shared" si="8"/>
        <v>0</v>
      </c>
      <c r="G63" s="71">
        <f t="shared" si="9"/>
        <v>1917799.3150119989</v>
      </c>
      <c r="H63" s="72">
        <f>42863.22+10356.16</f>
        <v>53219.380000000005</v>
      </c>
      <c r="J63" s="82">
        <f t="shared" si="10"/>
        <v>0</v>
      </c>
      <c r="K63" s="82">
        <f t="shared" si="11"/>
        <v>1864579.9350119988</v>
      </c>
      <c r="L63" s="82">
        <f>K63+'财通（君享天成）定增'!G63</f>
        <v>1863535.4650119981</v>
      </c>
    </row>
    <row r="64" spans="1:12">
      <c r="A64" s="49">
        <v>44500</v>
      </c>
      <c r="C64" s="71">
        <f t="shared" si="6"/>
        <v>13402439.209999999</v>
      </c>
      <c r="D64" s="70">
        <f>10827485.7+4512695.06</f>
        <v>15340180.759999998</v>
      </c>
      <c r="E64" s="71">
        <f t="shared" si="7"/>
        <v>19942.234987999997</v>
      </c>
      <c r="F64" s="71">
        <f t="shared" si="8"/>
        <v>0</v>
      </c>
      <c r="G64" s="71">
        <f t="shared" si="9"/>
        <v>1917799.3150119989</v>
      </c>
      <c r="H64" s="72">
        <f>42863.22+10356.16</f>
        <v>53219.380000000005</v>
      </c>
      <c r="J64" s="82">
        <f t="shared" si="10"/>
        <v>0</v>
      </c>
      <c r="K64" s="82">
        <f t="shared" si="11"/>
        <v>1864579.9350119988</v>
      </c>
      <c r="L64" s="82">
        <f>K64+'财通（君享天成）定增'!G64</f>
        <v>1863535.4650119981</v>
      </c>
    </row>
    <row r="65" spans="1:12">
      <c r="A65" s="49">
        <v>44501</v>
      </c>
      <c r="C65" s="71">
        <f t="shared" si="6"/>
        <v>13402439.209999999</v>
      </c>
      <c r="D65" s="70">
        <v>15516365.310000001</v>
      </c>
      <c r="E65" s="71">
        <f t="shared" si="7"/>
        <v>20171.274903000001</v>
      </c>
      <c r="F65" s="71">
        <f t="shared" si="8"/>
        <v>175955.51008500252</v>
      </c>
      <c r="G65" s="71">
        <f t="shared" si="9"/>
        <v>2093754.8250970014</v>
      </c>
      <c r="H65" s="72">
        <v>58408.29</v>
      </c>
      <c r="J65" s="82">
        <f t="shared" si="10"/>
        <v>170766.6000850026</v>
      </c>
      <c r="K65" s="82">
        <f t="shared" si="11"/>
        <v>2035346.5350970014</v>
      </c>
      <c r="L65" s="82">
        <f>K65+'财通（君享天成）定增'!G65</f>
        <v>2034189.6450970008</v>
      </c>
    </row>
    <row r="66" spans="1:12">
      <c r="A66" s="49">
        <v>44502</v>
      </c>
      <c r="C66" s="71">
        <f t="shared" si="6"/>
        <v>13402439.209999999</v>
      </c>
      <c r="D66" s="70">
        <f>11012274.24+4413019.47</f>
        <v>15425293.710000001</v>
      </c>
      <c r="E66" s="71">
        <f t="shared" si="7"/>
        <v>20052.881823</v>
      </c>
      <c r="F66" s="71">
        <f t="shared" si="8"/>
        <v>-90953.20691999956</v>
      </c>
      <c r="G66" s="71">
        <f t="shared" si="9"/>
        <v>2002801.6181770018</v>
      </c>
      <c r="H66" s="72">
        <f>47809.18+12328.76</f>
        <v>60137.94</v>
      </c>
      <c r="J66" s="82">
        <f t="shared" si="10"/>
        <v>-92682.856919999467</v>
      </c>
      <c r="K66" s="82">
        <f t="shared" si="11"/>
        <v>1942663.6781770019</v>
      </c>
      <c r="L66" s="82">
        <f>K66+'财通（君享天成）定增'!G66</f>
        <v>1941429.6481770026</v>
      </c>
    </row>
    <row r="67" spans="1:12">
      <c r="A67" s="49">
        <v>44503</v>
      </c>
      <c r="C67" s="71">
        <f t="shared" si="6"/>
        <v>13402439.209999999</v>
      </c>
      <c r="D67" s="70">
        <f>11061692.72+4434138.77</f>
        <v>15495831.49</v>
      </c>
      <c r="E67" s="71">
        <f t="shared" si="7"/>
        <v>20144.580936999999</v>
      </c>
      <c r="F67" s="71">
        <f t="shared" si="8"/>
        <v>70446.08088599937</v>
      </c>
      <c r="G67" s="71">
        <f t="shared" si="9"/>
        <v>2073247.6990630012</v>
      </c>
      <c r="H67" s="72">
        <f>49045.66+12821.91</f>
        <v>61867.570000000007</v>
      </c>
      <c r="J67" s="82">
        <f t="shared" si="10"/>
        <v>68716.450885999249</v>
      </c>
      <c r="K67" s="82">
        <f t="shared" si="11"/>
        <v>2011380.1290630011</v>
      </c>
      <c r="L67" s="82">
        <f>K67+'财通（君享天成）定增'!G67</f>
        <v>2010049.5190630017</v>
      </c>
    </row>
    <row r="68" spans="1:12">
      <c r="A68" s="49">
        <v>44504</v>
      </c>
      <c r="C68" s="71">
        <f t="shared" si="6"/>
        <v>13402439.209999999</v>
      </c>
      <c r="D68" s="70">
        <f>11154734.59+4485096.99</f>
        <v>15639831.58</v>
      </c>
      <c r="E68" s="71">
        <f t="shared" si="7"/>
        <v>20331.781053999999</v>
      </c>
      <c r="F68" s="71">
        <f t="shared" si="8"/>
        <v>143812.88988299994</v>
      </c>
      <c r="G68" s="71">
        <f t="shared" si="9"/>
        <v>2217060.5889460011</v>
      </c>
      <c r="H68" s="72">
        <f>50282.14+13315.06</f>
        <v>63597.2</v>
      </c>
      <c r="J68" s="82">
        <f t="shared" si="10"/>
        <v>142083.25988299982</v>
      </c>
      <c r="K68" s="82">
        <f t="shared" si="11"/>
        <v>2153463.388946001</v>
      </c>
      <c r="L68" s="82">
        <f>K68+'财通（君享天成）定增'!G68</f>
        <v>2152036.1989460015</v>
      </c>
    </row>
    <row r="69" spans="1:12">
      <c r="A69" s="49">
        <v>44505</v>
      </c>
      <c r="C69" s="71">
        <f t="shared" ref="C69:C79" si="12">B69+C68</f>
        <v>13402439.209999999</v>
      </c>
      <c r="D69" s="70">
        <f>11081251.15+4475067.08</f>
        <v>15556318.23</v>
      </c>
      <c r="E69" s="71">
        <f t="shared" ref="E69:E100" si="13">D69*0.0013</f>
        <v>20223.213699</v>
      </c>
      <c r="F69" s="71">
        <f t="shared" ref="F69:F100" si="14">G69-G68</f>
        <v>-83404.782644999679</v>
      </c>
      <c r="G69" s="71">
        <f t="shared" ref="G69:G100" si="15">D69-C69-E69</f>
        <v>2133655.8063010015</v>
      </c>
      <c r="H69" s="72">
        <f>51518.63+13808.21</f>
        <v>65326.84</v>
      </c>
      <c r="J69" s="82">
        <f t="shared" ref="J69:J100" si="16">K69-K68</f>
        <v>-85134.422644999577</v>
      </c>
      <c r="K69" s="82">
        <f t="shared" ref="K69:K100" si="17">G69-H69</f>
        <v>2068328.9663010014</v>
      </c>
      <c r="L69" s="82">
        <f>K69+'财通（君享天成）定增'!G69</f>
        <v>2066853.8063010012</v>
      </c>
    </row>
    <row r="70" spans="1:12">
      <c r="A70" s="49">
        <v>44506</v>
      </c>
      <c r="C70" s="71">
        <f t="shared" si="12"/>
        <v>13402439.209999999</v>
      </c>
      <c r="D70" s="70">
        <f>11081251.15+4475067.08</f>
        <v>15556318.23</v>
      </c>
      <c r="E70" s="71">
        <f t="shared" si="13"/>
        <v>20223.213699</v>
      </c>
      <c r="F70" s="71">
        <f t="shared" si="14"/>
        <v>0</v>
      </c>
      <c r="G70" s="71">
        <f t="shared" si="15"/>
        <v>2133655.8063010015</v>
      </c>
      <c r="H70" s="72">
        <f>51518.63+13808.21</f>
        <v>65326.84</v>
      </c>
      <c r="J70" s="82">
        <f t="shared" si="16"/>
        <v>0</v>
      </c>
      <c r="K70" s="82">
        <f t="shared" si="17"/>
        <v>2068328.9663010014</v>
      </c>
      <c r="L70" s="82">
        <f>K70+'财通（君享天成）定增'!G70</f>
        <v>2066492.0963010022</v>
      </c>
    </row>
    <row r="71" spans="1:12">
      <c r="A71" s="49">
        <v>44507</v>
      </c>
      <c r="C71" s="71">
        <f t="shared" si="12"/>
        <v>13402439.209999999</v>
      </c>
      <c r="D71" s="70">
        <f>11081251.15+4475067.08</f>
        <v>15556318.23</v>
      </c>
      <c r="E71" s="71">
        <f t="shared" si="13"/>
        <v>20223.213699</v>
      </c>
      <c r="F71" s="71">
        <f t="shared" si="14"/>
        <v>0</v>
      </c>
      <c r="G71" s="71">
        <f t="shared" si="15"/>
        <v>2133655.8063010015</v>
      </c>
      <c r="H71" s="72">
        <f>51518.63+13808.21</f>
        <v>65326.84</v>
      </c>
      <c r="J71" s="82">
        <f t="shared" si="16"/>
        <v>0</v>
      </c>
      <c r="K71" s="82">
        <f t="shared" si="17"/>
        <v>2068328.9663010014</v>
      </c>
      <c r="L71" s="82">
        <f>K71+'财通（君享天成）定增'!G71</f>
        <v>2066130.3863010013</v>
      </c>
    </row>
    <row r="72" spans="1:12">
      <c r="A72" s="49">
        <v>44508</v>
      </c>
      <c r="C72" s="71">
        <f t="shared" si="12"/>
        <v>13402439.209999999</v>
      </c>
      <c r="D72" s="70">
        <f>11051738.11+4530771.87</f>
        <v>15582509.98</v>
      </c>
      <c r="E72" s="71">
        <f t="shared" si="13"/>
        <v>20257.262974000001</v>
      </c>
      <c r="F72" s="71">
        <f t="shared" si="14"/>
        <v>26157.700724999886</v>
      </c>
      <c r="G72" s="71">
        <f t="shared" si="15"/>
        <v>2159813.5070260013</v>
      </c>
      <c r="H72" s="72">
        <f>55228.09+15287.67</f>
        <v>70515.759999999995</v>
      </c>
      <c r="J72" s="82">
        <f t="shared" si="16"/>
        <v>20968.780724999961</v>
      </c>
      <c r="K72" s="82">
        <f t="shared" si="17"/>
        <v>2089297.7470260013</v>
      </c>
      <c r="L72" s="82">
        <f>K72+'财通（君享天成）定增'!G72</f>
        <v>2086737.4570260022</v>
      </c>
    </row>
    <row r="73" spans="1:12">
      <c r="A73" s="49">
        <v>44509</v>
      </c>
      <c r="C73" s="71">
        <f t="shared" si="12"/>
        <v>13402439.209999999</v>
      </c>
      <c r="D73" s="70">
        <f>11151302.53+4528788.86</f>
        <v>15680091.390000001</v>
      </c>
      <c r="E73" s="71">
        <f t="shared" si="13"/>
        <v>20384.118806999999</v>
      </c>
      <c r="F73" s="71">
        <f t="shared" si="14"/>
        <v>97454.554167000111</v>
      </c>
      <c r="G73" s="71">
        <f t="shared" si="15"/>
        <v>2257268.0611930015</v>
      </c>
      <c r="H73" s="72">
        <f>56464.57+15780.81</f>
        <v>72245.38</v>
      </c>
      <c r="J73" s="82">
        <f t="shared" si="16"/>
        <v>95724.934167000232</v>
      </c>
      <c r="K73" s="82">
        <f t="shared" si="17"/>
        <v>2185022.6811930016</v>
      </c>
      <c r="L73" s="82">
        <f>K73+'财通（君享天成）定增'!G73</f>
        <v>2183055.5311930012</v>
      </c>
    </row>
    <row r="74" spans="1:12">
      <c r="A74" s="49">
        <v>44510</v>
      </c>
      <c r="C74" s="71">
        <f t="shared" si="12"/>
        <v>13402439.209999999</v>
      </c>
      <c r="D74" s="70">
        <f>11246527.79+4523376.6</f>
        <v>15769904.389999999</v>
      </c>
      <c r="E74" s="71">
        <f t="shared" si="13"/>
        <v>20500.875706999996</v>
      </c>
      <c r="F74" s="71">
        <f t="shared" si="14"/>
        <v>89696.243099998217</v>
      </c>
      <c r="G74" s="71">
        <f t="shared" si="15"/>
        <v>2346964.3042929997</v>
      </c>
      <c r="H74" s="72">
        <f>57701.05+16273.97</f>
        <v>73975.02</v>
      </c>
      <c r="J74" s="82">
        <f t="shared" si="16"/>
        <v>87966.603099998087</v>
      </c>
      <c r="K74" s="82">
        <f t="shared" si="17"/>
        <v>2272989.2842929997</v>
      </c>
      <c r="L74" s="82">
        <f>K74+'财通（君享天成）定增'!G74</f>
        <v>2270989.0742929988</v>
      </c>
    </row>
    <row r="75" spans="1:12">
      <c r="A75" s="49">
        <v>44511</v>
      </c>
      <c r="C75" s="71">
        <f t="shared" si="12"/>
        <v>13402439.209999999</v>
      </c>
      <c r="D75" s="70">
        <f>11321903.71+4665018.89</f>
        <v>15986922.600000001</v>
      </c>
      <c r="E75" s="71">
        <f t="shared" si="13"/>
        <v>20782.999380000001</v>
      </c>
      <c r="F75" s="71">
        <f t="shared" si="14"/>
        <v>216736.08632700285</v>
      </c>
      <c r="G75" s="71">
        <f t="shared" si="15"/>
        <v>2563700.3906200025</v>
      </c>
      <c r="H75" s="72">
        <f>58937.54+16767.11</f>
        <v>75704.649999999994</v>
      </c>
      <c r="J75" s="82">
        <f t="shared" si="16"/>
        <v>215006.45632700296</v>
      </c>
      <c r="K75" s="82">
        <f t="shared" si="17"/>
        <v>2487995.7406200026</v>
      </c>
      <c r="L75" s="82">
        <f>K75+'财通（君享天成）定增'!G75</f>
        <v>2485817.2606200022</v>
      </c>
    </row>
    <row r="76" spans="1:12">
      <c r="A76" s="49">
        <v>44512</v>
      </c>
      <c r="C76" s="71">
        <f t="shared" si="12"/>
        <v>13402439.209999999</v>
      </c>
      <c r="D76" s="70">
        <f>11315168.26+4953722.76</f>
        <v>16268891.02</v>
      </c>
      <c r="E76" s="71">
        <f t="shared" si="13"/>
        <v>21149.558325999998</v>
      </c>
      <c r="F76" s="71">
        <f t="shared" si="14"/>
        <v>281601.86105399812</v>
      </c>
      <c r="G76" s="71">
        <f t="shared" si="15"/>
        <v>2845302.2516740006</v>
      </c>
      <c r="H76" s="72">
        <f>60174.01+17260.27</f>
        <v>77434.28</v>
      </c>
      <c r="J76" s="82">
        <f t="shared" si="16"/>
        <v>279872.23105399823</v>
      </c>
      <c r="K76" s="82">
        <f t="shared" si="17"/>
        <v>2767867.9716740008</v>
      </c>
      <c r="L76" s="82">
        <f>K76+'财通（君享天成）定增'!G76</f>
        <v>2765483.4116740022</v>
      </c>
    </row>
    <row r="77" spans="1:12">
      <c r="A77" s="49">
        <v>44513</v>
      </c>
      <c r="C77" s="71">
        <f t="shared" si="12"/>
        <v>13402439.209999999</v>
      </c>
      <c r="D77" s="70">
        <f>11315168.26+4953722.76</f>
        <v>16268891.02</v>
      </c>
      <c r="E77" s="71">
        <f t="shared" si="13"/>
        <v>21149.558325999998</v>
      </c>
      <c r="F77" s="71">
        <f t="shared" si="14"/>
        <v>0</v>
      </c>
      <c r="G77" s="71">
        <f t="shared" si="15"/>
        <v>2845302.2516740006</v>
      </c>
      <c r="H77" s="72">
        <f>60174.01+17260.27</f>
        <v>77434.28</v>
      </c>
      <c r="J77" s="82">
        <f t="shared" si="16"/>
        <v>0</v>
      </c>
      <c r="K77" s="82">
        <f t="shared" si="17"/>
        <v>2767867.9716740008</v>
      </c>
      <c r="L77" s="82">
        <f>K77+'财通（君享天成）定增'!G77</f>
        <v>2765483.4116740022</v>
      </c>
    </row>
    <row r="78" spans="1:12">
      <c r="A78" s="49">
        <v>44514</v>
      </c>
      <c r="C78" s="71">
        <f t="shared" si="12"/>
        <v>13402439.209999999</v>
      </c>
      <c r="D78" s="70">
        <f>11315168.26+4953722.76</f>
        <v>16268891.02</v>
      </c>
      <c r="E78" s="71">
        <f t="shared" si="13"/>
        <v>21149.558325999998</v>
      </c>
      <c r="F78" s="71">
        <f t="shared" si="14"/>
        <v>0</v>
      </c>
      <c r="G78" s="71">
        <f t="shared" si="15"/>
        <v>2845302.2516740006</v>
      </c>
      <c r="H78" s="72">
        <f>60174.01+17260.27</f>
        <v>77434.28</v>
      </c>
      <c r="J78" s="82">
        <f t="shared" si="16"/>
        <v>0</v>
      </c>
      <c r="K78" s="82">
        <f t="shared" si="17"/>
        <v>2767867.9716740008</v>
      </c>
      <c r="L78" s="82">
        <f>K78+'财通（君享天成）定增'!G78</f>
        <v>2765483.4116740022</v>
      </c>
    </row>
    <row r="79" spans="1:12">
      <c r="A79" s="49">
        <v>44515</v>
      </c>
      <c r="C79" s="71">
        <f t="shared" si="12"/>
        <v>13402439.209999999</v>
      </c>
      <c r="D79" s="70">
        <f>11239777.19+4963101.04</f>
        <v>16202878.23</v>
      </c>
      <c r="E79" s="71">
        <f t="shared" si="13"/>
        <v>21063.741698999998</v>
      </c>
      <c r="F79" s="71">
        <f t="shared" si="14"/>
        <v>-65926.973372999113</v>
      </c>
      <c r="G79" s="71">
        <f t="shared" si="15"/>
        <v>2779375.2783010015</v>
      </c>
      <c r="H79" s="72">
        <f>63883.48+18740</f>
        <v>82623.48000000001</v>
      </c>
      <c r="J79" s="82">
        <f t="shared" si="16"/>
        <v>-71116.173372999299</v>
      </c>
      <c r="K79" s="82">
        <f t="shared" si="17"/>
        <v>2696751.7983010015</v>
      </c>
      <c r="L79" s="82">
        <f>K79+'财通（君享天成）定增'!G79</f>
        <v>2693732.3883010014</v>
      </c>
    </row>
    <row r="80" spans="1:12">
      <c r="A80" s="49">
        <v>44516</v>
      </c>
      <c r="B80" s="70">
        <v>4999992.4000000004</v>
      </c>
      <c r="C80" s="71">
        <f t="shared" ref="C80:C111" si="18">C79+B80</f>
        <v>18402431.609999999</v>
      </c>
      <c r="D80" s="70">
        <f>16601047.5+4880327.92</f>
        <v>21481375.420000002</v>
      </c>
      <c r="E80" s="71">
        <f t="shared" si="13"/>
        <v>27925.788046000001</v>
      </c>
      <c r="F80" s="71">
        <f t="shared" si="14"/>
        <v>271642.7436530008</v>
      </c>
      <c r="G80" s="71">
        <f t="shared" si="15"/>
        <v>3051018.0219540023</v>
      </c>
      <c r="H80" s="72">
        <f>65119.97+19232.87</f>
        <v>84352.84</v>
      </c>
      <c r="J80" s="82">
        <f t="shared" si="16"/>
        <v>269913.38365300093</v>
      </c>
      <c r="K80" s="82">
        <f t="shared" si="17"/>
        <v>2966665.1819540025</v>
      </c>
      <c r="L80" s="82">
        <f>K80+'财通（君享天成）定增'!G80</f>
        <v>3324902.0719540031</v>
      </c>
    </row>
    <row r="81" spans="1:12">
      <c r="A81" s="49">
        <v>44517</v>
      </c>
      <c r="B81" s="70">
        <v>5000000.45</v>
      </c>
      <c r="C81" s="71">
        <f t="shared" si="18"/>
        <v>23402432.059999999</v>
      </c>
      <c r="D81" s="70">
        <f>23096977.38+4842048.31</f>
        <v>27939025.689999998</v>
      </c>
      <c r="E81" s="71">
        <f t="shared" si="13"/>
        <v>36320.733396999996</v>
      </c>
      <c r="F81" s="71">
        <f t="shared" si="14"/>
        <v>1449254.8746489971</v>
      </c>
      <c r="G81" s="71">
        <f t="shared" si="15"/>
        <v>4500272.8966029994</v>
      </c>
      <c r="H81" s="72">
        <f>66986.59+19726.01</f>
        <v>86712.599999999991</v>
      </c>
      <c r="J81" s="82">
        <f t="shared" si="16"/>
        <v>1446895.1146489973</v>
      </c>
      <c r="K81" s="82">
        <f t="shared" si="17"/>
        <v>4413560.2966029998</v>
      </c>
      <c r="L81" s="82">
        <f>K81+'财通（君享天成）定增'!G81</f>
        <v>4999446.746602999</v>
      </c>
    </row>
    <row r="82" spans="1:12">
      <c r="A82" s="49">
        <v>44518</v>
      </c>
      <c r="C82" s="71">
        <f t="shared" si="18"/>
        <v>23402432.059999999</v>
      </c>
      <c r="D82" s="70">
        <f>23099591.99+4821981.46</f>
        <v>27921573.449999999</v>
      </c>
      <c r="E82" s="71">
        <f t="shared" si="13"/>
        <v>36298.045484999995</v>
      </c>
      <c r="F82" s="71">
        <f t="shared" si="14"/>
        <v>-17429.552087998949</v>
      </c>
      <c r="G82" s="71">
        <f t="shared" si="15"/>
        <v>4482843.3445150005</v>
      </c>
      <c r="H82" s="72">
        <f>69483.35+20219.17</f>
        <v>89702.52</v>
      </c>
      <c r="J82" s="82">
        <f t="shared" si="16"/>
        <v>-20419.472087998874</v>
      </c>
      <c r="K82" s="82">
        <f t="shared" si="17"/>
        <v>4393140.8245150009</v>
      </c>
      <c r="L82" s="82">
        <f>K82+'财通（君享天成）定增'!G82</f>
        <v>5041432.0845150026</v>
      </c>
    </row>
    <row r="83" spans="1:12">
      <c r="A83" s="49">
        <v>44519</v>
      </c>
      <c r="B83" s="70">
        <v>4999992.16</v>
      </c>
      <c r="C83" s="71">
        <f t="shared" si="18"/>
        <v>28402424.219999999</v>
      </c>
      <c r="D83" s="70">
        <f>30181897.71+4889692.14</f>
        <v>35071589.850000001</v>
      </c>
      <c r="E83" s="71">
        <f t="shared" si="13"/>
        <v>45593.066805000002</v>
      </c>
      <c r="F83" s="71">
        <f t="shared" si="14"/>
        <v>2140729.2186800018</v>
      </c>
      <c r="G83" s="71">
        <f t="shared" si="15"/>
        <v>6623572.5631950023</v>
      </c>
      <c r="H83" s="72">
        <f>71980.11+20712.31</f>
        <v>92692.42</v>
      </c>
      <c r="J83" s="82">
        <f t="shared" si="16"/>
        <v>2137739.3186800014</v>
      </c>
      <c r="K83" s="82">
        <f t="shared" si="17"/>
        <v>6530880.1431950023</v>
      </c>
      <c r="L83" s="82">
        <f>K83+'财通（君享天成）定增'!G83</f>
        <v>7257771.9731950006</v>
      </c>
    </row>
    <row r="84" spans="1:12">
      <c r="A84" s="49">
        <v>44520</v>
      </c>
      <c r="C84" s="71">
        <f t="shared" si="18"/>
        <v>28402424.219999999</v>
      </c>
      <c r="D84" s="70">
        <f>30181897.71+4889692.14</f>
        <v>35071589.850000001</v>
      </c>
      <c r="E84" s="71">
        <f t="shared" si="13"/>
        <v>45593.066805000002</v>
      </c>
      <c r="F84" s="71">
        <f t="shared" si="14"/>
        <v>0</v>
      </c>
      <c r="G84" s="71">
        <f t="shared" si="15"/>
        <v>6623572.5631950023</v>
      </c>
      <c r="H84" s="72">
        <f>71980.11+20712.31</f>
        <v>92692.42</v>
      </c>
      <c r="J84" s="82">
        <f t="shared" si="16"/>
        <v>0</v>
      </c>
      <c r="K84" s="82">
        <f t="shared" si="17"/>
        <v>6530880.1431950023</v>
      </c>
      <c r="L84" s="82">
        <f>K84+'财通（君享天成）定增'!G84</f>
        <v>7257771.9731950006</v>
      </c>
    </row>
    <row r="85" spans="1:12">
      <c r="A85" s="49">
        <v>44521</v>
      </c>
      <c r="C85" s="71">
        <f t="shared" si="18"/>
        <v>28402424.219999999</v>
      </c>
      <c r="D85" s="70">
        <f>30181897.71+4889692.14</f>
        <v>35071589.850000001</v>
      </c>
      <c r="E85" s="71">
        <f t="shared" si="13"/>
        <v>45593.066805000002</v>
      </c>
      <c r="F85" s="71">
        <f t="shared" si="14"/>
        <v>0</v>
      </c>
      <c r="G85" s="71">
        <f t="shared" si="15"/>
        <v>6623572.5631950023</v>
      </c>
      <c r="H85" s="72">
        <f>71980.11+20712.31</f>
        <v>92692.42</v>
      </c>
      <c r="J85" s="82">
        <f t="shared" si="16"/>
        <v>0</v>
      </c>
      <c r="K85" s="82">
        <f t="shared" si="17"/>
        <v>6530880.1431950023</v>
      </c>
      <c r="L85" s="82">
        <f>K85+'财通（君享天成）定增'!G85</f>
        <v>7257771.9731950006</v>
      </c>
    </row>
    <row r="86" spans="1:12">
      <c r="A86" s="49">
        <v>44522</v>
      </c>
      <c r="C86" s="71">
        <f t="shared" si="18"/>
        <v>28402424.219999999</v>
      </c>
      <c r="D86" s="70">
        <f>31099064.85+4967575.71</f>
        <v>36066640.560000002</v>
      </c>
      <c r="E86" s="71">
        <f t="shared" si="13"/>
        <v>46886.632728000004</v>
      </c>
      <c r="F86" s="71">
        <f t="shared" si="14"/>
        <v>993757.14407700114</v>
      </c>
      <c r="G86" s="71">
        <f t="shared" si="15"/>
        <v>7617329.7072720034</v>
      </c>
      <c r="H86" s="72">
        <f>81360.8+22191.77</f>
        <v>103552.57</v>
      </c>
      <c r="J86" s="82">
        <f t="shared" si="16"/>
        <v>982896.99407700077</v>
      </c>
      <c r="K86" s="82">
        <f t="shared" si="17"/>
        <v>7513777.1372720031</v>
      </c>
      <c r="L86" s="82">
        <f>K86+'财通（君享天成）定增'!G86</f>
        <v>8282347.8272720044</v>
      </c>
    </row>
    <row r="87" spans="1:12">
      <c r="A87" s="49">
        <v>44523</v>
      </c>
      <c r="C87" s="71">
        <f t="shared" si="18"/>
        <v>28402424.219999999</v>
      </c>
      <c r="D87" s="70">
        <f>31166058.47+5184080.17</f>
        <v>36350138.640000001</v>
      </c>
      <c r="E87" s="71">
        <f t="shared" si="13"/>
        <v>47255.180231999999</v>
      </c>
      <c r="F87" s="71">
        <f t="shared" si="14"/>
        <v>283129.53249599878</v>
      </c>
      <c r="G87" s="71">
        <f t="shared" si="15"/>
        <v>7900459.2397680022</v>
      </c>
      <c r="H87" s="72">
        <f>84487.67+21698.61</f>
        <v>106186.28</v>
      </c>
      <c r="J87" s="82">
        <f t="shared" si="16"/>
        <v>280495.82249599881</v>
      </c>
      <c r="K87" s="82">
        <f t="shared" si="17"/>
        <v>7794272.9597680019</v>
      </c>
      <c r="L87" s="82">
        <f>K87+'财通（君享天成）定增'!G87</f>
        <v>9148285.7897679992</v>
      </c>
    </row>
    <row r="88" spans="1:12">
      <c r="A88" s="49">
        <v>44524</v>
      </c>
      <c r="B88" s="70">
        <v>5000008.6500000004</v>
      </c>
      <c r="C88" s="71">
        <f t="shared" si="18"/>
        <v>33402432.869999997</v>
      </c>
      <c r="D88" s="70">
        <f>38400880.94+5129427.83</f>
        <v>43530308.769999996</v>
      </c>
      <c r="E88" s="71">
        <f t="shared" si="13"/>
        <v>56589.401400999996</v>
      </c>
      <c r="F88" s="71">
        <f t="shared" si="14"/>
        <v>2170827.2588309962</v>
      </c>
      <c r="G88" s="71">
        <f t="shared" si="15"/>
        <v>10071286.498598998</v>
      </c>
      <c r="H88" s="72">
        <f>87614.58+22191.77</f>
        <v>109806.35</v>
      </c>
      <c r="J88" s="82">
        <f t="shared" si="16"/>
        <v>2167207.1888309969</v>
      </c>
      <c r="K88" s="82">
        <f t="shared" si="17"/>
        <v>9961480.1485989988</v>
      </c>
      <c r="L88" s="82">
        <f>K88+'财通（君享天成）定增'!G88</f>
        <v>11471760.918599002</v>
      </c>
    </row>
    <row r="89" spans="1:12">
      <c r="A89" s="49">
        <v>44525</v>
      </c>
      <c r="C89" s="71">
        <f t="shared" si="18"/>
        <v>33402432.869999997</v>
      </c>
      <c r="D89" s="70">
        <f>38008130.04+5115567.85</f>
        <v>43123697.890000001</v>
      </c>
      <c r="E89" s="71">
        <f t="shared" si="13"/>
        <v>56060.807257</v>
      </c>
      <c r="F89" s="71">
        <f t="shared" si="14"/>
        <v>-406082.28585599549</v>
      </c>
      <c r="G89" s="71">
        <f t="shared" si="15"/>
        <v>9665204.2127430029</v>
      </c>
      <c r="H89" s="72">
        <f>91371.63+22684.92</f>
        <v>114056.55</v>
      </c>
      <c r="J89" s="82">
        <f t="shared" si="16"/>
        <v>-410332.48585599661</v>
      </c>
      <c r="K89" s="82">
        <f t="shared" si="17"/>
        <v>9551147.6627430022</v>
      </c>
      <c r="L89" s="82">
        <f>K89+'财通（君享天成）定增'!G89</f>
        <v>10913302.622743003</v>
      </c>
    </row>
    <row r="90" spans="1:12">
      <c r="A90" s="49">
        <v>44526</v>
      </c>
      <c r="B90" s="70">
        <v>498995.64</v>
      </c>
      <c r="C90" s="71">
        <f t="shared" si="18"/>
        <v>33901428.509999998</v>
      </c>
      <c r="D90" s="70">
        <f>38284014.5+5110685.33</f>
        <v>43394699.829999998</v>
      </c>
      <c r="E90" s="71">
        <f t="shared" si="13"/>
        <v>56413.109778999999</v>
      </c>
      <c r="F90" s="71">
        <f t="shared" si="14"/>
        <v>-228346.00252200291</v>
      </c>
      <c r="G90" s="71">
        <f t="shared" si="15"/>
        <v>9436858.210221</v>
      </c>
      <c r="H90" s="72">
        <f>95128.63+23178.07</f>
        <v>118306.70000000001</v>
      </c>
      <c r="J90" s="82">
        <f t="shared" si="16"/>
        <v>-232596.15252200142</v>
      </c>
      <c r="K90" s="82">
        <f t="shared" si="17"/>
        <v>9318551.5102210008</v>
      </c>
      <c r="L90" s="82">
        <f>K90+'财通（君享天成）定增'!G90</f>
        <v>11579922.100221004</v>
      </c>
    </row>
    <row r="91" spans="1:12">
      <c r="A91" s="49">
        <v>44527</v>
      </c>
      <c r="C91" s="71">
        <f t="shared" si="18"/>
        <v>33901428.509999998</v>
      </c>
      <c r="D91" s="70">
        <f>38284014.5+5110685.33</f>
        <v>43394699.829999998</v>
      </c>
      <c r="E91" s="71">
        <f t="shared" si="13"/>
        <v>56413.109778999999</v>
      </c>
      <c r="F91" s="71">
        <f t="shared" si="14"/>
        <v>0</v>
      </c>
      <c r="G91" s="71">
        <f t="shared" si="15"/>
        <v>9436858.210221</v>
      </c>
      <c r="H91" s="72">
        <f>95128.63+23178.07</f>
        <v>118306.70000000001</v>
      </c>
      <c r="J91" s="82">
        <f t="shared" si="16"/>
        <v>0</v>
      </c>
      <c r="K91" s="82">
        <f t="shared" si="17"/>
        <v>9318551.5102210008</v>
      </c>
      <c r="L91" s="82">
        <f>K91+'财通（君享天成）定增'!G91</f>
        <v>11579922.100221004</v>
      </c>
    </row>
    <row r="92" spans="1:12">
      <c r="A92" s="49">
        <v>44528</v>
      </c>
      <c r="C92" s="71">
        <f t="shared" si="18"/>
        <v>33901428.509999998</v>
      </c>
      <c r="D92" s="70">
        <f>38284014.5+5110685.33</f>
        <v>43394699.829999998</v>
      </c>
      <c r="E92" s="71">
        <f t="shared" si="13"/>
        <v>56413.109778999999</v>
      </c>
      <c r="F92" s="71">
        <f t="shared" si="14"/>
        <v>0</v>
      </c>
      <c r="G92" s="71">
        <f t="shared" si="15"/>
        <v>9436858.210221</v>
      </c>
      <c r="H92" s="72">
        <f>95128.63+23178.07</f>
        <v>118306.70000000001</v>
      </c>
      <c r="J92" s="82">
        <f t="shared" si="16"/>
        <v>0</v>
      </c>
      <c r="K92" s="82">
        <f t="shared" si="17"/>
        <v>9318551.5102210008</v>
      </c>
      <c r="L92" s="82">
        <f>K92+'财通（君享天成）定增'!G92</f>
        <v>11579922.100221004</v>
      </c>
    </row>
    <row r="93" spans="1:12">
      <c r="A93" s="49">
        <v>44529</v>
      </c>
      <c r="C93" s="71">
        <f t="shared" si="18"/>
        <v>33901428.509999998</v>
      </c>
      <c r="D93" s="70">
        <f>38240736.01+5332208.26</f>
        <v>43572944.269999996</v>
      </c>
      <c r="E93" s="71">
        <f t="shared" si="13"/>
        <v>56644.827550999995</v>
      </c>
      <c r="F93" s="71">
        <f t="shared" si="14"/>
        <v>178012.72222799808</v>
      </c>
      <c r="G93" s="71">
        <f t="shared" si="15"/>
        <v>9614870.9324489981</v>
      </c>
      <c r="H93" s="72">
        <f>106608.91+24657.52</f>
        <v>131266.43</v>
      </c>
      <c r="J93" s="82">
        <f t="shared" si="16"/>
        <v>165052.99222799763</v>
      </c>
      <c r="K93" s="82">
        <f t="shared" si="17"/>
        <v>9483604.5024489984</v>
      </c>
      <c r="L93" s="82">
        <f>K93+'财通（君享天成）定增'!G93</f>
        <v>11780838.202449001</v>
      </c>
    </row>
    <row r="94" spans="1:12">
      <c r="A94" s="49">
        <v>44530</v>
      </c>
      <c r="C94" s="71">
        <f t="shared" si="18"/>
        <v>33901428.509999998</v>
      </c>
      <c r="D94" s="70">
        <f>38704933.35+5449960.66</f>
        <v>44154894.010000005</v>
      </c>
      <c r="E94" s="71">
        <f t="shared" si="13"/>
        <v>57401.362213000008</v>
      </c>
      <c r="F94" s="71">
        <f t="shared" si="14"/>
        <v>581193.2053380087</v>
      </c>
      <c r="G94" s="71">
        <f t="shared" si="15"/>
        <v>10196064.137787007</v>
      </c>
      <c r="H94" s="72">
        <f>110435.67+26136.97</f>
        <v>136572.64000000001</v>
      </c>
      <c r="J94" s="82">
        <f t="shared" si="16"/>
        <v>575886.99533800781</v>
      </c>
      <c r="K94" s="82">
        <f t="shared" si="17"/>
        <v>10059491.497787006</v>
      </c>
      <c r="L94" s="82">
        <f>K94+'财通（君享天成）定增'!G94</f>
        <v>12355482.777787007</v>
      </c>
    </row>
    <row r="95" spans="1:12">
      <c r="A95" s="49">
        <v>44531</v>
      </c>
      <c r="C95" s="71">
        <f t="shared" si="18"/>
        <v>33901428.509999998</v>
      </c>
      <c r="D95" s="70">
        <f>38551909.89+5628701.19</f>
        <v>44180611.079999998</v>
      </c>
      <c r="E95" s="71">
        <f t="shared" si="13"/>
        <v>57434.794403999993</v>
      </c>
      <c r="F95" s="71">
        <f t="shared" si="14"/>
        <v>25683.637808993459</v>
      </c>
      <c r="G95" s="71">
        <f t="shared" si="15"/>
        <v>10221747.775596</v>
      </c>
      <c r="H95" s="72">
        <f>114262.41+26630.12</f>
        <v>140892.53</v>
      </c>
      <c r="J95" s="82">
        <f t="shared" si="16"/>
        <v>21363.747808994725</v>
      </c>
      <c r="K95" s="82">
        <f t="shared" si="17"/>
        <v>10080855.245596001</v>
      </c>
      <c r="L95" s="82">
        <f>K95+'财通（君享天成）定增'!G95</f>
        <v>12681858.585596005</v>
      </c>
    </row>
    <row r="96" spans="1:12">
      <c r="A96" s="49">
        <v>44532</v>
      </c>
      <c r="B96" s="70">
        <v>4999996.33</v>
      </c>
      <c r="C96" s="71">
        <f t="shared" si="18"/>
        <v>38901424.839999996</v>
      </c>
      <c r="D96" s="70">
        <f>5513848.3+44429603.47</f>
        <v>49943451.769999996</v>
      </c>
      <c r="E96" s="71">
        <f t="shared" si="13"/>
        <v>64926.487300999994</v>
      </c>
      <c r="F96" s="71">
        <f t="shared" si="14"/>
        <v>755352.66710299999</v>
      </c>
      <c r="G96" s="71">
        <f t="shared" si="15"/>
        <v>10977100.442699</v>
      </c>
      <c r="H96" s="72">
        <f>27123.27+118787.81</f>
        <v>145911.07999999999</v>
      </c>
      <c r="J96" s="82">
        <f t="shared" si="16"/>
        <v>750334.11710299924</v>
      </c>
      <c r="K96" s="82">
        <f t="shared" si="17"/>
        <v>10831189.362699</v>
      </c>
      <c r="L96" s="82">
        <f>K96+'财通（君享天成）定增'!G96</f>
        <v>13348940.442698998</v>
      </c>
    </row>
    <row r="97" spans="1:13">
      <c r="A97" s="49">
        <v>44533</v>
      </c>
      <c r="B97" s="70">
        <v>5000004.13</v>
      </c>
      <c r="C97" s="71">
        <f t="shared" si="18"/>
        <v>43901428.969999999</v>
      </c>
      <c r="D97" s="70">
        <f>5387777.1+50890187.83</f>
        <v>56277964.93</v>
      </c>
      <c r="E97" s="71">
        <f t="shared" si="13"/>
        <v>73161.354408999992</v>
      </c>
      <c r="F97" s="71">
        <f t="shared" si="14"/>
        <v>1326274.1628920007</v>
      </c>
      <c r="G97" s="71">
        <f t="shared" si="15"/>
        <v>12303374.605591001</v>
      </c>
      <c r="H97" s="72">
        <f>26630.12+122614.54</f>
        <v>149244.66</v>
      </c>
      <c r="J97" s="82">
        <f t="shared" si="16"/>
        <v>1322940.5828920007</v>
      </c>
      <c r="K97" s="82">
        <f t="shared" si="17"/>
        <v>12154129.945591001</v>
      </c>
      <c r="L97" s="82">
        <f>K97+'财通（君享天成）定增'!G97</f>
        <v>14703822.475591002</v>
      </c>
    </row>
    <row r="98" spans="1:13">
      <c r="A98" s="49">
        <v>44534</v>
      </c>
      <c r="C98" s="71">
        <f t="shared" si="18"/>
        <v>43901428.969999999</v>
      </c>
      <c r="D98" s="70">
        <f>5387777.1+50890187.83</f>
        <v>56277964.93</v>
      </c>
      <c r="E98" s="71">
        <f t="shared" si="13"/>
        <v>73161.354408999992</v>
      </c>
      <c r="F98" s="71">
        <f t="shared" si="14"/>
        <v>0</v>
      </c>
      <c r="G98" s="71">
        <f t="shared" si="15"/>
        <v>12303374.605591001</v>
      </c>
      <c r="H98" s="72">
        <f>26630.12+122614.54</f>
        <v>149244.66</v>
      </c>
      <c r="J98" s="82">
        <f t="shared" si="16"/>
        <v>0</v>
      </c>
      <c r="K98" s="82">
        <f t="shared" si="17"/>
        <v>12154129.945591001</v>
      </c>
      <c r="L98" s="82">
        <f>K98+'财通（君享天成）定增'!G98</f>
        <v>14703822.475591002</v>
      </c>
    </row>
    <row r="99" spans="1:13">
      <c r="A99" s="49">
        <v>44535</v>
      </c>
      <c r="C99" s="71">
        <f t="shared" si="18"/>
        <v>43901428.969999999</v>
      </c>
      <c r="D99" s="70">
        <f>5387777.1+50890187.83</f>
        <v>56277964.93</v>
      </c>
      <c r="E99" s="71">
        <f t="shared" si="13"/>
        <v>73161.354408999992</v>
      </c>
      <c r="F99" s="71">
        <f t="shared" si="14"/>
        <v>0</v>
      </c>
      <c r="G99" s="71">
        <f t="shared" si="15"/>
        <v>12303374.605591001</v>
      </c>
      <c r="H99" s="72">
        <f>26630.12+122614.54</f>
        <v>149244.66</v>
      </c>
      <c r="J99" s="82">
        <f t="shared" si="16"/>
        <v>0</v>
      </c>
      <c r="K99" s="82">
        <f t="shared" si="17"/>
        <v>12154129.945591001</v>
      </c>
      <c r="L99" s="82">
        <f>K99+'财通（君享天成）定增'!G99</f>
        <v>14703822.475591002</v>
      </c>
    </row>
    <row r="100" spans="1:13">
      <c r="A100" s="49">
        <v>44536</v>
      </c>
      <c r="B100" s="70">
        <f>4999999.72+11003265.09</f>
        <v>16003264.809999999</v>
      </c>
      <c r="C100" s="71">
        <f t="shared" si="18"/>
        <v>59904693.780000001</v>
      </c>
      <c r="D100" s="70">
        <f>55688304.83+18302793.8</f>
        <v>73991098.629999995</v>
      </c>
      <c r="E100" s="71">
        <f t="shared" si="13"/>
        <v>96188.428218999994</v>
      </c>
      <c r="F100" s="71">
        <f t="shared" si="14"/>
        <v>1686841.8161899932</v>
      </c>
      <c r="G100" s="71">
        <f t="shared" si="15"/>
        <v>13990216.421780994</v>
      </c>
      <c r="H100" s="72">
        <f>138286.6+33494.7784</f>
        <v>171781.37840000002</v>
      </c>
      <c r="J100" s="82">
        <f t="shared" si="16"/>
        <v>1664305.0977899935</v>
      </c>
      <c r="K100" s="82">
        <f t="shared" si="17"/>
        <v>13818435.043380994</v>
      </c>
      <c r="L100" s="82">
        <f>K100+'财通（君享天成）定增'!G100</f>
        <v>16814063.943380993</v>
      </c>
    </row>
    <row r="101" spans="1:13">
      <c r="A101" s="49">
        <v>44537</v>
      </c>
      <c r="B101" s="70">
        <v>3040007.32</v>
      </c>
      <c r="C101" s="71">
        <f t="shared" si="18"/>
        <v>62944701.100000001</v>
      </c>
      <c r="D101" s="70">
        <f>18239710.17+59123784.44</f>
        <v>77363494.609999999</v>
      </c>
      <c r="E101" s="71">
        <f t="shared" ref="E101:E132" si="19">D101*0.0013</f>
        <v>100572.542993</v>
      </c>
      <c r="F101" s="71">
        <f t="shared" ref="F101:F132" si="20">G101-G100</f>
        <v>328004.54522600397</v>
      </c>
      <c r="G101" s="71">
        <f t="shared" ref="G101:G132" si="21">D101-C101-E101</f>
        <v>14318220.967006998</v>
      </c>
      <c r="H101" s="72">
        <f>35334.2292+144209.25</f>
        <v>179543.4792</v>
      </c>
      <c r="J101" s="82">
        <f t="shared" ref="J101:J125" si="22">K101-K100</f>
        <v>320242.44442600384</v>
      </c>
      <c r="K101" s="82">
        <f t="shared" ref="K101:K124" si="23">G101-H101</f>
        <v>14138677.487806998</v>
      </c>
      <c r="L101" s="82">
        <f>K101+'财通（君享天成）定增'!G101</f>
        <v>16619290.957806997</v>
      </c>
      <c r="M101" s="82"/>
    </row>
    <row r="102" spans="1:13">
      <c r="A102" s="49">
        <v>44538</v>
      </c>
      <c r="C102" s="71">
        <f t="shared" si="18"/>
        <v>62944701.100000001</v>
      </c>
      <c r="D102" s="70">
        <f>60332054.55+18519833.09</f>
        <v>78851887.640000001</v>
      </c>
      <c r="E102" s="71">
        <f t="shared" si="19"/>
        <v>102507.45393199999</v>
      </c>
      <c r="F102" s="71">
        <f t="shared" si="20"/>
        <v>1486458.1190610006</v>
      </c>
      <c r="G102" s="71">
        <f t="shared" si="21"/>
        <v>15804679.086067999</v>
      </c>
      <c r="H102" s="72">
        <f>150556.65+37173.69</f>
        <v>187730.34</v>
      </c>
      <c r="J102" s="82">
        <f t="shared" si="22"/>
        <v>1478271.2582610007</v>
      </c>
      <c r="K102" s="82">
        <f t="shared" si="23"/>
        <v>15616948.746067999</v>
      </c>
      <c r="L102" s="82">
        <f>K102+'财通（君享天成）定增'!G102</f>
        <v>19378342.806068003</v>
      </c>
    </row>
    <row r="103" spans="1:13">
      <c r="A103" s="49">
        <v>44539</v>
      </c>
      <c r="C103" s="71">
        <f t="shared" si="18"/>
        <v>62944701.100000001</v>
      </c>
      <c r="D103" s="70">
        <f>60386369.66+18519264.832</f>
        <v>78905634.491999999</v>
      </c>
      <c r="E103" s="71">
        <f t="shared" si="19"/>
        <v>102577.3248396</v>
      </c>
      <c r="F103" s="71">
        <f t="shared" si="20"/>
        <v>53676.981092398986</v>
      </c>
      <c r="G103" s="71">
        <f t="shared" si="21"/>
        <v>15858356.067160398</v>
      </c>
      <c r="H103" s="72">
        <f>156904.07+39013.1308</f>
        <v>195917.20079999999</v>
      </c>
      <c r="J103" s="82">
        <f t="shared" si="22"/>
        <v>45490.120292399079</v>
      </c>
      <c r="K103" s="82">
        <f t="shared" si="23"/>
        <v>15662438.866360398</v>
      </c>
      <c r="L103" s="82">
        <f>K103+'财通（君享天成）定增'!G103</f>
        <v>19385295.746360399</v>
      </c>
    </row>
    <row r="104" spans="1:13">
      <c r="A104" s="49">
        <v>44540</v>
      </c>
      <c r="C104" s="71">
        <f t="shared" si="18"/>
        <v>62944701.100000001</v>
      </c>
      <c r="D104" s="70">
        <f>60288443.95+18361120</f>
        <v>78649563.950000003</v>
      </c>
      <c r="E104" s="71">
        <f t="shared" si="19"/>
        <v>102244.433135</v>
      </c>
      <c r="F104" s="71">
        <f t="shared" si="20"/>
        <v>-255737.6502953954</v>
      </c>
      <c r="G104" s="71">
        <f t="shared" si="21"/>
        <v>15602618.416865002</v>
      </c>
      <c r="H104" s="72">
        <f>163251.49+40582.5916</f>
        <v>203834.08159999998</v>
      </c>
      <c r="J104" s="82">
        <f t="shared" si="22"/>
        <v>-263654.53109539486</v>
      </c>
      <c r="K104" s="82">
        <f t="shared" si="23"/>
        <v>15398784.335265003</v>
      </c>
      <c r="L104" s="82">
        <f>K104+'财通（君享天成）定增'!G104</f>
        <v>19159372.775265001</v>
      </c>
    </row>
    <row r="105" spans="1:13">
      <c r="A105" s="49">
        <v>44541</v>
      </c>
      <c r="C105" s="71">
        <f t="shared" si="18"/>
        <v>62944701.100000001</v>
      </c>
      <c r="D105" s="70">
        <f>60288443.95+18361120</f>
        <v>78649563.950000003</v>
      </c>
      <c r="E105" s="71">
        <f t="shared" si="19"/>
        <v>102244.433135</v>
      </c>
      <c r="F105" s="71">
        <f t="shared" si="20"/>
        <v>0</v>
      </c>
      <c r="G105" s="71">
        <f t="shared" si="21"/>
        <v>15602618.416865002</v>
      </c>
      <c r="H105" s="72">
        <f>163251.49+40582.5916</f>
        <v>203834.08159999998</v>
      </c>
      <c r="J105" s="82">
        <f t="shared" si="22"/>
        <v>0</v>
      </c>
      <c r="K105" s="82">
        <f t="shared" si="23"/>
        <v>15398784.335265003</v>
      </c>
      <c r="L105" s="82">
        <f>K105+'财通（君享天成）定增'!G105</f>
        <v>19159372.775265001</v>
      </c>
    </row>
    <row r="106" spans="1:13">
      <c r="A106" s="49">
        <v>44542</v>
      </c>
      <c r="C106" s="71">
        <f t="shared" si="18"/>
        <v>62944701.100000001</v>
      </c>
      <c r="D106" s="70">
        <f>60288443.95+18361120</f>
        <v>78649563.950000003</v>
      </c>
      <c r="E106" s="71">
        <f t="shared" si="19"/>
        <v>102244.433135</v>
      </c>
      <c r="F106" s="71">
        <f t="shared" si="20"/>
        <v>0</v>
      </c>
      <c r="G106" s="71">
        <f t="shared" si="21"/>
        <v>15602618.416865002</v>
      </c>
      <c r="H106" s="72">
        <f>163251.49+40582.5916</f>
        <v>203834.08159999998</v>
      </c>
      <c r="J106" s="82">
        <f t="shared" si="22"/>
        <v>0</v>
      </c>
      <c r="K106" s="82">
        <f t="shared" si="23"/>
        <v>15398784.335265003</v>
      </c>
      <c r="L106" s="82">
        <f>K106+'财通（君享天成）定增'!G106</f>
        <v>19159372.775265001</v>
      </c>
    </row>
    <row r="107" spans="1:13">
      <c r="A107" s="49">
        <v>44543</v>
      </c>
      <c r="C107" s="71">
        <f t="shared" si="18"/>
        <v>62944701.100000001</v>
      </c>
      <c r="D107" s="70">
        <f>60174195.37+18582178.78</f>
        <v>78756374.150000006</v>
      </c>
      <c r="E107" s="71">
        <f t="shared" si="19"/>
        <v>102383.286395</v>
      </c>
      <c r="F107" s="71">
        <f t="shared" si="20"/>
        <v>106671.34674000181</v>
      </c>
      <c r="G107" s="71">
        <f t="shared" si="21"/>
        <v>15709289.763605004</v>
      </c>
      <c r="H107" s="72">
        <f>182293.73+46370.9392</f>
        <v>228664.6692</v>
      </c>
      <c r="J107" s="82">
        <f t="shared" si="22"/>
        <v>81840.75914000161</v>
      </c>
      <c r="K107" s="82">
        <f t="shared" si="23"/>
        <v>15480625.094405005</v>
      </c>
      <c r="L107" s="82">
        <f>K107+'财通（君享天成）定增'!G107</f>
        <v>19144295.354405001</v>
      </c>
    </row>
    <row r="108" spans="1:13">
      <c r="A108" s="49">
        <v>44544</v>
      </c>
      <c r="C108" s="71">
        <f t="shared" si="18"/>
        <v>62944701.100000001</v>
      </c>
      <c r="D108" s="70">
        <f>59964297.49+18720124</f>
        <v>78684421.49000001</v>
      </c>
      <c r="E108" s="71">
        <f t="shared" si="19"/>
        <v>102289.74793700001</v>
      </c>
      <c r="F108" s="71">
        <f t="shared" si="20"/>
        <v>-71859.121541995555</v>
      </c>
      <c r="G108" s="71">
        <f t="shared" si="21"/>
        <v>15637430.642063009</v>
      </c>
      <c r="H108" s="72">
        <f>188641.16+48210.4</f>
        <v>236851.56</v>
      </c>
      <c r="J108" s="82">
        <f t="shared" si="22"/>
        <v>-80046.012341996655</v>
      </c>
      <c r="K108" s="82">
        <f t="shared" si="23"/>
        <v>15400579.082063008</v>
      </c>
      <c r="L108" s="82">
        <f>K108+'财通（君享天成）定增'!G108</f>
        <v>19152149.862063009</v>
      </c>
    </row>
    <row r="109" spans="1:13">
      <c r="A109" s="49">
        <v>44545</v>
      </c>
      <c r="B109" s="70">
        <v>4064197.24</v>
      </c>
      <c r="C109" s="71">
        <f t="shared" si="18"/>
        <v>67008898.340000004</v>
      </c>
      <c r="D109" s="70">
        <f>64753400.83+18514425</f>
        <v>83267825.829999998</v>
      </c>
      <c r="E109" s="71">
        <f t="shared" si="19"/>
        <v>108248.17357899999</v>
      </c>
      <c r="F109" s="71">
        <f t="shared" si="20"/>
        <v>513248.67435798608</v>
      </c>
      <c r="G109" s="71">
        <f t="shared" si="21"/>
        <v>16150679.316420995</v>
      </c>
      <c r="H109" s="72">
        <f>194988.58+50049.8408</f>
        <v>245038.42079999999</v>
      </c>
      <c r="J109" s="82">
        <f t="shared" si="22"/>
        <v>505061.81355798617</v>
      </c>
      <c r="K109" s="82">
        <f t="shared" si="23"/>
        <v>15905640.895620994</v>
      </c>
      <c r="L109" s="82">
        <f>K109+'财通（君享天成）定增'!G109</f>
        <v>19281006.455620997</v>
      </c>
    </row>
    <row r="110" spans="1:13">
      <c r="A110" s="49">
        <v>44546</v>
      </c>
      <c r="C110" s="71">
        <f t="shared" si="18"/>
        <v>67008898.340000004</v>
      </c>
      <c r="D110" s="70">
        <f>65187300.7+18593205.5572</f>
        <v>83780506.257200003</v>
      </c>
      <c r="E110" s="71">
        <f t="shared" si="19"/>
        <v>108914.65813436</v>
      </c>
      <c r="F110" s="71">
        <f t="shared" si="20"/>
        <v>512013.94264464453</v>
      </c>
      <c r="G110" s="71">
        <f t="shared" si="21"/>
        <v>16662693.259065639</v>
      </c>
      <c r="H110" s="72">
        <f>201881.56+51889.3068</f>
        <v>253770.86679999999</v>
      </c>
      <c r="J110" s="82">
        <f t="shared" si="22"/>
        <v>503281.49664464407</v>
      </c>
      <c r="K110" s="82">
        <f t="shared" si="23"/>
        <v>16408922.392265638</v>
      </c>
      <c r="L110" s="82">
        <f>K110+'财通（君享天成）定增'!G110</f>
        <v>19854494.342265643</v>
      </c>
    </row>
    <row r="111" spans="1:13">
      <c r="A111" s="49">
        <v>44547</v>
      </c>
      <c r="C111" s="71">
        <f t="shared" si="18"/>
        <v>67008898.340000004</v>
      </c>
      <c r="D111" s="70">
        <f>18126820.5264+64339681.6</f>
        <v>82466502.126399994</v>
      </c>
      <c r="E111" s="71">
        <f t="shared" si="19"/>
        <v>107206.45276431998</v>
      </c>
      <c r="F111" s="71">
        <f t="shared" si="20"/>
        <v>-1312295.9254299682</v>
      </c>
      <c r="G111" s="71">
        <f t="shared" si="21"/>
        <v>15350397.333635671</v>
      </c>
      <c r="H111" s="72">
        <f>53728.7476+208774.6</f>
        <v>262503.34759999998</v>
      </c>
      <c r="J111" s="82">
        <f t="shared" si="22"/>
        <v>-1321028.4062299673</v>
      </c>
      <c r="K111" s="82">
        <f t="shared" si="23"/>
        <v>15087893.986035671</v>
      </c>
      <c r="L111" s="82">
        <f>K111+'财通（君享天成）定增'!G111</f>
        <v>18170205.546035673</v>
      </c>
    </row>
    <row r="112" spans="1:13">
      <c r="A112" s="49">
        <v>44548</v>
      </c>
      <c r="C112" s="71">
        <f t="shared" ref="C112:C143" si="24">C111+B112</f>
        <v>67008898.340000004</v>
      </c>
      <c r="D112" s="70">
        <f>18126820.5264+64339681.6</f>
        <v>82466502.126399994</v>
      </c>
      <c r="E112" s="71">
        <f t="shared" si="19"/>
        <v>107206.45276431998</v>
      </c>
      <c r="F112" s="71">
        <f t="shared" si="20"/>
        <v>0</v>
      </c>
      <c r="G112" s="71">
        <f t="shared" si="21"/>
        <v>15350397.333635671</v>
      </c>
      <c r="H112" s="72">
        <f>53728.7476+208774.6</f>
        <v>262503.34759999998</v>
      </c>
      <c r="J112" s="82">
        <f t="shared" si="22"/>
        <v>0</v>
      </c>
      <c r="K112" s="82">
        <f t="shared" si="23"/>
        <v>15087893.986035671</v>
      </c>
      <c r="L112" s="82">
        <f>K112+'财通（君享天成）定增'!G112</f>
        <v>18170205.546035673</v>
      </c>
    </row>
    <row r="113" spans="1:12">
      <c r="A113" s="49">
        <v>44549</v>
      </c>
      <c r="C113" s="71">
        <f t="shared" si="24"/>
        <v>67008898.340000004</v>
      </c>
      <c r="D113" s="70">
        <f>18126820.5264+64339681.6</f>
        <v>82466502.126399994</v>
      </c>
      <c r="E113" s="71">
        <f t="shared" si="19"/>
        <v>107206.45276431998</v>
      </c>
      <c r="F113" s="71">
        <f t="shared" si="20"/>
        <v>0</v>
      </c>
      <c r="G113" s="71">
        <f t="shared" si="21"/>
        <v>15350397.333635671</v>
      </c>
      <c r="H113" s="72">
        <f>53728.7476+208774.6</f>
        <v>262503.34759999998</v>
      </c>
      <c r="J113" s="82">
        <f t="shared" si="22"/>
        <v>0</v>
      </c>
      <c r="K113" s="82">
        <f t="shared" si="23"/>
        <v>15087893.986035671</v>
      </c>
      <c r="L113" s="82">
        <f>K113+'财通（君享天成）定增'!G113</f>
        <v>18170205.546035673</v>
      </c>
    </row>
    <row r="114" spans="1:12">
      <c r="A114" s="49">
        <v>44550</v>
      </c>
      <c r="C114" s="71">
        <f t="shared" si="24"/>
        <v>67008898.340000004</v>
      </c>
      <c r="D114" s="70">
        <f>63792555.41+17963376.822</f>
        <v>81755932.231999993</v>
      </c>
      <c r="E114" s="71">
        <f t="shared" si="19"/>
        <v>106282.71190159999</v>
      </c>
      <c r="F114" s="71">
        <f t="shared" si="20"/>
        <v>-709646.15353728086</v>
      </c>
      <c r="G114" s="71">
        <f t="shared" si="21"/>
        <v>14640751.18009839</v>
      </c>
      <c r="H114" s="72">
        <f>59247.11+229453.63</f>
        <v>288700.74</v>
      </c>
      <c r="J114" s="82">
        <f t="shared" si="22"/>
        <v>-735843.5459372811</v>
      </c>
      <c r="K114" s="82">
        <f t="shared" si="23"/>
        <v>14352050.44009839</v>
      </c>
      <c r="L114" s="82">
        <f>K114+'财通（君享天成）定增'!G114</f>
        <v>17167456.540098391</v>
      </c>
    </row>
    <row r="115" spans="1:12">
      <c r="A115" s="49">
        <v>44551</v>
      </c>
      <c r="B115" s="70">
        <v>5000001.3</v>
      </c>
      <c r="C115" s="71">
        <f t="shared" si="24"/>
        <v>72008899.640000001</v>
      </c>
      <c r="D115" s="70">
        <f>71310385.91+18164987.6408</f>
        <v>89475373.550799996</v>
      </c>
      <c r="E115" s="71">
        <f t="shared" si="19"/>
        <v>116317.98561603999</v>
      </c>
      <c r="F115" s="71">
        <f t="shared" si="20"/>
        <v>2709404.7450855654</v>
      </c>
      <c r="G115" s="71">
        <f t="shared" si="21"/>
        <v>17350155.925183956</v>
      </c>
      <c r="H115" s="72">
        <f>237017.89+61086.556</f>
        <v>298104.446</v>
      </c>
      <c r="J115" s="82">
        <f t="shared" si="22"/>
        <v>2700001.039085567</v>
      </c>
      <c r="K115" s="82">
        <f t="shared" si="23"/>
        <v>17052051.479183957</v>
      </c>
      <c r="L115" s="82">
        <f>K115+'财通（君享天成）定增'!G115</f>
        <v>20205423.019183956</v>
      </c>
    </row>
    <row r="116" spans="1:12">
      <c r="A116" s="49">
        <v>44552</v>
      </c>
      <c r="C116" s="71">
        <f t="shared" si="24"/>
        <v>72008899.640000001</v>
      </c>
      <c r="D116" s="70">
        <f>18592176.2012+71510239.99</f>
        <v>90102416.191199988</v>
      </c>
      <c r="E116" s="71">
        <f t="shared" si="19"/>
        <v>117133.14104855998</v>
      </c>
      <c r="F116" s="71">
        <f t="shared" si="20"/>
        <v>626227.48496747017</v>
      </c>
      <c r="G116" s="71">
        <f t="shared" si="21"/>
        <v>17976383.410151426</v>
      </c>
      <c r="H116" s="72">
        <f>62926.0168+244582.16</f>
        <v>307508.17680000002</v>
      </c>
      <c r="J116" s="82">
        <f t="shared" si="22"/>
        <v>616823.75416746736</v>
      </c>
      <c r="K116" s="82">
        <f t="shared" si="23"/>
        <v>17668875.233351424</v>
      </c>
      <c r="L116" s="82">
        <f>K116+'财通（君享天成）定增'!G116</f>
        <v>21555491.423351422</v>
      </c>
    </row>
    <row r="117" spans="1:12">
      <c r="A117" s="49">
        <v>44553</v>
      </c>
      <c r="C117" s="71">
        <f t="shared" si="24"/>
        <v>72008899.640000001</v>
      </c>
      <c r="D117" s="70">
        <f>72420859.74+18429020.4608</f>
        <v>90849880.200800002</v>
      </c>
      <c r="E117" s="71">
        <f t="shared" si="19"/>
        <v>118104.84426103999</v>
      </c>
      <c r="F117" s="71">
        <f t="shared" si="20"/>
        <v>746492.30638753623</v>
      </c>
      <c r="G117" s="71">
        <f t="shared" si="21"/>
        <v>18722875.716538962</v>
      </c>
      <c r="H117" s="72">
        <f>252146.38+64765.4676</f>
        <v>316911.84759999998</v>
      </c>
      <c r="J117" s="82">
        <f t="shared" si="22"/>
        <v>737088.6355875358</v>
      </c>
      <c r="K117" s="82">
        <f t="shared" si="23"/>
        <v>18405963.86893896</v>
      </c>
      <c r="L117" s="82">
        <f>K117+'财通（君享天成）定增'!G117</f>
        <v>22654012.79893896</v>
      </c>
    </row>
    <row r="118" spans="1:12">
      <c r="A118" s="49">
        <v>44554</v>
      </c>
      <c r="C118" s="71">
        <f t="shared" si="24"/>
        <v>72008899.640000001</v>
      </c>
      <c r="D118" s="70">
        <f>72724972.74+18023090.8456</f>
        <v>90748063.585599989</v>
      </c>
      <c r="E118" s="71">
        <f t="shared" si="19"/>
        <v>117972.48266127998</v>
      </c>
      <c r="F118" s="71">
        <f t="shared" si="20"/>
        <v>-101684.25360025465</v>
      </c>
      <c r="G118" s="71">
        <f t="shared" si="21"/>
        <v>18621191.462938707</v>
      </c>
      <c r="H118" s="72">
        <f>259710.63+66604.9184</f>
        <v>326315.54839999997</v>
      </c>
      <c r="J118" s="82">
        <f t="shared" si="22"/>
        <v>-111087.95440025255</v>
      </c>
      <c r="K118" s="82">
        <f t="shared" si="23"/>
        <v>18294875.914538708</v>
      </c>
      <c r="L118" s="82">
        <f>K118+'财通（君享天成）定增'!G118</f>
        <v>22543557.524538707</v>
      </c>
    </row>
    <row r="119" spans="1:12">
      <c r="A119" s="49">
        <v>44555</v>
      </c>
      <c r="C119" s="71">
        <f t="shared" si="24"/>
        <v>72008899.640000001</v>
      </c>
      <c r="D119" s="70">
        <f>72724972.74+18023090.8456</f>
        <v>90748063.585599989</v>
      </c>
      <c r="E119" s="71">
        <f t="shared" si="19"/>
        <v>117972.48266127998</v>
      </c>
      <c r="F119" s="71">
        <f t="shared" si="20"/>
        <v>0</v>
      </c>
      <c r="G119" s="71">
        <f t="shared" si="21"/>
        <v>18621191.462938707</v>
      </c>
      <c r="H119" s="72">
        <f>259710.63+66604.9184</f>
        <v>326315.54839999997</v>
      </c>
      <c r="J119" s="82">
        <f t="shared" si="22"/>
        <v>0</v>
      </c>
      <c r="K119" s="82">
        <f t="shared" si="23"/>
        <v>18294875.914538708</v>
      </c>
      <c r="L119" s="82">
        <f>K119+'财通（君享天成）定增'!G119</f>
        <v>22543557.524538707</v>
      </c>
    </row>
    <row r="120" spans="1:12">
      <c r="A120" s="49">
        <v>44556</v>
      </c>
      <c r="C120" s="71">
        <f t="shared" si="24"/>
        <v>72008899.640000001</v>
      </c>
      <c r="D120" s="70">
        <f>72724972.74+18023090.8456</f>
        <v>90748063.585599989</v>
      </c>
      <c r="E120" s="71">
        <f t="shared" si="19"/>
        <v>117972.48266127998</v>
      </c>
      <c r="F120" s="71">
        <f t="shared" si="20"/>
        <v>0</v>
      </c>
      <c r="G120" s="71">
        <f t="shared" si="21"/>
        <v>18621191.462938707</v>
      </c>
      <c r="H120" s="72">
        <f>259710.63+66604.9184</f>
        <v>326315.54839999997</v>
      </c>
      <c r="J120" s="82">
        <f t="shared" si="22"/>
        <v>0</v>
      </c>
      <c r="K120" s="82">
        <f t="shared" si="23"/>
        <v>18294875.914538708</v>
      </c>
      <c r="L120" s="82">
        <f>K120+'财通（君享天成）定增'!G120</f>
        <v>22543557.524538707</v>
      </c>
    </row>
    <row r="121" spans="1:12">
      <c r="A121" s="49">
        <v>44557</v>
      </c>
      <c r="C121" s="71">
        <f t="shared" si="24"/>
        <v>72008899.640000001</v>
      </c>
      <c r="D121" s="70">
        <f>73084068.38+18185131.1632</f>
        <v>91269199.543199986</v>
      </c>
      <c r="E121" s="71">
        <f t="shared" si="19"/>
        <v>118649.95940615998</v>
      </c>
      <c r="F121" s="71">
        <f t="shared" si="20"/>
        <v>520458.48085511848</v>
      </c>
      <c r="G121" s="71">
        <f t="shared" si="21"/>
        <v>19141649.943793826</v>
      </c>
      <c r="H121" s="72">
        <f>282403.4+72123.276</f>
        <v>354526.67600000004</v>
      </c>
      <c r="J121" s="82">
        <f t="shared" si="22"/>
        <v>492247.35325511917</v>
      </c>
      <c r="K121" s="82">
        <f t="shared" si="23"/>
        <v>18787123.267793827</v>
      </c>
      <c r="L121" s="82">
        <f>K121+'财通（君享天成）定增'!G121</f>
        <v>23890697.60779383</v>
      </c>
    </row>
    <row r="122" spans="1:12">
      <c r="A122" s="49">
        <v>44558</v>
      </c>
      <c r="C122" s="71">
        <f t="shared" si="24"/>
        <v>72008899.640000001</v>
      </c>
      <c r="D122" s="70">
        <f>72493085.87+18684827.2172</f>
        <v>91177913.087200001</v>
      </c>
      <c r="E122" s="71">
        <f t="shared" si="19"/>
        <v>118531.28701335999</v>
      </c>
      <c r="F122" s="71">
        <f t="shared" si="20"/>
        <v>-91167.783607184887</v>
      </c>
      <c r="G122" s="71">
        <f t="shared" si="21"/>
        <v>19050482.160186641</v>
      </c>
      <c r="H122" s="72">
        <f>289967.65+73962.7268</f>
        <v>363930.37680000003</v>
      </c>
      <c r="J122" s="82">
        <f t="shared" si="22"/>
        <v>-100571.48440718651</v>
      </c>
      <c r="K122" s="82">
        <f t="shared" si="23"/>
        <v>18686551.78338664</v>
      </c>
      <c r="L122" s="82">
        <f>K122+'财通（君享天成）定增'!G122</f>
        <v>24035881.273386642</v>
      </c>
    </row>
    <row r="123" spans="1:12">
      <c r="A123" s="49">
        <v>44559</v>
      </c>
      <c r="C123" s="71">
        <f t="shared" si="24"/>
        <v>72008899.640000001</v>
      </c>
      <c r="D123" s="70">
        <f>72039127.55+18457654.5564</f>
        <v>90496782.106399998</v>
      </c>
      <c r="E123" s="71">
        <f t="shared" si="19"/>
        <v>117645.81673831999</v>
      </c>
      <c r="F123" s="71">
        <f t="shared" si="20"/>
        <v>-680245.5105249621</v>
      </c>
      <c r="G123" s="71">
        <f t="shared" si="21"/>
        <v>18370236.649661679</v>
      </c>
      <c r="H123" s="72">
        <f>297531.93+75802.1776</f>
        <v>373334.10759999999</v>
      </c>
      <c r="J123" s="82">
        <f t="shared" si="22"/>
        <v>-689649.24132496119</v>
      </c>
      <c r="K123" s="82">
        <f t="shared" si="23"/>
        <v>17996902.542061679</v>
      </c>
      <c r="L123" s="82">
        <f>K123+'财通（君享天成）定增'!G123</f>
        <v>23594026.032061681</v>
      </c>
    </row>
    <row r="124" spans="1:12">
      <c r="A124" s="49" t="s">
        <v>135</v>
      </c>
      <c r="C124" s="82">
        <f t="shared" si="24"/>
        <v>72008899.640000001</v>
      </c>
      <c r="D124" s="70">
        <f>72527379.13+18808323.0548</f>
        <v>91335702.184799999</v>
      </c>
      <c r="E124" s="82">
        <f t="shared" si="19"/>
        <v>118736.41284023999</v>
      </c>
      <c r="F124" s="82">
        <f t="shared" si="20"/>
        <v>837829.48229807988</v>
      </c>
      <c r="G124" s="82">
        <f t="shared" si="21"/>
        <v>19208066.131959759</v>
      </c>
      <c r="H124" s="72">
        <f>305096.16+77641.6284</f>
        <v>382737.78839999996</v>
      </c>
      <c r="J124" s="82">
        <f t="shared" si="22"/>
        <v>828425.80149807781</v>
      </c>
      <c r="K124" s="82">
        <f t="shared" si="23"/>
        <v>18825328.343559757</v>
      </c>
      <c r="L124" s="82">
        <f>K124+'财通（君享天成）定增'!G124</f>
        <v>25008966.483559757</v>
      </c>
    </row>
    <row r="125" spans="1:12" s="16" customFormat="1">
      <c r="A125" s="15" t="s">
        <v>136</v>
      </c>
      <c r="B125" s="83"/>
      <c r="C125" s="84">
        <f t="shared" si="24"/>
        <v>72008899.640000001</v>
      </c>
      <c r="D125" s="83">
        <f>18989084.52+72723067.5</f>
        <v>91712152.019999996</v>
      </c>
      <c r="E125" s="84">
        <f t="shared" si="19"/>
        <v>119225.79762599999</v>
      </c>
      <c r="F125" s="84">
        <f t="shared" si="20"/>
        <v>375960.45041423663</v>
      </c>
      <c r="G125" s="84">
        <f t="shared" si="21"/>
        <v>19584026.582373995</v>
      </c>
      <c r="H125" s="83">
        <f>79778.7690757036+312660.41</f>
        <v>392439.17907570361</v>
      </c>
      <c r="I125" s="83">
        <v>49452.85</v>
      </c>
      <c r="J125" s="84">
        <f t="shared" si="22"/>
        <v>415711.90973853692</v>
      </c>
      <c r="K125" s="84">
        <f>G125-H125+I125</f>
        <v>19241040.253298294</v>
      </c>
      <c r="L125" s="84">
        <f>K125+'财通（君享天成）定增'!G125</f>
        <v>25058542.593298297</v>
      </c>
    </row>
    <row r="126" spans="1:12">
      <c r="A126" s="49">
        <v>44562</v>
      </c>
      <c r="C126" s="82">
        <f t="shared" si="24"/>
        <v>72008899.640000001</v>
      </c>
      <c r="D126" s="70">
        <f>18989084.52+72723067.5</f>
        <v>91712152.019999996</v>
      </c>
      <c r="E126" s="82">
        <f t="shared" si="19"/>
        <v>119225.79762599999</v>
      </c>
      <c r="F126" s="82">
        <f t="shared" si="20"/>
        <v>0</v>
      </c>
      <c r="G126" s="82">
        <f t="shared" si="21"/>
        <v>19584026.582373995</v>
      </c>
      <c r="H126" s="72">
        <v>392439.17907570361</v>
      </c>
      <c r="I126" s="72">
        <v>49452.85</v>
      </c>
      <c r="J126" s="82">
        <f>K126</f>
        <v>0</v>
      </c>
      <c r="K126" s="82">
        <f t="shared" ref="K126:K143" si="25">G126-H126+I126-$K$125</f>
        <v>0</v>
      </c>
      <c r="L126" s="82">
        <f>K126+'财通（君享天成）定增'!G126+'2129'!E3</f>
        <v>0</v>
      </c>
    </row>
    <row r="127" spans="1:12">
      <c r="A127" s="49">
        <v>44563</v>
      </c>
      <c r="C127" s="82">
        <f t="shared" si="24"/>
        <v>72008899.640000001</v>
      </c>
      <c r="D127" s="70">
        <f>18989084.52+72723067.5</f>
        <v>91712152.019999996</v>
      </c>
      <c r="E127" s="82">
        <f t="shared" si="19"/>
        <v>119225.79762599999</v>
      </c>
      <c r="F127" s="82">
        <f t="shared" si="20"/>
        <v>0</v>
      </c>
      <c r="G127" s="82">
        <f t="shared" si="21"/>
        <v>19584026.582373995</v>
      </c>
      <c r="H127" s="72">
        <v>392439.17907570361</v>
      </c>
      <c r="I127" s="72">
        <v>49452.85</v>
      </c>
      <c r="J127" s="82">
        <f t="shared" ref="J127:J143" si="26">K127-K126</f>
        <v>0</v>
      </c>
      <c r="K127" s="82">
        <f t="shared" si="25"/>
        <v>0</v>
      </c>
      <c r="L127" s="82">
        <f>K127+'财通（君享天成）定增'!G127+'2129'!E4</f>
        <v>0</v>
      </c>
    </row>
    <row r="128" spans="1:12">
      <c r="A128" s="49">
        <v>44564</v>
      </c>
      <c r="C128" s="82">
        <f t="shared" si="24"/>
        <v>72008899.640000001</v>
      </c>
      <c r="D128" s="70">
        <f>18989084.52+72723067.5</f>
        <v>91712152.019999996</v>
      </c>
      <c r="E128" s="82">
        <f t="shared" si="19"/>
        <v>119225.79762599999</v>
      </c>
      <c r="F128" s="82">
        <f t="shared" si="20"/>
        <v>0</v>
      </c>
      <c r="G128" s="82">
        <f t="shared" si="21"/>
        <v>19584026.582373995</v>
      </c>
      <c r="H128" s="72">
        <v>392439.17907570361</v>
      </c>
      <c r="I128" s="72">
        <v>49452.85</v>
      </c>
      <c r="J128" s="82">
        <f t="shared" si="26"/>
        <v>0</v>
      </c>
      <c r="K128" s="82">
        <f t="shared" si="25"/>
        <v>0</v>
      </c>
      <c r="L128" s="82">
        <f>K128+'财通（君享天成）定增'!G128+'2129'!E5</f>
        <v>0</v>
      </c>
    </row>
    <row r="129" spans="1:12">
      <c r="A129" s="49">
        <v>44565</v>
      </c>
      <c r="C129" s="82">
        <f t="shared" si="24"/>
        <v>72008899.640000001</v>
      </c>
      <c r="D129" s="70">
        <v>92943439.379999995</v>
      </c>
      <c r="E129" s="82">
        <f t="shared" si="19"/>
        <v>120826.47119399998</v>
      </c>
      <c r="F129" s="82">
        <f t="shared" si="20"/>
        <v>1229686.6864320002</v>
      </c>
      <c r="G129" s="82">
        <f t="shared" si="21"/>
        <v>20813713.268805996</v>
      </c>
      <c r="H129" s="72">
        <v>430095.08815999998</v>
      </c>
      <c r="I129" s="72">
        <v>49452.85</v>
      </c>
      <c r="J129" s="82">
        <f t="shared" si="26"/>
        <v>1192030.7773477025</v>
      </c>
      <c r="K129" s="82">
        <f t="shared" si="25"/>
        <v>1192030.7773477025</v>
      </c>
      <c r="L129" s="82">
        <f>K129+'财通（君享天成）定增'!G129+'2129'!E6</f>
        <v>1650736.9973477013</v>
      </c>
    </row>
    <row r="130" spans="1:12">
      <c r="A130" s="49">
        <v>44566</v>
      </c>
      <c r="C130" s="82">
        <f t="shared" si="24"/>
        <v>72008899.640000001</v>
      </c>
      <c r="D130" s="85">
        <f>73341971.06+18768136.9</f>
        <v>92110107.960000008</v>
      </c>
      <c r="E130" s="82">
        <f t="shared" si="19"/>
        <v>119743.140348</v>
      </c>
      <c r="F130" s="82">
        <f t="shared" si="20"/>
        <v>-832248.08915398642</v>
      </c>
      <c r="G130" s="82">
        <f t="shared" si="21"/>
        <v>19981465.179652009</v>
      </c>
      <c r="H130" s="86">
        <f>350481.68+89027.3541218108</f>
        <v>439509.03412181081</v>
      </c>
      <c r="I130" s="86">
        <v>49452.85</v>
      </c>
      <c r="J130" s="82">
        <f t="shared" si="26"/>
        <v>-841662.03511579707</v>
      </c>
      <c r="K130" s="82">
        <f t="shared" si="25"/>
        <v>350368.74223190546</v>
      </c>
      <c r="L130" s="82">
        <f>K130+'财通（君享天成）定增'!G130+'2129'!E7</f>
        <v>955888.4822319001</v>
      </c>
    </row>
    <row r="131" spans="1:12">
      <c r="A131" s="49">
        <v>44567</v>
      </c>
      <c r="C131" s="82">
        <f t="shared" si="24"/>
        <v>72008899.640000001</v>
      </c>
      <c r="D131" s="87">
        <f>73221998.7+18801210.41</f>
        <v>92023209.109999999</v>
      </c>
      <c r="E131" s="82">
        <f t="shared" si="19"/>
        <v>119630.17184299999</v>
      </c>
      <c r="F131" s="82">
        <f t="shared" si="20"/>
        <v>-86785.881495010108</v>
      </c>
      <c r="G131" s="82">
        <f t="shared" si="21"/>
        <v>19894679.298156999</v>
      </c>
      <c r="H131" s="88">
        <f>358045.93+90877.0800831026</f>
        <v>448923.01008310262</v>
      </c>
      <c r="I131" s="88">
        <v>49452.85</v>
      </c>
      <c r="J131" s="82">
        <f t="shared" si="26"/>
        <v>-96199.857456300408</v>
      </c>
      <c r="K131" s="82">
        <f t="shared" si="25"/>
        <v>254168.88477560505</v>
      </c>
      <c r="L131" s="82">
        <f>K131+'财通（君享天成）定增'!G131+'2129'!E8</f>
        <v>879037.62477559969</v>
      </c>
    </row>
    <row r="132" spans="1:12">
      <c r="A132" s="49">
        <v>44568</v>
      </c>
      <c r="C132" s="82">
        <f t="shared" si="24"/>
        <v>72008899.640000001</v>
      </c>
      <c r="D132" s="87">
        <f>72322117.59+18545462.31</f>
        <v>90867579.900000006</v>
      </c>
      <c r="E132" s="82">
        <f t="shared" si="19"/>
        <v>118127.85387000001</v>
      </c>
      <c r="F132" s="82">
        <f t="shared" si="20"/>
        <v>-1154126.8920269944</v>
      </c>
      <c r="G132" s="82">
        <f t="shared" si="21"/>
        <v>18740552.406130005</v>
      </c>
      <c r="H132" s="88">
        <f>365610.16+92726.8012840429</f>
        <v>458336.96128404286</v>
      </c>
      <c r="I132" s="88">
        <v>49452.85</v>
      </c>
      <c r="J132" s="82">
        <f t="shared" si="26"/>
        <v>-1163540.8432279341</v>
      </c>
      <c r="K132" s="82">
        <f t="shared" si="25"/>
        <v>-909371.95845232904</v>
      </c>
      <c r="L132" s="82">
        <f>K132+'财通（君享天成）定增'!G132+'2129'!E9</f>
        <v>-1118301.9184523299</v>
      </c>
    </row>
    <row r="133" spans="1:12">
      <c r="A133" s="49">
        <v>44569</v>
      </c>
      <c r="C133" s="82">
        <f t="shared" si="24"/>
        <v>72008899.640000001</v>
      </c>
      <c r="D133" s="87">
        <f>72322117.59+18545462.31</f>
        <v>90867579.900000006</v>
      </c>
      <c r="E133" s="82">
        <f t="shared" ref="E133:E143" si="27">D133*0.0013</f>
        <v>118127.85387000001</v>
      </c>
      <c r="F133" s="82">
        <f t="shared" ref="F133:F143" si="28">G133-G132</f>
        <v>0</v>
      </c>
      <c r="G133" s="82">
        <f t="shared" ref="G133:G143" si="29">D133-C133-E133</f>
        <v>18740552.406130005</v>
      </c>
      <c r="H133" s="88">
        <f>365610.16+92726.8012840429</f>
        <v>458336.96128404286</v>
      </c>
      <c r="I133" s="88">
        <v>49452.85</v>
      </c>
      <c r="J133" s="82">
        <f t="shared" si="26"/>
        <v>0</v>
      </c>
      <c r="K133" s="82">
        <f t="shared" si="25"/>
        <v>-909371.95845232904</v>
      </c>
      <c r="L133" s="82">
        <f>K133+'财通（君享天成）定增'!G133+'2129'!E10</f>
        <v>-1118301.9184523299</v>
      </c>
    </row>
    <row r="134" spans="1:12">
      <c r="A134" s="49">
        <v>44570</v>
      </c>
      <c r="C134" s="82">
        <f t="shared" si="24"/>
        <v>72008899.640000001</v>
      </c>
      <c r="D134" s="87">
        <f>72322117.59+18545462.31</f>
        <v>90867579.900000006</v>
      </c>
      <c r="E134" s="82">
        <f t="shared" si="27"/>
        <v>118127.85387000001</v>
      </c>
      <c r="F134" s="82">
        <f t="shared" si="28"/>
        <v>0</v>
      </c>
      <c r="G134" s="82">
        <f t="shared" si="29"/>
        <v>18740552.406130005</v>
      </c>
      <c r="H134" s="88">
        <f>365610.16+92726.8012840429</f>
        <v>458336.96128404286</v>
      </c>
      <c r="I134" s="88">
        <v>49452.85</v>
      </c>
      <c r="J134" s="82">
        <f t="shared" si="26"/>
        <v>0</v>
      </c>
      <c r="K134" s="82">
        <f t="shared" si="25"/>
        <v>-909371.95845232904</v>
      </c>
      <c r="L134" s="82">
        <f>K134+'财通（君享天成）定增'!G134+'2129'!E11</f>
        <v>-1118301.9184523299</v>
      </c>
    </row>
    <row r="135" spans="1:12">
      <c r="A135" s="49">
        <v>44571</v>
      </c>
      <c r="C135" s="82">
        <f t="shared" si="24"/>
        <v>72008899.640000001</v>
      </c>
      <c r="D135" s="89">
        <f>73856337.81+19292904.63</f>
        <v>93149242.439999998</v>
      </c>
      <c r="E135" s="82">
        <f t="shared" si="27"/>
        <v>121094.01517199998</v>
      </c>
      <c r="F135" s="82">
        <f t="shared" si="28"/>
        <v>2278696.3786979914</v>
      </c>
      <c r="G135" s="82">
        <f t="shared" si="29"/>
        <v>21019248.784827996</v>
      </c>
      <c r="H135" s="90">
        <f>388302.93+98275.9491679181</f>
        <v>486578.87916791812</v>
      </c>
      <c r="I135" s="90">
        <v>49452.85</v>
      </c>
      <c r="J135" s="82">
        <f t="shared" si="26"/>
        <v>2250454.4608141147</v>
      </c>
      <c r="K135" s="82">
        <f t="shared" si="25"/>
        <v>1341082.5023617856</v>
      </c>
      <c r="L135" s="82">
        <f>K135+'财通（君享天成）定增'!G135+'2129'!E12</f>
        <v>1769708.8023617826</v>
      </c>
    </row>
    <row r="136" spans="1:12">
      <c r="A136" s="49">
        <v>44572</v>
      </c>
      <c r="C136" s="82">
        <f t="shared" si="24"/>
        <v>72008899.640000001</v>
      </c>
      <c r="D136" s="91">
        <f>73115475.13+19069946.8</f>
        <v>92185421.929999992</v>
      </c>
      <c r="E136" s="82">
        <f t="shared" si="27"/>
        <v>119841.04850899999</v>
      </c>
      <c r="F136" s="82">
        <f t="shared" si="28"/>
        <v>-962567.54333700612</v>
      </c>
      <c r="G136" s="82">
        <f t="shared" si="29"/>
        <v>20056681.24149099</v>
      </c>
      <c r="H136" s="92">
        <f>395867.2+100125.665129209</f>
        <v>495992.86512920901</v>
      </c>
      <c r="I136" s="92">
        <v>49452.85</v>
      </c>
      <c r="J136" s="82">
        <f t="shared" si="26"/>
        <v>-971981.52929829806</v>
      </c>
      <c r="K136" s="82">
        <f t="shared" si="25"/>
        <v>369100.97306348756</v>
      </c>
      <c r="L136" s="82">
        <f>K136+'财通（君享天成）定增'!G136+'2129'!E13</f>
        <v>1051733.9030634835</v>
      </c>
    </row>
    <row r="137" spans="1:12">
      <c r="A137" s="49">
        <v>44573</v>
      </c>
      <c r="C137" s="82">
        <f t="shared" si="24"/>
        <v>72008899.640000001</v>
      </c>
      <c r="D137" s="93">
        <f>73870796.73+19176699.59</f>
        <v>93047496.320000008</v>
      </c>
      <c r="E137" s="82">
        <f t="shared" si="27"/>
        <v>120961.74521600001</v>
      </c>
      <c r="F137" s="82">
        <f t="shared" si="28"/>
        <v>860953.6932930164</v>
      </c>
      <c r="G137" s="82">
        <f t="shared" si="29"/>
        <v>20917634.934784006</v>
      </c>
      <c r="H137" s="94">
        <f>403431.43+101975.38633015</f>
        <v>505406.81633015</v>
      </c>
      <c r="I137" s="94">
        <v>49452.85</v>
      </c>
      <c r="J137" s="82">
        <f t="shared" si="26"/>
        <v>851539.74209207669</v>
      </c>
      <c r="K137" s="82">
        <f t="shared" si="25"/>
        <v>1220640.7151555642</v>
      </c>
      <c r="L137" s="82">
        <f>K137+'财通（君享天成）定增'!G137+'2129'!E14</f>
        <v>2082442.1651555598</v>
      </c>
    </row>
    <row r="138" spans="1:12">
      <c r="A138" s="49">
        <v>44574</v>
      </c>
      <c r="C138" s="82">
        <f t="shared" si="24"/>
        <v>72008899.640000001</v>
      </c>
      <c r="D138" s="95">
        <f>73589319.24+18997306.6699999</f>
        <v>92586625.909999892</v>
      </c>
      <c r="E138" s="82">
        <f t="shared" si="27"/>
        <v>120362.61368299986</v>
      </c>
      <c r="F138" s="82">
        <f t="shared" si="28"/>
        <v>-460271.27846711501</v>
      </c>
      <c r="G138" s="82">
        <f t="shared" si="29"/>
        <v>20457363.656316891</v>
      </c>
      <c r="H138" s="96">
        <f>410995.66+103825.102291441</f>
        <v>514820.76229144097</v>
      </c>
      <c r="I138" s="96">
        <v>49452.85</v>
      </c>
      <c r="J138" s="82">
        <f t="shared" si="26"/>
        <v>-469685.22442840785</v>
      </c>
      <c r="K138" s="82">
        <f t="shared" si="25"/>
        <v>750955.4907271564</v>
      </c>
      <c r="L138" s="82">
        <f>K138+'财通（君享天成）定增'!G138+'2129'!E15</f>
        <v>1488994.2907271534</v>
      </c>
    </row>
    <row r="139" spans="1:12">
      <c r="A139" s="49">
        <v>44575</v>
      </c>
      <c r="C139" s="82">
        <f t="shared" si="24"/>
        <v>72008899.640000001</v>
      </c>
      <c r="D139" s="97">
        <f>73166981.3+18827084.6699999</f>
        <v>91994065.969999894</v>
      </c>
      <c r="E139" s="82">
        <f t="shared" si="27"/>
        <v>119592.28576099986</v>
      </c>
      <c r="F139" s="82">
        <f t="shared" si="28"/>
        <v>-591789.61207799613</v>
      </c>
      <c r="G139" s="82">
        <f t="shared" si="29"/>
        <v>19865574.044238895</v>
      </c>
      <c r="H139" s="98">
        <f>418559.95+105674.818252733</f>
        <v>524234.76825273305</v>
      </c>
      <c r="I139" s="98">
        <v>49452.85</v>
      </c>
      <c r="J139" s="82">
        <f t="shared" si="26"/>
        <v>-601203.61803928763</v>
      </c>
      <c r="K139" s="82">
        <f t="shared" si="25"/>
        <v>149751.87268786877</v>
      </c>
      <c r="L139" s="82">
        <f>K139+'财通（君享天成）定增'!G139+'2129'!E16</f>
        <v>1227696.4226878658</v>
      </c>
    </row>
    <row r="140" spans="1:12">
      <c r="A140" s="49">
        <v>44576</v>
      </c>
      <c r="C140" s="82">
        <f t="shared" si="24"/>
        <v>72008899.640000001</v>
      </c>
      <c r="D140" s="97">
        <f>73166981.3+18827084.6699999</f>
        <v>91994065.969999894</v>
      </c>
      <c r="E140" s="82">
        <f t="shared" si="27"/>
        <v>119592.28576099986</v>
      </c>
      <c r="F140" s="82">
        <f t="shared" si="28"/>
        <v>0</v>
      </c>
      <c r="G140" s="82">
        <f t="shared" si="29"/>
        <v>19865574.044238895</v>
      </c>
      <c r="H140" s="98">
        <f>418559.95+105674.818252733</f>
        <v>524234.76825273305</v>
      </c>
      <c r="I140" s="98">
        <v>49452.85</v>
      </c>
      <c r="J140" s="82">
        <f t="shared" si="26"/>
        <v>0</v>
      </c>
      <c r="K140" s="82">
        <f t="shared" si="25"/>
        <v>149751.87268786877</v>
      </c>
      <c r="L140" s="82">
        <f>K140+'财通（君享天成）定增'!G140+'2129'!E17</f>
        <v>1227696.4226878658</v>
      </c>
    </row>
    <row r="141" spans="1:12">
      <c r="A141" s="49">
        <v>44577</v>
      </c>
      <c r="C141" s="82">
        <f t="shared" si="24"/>
        <v>72008899.640000001</v>
      </c>
      <c r="D141" s="97">
        <f>73166981.3+18827084.6699999</f>
        <v>91994065.969999894</v>
      </c>
      <c r="E141" s="82">
        <f t="shared" si="27"/>
        <v>119592.28576099986</v>
      </c>
      <c r="F141" s="82">
        <f t="shared" si="28"/>
        <v>0</v>
      </c>
      <c r="G141" s="82">
        <f t="shared" si="29"/>
        <v>19865574.044238895</v>
      </c>
      <c r="H141" s="98">
        <f>418559.95+105674.818252733</f>
        <v>524234.76825273305</v>
      </c>
      <c r="I141" s="98">
        <v>49452.85</v>
      </c>
      <c r="J141" s="82">
        <f t="shared" si="26"/>
        <v>0</v>
      </c>
      <c r="K141" s="82">
        <f t="shared" si="25"/>
        <v>149751.87268786877</v>
      </c>
      <c r="L141" s="82">
        <f>K141+'财通（君享天成）定增'!G141+'2129'!E18</f>
        <v>1227696.4226878658</v>
      </c>
    </row>
    <row r="142" spans="1:12">
      <c r="A142" s="126">
        <v>44578</v>
      </c>
      <c r="C142" s="127">
        <f t="shared" si="24"/>
        <v>72008899.640000001</v>
      </c>
      <c r="D142" s="128">
        <f>74541506.67+19852035.4399999</f>
        <v>94393542.109999895</v>
      </c>
      <c r="E142" s="127">
        <f t="shared" si="27"/>
        <v>122711.60474299986</v>
      </c>
      <c r="F142" s="127">
        <f t="shared" si="28"/>
        <v>2396356.8210179992</v>
      </c>
      <c r="G142" s="127">
        <f t="shared" si="29"/>
        <v>22261930.865256894</v>
      </c>
      <c r="H142" s="129">
        <f>441252.68+111223.966136609</f>
        <v>552476.64613660902</v>
      </c>
      <c r="I142" s="129">
        <v>49452.85</v>
      </c>
      <c r="J142" s="127">
        <f t="shared" si="26"/>
        <v>2368114.9431341253</v>
      </c>
      <c r="K142" s="127">
        <f t="shared" si="25"/>
        <v>2517866.8158219941</v>
      </c>
      <c r="L142" s="127">
        <f>K142+'财通（君享天成）定增'!G142+'2129'!E19</f>
        <v>3676176.075821992</v>
      </c>
    </row>
    <row r="143" spans="1:12">
      <c r="A143" s="126">
        <v>44579</v>
      </c>
      <c r="B143" s="70">
        <v>5000000.82</v>
      </c>
      <c r="C143" s="127">
        <f t="shared" si="24"/>
        <v>77008900.460000008</v>
      </c>
      <c r="D143" s="128">
        <f>80462318.43+19731879.6399999</f>
        <v>100194198.0699999</v>
      </c>
      <c r="E143" s="127">
        <f t="shared" si="27"/>
        <v>130252.45749099986</v>
      </c>
      <c r="F143" s="127">
        <f t="shared" si="28"/>
        <v>793114.28725200146</v>
      </c>
      <c r="G143" s="127">
        <f t="shared" si="29"/>
        <v>23055045.152508896</v>
      </c>
      <c r="H143" s="129">
        <f>448816.94+113073.687337549</f>
        <v>561890.627337549</v>
      </c>
      <c r="I143" s="129">
        <v>49452.85</v>
      </c>
      <c r="J143" s="127">
        <f t="shared" si="26"/>
        <v>783700.30605106056</v>
      </c>
      <c r="K143" s="127">
        <f t="shared" si="25"/>
        <v>3301567.1218730547</v>
      </c>
      <c r="L143" s="127">
        <f>K143+'财通（君享天成）定增'!G143+'2129'!E20</f>
        <v>4561956.6718730517</v>
      </c>
    </row>
    <row r="144" spans="1:12">
      <c r="A144" s="126">
        <v>44580</v>
      </c>
      <c r="C144" s="127">
        <f t="shared" ref="C144" si="30">C143+B144</f>
        <v>77008900.460000008</v>
      </c>
      <c r="D144" s="128">
        <f>79975750.88+19986788.92</f>
        <v>99962539.799999997</v>
      </c>
      <c r="E144" s="127">
        <f t="shared" ref="E144" si="31">D144*0.0013</f>
        <v>129951.30174</v>
      </c>
      <c r="F144" s="127">
        <f t="shared" ref="F144" si="32">G144-G143</f>
        <v>-231357.11424890533</v>
      </c>
      <c r="G144" s="127">
        <f t="shared" ref="G144" si="33">D144-C144-E144</f>
        <v>22823688.038259991</v>
      </c>
      <c r="H144" s="129">
        <f>457052.41+114923.403298841</f>
        <v>571975.81329884101</v>
      </c>
      <c r="I144" s="129">
        <v>49452.85</v>
      </c>
      <c r="J144" s="127">
        <f t="shared" ref="J144" si="34">K144-K143</f>
        <v>-241442.30021019652</v>
      </c>
      <c r="K144" s="127">
        <f t="shared" ref="K144" si="35">G144-H144+I144-$K$125</f>
        <v>3060124.8216628581</v>
      </c>
      <c r="L144" s="127">
        <f>K144+'财通（君享天成）定增'!G144+'2129'!E21</f>
        <v>4293976.2916628569</v>
      </c>
    </row>
    <row r="145" spans="1:12">
      <c r="A145" s="126">
        <v>44581</v>
      </c>
      <c r="C145" s="127">
        <f t="shared" ref="C145" si="36">C144+B145</f>
        <v>77008900.460000008</v>
      </c>
      <c r="D145" s="128">
        <f>79187038.45+19853470.3399999</f>
        <v>99040508.789999902</v>
      </c>
      <c r="E145" s="127">
        <f t="shared" ref="E145" si="37">D145*0.0013</f>
        <v>128752.66142699987</v>
      </c>
      <c r="F145" s="127">
        <f t="shared" ref="F145" si="38">G145-G144</f>
        <v>-920832.36968709528</v>
      </c>
      <c r="G145" s="127">
        <f t="shared" ref="G145" si="39">D145-C145-E145</f>
        <v>21902855.668572895</v>
      </c>
      <c r="H145" s="129">
        <f>465287.89+116773.119260132</f>
        <v>582061.00926013198</v>
      </c>
      <c r="I145" s="129">
        <v>49452.85</v>
      </c>
      <c r="J145" s="127">
        <f t="shared" ref="J145" si="40">K145-K144</f>
        <v>-930917.56564838812</v>
      </c>
      <c r="K145" s="127">
        <f t="shared" ref="K145" si="41">G145-H145+I145-$K$125</f>
        <v>2129207.25601447</v>
      </c>
      <c r="L145" s="127">
        <f>K145+'财通（君享天成）定增'!G145+'2129'!E22</f>
        <v>2826711.2560144626</v>
      </c>
    </row>
    <row r="146" spans="1:12">
      <c r="A146" s="126">
        <v>44582</v>
      </c>
      <c r="C146" s="127">
        <f t="shared" ref="C146" si="42">C145+B146</f>
        <v>77008900.460000008</v>
      </c>
      <c r="D146" s="128">
        <f>78301082.39+19643765.6699999</f>
        <v>97944848.059999898</v>
      </c>
      <c r="E146" s="127">
        <f t="shared" ref="E146" si="43">D146*0.0013</f>
        <v>127328.30247799987</v>
      </c>
      <c r="F146" s="127">
        <f t="shared" ref="F146" si="44">G146-G145</f>
        <v>-1094236.371051006</v>
      </c>
      <c r="G146" s="127">
        <f t="shared" ref="G146" si="45">D146-C146-E146</f>
        <v>20808619.297521889</v>
      </c>
      <c r="H146" s="129">
        <f>473523.41+118622.835221424</f>
        <v>592146.24522142392</v>
      </c>
      <c r="I146" s="129">
        <v>49452.85</v>
      </c>
      <c r="J146" s="127">
        <f t="shared" ref="J146" si="46">K146-K145</f>
        <v>-1104321.607012298</v>
      </c>
      <c r="K146" s="127">
        <f t="shared" ref="K146" si="47">G146-H146+I146-$K$125</f>
        <v>1024885.6490021721</v>
      </c>
      <c r="L146" s="127">
        <f>K146+'财通（君享天成）定增'!G146+'2129'!E23</f>
        <v>2488551.8790021688</v>
      </c>
    </row>
    <row r="147" spans="1:12">
      <c r="A147" s="126">
        <v>44583</v>
      </c>
      <c r="C147" s="127">
        <f t="shared" ref="C147:C149" si="48">C146+B147</f>
        <v>77008900.460000008</v>
      </c>
      <c r="D147" s="128">
        <f t="shared" ref="D147:D148" si="49">78301082.39+19643765.6699999</f>
        <v>97944848.059999898</v>
      </c>
      <c r="E147" s="127">
        <f t="shared" ref="E147:E149" si="50">D147*0.0013</f>
        <v>127328.30247799987</v>
      </c>
      <c r="F147" s="127">
        <f t="shared" ref="F147:F149" si="51">G147-G146</f>
        <v>0</v>
      </c>
      <c r="G147" s="127">
        <f t="shared" ref="G147:G149" si="52">D147-C147-E147</f>
        <v>20808619.297521889</v>
      </c>
      <c r="H147" s="129">
        <f t="shared" ref="H147:H148" si="53">473523.41+118622.835221424</f>
        <v>592146.24522142392</v>
      </c>
      <c r="I147" s="129">
        <v>49452.85</v>
      </c>
      <c r="J147" s="127">
        <f t="shared" ref="J147:J149" si="54">K147-K146</f>
        <v>0</v>
      </c>
      <c r="K147" s="127">
        <f t="shared" ref="K147:K149" si="55">G147-H147+I147-$K$125</f>
        <v>1024885.6490021721</v>
      </c>
      <c r="L147" s="127">
        <f>K147+'财通（君享天成）定增'!G147+'2129'!E24</f>
        <v>2488551.8790021688</v>
      </c>
    </row>
    <row r="148" spans="1:12">
      <c r="A148" s="126">
        <v>44584</v>
      </c>
      <c r="C148" s="127">
        <f t="shared" si="48"/>
        <v>77008900.460000008</v>
      </c>
      <c r="D148" s="128">
        <f t="shared" si="49"/>
        <v>97944848.059999898</v>
      </c>
      <c r="E148" s="127">
        <f t="shared" si="50"/>
        <v>127328.30247799987</v>
      </c>
      <c r="F148" s="127">
        <f t="shared" si="51"/>
        <v>0</v>
      </c>
      <c r="G148" s="127">
        <f t="shared" si="52"/>
        <v>20808619.297521889</v>
      </c>
      <c r="H148" s="129">
        <f t="shared" si="53"/>
        <v>592146.24522142392</v>
      </c>
      <c r="I148" s="129">
        <v>49452.85</v>
      </c>
      <c r="J148" s="127">
        <f t="shared" si="54"/>
        <v>0</v>
      </c>
      <c r="K148" s="127">
        <f t="shared" si="55"/>
        <v>1024885.6490021721</v>
      </c>
      <c r="L148" s="127">
        <f>K148+'财通（君享天成）定增'!G148+'2129'!E25</f>
        <v>2488551.8790021688</v>
      </c>
    </row>
    <row r="149" spans="1:12">
      <c r="A149" s="126">
        <v>44585</v>
      </c>
      <c r="C149" s="127">
        <f t="shared" si="48"/>
        <v>77008900.460000008</v>
      </c>
      <c r="D149" s="128">
        <f>77981597.56+19557770.6599999</f>
        <v>97539368.219999909</v>
      </c>
      <c r="E149" s="127">
        <f t="shared" si="50"/>
        <v>126801.17868599988</v>
      </c>
      <c r="F149" s="127">
        <f t="shared" si="51"/>
        <v>-404952.71620798856</v>
      </c>
      <c r="G149" s="127">
        <f t="shared" si="52"/>
        <v>20403666.581313901</v>
      </c>
      <c r="H149" s="129">
        <f>498229.86+124171.998344948</f>
        <v>622401.85834494804</v>
      </c>
      <c r="I149" s="129">
        <v>49452.85</v>
      </c>
      <c r="J149" s="127">
        <f t="shared" si="54"/>
        <v>-435208.32933151349</v>
      </c>
      <c r="K149" s="127">
        <f t="shared" si="55"/>
        <v>589677.31967065856</v>
      </c>
      <c r="L149" s="127">
        <f>K149+'财通（君享天成）定增'!G149+'2129'!E26</f>
        <v>2011862.9696706571</v>
      </c>
    </row>
    <row r="150" spans="1:12">
      <c r="A150" s="126">
        <v>44586</v>
      </c>
      <c r="C150" s="127">
        <f t="shared" ref="C150" si="56">C149+B150</f>
        <v>77008900.460000008</v>
      </c>
      <c r="D150" s="128">
        <f>75323004.83+18385701.56</f>
        <v>93708706.390000001</v>
      </c>
      <c r="E150" s="127">
        <f t="shared" ref="E150" si="57">D150*0.0013</f>
        <v>121821.31830699999</v>
      </c>
      <c r="F150" s="127">
        <f t="shared" ref="F150" si="58">G150-G149</f>
        <v>-3825681.9696209077</v>
      </c>
      <c r="G150" s="127">
        <f t="shared" ref="G150" si="59">D150-C150-E150</f>
        <v>16577984.611692993</v>
      </c>
      <c r="H150" s="129">
        <f>506465.35+126021.70430624</f>
        <v>632487.05430623994</v>
      </c>
      <c r="I150" s="129">
        <v>49452.85</v>
      </c>
      <c r="J150" s="127">
        <f t="shared" ref="J150" si="60">K150-K149</f>
        <v>-3835767.1655822005</v>
      </c>
      <c r="K150" s="127">
        <f t="shared" ref="K150" si="61">G150-H150+I150-$K$125</f>
        <v>-3246089.845911542</v>
      </c>
      <c r="L150" s="127">
        <f>K150+'财通（君享天成）定增'!G150+'2129'!E27</f>
        <v>-1198000.6659115497</v>
      </c>
    </row>
    <row r="151" spans="1:12">
      <c r="A151" s="126">
        <v>44587</v>
      </c>
      <c r="C151" s="127">
        <f t="shared" ref="C151" si="62">C150+B151</f>
        <v>77008900.460000008</v>
      </c>
      <c r="D151" s="128">
        <f>75754258.63+18343855.39</f>
        <v>94098114.019999996</v>
      </c>
      <c r="E151" s="127">
        <f t="shared" ref="E151" si="63">D151*0.0013</f>
        <v>122327.54822599998</v>
      </c>
      <c r="F151" s="127">
        <f t="shared" ref="F151" si="64">G151-G150</f>
        <v>388901.40008099563</v>
      </c>
      <c r="G151" s="127">
        <f t="shared" ref="G151" si="65">D151-C151-E151</f>
        <v>16966886.011773989</v>
      </c>
      <c r="H151" s="129">
        <f>514700.81+127871.430267531</f>
        <v>642572.24026753101</v>
      </c>
      <c r="I151" s="129">
        <v>49452.85</v>
      </c>
      <c r="J151" s="127">
        <f t="shared" ref="J151" si="66">K151-K150</f>
        <v>378816.2141197063</v>
      </c>
      <c r="K151" s="127">
        <f t="shared" ref="K151" si="67">G151-H151+I151-$K$125</f>
        <v>-2867273.6317918357</v>
      </c>
      <c r="L151" s="127">
        <f>K151+'财通（君享天成）定增'!G151+'2129'!E28</f>
        <v>-253663.69179183803</v>
      </c>
    </row>
    <row r="152" spans="1:12">
      <c r="A152" s="126">
        <v>44588</v>
      </c>
      <c r="C152" s="127">
        <f t="shared" ref="C152:C153" si="68">C151+B152</f>
        <v>77008900.460000008</v>
      </c>
      <c r="D152" s="128">
        <f>73409632.06+16949466.1899999</f>
        <v>90359098.249999911</v>
      </c>
      <c r="E152" s="127">
        <f t="shared" ref="E152" si="69">D152*0.0013</f>
        <v>117466.82772499988</v>
      </c>
      <c r="F152" s="127">
        <f t="shared" ref="F152" si="70">G152-G151</f>
        <v>-3734155.049499087</v>
      </c>
      <c r="G152" s="127">
        <f t="shared" ref="G152" si="71">D152-C152-E152</f>
        <v>13232730.962274902</v>
      </c>
      <c r="H152" s="129">
        <f>522936.33+129721.136228823</f>
        <v>652657.46622882306</v>
      </c>
      <c r="I152" s="129">
        <v>49452.85</v>
      </c>
      <c r="J152" s="127">
        <f t="shared" ref="J152" si="72">K152-K151</f>
        <v>-3744240.2754603792</v>
      </c>
      <c r="K152" s="127">
        <f t="shared" ref="K152" si="73">G152-H152+I152-$K$125</f>
        <v>-6611513.9072522148</v>
      </c>
      <c r="L152" s="127">
        <f>K152+'财通（君享天成）定增'!G152+'2129'!E29</f>
        <v>-3571615.387252219</v>
      </c>
    </row>
    <row r="153" spans="1:12">
      <c r="A153" s="126">
        <v>44589</v>
      </c>
      <c r="C153" s="127">
        <f t="shared" si="68"/>
        <v>77008900.460000008</v>
      </c>
      <c r="D153" s="70">
        <f>16883981.7+73364349.59</f>
        <v>90248331.290000007</v>
      </c>
      <c r="E153" s="127">
        <f t="shared" ref="E153" si="74">D153*0.0013</f>
        <v>117322.83067700001</v>
      </c>
      <c r="F153" s="127">
        <f t="shared" ref="F153" si="75">G153-G152</f>
        <v>-110622.96295190416</v>
      </c>
      <c r="G153" s="127">
        <f t="shared" ref="G153" si="76">D153-C153-E153</f>
        <v>13122107.999322997</v>
      </c>
      <c r="H153" s="72">
        <f>131570.867429764+531171.8</f>
        <v>662742.66742976406</v>
      </c>
      <c r="I153" s="129">
        <v>49452.85</v>
      </c>
      <c r="J153" s="127">
        <f t="shared" ref="J153" si="77">K153-K152</f>
        <v>-120708.16415284574</v>
      </c>
      <c r="K153" s="127">
        <f t="shared" ref="K153" si="78">G153-H153+I153-$K$125</f>
        <v>-6732222.0714050606</v>
      </c>
      <c r="L153" s="127">
        <f>K153+'财通（君享天成）定增'!G153+'2129'!E30</f>
        <v>-3309056.7314050682</v>
      </c>
    </row>
    <row r="154" spans="1:12">
      <c r="A154" s="126">
        <v>44590</v>
      </c>
      <c r="C154" s="127">
        <f t="shared" ref="C154:C163" si="79">C153+B154</f>
        <v>77008900.460000008</v>
      </c>
      <c r="D154" s="70">
        <f t="shared" ref="D154:D162" si="80">16883981.7+73364349.59</f>
        <v>90248331.290000007</v>
      </c>
      <c r="E154" s="127">
        <f t="shared" ref="E154:E163" si="81">D154*0.0013</f>
        <v>117322.83067700001</v>
      </c>
      <c r="F154" s="127">
        <f t="shared" ref="F154:F163" si="82">G154-G153</f>
        <v>0</v>
      </c>
      <c r="G154" s="127">
        <f t="shared" ref="G154:G163" si="83">D154-C154-E154</f>
        <v>13122107.999322997</v>
      </c>
      <c r="H154" s="72">
        <f t="shared" ref="H154:H162" si="84">131570.867429764+531171.8</f>
        <v>662742.66742976406</v>
      </c>
      <c r="I154" s="129">
        <v>49452.85</v>
      </c>
      <c r="J154" s="127">
        <f t="shared" ref="J154:J163" si="85">K154-K153</f>
        <v>0</v>
      </c>
      <c r="K154" s="127">
        <f t="shared" ref="K154:K163" si="86">G154-H154+I154-$K$125</f>
        <v>-6732222.0714050606</v>
      </c>
      <c r="L154" s="127">
        <f>K154+'财通（君享天成）定增'!G154+'2129'!E31</f>
        <v>-3309056.7314050682</v>
      </c>
    </row>
    <row r="155" spans="1:12">
      <c r="A155" s="126">
        <v>44591</v>
      </c>
      <c r="C155" s="127">
        <f t="shared" si="79"/>
        <v>77008900.460000008</v>
      </c>
      <c r="D155" s="70">
        <f t="shared" si="80"/>
        <v>90248331.290000007</v>
      </c>
      <c r="E155" s="127">
        <f t="shared" si="81"/>
        <v>117322.83067700001</v>
      </c>
      <c r="F155" s="127">
        <f t="shared" si="82"/>
        <v>0</v>
      </c>
      <c r="G155" s="127">
        <f t="shared" si="83"/>
        <v>13122107.999322997</v>
      </c>
      <c r="H155" s="72">
        <f t="shared" si="84"/>
        <v>662742.66742976406</v>
      </c>
      <c r="I155" s="129">
        <v>49452.85</v>
      </c>
      <c r="J155" s="127">
        <f t="shared" si="85"/>
        <v>0</v>
      </c>
      <c r="K155" s="127">
        <f t="shared" si="86"/>
        <v>-6732222.0714050606</v>
      </c>
      <c r="L155" s="127">
        <f>K155+'财通（君享天成）定增'!G155+'2129'!E32</f>
        <v>-3309056.7314050682</v>
      </c>
    </row>
    <row r="156" spans="1:12">
      <c r="A156" s="126">
        <v>44592</v>
      </c>
      <c r="C156" s="127">
        <f t="shared" si="79"/>
        <v>77008900.460000008</v>
      </c>
      <c r="D156" s="70">
        <f t="shared" si="80"/>
        <v>90248331.290000007</v>
      </c>
      <c r="E156" s="127">
        <f t="shared" si="81"/>
        <v>117322.83067700001</v>
      </c>
      <c r="F156" s="127">
        <f t="shared" si="82"/>
        <v>0</v>
      </c>
      <c r="G156" s="127">
        <f t="shared" si="83"/>
        <v>13122107.999322997</v>
      </c>
      <c r="H156" s="72">
        <f t="shared" si="84"/>
        <v>662742.66742976406</v>
      </c>
      <c r="I156" s="129">
        <v>49452.85</v>
      </c>
      <c r="J156" s="127">
        <f t="shared" si="85"/>
        <v>0</v>
      </c>
      <c r="K156" s="127">
        <f t="shared" si="86"/>
        <v>-6732222.0714050606</v>
      </c>
      <c r="L156" s="127">
        <f>K156+'财通（君享天成）定增'!G156+'2129'!E33</f>
        <v>-3309056.7314050682</v>
      </c>
    </row>
    <row r="157" spans="1:12">
      <c r="A157" s="126">
        <v>44593</v>
      </c>
      <c r="C157" s="127">
        <f t="shared" si="79"/>
        <v>77008900.460000008</v>
      </c>
      <c r="D157" s="70">
        <f t="shared" si="80"/>
        <v>90248331.290000007</v>
      </c>
      <c r="E157" s="127">
        <f t="shared" si="81"/>
        <v>117322.83067700001</v>
      </c>
      <c r="F157" s="127">
        <f t="shared" si="82"/>
        <v>0</v>
      </c>
      <c r="G157" s="127">
        <f t="shared" si="83"/>
        <v>13122107.999322997</v>
      </c>
      <c r="H157" s="72">
        <f t="shared" si="84"/>
        <v>662742.66742976406</v>
      </c>
      <c r="I157" s="129">
        <v>49452.85</v>
      </c>
      <c r="J157" s="127">
        <f t="shared" si="85"/>
        <v>0</v>
      </c>
      <c r="K157" s="127">
        <f t="shared" si="86"/>
        <v>-6732222.0714050606</v>
      </c>
      <c r="L157" s="127">
        <f>K157+'财通（君享天成）定增'!G157+'2129'!E34</f>
        <v>-3309056.7314050682</v>
      </c>
    </row>
    <row r="158" spans="1:12">
      <c r="A158" s="126">
        <v>44594</v>
      </c>
      <c r="C158" s="127">
        <f t="shared" si="79"/>
        <v>77008900.460000008</v>
      </c>
      <c r="D158" s="70">
        <f t="shared" si="80"/>
        <v>90248331.290000007</v>
      </c>
      <c r="E158" s="127">
        <f t="shared" si="81"/>
        <v>117322.83067700001</v>
      </c>
      <c r="F158" s="127">
        <f t="shared" si="82"/>
        <v>0</v>
      </c>
      <c r="G158" s="127">
        <f t="shared" si="83"/>
        <v>13122107.999322997</v>
      </c>
      <c r="H158" s="72">
        <f t="shared" si="84"/>
        <v>662742.66742976406</v>
      </c>
      <c r="I158" s="129">
        <v>49452.85</v>
      </c>
      <c r="J158" s="127">
        <f t="shared" si="85"/>
        <v>0</v>
      </c>
      <c r="K158" s="127">
        <f t="shared" si="86"/>
        <v>-6732222.0714050606</v>
      </c>
      <c r="L158" s="127">
        <f>K158+'财通（君享天成）定增'!G158+'2129'!E35</f>
        <v>-3309056.7314050682</v>
      </c>
    </row>
    <row r="159" spans="1:12">
      <c r="A159" s="126">
        <v>44595</v>
      </c>
      <c r="C159" s="127">
        <f t="shared" si="79"/>
        <v>77008900.460000008</v>
      </c>
      <c r="D159" s="70">
        <f t="shared" si="80"/>
        <v>90248331.290000007</v>
      </c>
      <c r="E159" s="127">
        <f t="shared" si="81"/>
        <v>117322.83067700001</v>
      </c>
      <c r="F159" s="127">
        <f t="shared" si="82"/>
        <v>0</v>
      </c>
      <c r="G159" s="127">
        <f t="shared" si="83"/>
        <v>13122107.999322997</v>
      </c>
      <c r="H159" s="72">
        <f t="shared" si="84"/>
        <v>662742.66742976406</v>
      </c>
      <c r="I159" s="129">
        <v>49452.85</v>
      </c>
      <c r="J159" s="127">
        <f t="shared" si="85"/>
        <v>0</v>
      </c>
      <c r="K159" s="127">
        <f t="shared" si="86"/>
        <v>-6732222.0714050606</v>
      </c>
      <c r="L159" s="127">
        <f>K159+'财通（君享天成）定增'!G159+'2129'!E36</f>
        <v>-3309056.7314050682</v>
      </c>
    </row>
    <row r="160" spans="1:12">
      <c r="A160" s="126">
        <v>44596</v>
      </c>
      <c r="C160" s="127">
        <f t="shared" si="79"/>
        <v>77008900.460000008</v>
      </c>
      <c r="D160" s="70">
        <f t="shared" si="80"/>
        <v>90248331.290000007</v>
      </c>
      <c r="E160" s="127">
        <f t="shared" si="81"/>
        <v>117322.83067700001</v>
      </c>
      <c r="F160" s="127">
        <f t="shared" si="82"/>
        <v>0</v>
      </c>
      <c r="G160" s="127">
        <f t="shared" si="83"/>
        <v>13122107.999322997</v>
      </c>
      <c r="H160" s="72">
        <f t="shared" si="84"/>
        <v>662742.66742976406</v>
      </c>
      <c r="I160" s="129">
        <v>49452.85</v>
      </c>
      <c r="J160" s="127">
        <f t="shared" si="85"/>
        <v>0</v>
      </c>
      <c r="K160" s="127">
        <f t="shared" si="86"/>
        <v>-6732222.0714050606</v>
      </c>
      <c r="L160" s="127">
        <f>K160+'财通（君享天成）定增'!G160+'2129'!E37</f>
        <v>-3309056.7314050682</v>
      </c>
    </row>
    <row r="161" spans="1:12">
      <c r="A161" s="126">
        <v>44597</v>
      </c>
      <c r="C161" s="127">
        <f t="shared" si="79"/>
        <v>77008900.460000008</v>
      </c>
      <c r="D161" s="70">
        <f t="shared" si="80"/>
        <v>90248331.290000007</v>
      </c>
      <c r="E161" s="127">
        <f t="shared" si="81"/>
        <v>117322.83067700001</v>
      </c>
      <c r="F161" s="127">
        <f t="shared" si="82"/>
        <v>0</v>
      </c>
      <c r="G161" s="127">
        <f t="shared" si="83"/>
        <v>13122107.999322997</v>
      </c>
      <c r="H161" s="72">
        <f t="shared" si="84"/>
        <v>662742.66742976406</v>
      </c>
      <c r="I161" s="129">
        <v>49452.85</v>
      </c>
      <c r="J161" s="127">
        <f t="shared" si="85"/>
        <v>0</v>
      </c>
      <c r="K161" s="127">
        <f t="shared" si="86"/>
        <v>-6732222.0714050606</v>
      </c>
      <c r="L161" s="127">
        <f>K161+'财通（君享天成）定增'!G161+'2129'!E38</f>
        <v>-3309056.7314050682</v>
      </c>
    </row>
    <row r="162" spans="1:12">
      <c r="A162" s="126">
        <v>44598</v>
      </c>
      <c r="C162" s="127">
        <f t="shared" si="79"/>
        <v>77008900.460000008</v>
      </c>
      <c r="D162" s="70">
        <f t="shared" si="80"/>
        <v>90248331.290000007</v>
      </c>
      <c r="E162" s="127">
        <f t="shared" si="81"/>
        <v>117322.83067700001</v>
      </c>
      <c r="F162" s="127">
        <f t="shared" si="82"/>
        <v>0</v>
      </c>
      <c r="G162" s="127">
        <f t="shared" si="83"/>
        <v>13122107.999322997</v>
      </c>
      <c r="H162" s="72">
        <f t="shared" si="84"/>
        <v>662742.66742976406</v>
      </c>
      <c r="I162" s="129">
        <v>49452.85</v>
      </c>
      <c r="J162" s="127">
        <f t="shared" si="85"/>
        <v>0</v>
      </c>
      <c r="K162" s="127">
        <f t="shared" si="86"/>
        <v>-6732222.0714050606</v>
      </c>
      <c r="L162" s="127">
        <f>K162+'财通（君享天成）定增'!G162+'2129'!E39</f>
        <v>-3309056.7314050682</v>
      </c>
    </row>
    <row r="163" spans="1:12">
      <c r="A163" s="126">
        <v>44599</v>
      </c>
      <c r="C163" s="127">
        <f t="shared" si="79"/>
        <v>77008900.460000008</v>
      </c>
      <c r="D163" s="70">
        <f>74457809+16973574.7799999</f>
        <v>91431383.779999897</v>
      </c>
      <c r="E163" s="127">
        <f t="shared" si="81"/>
        <v>118860.79891399985</v>
      </c>
      <c r="F163" s="127">
        <f t="shared" si="82"/>
        <v>1181514.5217628907</v>
      </c>
      <c r="G163" s="127">
        <f t="shared" si="83"/>
        <v>14303622.521085888</v>
      </c>
      <c r="H163" s="72">
        <f>613526.66+150068.032282329</f>
        <v>763594.69228232908</v>
      </c>
      <c r="I163" s="129">
        <v>49452.85</v>
      </c>
      <c r="J163" s="127">
        <f t="shared" si="85"/>
        <v>1080662.4969103262</v>
      </c>
      <c r="K163" s="127">
        <f t="shared" si="86"/>
        <v>-5651559.5744947344</v>
      </c>
      <c r="L163" s="127">
        <f>K163+'财通（君享天成）定增'!G163+'2129'!E40</f>
        <v>-2717355.6344947405</v>
      </c>
    </row>
    <row r="164" spans="1:12">
      <c r="A164" s="126">
        <v>44600</v>
      </c>
      <c r="C164" s="127">
        <f t="shared" ref="C164" si="87">C163+B164</f>
        <v>77008900.460000008</v>
      </c>
      <c r="D164" s="70">
        <f>75912955.06+17358591.33</f>
        <v>93271546.390000001</v>
      </c>
      <c r="E164" s="127">
        <f t="shared" ref="E164" si="88">D164*0.0013</f>
        <v>121253.01030699999</v>
      </c>
      <c r="F164" s="127">
        <f t="shared" ref="F164" si="89">G164-G163</f>
        <v>1837770.398607105</v>
      </c>
      <c r="G164" s="127">
        <f t="shared" ref="G164" si="90">D164-C164-E164</f>
        <v>16141392.919692993</v>
      </c>
      <c r="H164" s="72">
        <f>621762.12+151917.75348327</f>
        <v>773679.87348326994</v>
      </c>
      <c r="I164" s="129">
        <v>49452.85</v>
      </c>
      <c r="J164" s="127">
        <f t="shared" ref="J164" si="91">K164-K163</f>
        <v>1827685.217406163</v>
      </c>
      <c r="K164" s="127">
        <f t="shared" ref="K164" si="92">G164-H164+I164-$K$125</f>
        <v>-3823874.3570885714</v>
      </c>
      <c r="L164" s="127">
        <f>K164+'财通（君享天成）定增'!G164+'2129'!E41</f>
        <v>-1759421.0870885793</v>
      </c>
    </row>
    <row r="165" spans="1:12">
      <c r="A165" s="126">
        <v>44601</v>
      </c>
      <c r="C165" s="127">
        <f t="shared" ref="C165" si="93">C164+B165</f>
        <v>77008900.460000008</v>
      </c>
      <c r="D165" s="70">
        <f>78004606.91+17720455.09</f>
        <v>95725062</v>
      </c>
      <c r="E165" s="127">
        <f t="shared" ref="E165" si="94">D165*0.0013</f>
        <v>124442.5806</v>
      </c>
      <c r="F165" s="127">
        <f t="shared" ref="F165" si="95">G165-G164</f>
        <v>2450326.0397069976</v>
      </c>
      <c r="G165" s="127">
        <f t="shared" ref="G165" si="96">D165-C165-E165</f>
        <v>18591718.959399991</v>
      </c>
      <c r="H165" s="72">
        <f>629997.6+153767.469444562</f>
        <v>783765.06944456196</v>
      </c>
      <c r="I165" s="129">
        <v>49452.85</v>
      </c>
      <c r="J165" s="127">
        <f t="shared" ref="J165" si="97">K165-K164</f>
        <v>2440240.8437457066</v>
      </c>
      <c r="K165" s="127">
        <f t="shared" ref="K165" si="98">G165-H165+I165-$K$125</f>
        <v>-1383633.5133428648</v>
      </c>
      <c r="L165" s="127">
        <f>K165+'财通（君享天成）定增'!G165+'2129'!E42</f>
        <v>-385517.01334286854</v>
      </c>
    </row>
    <row r="166" spans="1:12">
      <c r="A166" s="126">
        <v>44602</v>
      </c>
      <c r="C166" s="127">
        <f t="shared" ref="C166" si="99">C165+B166</f>
        <v>77008900.460000008</v>
      </c>
      <c r="D166" s="70">
        <f>78346726.82+17765632.5</f>
        <v>96112359.319999993</v>
      </c>
      <c r="E166" s="127">
        <f t="shared" ref="E166" si="100">D166*0.0013</f>
        <v>124946.06711599999</v>
      </c>
      <c r="F166" s="127">
        <f t="shared" ref="F166" si="101">G166-G165</f>
        <v>386793.83348399401</v>
      </c>
      <c r="G166" s="127">
        <f t="shared" ref="G166" si="102">D166-C166-E166</f>
        <v>18978512.792883985</v>
      </c>
      <c r="H166" s="72">
        <f>638233.09+155617.185405853</f>
        <v>793850.27540585294</v>
      </c>
      <c r="I166" s="129">
        <v>49452.85</v>
      </c>
      <c r="J166" s="127">
        <f t="shared" ref="J166" si="103">K166-K165</f>
        <v>376708.62752270326</v>
      </c>
      <c r="K166" s="127">
        <f t="shared" ref="K166" si="104">G166-H166+I166-$K$125</f>
        <v>-1006924.8858201616</v>
      </c>
      <c r="L166" s="127">
        <f>K166+'财通（君享天成）定增'!G166+'2129'!E43</f>
        <v>74620.984179832041</v>
      </c>
    </row>
    <row r="167" spans="1:12">
      <c r="A167" s="126">
        <v>44603</v>
      </c>
      <c r="C167" s="127">
        <f t="shared" ref="C167" si="105">C166+B167</f>
        <v>77008900.460000008</v>
      </c>
      <c r="D167" s="70">
        <f>76860794.98+17622245.47</f>
        <v>94483040.450000003</v>
      </c>
      <c r="E167" s="127">
        <f t="shared" ref="E167" si="106">D167*0.0013</f>
        <v>122827.95258499999</v>
      </c>
      <c r="F167" s="127">
        <f t="shared" ref="F167" si="107">G167-G166</f>
        <v>-1627200.7554689907</v>
      </c>
      <c r="G167" s="127">
        <f t="shared" ref="G167" si="108">D167-C167-E167</f>
        <v>17351312.037414994</v>
      </c>
      <c r="H167" s="72">
        <f>646468.58+157466.901367145</f>
        <v>803935.48136714497</v>
      </c>
      <c r="I167" s="129">
        <v>49452.85</v>
      </c>
      <c r="J167" s="127">
        <f t="shared" ref="J167" si="109">K167-K166</f>
        <v>-1637285.9614302833</v>
      </c>
      <c r="K167" s="127">
        <f t="shared" ref="K167" si="110">G167-H167+I167-$K$125</f>
        <v>-2644210.8472504448</v>
      </c>
      <c r="L167" s="127">
        <f>K167+'财通（君享天成）定增'!G167+'2129'!E44</f>
        <v>-1069353.5372504462</v>
      </c>
    </row>
    <row r="168" spans="1:12">
      <c r="A168" s="126">
        <v>44604</v>
      </c>
      <c r="C168" s="127">
        <f t="shared" ref="C168:C170" si="111">C167+B168</f>
        <v>77008900.460000008</v>
      </c>
      <c r="D168" s="70">
        <f t="shared" ref="D168:D169" si="112">76860794.98+17622245.47</f>
        <v>94483040.450000003</v>
      </c>
      <c r="E168" s="127">
        <f t="shared" ref="E168:E170" si="113">D168*0.0013</f>
        <v>122827.95258499999</v>
      </c>
      <c r="F168" s="127">
        <f t="shared" ref="F168:F170" si="114">G168-G167</f>
        <v>0</v>
      </c>
      <c r="G168" s="127">
        <f t="shared" ref="G168:G170" si="115">D168-C168-E168</f>
        <v>17351312.037414994</v>
      </c>
      <c r="H168" s="72">
        <f t="shared" ref="H168:H169" si="116">646468.58+157466.901367145</f>
        <v>803935.48136714497</v>
      </c>
      <c r="I168" s="129">
        <v>49452.85</v>
      </c>
      <c r="J168" s="127">
        <f t="shared" ref="J168:J170" si="117">K168-K167</f>
        <v>0</v>
      </c>
      <c r="K168" s="127">
        <f t="shared" ref="K168:K170" si="118">G168-H168+I168-$K$125</f>
        <v>-2644210.8472504448</v>
      </c>
      <c r="L168" s="127">
        <f>K168+'财通（君享天成）定增'!G168+'2129'!E45</f>
        <v>-1069353.5372504462</v>
      </c>
    </row>
    <row r="169" spans="1:12">
      <c r="A169" s="126">
        <v>44605</v>
      </c>
      <c r="C169" s="127">
        <f t="shared" si="111"/>
        <v>77008900.460000008</v>
      </c>
      <c r="D169" s="70">
        <f t="shared" si="112"/>
        <v>94483040.450000003</v>
      </c>
      <c r="E169" s="127">
        <f t="shared" si="113"/>
        <v>122827.95258499999</v>
      </c>
      <c r="F169" s="127">
        <f t="shared" si="114"/>
        <v>0</v>
      </c>
      <c r="G169" s="127">
        <f t="shared" si="115"/>
        <v>17351312.037414994</v>
      </c>
      <c r="H169" s="72">
        <f t="shared" si="116"/>
        <v>803935.48136714497</v>
      </c>
      <c r="I169" s="129">
        <v>49452.85</v>
      </c>
      <c r="J169" s="127">
        <f t="shared" si="117"/>
        <v>0</v>
      </c>
      <c r="K169" s="127">
        <f t="shared" si="118"/>
        <v>-2644210.8472504448</v>
      </c>
      <c r="L169" s="127">
        <f>K169+'财通（君享天成）定增'!G169+'2129'!E46</f>
        <v>-1069353.5372504462</v>
      </c>
    </row>
    <row r="170" spans="1:12">
      <c r="A170" s="126">
        <v>44606</v>
      </c>
      <c r="C170" s="127">
        <f t="shared" si="111"/>
        <v>77008900.460000008</v>
      </c>
      <c r="D170" s="70">
        <f>75697262.29+17627872.1199999</f>
        <v>93325134.409999907</v>
      </c>
      <c r="E170" s="127">
        <f t="shared" si="113"/>
        <v>121322.67473299988</v>
      </c>
      <c r="F170" s="127">
        <f t="shared" si="114"/>
        <v>-1156400.7621480953</v>
      </c>
      <c r="G170" s="127">
        <f t="shared" si="115"/>
        <v>16194911.275266899</v>
      </c>
      <c r="H170" s="72">
        <f>671175.02+163016.054490669</f>
        <v>834191.07449066895</v>
      </c>
      <c r="I170" s="129">
        <v>49452.85</v>
      </c>
      <c r="J170" s="127">
        <f t="shared" si="117"/>
        <v>-1186656.3552716188</v>
      </c>
      <c r="K170" s="127">
        <f t="shared" si="118"/>
        <v>-3830867.2025220636</v>
      </c>
      <c r="L170" s="127">
        <f>K170+'财通（君享天成）定增'!G170+'2129'!E47</f>
        <v>-1838846.4425220657</v>
      </c>
    </row>
    <row r="171" spans="1:12">
      <c r="A171" s="126">
        <v>44607</v>
      </c>
      <c r="C171" s="127">
        <f t="shared" ref="C171" si="119">C170+B171</f>
        <v>77008900.460000008</v>
      </c>
      <c r="D171" s="70">
        <f>76306485.79+17501793.29</f>
        <v>93808279.080000013</v>
      </c>
      <c r="E171" s="127">
        <f t="shared" ref="E171" si="120">D171*0.0013</f>
        <v>121950.76280400001</v>
      </c>
      <c r="F171" s="127">
        <f t="shared" ref="F171" si="121">G171-G170</f>
        <v>482516.58192910627</v>
      </c>
      <c r="G171" s="127">
        <f t="shared" ref="G171" si="122">D171-C171-E171</f>
        <v>16677427.857196005</v>
      </c>
      <c r="H171" s="72">
        <f>679410.5+164865.770451961</f>
        <v>844276.27045196097</v>
      </c>
      <c r="I171" s="129">
        <v>49452.85</v>
      </c>
      <c r="J171" s="127">
        <f t="shared" ref="J171" si="123">K171-K170</f>
        <v>472431.38596781343</v>
      </c>
      <c r="K171" s="127">
        <f t="shared" ref="K171" si="124">G171-H171+I171-$K$125</f>
        <v>-3358435.8165542502</v>
      </c>
      <c r="L171" s="127">
        <f>K171+'财通（君享天成）定增'!G171+'2129'!E48</f>
        <v>-1691504.1165542547</v>
      </c>
    </row>
    <row r="172" spans="1:12">
      <c r="A172" s="126">
        <v>44608</v>
      </c>
      <c r="C172" s="127">
        <f t="shared" ref="C172" si="125">C171+B172</f>
        <v>77008900.460000008</v>
      </c>
      <c r="D172" s="70">
        <f>76595887.35+17631372.18</f>
        <v>94227259.530000001</v>
      </c>
      <c r="E172" s="127">
        <f t="shared" ref="E172" si="126">D172*0.0013</f>
        <v>122495.437389</v>
      </c>
      <c r="F172" s="127">
        <f t="shared" ref="F172" si="127">G172-G171</f>
        <v>418435.77541498654</v>
      </c>
      <c r="G172" s="127">
        <f t="shared" ref="G172" si="128">D172-C172-E172</f>
        <v>17095863.632610992</v>
      </c>
      <c r="H172" s="72">
        <f>687645.99+166715.486413252</f>
        <v>854361.47641325195</v>
      </c>
      <c r="I172" s="129">
        <v>49452.85</v>
      </c>
      <c r="J172" s="127">
        <f t="shared" ref="J172" si="129">K172-K171</f>
        <v>408350.56945369579</v>
      </c>
      <c r="K172" s="127">
        <f t="shared" ref="K172" si="130">G172-H172+I172-$K$125</f>
        <v>-2950085.2471005544</v>
      </c>
      <c r="L172" s="127">
        <f>K172+'财通（君享天成）定增'!G172+'2129'!E49</f>
        <v>-1472448.7171005607</v>
      </c>
    </row>
    <row r="173" spans="1:12">
      <c r="A173" s="126">
        <v>44609</v>
      </c>
      <c r="C173" s="127">
        <v>83008900.460000008</v>
      </c>
      <c r="D173" s="70">
        <v>101128876.36857341</v>
      </c>
      <c r="E173" s="127">
        <f t="shared" ref="E173" si="131">D173*0.0013</f>
        <v>131467.53927914542</v>
      </c>
      <c r="F173" s="127">
        <f t="shared" ref="F173" si="132">G173-G172</f>
        <v>892644.7366832681</v>
      </c>
      <c r="G173" s="127">
        <f t="shared" ref="G173" si="133">D173-C173-E173</f>
        <v>17988508.36929426</v>
      </c>
      <c r="H173" s="72">
        <f>695881.49+168565.202374544</f>
        <v>864446.69237454399</v>
      </c>
      <c r="I173" s="129">
        <v>49452.85</v>
      </c>
      <c r="J173" s="127">
        <f t="shared" ref="J173" si="134">K173-K172</f>
        <v>882559.52072197944</v>
      </c>
      <c r="K173" s="127">
        <f t="shared" ref="K173" si="135">G173-H173+I173-$K$125</f>
        <v>-2067525.726378575</v>
      </c>
      <c r="L173" s="127">
        <f>K173+'财通（君享天成）定增'!G173+'2129'!E50</f>
        <v>48477.950674407184</v>
      </c>
    </row>
    <row r="174" spans="1:12">
      <c r="A174" s="126">
        <v>44610</v>
      </c>
      <c r="C174" s="127">
        <f>SUMIF(持仓!$A$2:$A$1048576,"国君互换",持仓!$F$2:$F$1048576)+SUMIF(持仓!$A$2:$A$1048576,"银河互换",持仓!$F$2:$F$1048576)</f>
        <v>83008900.460000008</v>
      </c>
      <c r="D174" s="70">
        <f>SUMIF(持仓!$A$2:$A$1048576,"国君互换",持仓!$F$2:$F$1048576)+SUMIF(持仓!$A$2:$A$1048576,"国君互换",持仓!$N$2:$N$1048576)+SUMIF(持仓!$A$2:$A$1048576,"银河互换",持仓!$F$2:$F$1048576)+SUMIF(持仓!$A$2:$A$1048576,"银河互换",持仓!$N$2:$N$1048576)</f>
        <v>102624834.08476913</v>
      </c>
      <c r="E174" s="127">
        <f t="shared" ref="E174" si="136">D174*0.0013</f>
        <v>133412.28431019987</v>
      </c>
      <c r="F174" s="127">
        <f t="shared" ref="F174" si="137">G174-G173</f>
        <v>1494012.9711646624</v>
      </c>
      <c r="G174" s="127">
        <f t="shared" ref="G174" si="138">D174-C174-E174</f>
        <v>19482521.340458922</v>
      </c>
      <c r="H174" s="72">
        <f>704116.96+170414.918335836</f>
        <v>874531.87833583599</v>
      </c>
      <c r="I174" s="129">
        <v>49452.85</v>
      </c>
      <c r="J174" s="127">
        <f t="shared" ref="J174" si="139">K174-K173</f>
        <v>1483927.7852033675</v>
      </c>
      <c r="K174" s="127">
        <f t="shared" ref="K174" si="140">G174-H174+I174-$K$125</f>
        <v>-583597.9411752075</v>
      </c>
      <c r="L174" s="127">
        <f>K174+'财通（君享天成）定增'!G174+'2129'!E51</f>
        <v>1077427.4971538559</v>
      </c>
    </row>
  </sheetData>
  <mergeCells count="2">
    <mergeCell ref="B1:G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workbookViewId="0">
      <pane xSplit="1" ySplit="2" topLeftCell="B163" activePane="bottomRight" state="frozen"/>
      <selection pane="topRight" activeCell="B1" sqref="B1"/>
      <selection pane="bottomLeft" activeCell="A3" sqref="A3"/>
      <selection pane="bottomRight" activeCell="G182" sqref="G182"/>
    </sheetView>
  </sheetViews>
  <sheetFormatPr defaultColWidth="8.875" defaultRowHeight="13.5"/>
  <cols>
    <col min="1" max="1" width="11.125" style="1" bestFit="1" customWidth="1"/>
    <col min="2" max="3" width="8.625" style="99" customWidth="1"/>
    <col min="4" max="5" width="13.875" style="71" bestFit="1" customWidth="1"/>
    <col min="6" max="6" width="13.625" style="71" customWidth="1"/>
    <col min="7" max="7" width="13.75" style="71" customWidth="1"/>
  </cols>
  <sheetData>
    <row r="1" spans="1:7">
      <c r="A1" s="12"/>
      <c r="B1" s="154" t="s">
        <v>137</v>
      </c>
      <c r="C1" s="155"/>
      <c r="D1" s="156"/>
      <c r="E1" s="7" t="s">
        <v>138</v>
      </c>
      <c r="F1" s="157" t="s">
        <v>139</v>
      </c>
      <c r="G1" s="155"/>
    </row>
    <row r="2" spans="1:7" ht="28.5" customHeight="1">
      <c r="A2" s="4" t="s">
        <v>123</v>
      </c>
      <c r="B2" s="100" t="s">
        <v>140</v>
      </c>
      <c r="C2" s="100" t="s">
        <v>141</v>
      </c>
      <c r="D2" s="101" t="s">
        <v>142</v>
      </c>
      <c r="E2" s="102" t="s">
        <v>143</v>
      </c>
      <c r="F2" s="103" t="s">
        <v>144</v>
      </c>
      <c r="G2" s="103" t="s">
        <v>145</v>
      </c>
    </row>
    <row r="3" spans="1:7" s="6" customFormat="1">
      <c r="A3" s="5">
        <v>44439</v>
      </c>
      <c r="B3" s="104"/>
      <c r="C3" s="104"/>
      <c r="D3" s="105"/>
      <c r="E3" s="105">
        <v>0</v>
      </c>
      <c r="F3" s="105"/>
      <c r="G3" s="105"/>
    </row>
    <row r="4" spans="1:7" s="6" customFormat="1">
      <c r="A4" s="5">
        <v>44440</v>
      </c>
      <c r="B4" s="104"/>
      <c r="C4" s="104"/>
      <c r="D4" s="105"/>
      <c r="E4" s="105">
        <v>0</v>
      </c>
      <c r="F4" s="105"/>
      <c r="G4" s="105"/>
    </row>
    <row r="5" spans="1:7" s="6" customFormat="1">
      <c r="A5" s="5">
        <v>44441</v>
      </c>
      <c r="B5" s="104"/>
      <c r="C5" s="104"/>
      <c r="D5" s="105"/>
      <c r="E5" s="105">
        <v>0</v>
      </c>
      <c r="F5" s="105"/>
      <c r="G5" s="105"/>
    </row>
    <row r="6" spans="1:7" s="6" customFormat="1">
      <c r="A6" s="5">
        <v>44442</v>
      </c>
      <c r="B6" s="104"/>
      <c r="C6" s="104"/>
      <c r="D6" s="105"/>
      <c r="E6" s="105">
        <v>0</v>
      </c>
      <c r="F6" s="105"/>
      <c r="G6" s="105"/>
    </row>
    <row r="7" spans="1:7" s="6" customFormat="1">
      <c r="A7" s="5">
        <v>44443</v>
      </c>
      <c r="B7" s="104"/>
      <c r="C7" s="104"/>
      <c r="D7" s="105"/>
      <c r="E7" s="105">
        <v>0</v>
      </c>
      <c r="F7" s="105"/>
      <c r="G7" s="105"/>
    </row>
    <row r="8" spans="1:7" s="6" customFormat="1">
      <c r="A8" s="5">
        <v>44444</v>
      </c>
      <c r="B8" s="104"/>
      <c r="C8" s="104"/>
      <c r="D8" s="105"/>
      <c r="E8" s="105">
        <v>0</v>
      </c>
      <c r="F8" s="105"/>
      <c r="G8" s="105"/>
    </row>
    <row r="9" spans="1:7" s="6" customFormat="1">
      <c r="A9" s="5">
        <v>44445</v>
      </c>
      <c r="B9" s="104"/>
      <c r="C9" s="104"/>
      <c r="D9" s="105"/>
      <c r="E9" s="105">
        <v>0</v>
      </c>
      <c r="F9" s="105"/>
      <c r="G9" s="105"/>
    </row>
    <row r="10" spans="1:7" s="6" customFormat="1">
      <c r="A10" s="5">
        <v>44446</v>
      </c>
      <c r="B10" s="104"/>
      <c r="C10" s="104"/>
      <c r="D10" s="105"/>
      <c r="E10" s="105">
        <v>0</v>
      </c>
      <c r="F10" s="105"/>
      <c r="G10" s="105"/>
    </row>
    <row r="11" spans="1:7" s="6" customFormat="1">
      <c r="A11" s="5">
        <v>44447</v>
      </c>
      <c r="B11" s="104"/>
      <c r="C11" s="104"/>
      <c r="D11" s="105"/>
      <c r="E11" s="105">
        <v>0</v>
      </c>
      <c r="F11" s="105"/>
      <c r="G11" s="105"/>
    </row>
    <row r="12" spans="1:7" s="6" customFormat="1">
      <c r="A12" s="5">
        <v>44448</v>
      </c>
      <c r="B12" s="104"/>
      <c r="C12" s="104"/>
      <c r="D12" s="105"/>
      <c r="E12" s="105">
        <v>0</v>
      </c>
      <c r="F12" s="105"/>
      <c r="G12" s="105"/>
    </row>
    <row r="13" spans="1:7" s="6" customFormat="1">
      <c r="A13" s="5">
        <v>44449</v>
      </c>
      <c r="B13" s="104"/>
      <c r="C13" s="104"/>
      <c r="D13" s="105"/>
      <c r="E13" s="105">
        <v>0</v>
      </c>
      <c r="F13" s="105"/>
      <c r="G13" s="105"/>
    </row>
    <row r="14" spans="1:7" s="6" customFormat="1">
      <c r="A14" s="5">
        <v>44450</v>
      </c>
      <c r="B14" s="104"/>
      <c r="C14" s="104"/>
      <c r="D14" s="105"/>
      <c r="E14" s="105">
        <v>0</v>
      </c>
      <c r="F14" s="105"/>
      <c r="G14" s="105"/>
    </row>
    <row r="15" spans="1:7" s="6" customFormat="1">
      <c r="A15" s="5">
        <v>44451</v>
      </c>
      <c r="B15" s="104"/>
      <c r="C15" s="104"/>
      <c r="D15" s="105"/>
      <c r="E15" s="105">
        <v>0</v>
      </c>
      <c r="F15" s="105"/>
      <c r="G15" s="105"/>
    </row>
    <row r="16" spans="1:7" s="6" customFormat="1">
      <c r="A16" s="5">
        <v>44452</v>
      </c>
      <c r="B16" s="104"/>
      <c r="C16" s="104"/>
      <c r="D16" s="105"/>
      <c r="E16" s="105">
        <v>0</v>
      </c>
      <c r="F16" s="105"/>
      <c r="G16" s="105"/>
    </row>
    <row r="17" spans="1:7" s="6" customFormat="1">
      <c r="A17" s="5">
        <v>44453</v>
      </c>
      <c r="B17" s="104"/>
      <c r="C17" s="104"/>
      <c r="D17" s="105"/>
      <c r="E17" s="105">
        <v>0</v>
      </c>
      <c r="F17" s="105"/>
      <c r="G17" s="105"/>
    </row>
    <row r="18" spans="1:7" s="6" customFormat="1">
      <c r="A18" s="5">
        <v>44454</v>
      </c>
      <c r="B18" s="104"/>
      <c r="C18" s="104"/>
      <c r="D18" s="105"/>
      <c r="E18" s="105">
        <v>0</v>
      </c>
      <c r="F18" s="105"/>
      <c r="G18" s="105"/>
    </row>
    <row r="19" spans="1:7" s="6" customFormat="1">
      <c r="A19" s="5">
        <v>44455</v>
      </c>
      <c r="B19" s="104"/>
      <c r="C19" s="104"/>
      <c r="D19" s="105"/>
      <c r="E19" s="105">
        <v>0</v>
      </c>
      <c r="F19" s="105"/>
      <c r="G19" s="105"/>
    </row>
    <row r="20" spans="1:7" s="6" customFormat="1">
      <c r="A20" s="5">
        <v>44456</v>
      </c>
      <c r="B20" s="104"/>
      <c r="C20" s="104"/>
      <c r="D20" s="105"/>
      <c r="E20" s="105">
        <v>0</v>
      </c>
      <c r="F20" s="105"/>
      <c r="G20" s="105"/>
    </row>
    <row r="21" spans="1:7" s="6" customFormat="1">
      <c r="A21" s="5">
        <v>44457</v>
      </c>
      <c r="B21" s="104"/>
      <c r="C21" s="104"/>
      <c r="D21" s="105"/>
      <c r="E21" s="105">
        <v>0</v>
      </c>
      <c r="F21" s="105"/>
      <c r="G21" s="105"/>
    </row>
    <row r="22" spans="1:7" s="6" customFormat="1">
      <c r="A22" s="5">
        <v>44458</v>
      </c>
      <c r="B22" s="104"/>
      <c r="C22" s="104"/>
      <c r="D22" s="105"/>
      <c r="E22" s="105">
        <v>0</v>
      </c>
      <c r="F22" s="105"/>
      <c r="G22" s="105"/>
    </row>
    <row r="23" spans="1:7" s="6" customFormat="1">
      <c r="A23" s="5">
        <v>44459</v>
      </c>
      <c r="B23" s="104"/>
      <c r="C23" s="104"/>
      <c r="D23" s="105"/>
      <c r="E23" s="105">
        <v>0</v>
      </c>
      <c r="F23" s="105"/>
      <c r="G23" s="105"/>
    </row>
    <row r="24" spans="1:7" s="6" customFormat="1">
      <c r="A24" s="5">
        <v>44460</v>
      </c>
      <c r="B24" s="104"/>
      <c r="C24" s="104"/>
      <c r="D24" s="105"/>
      <c r="E24" s="105">
        <v>0</v>
      </c>
      <c r="F24" s="105"/>
      <c r="G24" s="105"/>
    </row>
    <row r="25" spans="1:7" s="6" customFormat="1">
      <c r="A25" s="5">
        <v>44461</v>
      </c>
      <c r="B25" s="104"/>
      <c r="C25" s="104"/>
      <c r="D25" s="105"/>
      <c r="E25" s="105">
        <v>0</v>
      </c>
      <c r="F25" s="105"/>
      <c r="G25" s="105"/>
    </row>
    <row r="26" spans="1:7" s="6" customFormat="1">
      <c r="A26" s="5">
        <v>44462</v>
      </c>
      <c r="B26" s="104"/>
      <c r="C26" s="104"/>
      <c r="D26" s="105"/>
      <c r="E26" s="105">
        <v>0</v>
      </c>
      <c r="F26" s="105"/>
      <c r="G26" s="105"/>
    </row>
    <row r="27" spans="1:7" s="6" customFormat="1">
      <c r="A27" s="5">
        <v>44463</v>
      </c>
      <c r="B27" s="104"/>
      <c r="C27" s="104"/>
      <c r="D27" s="105"/>
      <c r="E27" s="105">
        <v>0</v>
      </c>
      <c r="F27" s="105"/>
      <c r="G27" s="105"/>
    </row>
    <row r="28" spans="1:7" s="6" customFormat="1">
      <c r="A28" s="5">
        <v>44464</v>
      </c>
      <c r="B28" s="104"/>
      <c r="C28" s="104"/>
      <c r="D28" s="105"/>
      <c r="E28" s="105">
        <v>0</v>
      </c>
      <c r="F28" s="105"/>
      <c r="G28" s="105"/>
    </row>
    <row r="29" spans="1:7" s="6" customFormat="1">
      <c r="A29" s="5">
        <v>44465</v>
      </c>
      <c r="B29" s="104"/>
      <c r="C29" s="104"/>
      <c r="D29" s="105"/>
      <c r="E29" s="105">
        <v>0</v>
      </c>
      <c r="F29" s="105"/>
      <c r="G29" s="105"/>
    </row>
    <row r="30" spans="1:7" s="6" customFormat="1">
      <c r="A30" s="5">
        <v>44466</v>
      </c>
      <c r="B30" s="104"/>
      <c r="C30" s="104"/>
      <c r="D30" s="105"/>
      <c r="E30" s="105">
        <v>0</v>
      </c>
      <c r="F30" s="105"/>
      <c r="G30" s="105"/>
    </row>
    <row r="31" spans="1:7" s="6" customFormat="1">
      <c r="A31" s="5">
        <v>44467</v>
      </c>
      <c r="B31" s="104"/>
      <c r="C31" s="104"/>
      <c r="D31" s="105"/>
      <c r="E31" s="105">
        <v>0</v>
      </c>
      <c r="F31" s="105"/>
      <c r="G31" s="105"/>
    </row>
    <row r="32" spans="1:7" s="6" customFormat="1">
      <c r="A32" s="5">
        <v>44468</v>
      </c>
      <c r="B32" s="104"/>
      <c r="C32" s="104"/>
      <c r="D32" s="105"/>
      <c r="E32" s="105">
        <v>0</v>
      </c>
      <c r="F32" s="105"/>
      <c r="G32" s="105"/>
    </row>
    <row r="33" spans="1:7" s="6" customFormat="1">
      <c r="A33" s="5">
        <v>44469</v>
      </c>
      <c r="B33" s="104"/>
      <c r="C33" s="104"/>
      <c r="D33" s="105"/>
      <c r="E33" s="105">
        <v>0</v>
      </c>
      <c r="F33" s="105"/>
      <c r="G33" s="105"/>
    </row>
    <row r="34" spans="1:7" s="6" customFormat="1">
      <c r="A34" s="5">
        <v>44470</v>
      </c>
      <c r="B34" s="104"/>
      <c r="C34" s="104"/>
      <c r="D34" s="105"/>
      <c r="E34" s="105">
        <v>0</v>
      </c>
      <c r="F34" s="105"/>
      <c r="G34" s="105"/>
    </row>
    <row r="35" spans="1:7" s="6" customFormat="1">
      <c r="A35" s="5">
        <v>44471</v>
      </c>
      <c r="B35" s="104"/>
      <c r="C35" s="104"/>
      <c r="D35" s="105"/>
      <c r="E35" s="105">
        <v>0</v>
      </c>
      <c r="F35" s="105"/>
      <c r="G35" s="105"/>
    </row>
    <row r="36" spans="1:7" s="6" customFormat="1">
      <c r="A36" s="5">
        <v>44472</v>
      </c>
      <c r="B36" s="104"/>
      <c r="C36" s="104"/>
      <c r="D36" s="105"/>
      <c r="E36" s="105">
        <v>0</v>
      </c>
      <c r="F36" s="105"/>
      <c r="G36" s="105"/>
    </row>
    <row r="37" spans="1:7" s="6" customFormat="1">
      <c r="A37" s="5">
        <v>44473</v>
      </c>
      <c r="B37" s="104"/>
      <c r="C37" s="104"/>
      <c r="D37" s="105"/>
      <c r="E37" s="105">
        <v>0</v>
      </c>
      <c r="F37" s="105"/>
      <c r="G37" s="105"/>
    </row>
    <row r="38" spans="1:7" s="6" customFormat="1">
      <c r="A38" s="5">
        <v>44474</v>
      </c>
      <c r="B38" s="104"/>
      <c r="C38" s="104"/>
      <c r="D38" s="105"/>
      <c r="E38" s="105">
        <v>0</v>
      </c>
      <c r="F38" s="105"/>
      <c r="G38" s="105"/>
    </row>
    <row r="39" spans="1:7" s="6" customFormat="1">
      <c r="A39" s="5">
        <v>44475</v>
      </c>
      <c r="B39" s="104"/>
      <c r="C39" s="104"/>
      <c r="D39" s="105"/>
      <c r="E39" s="105">
        <v>0</v>
      </c>
      <c r="F39" s="105"/>
      <c r="G39" s="105"/>
    </row>
    <row r="40" spans="1:7" s="6" customFormat="1">
      <c r="A40" s="5">
        <v>44476</v>
      </c>
      <c r="B40" s="104"/>
      <c r="C40" s="104"/>
      <c r="D40" s="105"/>
      <c r="E40" s="105">
        <v>0</v>
      </c>
      <c r="F40" s="105"/>
      <c r="G40" s="105"/>
    </row>
    <row r="41" spans="1:7" s="6" customFormat="1">
      <c r="A41" s="5">
        <v>44477</v>
      </c>
      <c r="B41" s="104"/>
      <c r="C41" s="104"/>
      <c r="D41" s="105"/>
      <c r="E41" s="105">
        <v>0</v>
      </c>
      <c r="F41" s="105"/>
      <c r="G41" s="105"/>
    </row>
    <row r="42" spans="1:7" s="6" customFormat="1">
      <c r="A42" s="5">
        <v>44478</v>
      </c>
      <c r="B42" s="104"/>
      <c r="C42" s="104"/>
      <c r="D42" s="105"/>
      <c r="E42" s="105">
        <v>0</v>
      </c>
      <c r="F42" s="105"/>
      <c r="G42" s="105"/>
    </row>
    <row r="43" spans="1:7" s="6" customFormat="1">
      <c r="A43" s="5">
        <v>44479</v>
      </c>
      <c r="B43" s="104"/>
      <c r="C43" s="104"/>
      <c r="D43" s="105"/>
      <c r="E43" s="105">
        <v>0</v>
      </c>
      <c r="F43" s="105"/>
      <c r="G43" s="105"/>
    </row>
    <row r="44" spans="1:7" s="6" customFormat="1">
      <c r="A44" s="5">
        <v>44480</v>
      </c>
      <c r="B44" s="104"/>
      <c r="C44" s="104"/>
      <c r="D44" s="105"/>
      <c r="E44" s="105">
        <v>0</v>
      </c>
      <c r="F44" s="105"/>
      <c r="G44" s="105"/>
    </row>
    <row r="45" spans="1:7" s="6" customFormat="1">
      <c r="A45" s="5">
        <v>44481</v>
      </c>
      <c r="B45" s="104"/>
      <c r="C45" s="104"/>
      <c r="D45" s="105"/>
      <c r="E45" s="105">
        <v>0</v>
      </c>
      <c r="F45" s="105"/>
      <c r="G45" s="105"/>
    </row>
    <row r="46" spans="1:7" s="6" customFormat="1">
      <c r="A46" s="5">
        <v>44482</v>
      </c>
      <c r="B46" s="104"/>
      <c r="C46" s="104"/>
      <c r="D46" s="105"/>
      <c r="E46" s="105">
        <v>0</v>
      </c>
      <c r="F46" s="105"/>
      <c r="G46" s="105"/>
    </row>
    <row r="47" spans="1:7" s="6" customFormat="1">
      <c r="A47" s="5">
        <v>44483</v>
      </c>
      <c r="B47" s="104"/>
      <c r="C47" s="104"/>
      <c r="D47" s="105"/>
      <c r="E47" s="105">
        <v>0</v>
      </c>
      <c r="F47" s="105"/>
      <c r="G47" s="105"/>
    </row>
    <row r="48" spans="1:7" s="6" customFormat="1">
      <c r="A48" s="5">
        <v>44484</v>
      </c>
      <c r="B48" s="104"/>
      <c r="C48" s="104"/>
      <c r="D48" s="105"/>
      <c r="E48" s="105">
        <v>0</v>
      </c>
      <c r="F48" s="105"/>
      <c r="G48" s="105"/>
    </row>
    <row r="49" spans="1:7" s="6" customFormat="1">
      <c r="A49" s="5">
        <v>44485</v>
      </c>
      <c r="B49" s="104"/>
      <c r="C49" s="104"/>
      <c r="D49" s="105"/>
      <c r="E49" s="105">
        <v>0</v>
      </c>
      <c r="F49" s="105"/>
      <c r="G49" s="105"/>
    </row>
    <row r="50" spans="1:7" s="6" customFormat="1">
      <c r="A50" s="5">
        <v>44486</v>
      </c>
      <c r="B50" s="104"/>
      <c r="C50" s="104"/>
      <c r="D50" s="105"/>
      <c r="E50" s="105">
        <v>0</v>
      </c>
      <c r="F50" s="105"/>
      <c r="G50" s="105"/>
    </row>
    <row r="51" spans="1:7" s="6" customFormat="1">
      <c r="A51" s="5">
        <v>44487</v>
      </c>
      <c r="B51" s="104"/>
      <c r="C51" s="104"/>
      <c r="D51" s="105"/>
      <c r="E51" s="105">
        <v>0</v>
      </c>
      <c r="F51" s="105"/>
      <c r="G51" s="105"/>
    </row>
    <row r="52" spans="1:7" s="6" customFormat="1">
      <c r="A52" s="5">
        <v>44488</v>
      </c>
      <c r="B52" s="104"/>
      <c r="C52" s="104"/>
      <c r="D52" s="105"/>
      <c r="E52" s="105">
        <v>0</v>
      </c>
      <c r="F52" s="105"/>
      <c r="G52" s="105"/>
    </row>
    <row r="53" spans="1:7" s="6" customFormat="1">
      <c r="A53" s="5">
        <v>44489</v>
      </c>
      <c r="B53" s="104"/>
      <c r="C53" s="104"/>
      <c r="D53" s="105"/>
      <c r="E53" s="105">
        <v>0</v>
      </c>
      <c r="F53" s="105"/>
      <c r="G53" s="105"/>
    </row>
    <row r="54" spans="1:7" s="6" customFormat="1">
      <c r="A54" s="5">
        <v>44490</v>
      </c>
      <c r="B54" s="104"/>
      <c r="C54" s="104"/>
      <c r="D54" s="105"/>
      <c r="E54" s="105">
        <v>0</v>
      </c>
      <c r="F54" s="105"/>
      <c r="G54" s="105"/>
    </row>
    <row r="55" spans="1:7" s="6" customFormat="1">
      <c r="A55" s="5">
        <v>44491</v>
      </c>
      <c r="B55" s="104"/>
      <c r="C55" s="104"/>
      <c r="D55" s="105"/>
      <c r="E55" s="105">
        <v>0</v>
      </c>
      <c r="F55" s="105"/>
      <c r="G55" s="105"/>
    </row>
    <row r="56" spans="1:7" s="6" customFormat="1">
      <c r="A56" s="5">
        <v>44492</v>
      </c>
      <c r="B56" s="104"/>
      <c r="C56" s="104"/>
      <c r="D56" s="105"/>
      <c r="E56" s="105">
        <v>0</v>
      </c>
      <c r="F56" s="105"/>
      <c r="G56" s="105"/>
    </row>
    <row r="57" spans="1:7" s="6" customFormat="1">
      <c r="A57" s="5">
        <v>44493</v>
      </c>
      <c r="B57" s="104"/>
      <c r="C57" s="104"/>
      <c r="D57" s="105"/>
      <c r="E57" s="105">
        <v>0</v>
      </c>
      <c r="F57" s="105"/>
      <c r="G57" s="105"/>
    </row>
    <row r="58" spans="1:7">
      <c r="A58" s="5">
        <v>44494</v>
      </c>
      <c r="B58" s="106">
        <v>1</v>
      </c>
      <c r="C58" s="106">
        <v>1</v>
      </c>
      <c r="D58" s="71">
        <v>9999360.0800000001</v>
      </c>
      <c r="E58" s="71">
        <v>10000000</v>
      </c>
      <c r="F58" s="71">
        <f>G58</f>
        <v>-639.91999999992549</v>
      </c>
      <c r="G58" s="71">
        <f t="shared" ref="G58:G89" si="0">D58-E58</f>
        <v>-639.91999999992549</v>
      </c>
    </row>
    <row r="59" spans="1:7">
      <c r="A59" s="5">
        <v>44495</v>
      </c>
      <c r="B59" s="106">
        <v>1</v>
      </c>
      <c r="C59" s="106">
        <v>1</v>
      </c>
      <c r="D59" s="71">
        <v>9999292.6500000004</v>
      </c>
      <c r="E59" s="71">
        <v>10000000</v>
      </c>
      <c r="F59" s="71">
        <f t="shared" ref="F59:F90" si="1">G59-G58</f>
        <v>-67.429999999701977</v>
      </c>
      <c r="G59" s="71">
        <f t="shared" si="0"/>
        <v>-707.34999999962747</v>
      </c>
    </row>
    <row r="60" spans="1:7">
      <c r="A60" s="5">
        <v>44496</v>
      </c>
      <c r="B60" s="106">
        <v>1</v>
      </c>
      <c r="C60" s="106">
        <v>1</v>
      </c>
      <c r="D60" s="71">
        <v>9999225.2200000007</v>
      </c>
      <c r="E60" s="71">
        <v>10000000</v>
      </c>
      <c r="F60" s="71">
        <f t="shared" si="1"/>
        <v>-67.429999999701977</v>
      </c>
      <c r="G60" s="71">
        <f t="shared" si="0"/>
        <v>-774.77999999932945</v>
      </c>
    </row>
    <row r="61" spans="1:7">
      <c r="A61" s="5">
        <v>44497</v>
      </c>
      <c r="B61" s="106">
        <v>1</v>
      </c>
      <c r="C61" s="106">
        <v>1</v>
      </c>
      <c r="D61" s="71">
        <v>9999157.7899999991</v>
      </c>
      <c r="E61" s="71">
        <v>10000000</v>
      </c>
      <c r="F61" s="71">
        <f t="shared" si="1"/>
        <v>-67.430000001564622</v>
      </c>
      <c r="G61" s="71">
        <f t="shared" si="0"/>
        <v>-842.21000000089407</v>
      </c>
    </row>
    <row r="62" spans="1:7">
      <c r="A62" s="5">
        <v>44498</v>
      </c>
      <c r="B62" s="106">
        <v>1</v>
      </c>
      <c r="C62" s="106">
        <v>1</v>
      </c>
      <c r="D62" s="71">
        <v>9998955.5299999993</v>
      </c>
      <c r="E62" s="71">
        <v>10000000</v>
      </c>
      <c r="F62" s="71">
        <f t="shared" si="1"/>
        <v>-202.25999999977648</v>
      </c>
      <c r="G62" s="71">
        <f t="shared" si="0"/>
        <v>-1044.4700000006706</v>
      </c>
    </row>
    <row r="63" spans="1:7">
      <c r="A63" s="5">
        <v>44499</v>
      </c>
      <c r="B63" s="106">
        <v>1</v>
      </c>
      <c r="C63" s="106">
        <v>1</v>
      </c>
      <c r="D63" s="71">
        <v>9998955.5299999993</v>
      </c>
      <c r="E63" s="71">
        <v>10000000</v>
      </c>
      <c r="F63" s="71">
        <f t="shared" si="1"/>
        <v>0</v>
      </c>
      <c r="G63" s="71">
        <f t="shared" si="0"/>
        <v>-1044.4700000006706</v>
      </c>
    </row>
    <row r="64" spans="1:7">
      <c r="A64" s="5">
        <v>44500</v>
      </c>
      <c r="B64" s="106">
        <v>1</v>
      </c>
      <c r="C64" s="106">
        <v>1</v>
      </c>
      <c r="D64" s="71">
        <v>9998955.5299999993</v>
      </c>
      <c r="E64" s="71">
        <v>10000000</v>
      </c>
      <c r="F64" s="71">
        <f t="shared" si="1"/>
        <v>0</v>
      </c>
      <c r="G64" s="71">
        <f t="shared" si="0"/>
        <v>-1044.4700000006706</v>
      </c>
    </row>
    <row r="65" spans="1:8">
      <c r="A65" s="5">
        <v>44501</v>
      </c>
      <c r="B65" s="106">
        <v>1</v>
      </c>
      <c r="C65" s="106">
        <v>1</v>
      </c>
      <c r="D65" s="71">
        <v>9998843.1099999994</v>
      </c>
      <c r="E65" s="71">
        <v>10000000</v>
      </c>
      <c r="F65" s="71">
        <f t="shared" si="1"/>
        <v>-112.41999999992549</v>
      </c>
      <c r="G65" s="71">
        <f t="shared" si="0"/>
        <v>-1156.890000000596</v>
      </c>
    </row>
    <row r="66" spans="1:8">
      <c r="A66" s="5">
        <v>44502</v>
      </c>
      <c r="B66" s="106">
        <v>1</v>
      </c>
      <c r="C66" s="106">
        <v>1</v>
      </c>
      <c r="D66" s="71">
        <v>9998765.9700000007</v>
      </c>
      <c r="E66" s="71">
        <v>10000000</v>
      </c>
      <c r="F66" s="71">
        <f t="shared" si="1"/>
        <v>-77.139999998733401</v>
      </c>
      <c r="G66" s="71">
        <f t="shared" si="0"/>
        <v>-1234.0299999993294</v>
      </c>
    </row>
    <row r="67" spans="1:8">
      <c r="A67" s="5">
        <v>44503</v>
      </c>
      <c r="B67" s="106">
        <v>1</v>
      </c>
      <c r="C67" s="106">
        <v>1</v>
      </c>
      <c r="D67" s="71">
        <v>9998669.3900000006</v>
      </c>
      <c r="E67" s="71">
        <v>10000000</v>
      </c>
      <c r="F67" s="71">
        <f t="shared" si="1"/>
        <v>-96.580000000074506</v>
      </c>
      <c r="G67" s="71">
        <f t="shared" si="0"/>
        <v>-1330.609999999404</v>
      </c>
    </row>
    <row r="68" spans="1:8">
      <c r="A68" s="5">
        <v>44504</v>
      </c>
      <c r="B68" s="106">
        <v>1</v>
      </c>
      <c r="C68" s="106">
        <v>1</v>
      </c>
      <c r="D68" s="71">
        <v>9998572.8100000005</v>
      </c>
      <c r="E68" s="71">
        <v>10000000</v>
      </c>
      <c r="F68" s="71">
        <f t="shared" si="1"/>
        <v>-96.580000000074506</v>
      </c>
      <c r="G68" s="71">
        <f t="shared" si="0"/>
        <v>-1427.1899999994785</v>
      </c>
      <c r="H68" s="82"/>
    </row>
    <row r="69" spans="1:8">
      <c r="A69" s="5">
        <v>44505</v>
      </c>
      <c r="B69" s="106">
        <v>1</v>
      </c>
      <c r="C69" s="106">
        <v>1</v>
      </c>
      <c r="D69" s="71">
        <v>14998524.84</v>
      </c>
      <c r="E69" s="71">
        <f>10000000+5000000</f>
        <v>15000000</v>
      </c>
      <c r="F69" s="71">
        <f t="shared" si="1"/>
        <v>-47.970000000670552</v>
      </c>
      <c r="G69" s="71">
        <f t="shared" si="0"/>
        <v>-1475.160000000149</v>
      </c>
    </row>
    <row r="70" spans="1:8">
      <c r="A70" s="5">
        <v>44506</v>
      </c>
      <c r="B70" s="106">
        <v>1</v>
      </c>
      <c r="C70" s="106">
        <v>1</v>
      </c>
      <c r="D70" s="71">
        <v>14998163.130000001</v>
      </c>
      <c r="E70" s="71">
        <v>15000000</v>
      </c>
      <c r="F70" s="71">
        <f t="shared" si="1"/>
        <v>-361.70999999903142</v>
      </c>
      <c r="G70" s="71">
        <f t="shared" si="0"/>
        <v>-1836.8699999991804</v>
      </c>
    </row>
    <row r="71" spans="1:8">
      <c r="A71" s="5">
        <v>44507</v>
      </c>
      <c r="B71" s="106">
        <v>1</v>
      </c>
      <c r="C71" s="106">
        <v>1</v>
      </c>
      <c r="D71" s="71">
        <v>14997801.42</v>
      </c>
      <c r="E71" s="71">
        <f>10000000+5000000</f>
        <v>15000000</v>
      </c>
      <c r="F71" s="71">
        <f t="shared" si="1"/>
        <v>-361.71000000089407</v>
      </c>
      <c r="G71" s="71">
        <f t="shared" si="0"/>
        <v>-2198.5800000000745</v>
      </c>
    </row>
    <row r="72" spans="1:8">
      <c r="A72" s="5">
        <v>44508</v>
      </c>
      <c r="B72" s="106">
        <v>1</v>
      </c>
      <c r="C72" s="106">
        <v>1</v>
      </c>
      <c r="D72" s="71">
        <v>14997439.710000001</v>
      </c>
      <c r="E72" s="71">
        <v>15000000</v>
      </c>
      <c r="F72" s="71">
        <f t="shared" si="1"/>
        <v>-361.70999999903142</v>
      </c>
      <c r="G72" s="71">
        <f t="shared" si="0"/>
        <v>-2560.2899999991059</v>
      </c>
    </row>
    <row r="73" spans="1:8">
      <c r="A73" s="5">
        <v>44509</v>
      </c>
      <c r="B73" s="106">
        <v>1</v>
      </c>
      <c r="C73" s="106">
        <v>1</v>
      </c>
      <c r="D73" s="71">
        <v>14998032.85</v>
      </c>
      <c r="E73" s="71">
        <v>15000000</v>
      </c>
      <c r="F73" s="71">
        <f t="shared" si="1"/>
        <v>593.1399999987334</v>
      </c>
      <c r="G73" s="71">
        <f t="shared" si="0"/>
        <v>-1967.1500000003725</v>
      </c>
    </row>
    <row r="74" spans="1:8">
      <c r="A74" s="5">
        <v>44510</v>
      </c>
      <c r="B74" s="106">
        <v>1</v>
      </c>
      <c r="C74" s="106">
        <v>1</v>
      </c>
      <c r="D74" s="71">
        <v>24997999.789999999</v>
      </c>
      <c r="E74" s="71">
        <v>25000000</v>
      </c>
      <c r="F74" s="71">
        <f t="shared" si="1"/>
        <v>-33.060000000521541</v>
      </c>
      <c r="G74" s="71">
        <f t="shared" si="0"/>
        <v>-2000.2100000008941</v>
      </c>
    </row>
    <row r="75" spans="1:8">
      <c r="A75" s="5">
        <v>44511</v>
      </c>
      <c r="B75" s="106">
        <v>1</v>
      </c>
      <c r="C75" s="106">
        <v>1</v>
      </c>
      <c r="D75" s="71">
        <v>24997821.52</v>
      </c>
      <c r="E75" s="71">
        <v>25000000</v>
      </c>
      <c r="F75" s="71">
        <f t="shared" si="1"/>
        <v>-178.26999999955297</v>
      </c>
      <c r="G75" s="71">
        <f t="shared" si="0"/>
        <v>-2178.480000000447</v>
      </c>
    </row>
    <row r="76" spans="1:8">
      <c r="A76" s="5">
        <v>44512</v>
      </c>
      <c r="B76" s="106">
        <v>1</v>
      </c>
      <c r="C76" s="106">
        <v>1</v>
      </c>
      <c r="D76" s="71">
        <v>24997615.440000001</v>
      </c>
      <c r="E76" s="71">
        <v>25000000</v>
      </c>
      <c r="F76" s="71">
        <f t="shared" si="1"/>
        <v>-206.07999999821186</v>
      </c>
      <c r="G76" s="71">
        <f t="shared" si="0"/>
        <v>-2384.5599999986589</v>
      </c>
    </row>
    <row r="77" spans="1:8">
      <c r="A77" s="5">
        <v>44513</v>
      </c>
      <c r="B77" s="106">
        <v>1</v>
      </c>
      <c r="C77" s="106">
        <v>1</v>
      </c>
      <c r="D77" s="71">
        <v>24997615.440000001</v>
      </c>
      <c r="E77" s="71">
        <v>25000000</v>
      </c>
      <c r="F77" s="71">
        <f t="shared" si="1"/>
        <v>0</v>
      </c>
      <c r="G77" s="71">
        <f t="shared" si="0"/>
        <v>-2384.5599999986589</v>
      </c>
    </row>
    <row r="78" spans="1:8">
      <c r="A78" s="5">
        <v>44514</v>
      </c>
      <c r="B78" s="106">
        <v>1</v>
      </c>
      <c r="C78" s="106">
        <v>1</v>
      </c>
      <c r="D78" s="71">
        <v>24997615.440000001</v>
      </c>
      <c r="E78" s="71">
        <v>25000000</v>
      </c>
      <c r="F78" s="71">
        <f t="shared" si="1"/>
        <v>0</v>
      </c>
      <c r="G78" s="71">
        <f t="shared" si="0"/>
        <v>-2384.5599999986589</v>
      </c>
    </row>
    <row r="79" spans="1:8">
      <c r="A79" s="5">
        <v>44515</v>
      </c>
      <c r="B79" s="106">
        <v>1</v>
      </c>
      <c r="C79" s="106">
        <v>1</v>
      </c>
      <c r="D79" s="71">
        <v>24996980.59</v>
      </c>
      <c r="E79" s="71">
        <v>25000000</v>
      </c>
      <c r="F79" s="71">
        <f t="shared" si="1"/>
        <v>-634.85000000149012</v>
      </c>
      <c r="G79" s="71">
        <f t="shared" si="0"/>
        <v>-3019.410000000149</v>
      </c>
    </row>
    <row r="80" spans="1:8">
      <c r="A80" s="5">
        <v>44516</v>
      </c>
      <c r="B80" s="106">
        <v>1.014</v>
      </c>
      <c r="C80" s="106">
        <v>1.014</v>
      </c>
      <c r="D80" s="71">
        <v>25358236.890000001</v>
      </c>
      <c r="E80" s="71">
        <v>25000000</v>
      </c>
      <c r="F80" s="71">
        <f t="shared" si="1"/>
        <v>361256.30000000075</v>
      </c>
      <c r="G80" s="71">
        <f t="shared" si="0"/>
        <v>358236.8900000006</v>
      </c>
    </row>
    <row r="81" spans="1:7">
      <c r="A81" s="5">
        <v>44517</v>
      </c>
      <c r="B81" s="106">
        <v>1.0229999999999999</v>
      </c>
      <c r="C81" s="106">
        <v>1.0229999999999999</v>
      </c>
      <c r="D81" s="71">
        <v>25585886.449999999</v>
      </c>
      <c r="E81" s="71">
        <v>25000000</v>
      </c>
      <c r="F81" s="71">
        <f t="shared" si="1"/>
        <v>227649.55999999866</v>
      </c>
      <c r="G81" s="71">
        <f t="shared" si="0"/>
        <v>585886.44999999925</v>
      </c>
    </row>
    <row r="82" spans="1:7">
      <c r="A82" s="5">
        <v>44518</v>
      </c>
      <c r="B82" s="106">
        <v>1.026</v>
      </c>
      <c r="C82" s="106">
        <v>1.026</v>
      </c>
      <c r="D82" s="71">
        <v>25648291.260000002</v>
      </c>
      <c r="E82" s="71">
        <v>25000000</v>
      </c>
      <c r="F82" s="71">
        <f t="shared" si="1"/>
        <v>62404.810000002384</v>
      </c>
      <c r="G82" s="71">
        <f t="shared" si="0"/>
        <v>648291.26000000164</v>
      </c>
    </row>
    <row r="83" spans="1:7">
      <c r="A83" s="5">
        <v>44519</v>
      </c>
      <c r="B83" s="106">
        <v>1.0289999999999999</v>
      </c>
      <c r="C83" s="106">
        <v>1.0289999999999999</v>
      </c>
      <c r="D83" s="71">
        <v>25726891.829999998</v>
      </c>
      <c r="E83" s="71">
        <v>25000000</v>
      </c>
      <c r="F83" s="71">
        <f t="shared" si="1"/>
        <v>78600.569999996573</v>
      </c>
      <c r="G83" s="71">
        <f t="shared" si="0"/>
        <v>726891.82999999821</v>
      </c>
    </row>
    <row r="84" spans="1:7">
      <c r="A84" s="5">
        <v>44520</v>
      </c>
      <c r="B84" s="106">
        <v>1.0289999999999999</v>
      </c>
      <c r="C84" s="106">
        <v>1.0289999999999999</v>
      </c>
      <c r="D84" s="71">
        <v>25726891.829999998</v>
      </c>
      <c r="E84" s="71">
        <v>25000000</v>
      </c>
      <c r="F84" s="71">
        <f t="shared" si="1"/>
        <v>0</v>
      </c>
      <c r="G84" s="71">
        <f t="shared" si="0"/>
        <v>726891.82999999821</v>
      </c>
    </row>
    <row r="85" spans="1:7">
      <c r="A85" s="5">
        <v>44521</v>
      </c>
      <c r="B85" s="106">
        <v>1.0289999999999999</v>
      </c>
      <c r="C85" s="106">
        <v>1.0289999999999999</v>
      </c>
      <c r="D85" s="71">
        <v>25726891.829999998</v>
      </c>
      <c r="E85" s="71">
        <v>25000000</v>
      </c>
      <c r="F85" s="71">
        <f t="shared" si="1"/>
        <v>0</v>
      </c>
      <c r="G85" s="71">
        <f t="shared" si="0"/>
        <v>726891.82999999821</v>
      </c>
    </row>
    <row r="86" spans="1:7">
      <c r="A86" s="5">
        <v>44522</v>
      </c>
      <c r="B86" s="106">
        <v>1.0309999999999999</v>
      </c>
      <c r="C86" s="106">
        <v>1.0309999999999999</v>
      </c>
      <c r="D86" s="71">
        <v>25768570.690000001</v>
      </c>
      <c r="E86" s="71">
        <v>25000000</v>
      </c>
      <c r="F86" s="71">
        <f t="shared" si="1"/>
        <v>41678.860000003129</v>
      </c>
      <c r="G86" s="71">
        <f t="shared" si="0"/>
        <v>768570.69000000134</v>
      </c>
    </row>
    <row r="87" spans="1:7">
      <c r="A87" s="5">
        <v>44523</v>
      </c>
      <c r="B87" s="106">
        <v>1.048</v>
      </c>
      <c r="C87" s="106">
        <v>1.048</v>
      </c>
      <c r="D87" s="71">
        <v>36354012.829999998</v>
      </c>
      <c r="E87" s="71">
        <v>35000000</v>
      </c>
      <c r="F87" s="71">
        <f t="shared" si="1"/>
        <v>585442.13999999687</v>
      </c>
      <c r="G87" s="71">
        <f t="shared" si="0"/>
        <v>1354012.8299999982</v>
      </c>
    </row>
    <row r="88" spans="1:7">
      <c r="A88" s="5">
        <v>44524</v>
      </c>
      <c r="B88" s="106">
        <v>1.052</v>
      </c>
      <c r="C88" s="106">
        <v>1.052</v>
      </c>
      <c r="D88" s="71">
        <v>36510280.770000003</v>
      </c>
      <c r="E88" s="71">
        <v>35000000</v>
      </c>
      <c r="F88" s="71">
        <f t="shared" si="1"/>
        <v>156267.94000000507</v>
      </c>
      <c r="G88" s="71">
        <f t="shared" si="0"/>
        <v>1510280.7700000033</v>
      </c>
    </row>
    <row r="89" spans="1:7">
      <c r="A89" s="5">
        <v>44525</v>
      </c>
      <c r="B89" s="106">
        <v>1.048</v>
      </c>
      <c r="C89" s="106">
        <v>1.048</v>
      </c>
      <c r="D89" s="71">
        <v>36362154.960000001</v>
      </c>
      <c r="E89" s="71">
        <v>35000000</v>
      </c>
      <c r="F89" s="71">
        <f t="shared" si="1"/>
        <v>-148125.81000000238</v>
      </c>
      <c r="G89" s="71">
        <f t="shared" si="0"/>
        <v>1362154.9600000009</v>
      </c>
    </row>
    <row r="90" spans="1:7">
      <c r="A90" s="5">
        <v>44526</v>
      </c>
      <c r="B90" s="106">
        <v>1.0740000000000001</v>
      </c>
      <c r="C90" s="106">
        <v>1.0740000000000001</v>
      </c>
      <c r="D90" s="71">
        <v>37261370.590000004</v>
      </c>
      <c r="E90" s="71">
        <v>35000000</v>
      </c>
      <c r="F90" s="71">
        <f t="shared" si="1"/>
        <v>899215.63000000268</v>
      </c>
      <c r="G90" s="71">
        <f t="shared" ref="G90:G125" si="2">D90-E90</f>
        <v>2261370.5900000036</v>
      </c>
    </row>
    <row r="91" spans="1:7">
      <c r="A91" s="5">
        <v>44527</v>
      </c>
      <c r="B91" s="106">
        <v>1.0740000000000001</v>
      </c>
      <c r="C91" s="106">
        <v>1.0740000000000001</v>
      </c>
      <c r="D91" s="71">
        <v>37261370.590000004</v>
      </c>
      <c r="E91" s="71">
        <v>35000000</v>
      </c>
      <c r="F91" s="71">
        <f t="shared" ref="F91:F122" si="3">G91-G90</f>
        <v>0</v>
      </c>
      <c r="G91" s="71">
        <f t="shared" si="2"/>
        <v>2261370.5900000036</v>
      </c>
    </row>
    <row r="92" spans="1:7">
      <c r="A92" s="5">
        <v>44528</v>
      </c>
      <c r="B92" s="106">
        <v>1.0740000000000001</v>
      </c>
      <c r="C92" s="106">
        <v>1.0740000000000001</v>
      </c>
      <c r="D92" s="71">
        <v>37261370.590000004</v>
      </c>
      <c r="E92" s="71">
        <v>35000000</v>
      </c>
      <c r="F92" s="71">
        <f t="shared" si="3"/>
        <v>0</v>
      </c>
      <c r="G92" s="71">
        <f t="shared" si="2"/>
        <v>2261370.5900000036</v>
      </c>
    </row>
    <row r="93" spans="1:7">
      <c r="A93" s="5">
        <v>44529</v>
      </c>
      <c r="B93" s="106">
        <v>1.075</v>
      </c>
      <c r="C93" s="106">
        <v>1.075</v>
      </c>
      <c r="D93" s="71">
        <v>37297233.700000003</v>
      </c>
      <c r="E93" s="71">
        <v>35000000</v>
      </c>
      <c r="F93" s="71">
        <f t="shared" si="3"/>
        <v>35863.109999999404</v>
      </c>
      <c r="G93" s="71">
        <f t="shared" si="2"/>
        <v>2297233.700000003</v>
      </c>
    </row>
    <row r="94" spans="1:7">
      <c r="A94" s="5">
        <v>44530</v>
      </c>
      <c r="B94" s="106">
        <v>1.075</v>
      </c>
      <c r="C94" s="106">
        <v>1.075</v>
      </c>
      <c r="D94" s="71">
        <v>37295991.280000001</v>
      </c>
      <c r="E94" s="71">
        <v>35000000</v>
      </c>
      <c r="F94" s="71">
        <f t="shared" si="3"/>
        <v>-1242.4200000017881</v>
      </c>
      <c r="G94" s="71">
        <f t="shared" si="2"/>
        <v>2295991.2800000012</v>
      </c>
    </row>
    <row r="95" spans="1:7">
      <c r="A95" s="5">
        <v>44531</v>
      </c>
      <c r="B95" s="106">
        <v>1.0840000000000001</v>
      </c>
      <c r="C95" s="106">
        <v>1.0840000000000001</v>
      </c>
      <c r="D95" s="71">
        <v>37601003.340000004</v>
      </c>
      <c r="E95" s="71">
        <v>35000000</v>
      </c>
      <c r="F95" s="71">
        <f t="shared" si="3"/>
        <v>305012.06000000238</v>
      </c>
      <c r="G95" s="71">
        <f t="shared" si="2"/>
        <v>2601003.3400000036</v>
      </c>
    </row>
    <row r="96" spans="1:7">
      <c r="A96" s="5">
        <v>44532</v>
      </c>
      <c r="B96" s="106">
        <v>1.081</v>
      </c>
      <c r="C96" s="106">
        <v>1.081</v>
      </c>
      <c r="D96" s="71">
        <v>37517751.079999998</v>
      </c>
      <c r="E96" s="71">
        <v>35000000</v>
      </c>
      <c r="F96" s="71">
        <f t="shared" si="3"/>
        <v>-83252.260000005364</v>
      </c>
      <c r="G96" s="71">
        <f t="shared" si="2"/>
        <v>2517751.0799999982</v>
      </c>
    </row>
    <row r="97" spans="1:7">
      <c r="A97" s="5">
        <v>44533</v>
      </c>
      <c r="B97" s="106">
        <v>1.0820000000000001</v>
      </c>
      <c r="C97" s="106">
        <v>1.0820000000000001</v>
      </c>
      <c r="D97" s="71">
        <v>37549692.530000001</v>
      </c>
      <c r="E97" s="71">
        <v>35000000</v>
      </c>
      <c r="F97" s="71">
        <f t="shared" si="3"/>
        <v>31941.45000000298</v>
      </c>
      <c r="G97" s="71">
        <f t="shared" si="2"/>
        <v>2549692.5300000012</v>
      </c>
    </row>
    <row r="98" spans="1:7">
      <c r="A98" s="5">
        <v>44534</v>
      </c>
      <c r="B98" s="106">
        <v>1.0820000000000001</v>
      </c>
      <c r="C98" s="106">
        <v>1.0820000000000001</v>
      </c>
      <c r="D98" s="71">
        <v>37549692.530000001</v>
      </c>
      <c r="E98" s="71">
        <v>35000000</v>
      </c>
      <c r="F98" s="71">
        <f t="shared" si="3"/>
        <v>0</v>
      </c>
      <c r="G98" s="71">
        <f t="shared" si="2"/>
        <v>2549692.5300000012</v>
      </c>
    </row>
    <row r="99" spans="1:7">
      <c r="A99" s="5">
        <v>44535</v>
      </c>
      <c r="B99" s="106">
        <v>1.0820000000000001</v>
      </c>
      <c r="C99" s="106">
        <v>1.0820000000000001</v>
      </c>
      <c r="D99" s="71">
        <v>37549692.530000001</v>
      </c>
      <c r="E99" s="71">
        <v>35000000</v>
      </c>
      <c r="F99" s="71">
        <f t="shared" si="3"/>
        <v>0</v>
      </c>
      <c r="G99" s="71">
        <f t="shared" si="2"/>
        <v>2549692.5300000012</v>
      </c>
    </row>
    <row r="100" spans="1:7">
      <c r="A100" s="5">
        <v>44536</v>
      </c>
      <c r="B100" s="106">
        <v>1.095</v>
      </c>
      <c r="C100" s="106">
        <v>1.095</v>
      </c>
      <c r="D100" s="71">
        <v>37995628.899999999</v>
      </c>
      <c r="E100" s="71">
        <v>35000000</v>
      </c>
      <c r="F100" s="71">
        <f t="shared" si="3"/>
        <v>445936.36999999732</v>
      </c>
      <c r="G100" s="71">
        <f t="shared" si="2"/>
        <v>2995628.8999999985</v>
      </c>
    </row>
    <row r="101" spans="1:7">
      <c r="A101" s="5">
        <v>44537</v>
      </c>
      <c r="B101" s="106">
        <v>1.08</v>
      </c>
      <c r="C101" s="106">
        <v>1.08</v>
      </c>
      <c r="D101" s="71">
        <v>37480613.469999999</v>
      </c>
      <c r="E101" s="71">
        <v>35000000</v>
      </c>
      <c r="F101" s="71">
        <f t="shared" si="3"/>
        <v>-515015.4299999997</v>
      </c>
      <c r="G101" s="71">
        <f t="shared" si="2"/>
        <v>2480613.4699999988</v>
      </c>
    </row>
    <row r="102" spans="1:7">
      <c r="A102" s="5">
        <v>44538</v>
      </c>
      <c r="B102" s="106">
        <v>1.117</v>
      </c>
      <c r="C102" s="106">
        <v>1.117</v>
      </c>
      <c r="D102" s="71">
        <v>38761394.060000002</v>
      </c>
      <c r="E102" s="71">
        <v>35000000</v>
      </c>
      <c r="F102" s="71">
        <f t="shared" si="3"/>
        <v>1280780.5900000036</v>
      </c>
      <c r="G102" s="71">
        <f t="shared" si="2"/>
        <v>3761394.0600000024</v>
      </c>
    </row>
    <row r="103" spans="1:7">
      <c r="A103" s="5">
        <v>44539</v>
      </c>
      <c r="B103" s="106">
        <v>1.1160000000000001</v>
      </c>
      <c r="C103" s="106">
        <v>1.1160000000000001</v>
      </c>
      <c r="D103" s="71">
        <v>38722856.880000003</v>
      </c>
      <c r="E103" s="71">
        <v>35000000</v>
      </c>
      <c r="F103" s="71">
        <f t="shared" si="3"/>
        <v>-38537.179999999702</v>
      </c>
      <c r="G103" s="71">
        <f t="shared" si="2"/>
        <v>3722856.8800000027</v>
      </c>
    </row>
    <row r="104" spans="1:7">
      <c r="A104" s="5">
        <v>44540</v>
      </c>
      <c r="B104" s="106">
        <v>1.117</v>
      </c>
      <c r="C104" s="106">
        <v>1.117</v>
      </c>
      <c r="D104" s="71">
        <v>38760588.439999998</v>
      </c>
      <c r="E104" s="71">
        <v>35000000</v>
      </c>
      <c r="F104" s="71">
        <f t="shared" si="3"/>
        <v>37731.559999994934</v>
      </c>
      <c r="G104" s="71">
        <f t="shared" si="2"/>
        <v>3760588.4399999976</v>
      </c>
    </row>
    <row r="105" spans="1:7">
      <c r="A105" s="5">
        <v>44541</v>
      </c>
      <c r="B105" s="106">
        <v>1.117</v>
      </c>
      <c r="C105" s="106">
        <v>1.117</v>
      </c>
      <c r="D105" s="71">
        <v>38760588.439999998</v>
      </c>
      <c r="E105" s="71">
        <v>35000000</v>
      </c>
      <c r="F105" s="71">
        <f t="shared" si="3"/>
        <v>0</v>
      </c>
      <c r="G105" s="71">
        <f t="shared" si="2"/>
        <v>3760588.4399999976</v>
      </c>
    </row>
    <row r="106" spans="1:7">
      <c r="A106" s="5">
        <v>44542</v>
      </c>
      <c r="B106" s="106">
        <v>1.117</v>
      </c>
      <c r="C106" s="106">
        <v>1.117</v>
      </c>
      <c r="D106" s="71">
        <v>38760588.439999998</v>
      </c>
      <c r="E106" s="71">
        <v>35000000</v>
      </c>
      <c r="F106" s="71">
        <f t="shared" si="3"/>
        <v>0</v>
      </c>
      <c r="G106" s="71">
        <f t="shared" si="2"/>
        <v>3760588.4399999976</v>
      </c>
    </row>
    <row r="107" spans="1:7">
      <c r="A107" s="5">
        <v>44543</v>
      </c>
      <c r="B107" s="106">
        <v>1.1140000000000001</v>
      </c>
      <c r="C107" s="106">
        <v>1.1140000000000001</v>
      </c>
      <c r="D107" s="71">
        <v>38663670.259999998</v>
      </c>
      <c r="E107" s="71">
        <v>35000000</v>
      </c>
      <c r="F107" s="71">
        <f t="shared" si="3"/>
        <v>-96918.179999999702</v>
      </c>
      <c r="G107" s="71">
        <f t="shared" si="2"/>
        <v>3663670.2599999979</v>
      </c>
    </row>
    <row r="108" spans="1:7">
      <c r="A108" s="5">
        <v>44544</v>
      </c>
      <c r="B108" s="106">
        <v>1.117</v>
      </c>
      <c r="C108" s="106">
        <v>1.117</v>
      </c>
      <c r="D108" s="71">
        <v>38751570.780000001</v>
      </c>
      <c r="E108" s="71">
        <v>35000000</v>
      </c>
      <c r="F108" s="71">
        <f t="shared" si="3"/>
        <v>87900.520000003278</v>
      </c>
      <c r="G108" s="71">
        <f t="shared" si="2"/>
        <v>3751570.7800000012</v>
      </c>
    </row>
    <row r="109" spans="1:7">
      <c r="A109" s="5">
        <v>44545</v>
      </c>
      <c r="B109" s="106">
        <v>1.1060000000000001</v>
      </c>
      <c r="C109" s="106">
        <v>1.1060000000000001</v>
      </c>
      <c r="D109" s="71">
        <v>38375365.560000002</v>
      </c>
      <c r="E109" s="71">
        <v>35000000</v>
      </c>
      <c r="F109" s="71">
        <f t="shared" si="3"/>
        <v>-376205.21999999881</v>
      </c>
      <c r="G109" s="71">
        <f t="shared" si="2"/>
        <v>3375365.5600000024</v>
      </c>
    </row>
    <row r="110" spans="1:7">
      <c r="A110" s="5">
        <v>44546</v>
      </c>
      <c r="B110" s="106">
        <v>1.1080000000000001</v>
      </c>
      <c r="C110" s="106">
        <v>1.1080000000000001</v>
      </c>
      <c r="D110" s="71">
        <v>38445571.950000003</v>
      </c>
      <c r="E110" s="71">
        <v>35000000</v>
      </c>
      <c r="F110" s="71">
        <f t="shared" si="3"/>
        <v>70206.390000000596</v>
      </c>
      <c r="G110" s="71">
        <f t="shared" si="2"/>
        <v>3445571.950000003</v>
      </c>
    </row>
    <row r="111" spans="1:7">
      <c r="A111" s="5">
        <v>44547</v>
      </c>
      <c r="B111" s="106">
        <v>1.097</v>
      </c>
      <c r="C111" s="106">
        <v>1.097</v>
      </c>
      <c r="D111" s="71">
        <v>38082311.560000002</v>
      </c>
      <c r="E111" s="71">
        <v>35000000</v>
      </c>
      <c r="F111" s="71">
        <f t="shared" si="3"/>
        <v>-363260.3900000006</v>
      </c>
      <c r="G111" s="71">
        <f t="shared" si="2"/>
        <v>3082311.5600000024</v>
      </c>
    </row>
    <row r="112" spans="1:7">
      <c r="A112" s="5">
        <v>44548</v>
      </c>
      <c r="B112" s="106">
        <v>1.097</v>
      </c>
      <c r="C112" s="106">
        <v>1.097</v>
      </c>
      <c r="D112" s="71">
        <v>38082311.560000002</v>
      </c>
      <c r="E112" s="71">
        <v>35000000</v>
      </c>
      <c r="F112" s="71">
        <f t="shared" si="3"/>
        <v>0</v>
      </c>
      <c r="G112" s="71">
        <f t="shared" si="2"/>
        <v>3082311.5600000024</v>
      </c>
    </row>
    <row r="113" spans="1:7">
      <c r="A113" s="5">
        <v>44549</v>
      </c>
      <c r="B113" s="106">
        <v>1.097</v>
      </c>
      <c r="C113" s="106">
        <v>1.097</v>
      </c>
      <c r="D113" s="71">
        <v>38082311.560000002</v>
      </c>
      <c r="E113" s="71">
        <v>35000000</v>
      </c>
      <c r="F113" s="71">
        <f t="shared" si="3"/>
        <v>0</v>
      </c>
      <c r="G113" s="71">
        <f t="shared" si="2"/>
        <v>3082311.5600000024</v>
      </c>
    </row>
    <row r="114" spans="1:7">
      <c r="A114" s="5">
        <v>44550</v>
      </c>
      <c r="B114" s="106">
        <v>1.0900000000000001</v>
      </c>
      <c r="C114" s="106">
        <v>1.0900000000000001</v>
      </c>
      <c r="D114" s="71">
        <v>37815406.100000001</v>
      </c>
      <c r="E114" s="71">
        <v>35000000</v>
      </c>
      <c r="F114" s="71">
        <f t="shared" si="3"/>
        <v>-266905.46000000089</v>
      </c>
      <c r="G114" s="71">
        <f t="shared" si="2"/>
        <v>2815406.1000000015</v>
      </c>
    </row>
    <row r="115" spans="1:7">
      <c r="A115" s="5">
        <v>44551</v>
      </c>
      <c r="B115" s="106">
        <v>1.1000000000000001</v>
      </c>
      <c r="C115" s="106">
        <v>1.1000000000000001</v>
      </c>
      <c r="D115" s="71">
        <v>38153371.539999999</v>
      </c>
      <c r="E115" s="71">
        <v>35000000</v>
      </c>
      <c r="F115" s="71">
        <f t="shared" si="3"/>
        <v>337965.43999999762</v>
      </c>
      <c r="G115" s="71">
        <f t="shared" si="2"/>
        <v>3153371.5399999991</v>
      </c>
    </row>
    <row r="116" spans="1:7">
      <c r="A116" s="5">
        <v>44552</v>
      </c>
      <c r="B116" s="106">
        <v>1.1160000000000001</v>
      </c>
      <c r="C116" s="106">
        <v>1.1160000000000001</v>
      </c>
      <c r="D116" s="71">
        <v>48886616.189999998</v>
      </c>
      <c r="E116" s="71">
        <v>45000000</v>
      </c>
      <c r="F116" s="71">
        <f t="shared" si="3"/>
        <v>733244.64999999851</v>
      </c>
      <c r="G116" s="71">
        <f t="shared" si="2"/>
        <v>3886616.1899999976</v>
      </c>
    </row>
    <row r="117" spans="1:7">
      <c r="A117" s="5">
        <v>44553</v>
      </c>
      <c r="B117" s="106">
        <v>1.125</v>
      </c>
      <c r="C117" s="106">
        <v>1.125</v>
      </c>
      <c r="D117" s="71">
        <v>49248048.93</v>
      </c>
      <c r="E117" s="71">
        <v>45000000</v>
      </c>
      <c r="F117" s="71">
        <f t="shared" si="3"/>
        <v>361432.74000000209</v>
      </c>
      <c r="G117" s="71">
        <f t="shared" si="2"/>
        <v>4248048.93</v>
      </c>
    </row>
    <row r="118" spans="1:7">
      <c r="A118" s="5">
        <v>44554</v>
      </c>
      <c r="B118" s="106">
        <v>1.125</v>
      </c>
      <c r="C118" s="106">
        <v>1.125</v>
      </c>
      <c r="D118" s="71">
        <v>49248681.609999999</v>
      </c>
      <c r="E118" s="71">
        <v>45000000</v>
      </c>
      <c r="F118" s="71">
        <f t="shared" si="3"/>
        <v>632.67999999970198</v>
      </c>
      <c r="G118" s="71">
        <f t="shared" si="2"/>
        <v>4248681.6099999994</v>
      </c>
    </row>
    <row r="119" spans="1:7">
      <c r="A119" s="5">
        <v>44555</v>
      </c>
      <c r="B119" s="106">
        <v>1.125</v>
      </c>
      <c r="C119" s="106">
        <v>1.125</v>
      </c>
      <c r="D119" s="71">
        <v>49248681.609999999</v>
      </c>
      <c r="E119" s="71">
        <v>45000000</v>
      </c>
      <c r="F119" s="71">
        <f t="shared" si="3"/>
        <v>0</v>
      </c>
      <c r="G119" s="71">
        <f t="shared" si="2"/>
        <v>4248681.6099999994</v>
      </c>
    </row>
    <row r="120" spans="1:7">
      <c r="A120" s="5">
        <v>44556</v>
      </c>
      <c r="B120" s="106">
        <v>1.125</v>
      </c>
      <c r="C120" s="106">
        <v>1.125</v>
      </c>
      <c r="D120" s="71">
        <v>49248681.609999999</v>
      </c>
      <c r="E120" s="71">
        <v>45000000</v>
      </c>
      <c r="F120" s="71">
        <f t="shared" si="3"/>
        <v>0</v>
      </c>
      <c r="G120" s="71">
        <f t="shared" si="2"/>
        <v>4248681.6099999994</v>
      </c>
    </row>
    <row r="121" spans="1:7">
      <c r="A121" s="5">
        <v>44557</v>
      </c>
      <c r="B121" s="106">
        <v>1.1439999999999999</v>
      </c>
      <c r="C121" s="106">
        <v>1.1439999999999999</v>
      </c>
      <c r="D121" s="71">
        <v>50103574.340000004</v>
      </c>
      <c r="E121" s="71">
        <v>45000000</v>
      </c>
      <c r="F121" s="71">
        <f t="shared" si="3"/>
        <v>854892.73000000417</v>
      </c>
      <c r="G121" s="71">
        <f t="shared" si="2"/>
        <v>5103574.3400000036</v>
      </c>
    </row>
    <row r="122" spans="1:7">
      <c r="A122" s="5">
        <v>44558</v>
      </c>
      <c r="B122" s="106">
        <v>1.1499999999999999</v>
      </c>
      <c r="C122" s="106">
        <v>1.1499999999999999</v>
      </c>
      <c r="D122" s="71">
        <v>50349329.490000002</v>
      </c>
      <c r="E122" s="71">
        <v>45000000</v>
      </c>
      <c r="F122" s="71">
        <f t="shared" si="3"/>
        <v>245755.14999999851</v>
      </c>
      <c r="G122" s="71">
        <f t="shared" si="2"/>
        <v>5349329.4900000021</v>
      </c>
    </row>
    <row r="123" spans="1:7">
      <c r="A123" s="5">
        <v>44559</v>
      </c>
      <c r="B123" s="106">
        <v>1.155</v>
      </c>
      <c r="C123" s="106">
        <v>1.155</v>
      </c>
      <c r="D123" s="71">
        <v>50597123.490000002</v>
      </c>
      <c r="E123" s="71">
        <v>45000000</v>
      </c>
      <c r="F123" s="71">
        <f t="shared" ref="F123:F125" si="4">G123-G122</f>
        <v>247794</v>
      </c>
      <c r="G123" s="71">
        <f t="shared" si="2"/>
        <v>5597123.4900000021</v>
      </c>
    </row>
    <row r="124" spans="1:7">
      <c r="A124" s="1" t="s">
        <v>135</v>
      </c>
      <c r="B124" s="106">
        <v>1.169</v>
      </c>
      <c r="C124" s="106">
        <v>1.169</v>
      </c>
      <c r="D124" s="71">
        <v>51183638.140000001</v>
      </c>
      <c r="E124" s="82">
        <v>45000000</v>
      </c>
      <c r="F124" s="82">
        <f t="shared" si="4"/>
        <v>586514.64999999851</v>
      </c>
      <c r="G124" s="82">
        <f t="shared" si="2"/>
        <v>6183638.1400000006</v>
      </c>
    </row>
    <row r="125" spans="1:7" s="18" customFormat="1">
      <c r="A125" s="17" t="s">
        <v>136</v>
      </c>
      <c r="B125" s="107">
        <v>1.1599999999999999</v>
      </c>
      <c r="C125" s="107">
        <v>1.1599999999999999</v>
      </c>
      <c r="D125" s="108">
        <v>50817502.340000004</v>
      </c>
      <c r="E125" s="109">
        <v>45000000</v>
      </c>
      <c r="F125" s="109">
        <f t="shared" si="4"/>
        <v>-366135.79999999702</v>
      </c>
      <c r="G125" s="109">
        <f t="shared" si="2"/>
        <v>5817502.3400000036</v>
      </c>
    </row>
    <row r="126" spans="1:7">
      <c r="A126" s="50">
        <v>44562</v>
      </c>
      <c r="B126" s="106">
        <v>1.1599999999999999</v>
      </c>
      <c r="C126" s="106">
        <v>1.1599999999999999</v>
      </c>
      <c r="D126" s="71">
        <v>50817502.340000004</v>
      </c>
      <c r="E126" s="71">
        <v>45000000</v>
      </c>
      <c r="F126" s="71">
        <v>0</v>
      </c>
      <c r="G126" s="82">
        <f t="shared" ref="G126:G143" si="5">D126-E126-$G$125</f>
        <v>0</v>
      </c>
    </row>
    <row r="127" spans="1:7">
      <c r="A127" s="50">
        <v>44563</v>
      </c>
      <c r="B127" s="106">
        <v>1.1599999999999999</v>
      </c>
      <c r="C127" s="106">
        <v>1.1599999999999999</v>
      </c>
      <c r="D127" s="71">
        <v>50817502.340000004</v>
      </c>
      <c r="E127" s="71">
        <v>45000000</v>
      </c>
      <c r="F127" s="71">
        <v>0</v>
      </c>
      <c r="G127" s="82">
        <f t="shared" si="5"/>
        <v>0</v>
      </c>
    </row>
    <row r="128" spans="1:7">
      <c r="A128" s="50">
        <v>44564</v>
      </c>
      <c r="B128" s="106">
        <v>1.1599999999999999</v>
      </c>
      <c r="C128" s="106">
        <v>1.1599999999999999</v>
      </c>
      <c r="D128" s="71">
        <v>50817502.340000004</v>
      </c>
      <c r="E128" s="71">
        <v>45000000</v>
      </c>
      <c r="F128" s="71">
        <v>0</v>
      </c>
      <c r="G128" s="82">
        <f t="shared" si="5"/>
        <v>0</v>
      </c>
    </row>
    <row r="129" spans="1:7">
      <c r="A129" s="50">
        <v>44565</v>
      </c>
      <c r="B129" s="106">
        <v>1.171</v>
      </c>
      <c r="C129" s="106">
        <v>1.171</v>
      </c>
      <c r="D129" s="71">
        <v>51276208.560000002</v>
      </c>
      <c r="E129" s="71">
        <v>45000000</v>
      </c>
      <c r="F129" s="71">
        <f t="shared" ref="F129:F143" si="6">G129-G128</f>
        <v>458706.21999999881</v>
      </c>
      <c r="G129" s="82">
        <f t="shared" si="5"/>
        <v>458706.21999999881</v>
      </c>
    </row>
    <row r="130" spans="1:7">
      <c r="A130" s="50">
        <v>44566</v>
      </c>
      <c r="B130" s="110">
        <v>1.1739999999999999</v>
      </c>
      <c r="C130" s="110">
        <v>1.1739999999999999</v>
      </c>
      <c r="D130" s="82">
        <v>51423022.079999998</v>
      </c>
      <c r="E130" s="82">
        <v>45000000</v>
      </c>
      <c r="F130" s="82">
        <f t="shared" si="6"/>
        <v>146813.51999999583</v>
      </c>
      <c r="G130" s="82">
        <f t="shared" si="5"/>
        <v>605519.73999999464</v>
      </c>
    </row>
    <row r="131" spans="1:7">
      <c r="A131" s="50">
        <v>44567</v>
      </c>
      <c r="B131" s="111">
        <v>1.175</v>
      </c>
      <c r="C131" s="111">
        <v>1.175</v>
      </c>
      <c r="D131" s="82">
        <v>51452995.399999999</v>
      </c>
      <c r="E131" s="82">
        <v>45000000</v>
      </c>
      <c r="F131" s="82">
        <f t="shared" si="6"/>
        <v>29973.320000000298</v>
      </c>
      <c r="G131" s="82">
        <f t="shared" si="5"/>
        <v>635493.05999999493</v>
      </c>
    </row>
    <row r="132" spans="1:7">
      <c r="A132" s="50">
        <v>44568</v>
      </c>
      <c r="B132" s="111">
        <v>1.153</v>
      </c>
      <c r="C132" s="111">
        <v>1.153</v>
      </c>
      <c r="D132" s="82">
        <v>50504421.880000003</v>
      </c>
      <c r="E132" s="82">
        <v>45000000</v>
      </c>
      <c r="F132" s="82">
        <f t="shared" si="6"/>
        <v>-948573.51999999583</v>
      </c>
      <c r="G132" s="82">
        <f t="shared" si="5"/>
        <v>-313080.46000000089</v>
      </c>
    </row>
    <row r="133" spans="1:7">
      <c r="A133" s="50">
        <v>44569</v>
      </c>
      <c r="B133" s="111">
        <v>1.153</v>
      </c>
      <c r="C133" s="111">
        <v>1.153</v>
      </c>
      <c r="D133" s="82">
        <v>50504421.880000003</v>
      </c>
      <c r="E133" s="82">
        <v>45000000</v>
      </c>
      <c r="F133" s="82">
        <f t="shared" si="6"/>
        <v>0</v>
      </c>
      <c r="G133" s="82">
        <f t="shared" si="5"/>
        <v>-313080.46000000089</v>
      </c>
    </row>
    <row r="134" spans="1:7">
      <c r="A134" s="50">
        <v>44570</v>
      </c>
      <c r="B134" s="111">
        <v>1.153</v>
      </c>
      <c r="C134" s="111">
        <v>1.153</v>
      </c>
      <c r="D134" s="82">
        <v>50504421.880000003</v>
      </c>
      <c r="E134" s="82">
        <v>45000000</v>
      </c>
      <c r="F134" s="82">
        <f t="shared" si="6"/>
        <v>0</v>
      </c>
      <c r="G134" s="82">
        <f t="shared" si="5"/>
        <v>-313080.46000000089</v>
      </c>
    </row>
    <row r="135" spans="1:7">
      <c r="A135" s="50">
        <v>44571</v>
      </c>
      <c r="B135" s="112">
        <v>1.1679999999999999</v>
      </c>
      <c r="C135" s="112">
        <v>1.1679999999999999</v>
      </c>
      <c r="D135" s="82">
        <v>51143599.560000002</v>
      </c>
      <c r="E135" s="82">
        <v>45000000</v>
      </c>
      <c r="F135" s="82">
        <f t="shared" si="6"/>
        <v>639177.6799999997</v>
      </c>
      <c r="G135" s="82">
        <f t="shared" si="5"/>
        <v>326097.21999999881</v>
      </c>
    </row>
    <row r="136" spans="1:7">
      <c r="A136" s="50">
        <v>44572</v>
      </c>
      <c r="B136" s="113">
        <v>1.1659999999999999</v>
      </c>
      <c r="C136" s="113">
        <v>1.1659999999999999</v>
      </c>
      <c r="D136" s="82">
        <v>51075696.859999999</v>
      </c>
      <c r="E136" s="82">
        <v>45000000</v>
      </c>
      <c r="F136" s="82">
        <f t="shared" si="6"/>
        <v>-67902.70000000298</v>
      </c>
      <c r="G136" s="82">
        <f t="shared" si="5"/>
        <v>258194.51999999583</v>
      </c>
    </row>
    <row r="137" spans="1:7">
      <c r="A137" s="50">
        <v>44573</v>
      </c>
      <c r="B137" s="114">
        <v>1.18</v>
      </c>
      <c r="C137" s="114">
        <v>1.18</v>
      </c>
      <c r="D137" s="82">
        <v>51667765.219999999</v>
      </c>
      <c r="E137" s="82">
        <v>45000000</v>
      </c>
      <c r="F137" s="82">
        <f t="shared" si="6"/>
        <v>592068.3599999994</v>
      </c>
      <c r="G137" s="82">
        <f t="shared" si="5"/>
        <v>850262.87999999523</v>
      </c>
    </row>
    <row r="138" spans="1:7">
      <c r="A138" s="50">
        <v>44574</v>
      </c>
      <c r="B138" s="115">
        <v>1.1619999999999999</v>
      </c>
      <c r="C138" s="115">
        <v>1.1619999999999999</v>
      </c>
      <c r="D138" s="82">
        <v>50869246.960000001</v>
      </c>
      <c r="E138" s="82">
        <v>45000000</v>
      </c>
      <c r="F138" s="82">
        <f t="shared" si="6"/>
        <v>-798518.25999999791</v>
      </c>
      <c r="G138" s="82">
        <f t="shared" si="5"/>
        <v>51744.619999997318</v>
      </c>
    </row>
    <row r="139" spans="1:7">
      <c r="A139" s="50">
        <v>44575</v>
      </c>
      <c r="B139" s="116">
        <v>1.163</v>
      </c>
      <c r="C139" s="116">
        <v>1.163</v>
      </c>
      <c r="D139" s="82">
        <v>50930072.710000001</v>
      </c>
      <c r="E139" s="82">
        <v>45000000</v>
      </c>
      <c r="F139" s="82">
        <f t="shared" si="6"/>
        <v>60825.75</v>
      </c>
      <c r="G139" s="82">
        <f t="shared" si="5"/>
        <v>112570.36999999732</v>
      </c>
    </row>
    <row r="140" spans="1:7">
      <c r="A140" s="50">
        <v>44576</v>
      </c>
      <c r="B140" s="116">
        <v>1.163</v>
      </c>
      <c r="C140" s="116">
        <v>1.163</v>
      </c>
      <c r="D140" s="82">
        <v>50930072.710000001</v>
      </c>
      <c r="E140" s="82">
        <v>45000000</v>
      </c>
      <c r="F140" s="82">
        <f t="shared" si="6"/>
        <v>0</v>
      </c>
      <c r="G140" s="82">
        <f t="shared" si="5"/>
        <v>112570.36999999732</v>
      </c>
    </row>
    <row r="141" spans="1:7">
      <c r="A141" s="50">
        <v>44577</v>
      </c>
      <c r="B141" s="116">
        <v>1.163</v>
      </c>
      <c r="C141" s="116">
        <v>1.163</v>
      </c>
      <c r="D141" s="82">
        <v>50930072.710000001</v>
      </c>
      <c r="E141" s="82">
        <v>45000000</v>
      </c>
      <c r="F141" s="82">
        <f t="shared" si="6"/>
        <v>0</v>
      </c>
      <c r="G141" s="82">
        <f t="shared" si="5"/>
        <v>112570.36999999732</v>
      </c>
    </row>
    <row r="142" spans="1:7">
      <c r="A142" s="130">
        <v>44578</v>
      </c>
      <c r="B142" s="117">
        <v>1.181</v>
      </c>
      <c r="C142" s="117">
        <v>1.181</v>
      </c>
      <c r="D142" s="127">
        <v>51699220.560000002</v>
      </c>
      <c r="E142" s="127">
        <v>45000000</v>
      </c>
      <c r="F142" s="127">
        <f t="shared" si="6"/>
        <v>769147.85000000149</v>
      </c>
      <c r="G142" s="127">
        <f t="shared" si="5"/>
        <v>881718.21999999881</v>
      </c>
    </row>
    <row r="143" spans="1:7">
      <c r="A143" s="130">
        <v>44579</v>
      </c>
      <c r="B143" s="117">
        <v>1.1819999999999999</v>
      </c>
      <c r="C143" s="117">
        <v>1.1819999999999999</v>
      </c>
      <c r="D143" s="127">
        <v>51777888.420000002</v>
      </c>
      <c r="E143" s="127">
        <v>45000000</v>
      </c>
      <c r="F143" s="127">
        <f t="shared" si="6"/>
        <v>78667.859999999404</v>
      </c>
      <c r="G143" s="127">
        <f t="shared" si="5"/>
        <v>960386.07999999821</v>
      </c>
    </row>
    <row r="144" spans="1:7">
      <c r="A144" s="130">
        <v>44580</v>
      </c>
      <c r="B144" s="117">
        <v>1.1719999999999999</v>
      </c>
      <c r="C144" s="117">
        <v>1.1719999999999999</v>
      </c>
      <c r="D144" s="127">
        <v>51342190.340000004</v>
      </c>
      <c r="E144" s="127">
        <v>45000000</v>
      </c>
      <c r="F144" s="127">
        <f t="shared" ref="F144" si="7">G144-G143</f>
        <v>-435698.07999999821</v>
      </c>
      <c r="G144" s="127">
        <f t="shared" ref="G144" si="8">D144-E144-$G$125</f>
        <v>524688</v>
      </c>
    </row>
    <row r="145" spans="1:7">
      <c r="A145" s="130">
        <v>44581</v>
      </c>
      <c r="B145" s="117">
        <v>1.1519999999999999</v>
      </c>
      <c r="C145" s="117">
        <v>1.1519999999999999</v>
      </c>
      <c r="D145" s="127">
        <v>50447562.869999997</v>
      </c>
      <c r="E145" s="127">
        <v>45000000</v>
      </c>
      <c r="F145" s="127">
        <f t="shared" ref="F145" si="9">G145-G144</f>
        <v>-894627.47000000626</v>
      </c>
      <c r="G145" s="127">
        <f t="shared" ref="G145" si="10">D145-E145-$G$125</f>
        <v>-369939.47000000626</v>
      </c>
    </row>
    <row r="146" spans="1:7">
      <c r="A146" s="130">
        <v>44582</v>
      </c>
      <c r="B146" s="117">
        <v>1.149</v>
      </c>
      <c r="C146" s="117">
        <v>1.149</v>
      </c>
      <c r="D146" s="127">
        <v>50333925.100000001</v>
      </c>
      <c r="E146" s="127">
        <v>45000000</v>
      </c>
      <c r="F146" s="127">
        <f t="shared" ref="F146" si="11">G146-G145</f>
        <v>-113637.76999999583</v>
      </c>
      <c r="G146" s="127">
        <f t="shared" ref="G146" si="12">D146-E146-$G$125</f>
        <v>-483577.24000000209</v>
      </c>
    </row>
    <row r="147" spans="1:7">
      <c r="A147" s="130">
        <v>44583</v>
      </c>
      <c r="B147" s="117">
        <v>1.149</v>
      </c>
      <c r="C147" s="117">
        <v>1.149</v>
      </c>
      <c r="D147" s="127">
        <v>50333925.100000001</v>
      </c>
      <c r="E147" s="127">
        <v>45000000</v>
      </c>
      <c r="F147" s="127">
        <f t="shared" ref="F147:F149" si="13">G147-G146</f>
        <v>0</v>
      </c>
      <c r="G147" s="127">
        <f t="shared" ref="G147:G149" si="14">D147-E147-$G$125</f>
        <v>-483577.24000000209</v>
      </c>
    </row>
    <row r="148" spans="1:7">
      <c r="A148" s="130">
        <v>44584</v>
      </c>
      <c r="B148" s="117">
        <v>1.149</v>
      </c>
      <c r="C148" s="117">
        <v>1.149</v>
      </c>
      <c r="D148" s="127">
        <v>50333925.100000001</v>
      </c>
      <c r="E148" s="127">
        <v>45000000</v>
      </c>
      <c r="F148" s="127">
        <f t="shared" si="13"/>
        <v>0</v>
      </c>
      <c r="G148" s="127">
        <f t="shared" si="14"/>
        <v>-483577.24000000209</v>
      </c>
    </row>
    <row r="149" spans="1:7">
      <c r="A149" s="130">
        <v>44585</v>
      </c>
      <c r="B149" s="117">
        <v>1.1479999999999999</v>
      </c>
      <c r="C149" s="117">
        <v>1.1479999999999999</v>
      </c>
      <c r="D149" s="127">
        <v>50264884.520000003</v>
      </c>
      <c r="E149" s="127">
        <v>45000000</v>
      </c>
      <c r="F149" s="127">
        <f t="shared" si="13"/>
        <v>-69040.579999998212</v>
      </c>
      <c r="G149" s="127">
        <f t="shared" si="14"/>
        <v>-552617.8200000003</v>
      </c>
    </row>
    <row r="150" spans="1:7">
      <c r="A150" s="130">
        <v>44586</v>
      </c>
      <c r="B150" s="117">
        <v>1.113</v>
      </c>
      <c r="C150" s="117">
        <v>1.113</v>
      </c>
      <c r="D150" s="127">
        <v>48734748.049999997</v>
      </c>
      <c r="E150" s="127">
        <v>45000000</v>
      </c>
      <c r="F150" s="127">
        <f t="shared" ref="F150" si="15">G150-G149</f>
        <v>-1530136.4700000063</v>
      </c>
      <c r="G150" s="127">
        <f t="shared" ref="G150" si="16">D150-E150-$G$125</f>
        <v>-2082754.2900000066</v>
      </c>
    </row>
    <row r="151" spans="1:7">
      <c r="A151" s="130">
        <v>44587</v>
      </c>
      <c r="B151" s="117">
        <v>1.1240000000000001</v>
      </c>
      <c r="C151" s="117">
        <v>1.1240000000000001</v>
      </c>
      <c r="D151" s="127">
        <v>49198508.810000002</v>
      </c>
      <c r="E151" s="127">
        <v>45000000</v>
      </c>
      <c r="F151" s="127">
        <f t="shared" ref="F151" si="17">G151-G150</f>
        <v>463760.76000000536</v>
      </c>
      <c r="G151" s="127">
        <f t="shared" ref="G151" si="18">D151-E151-$G$125</f>
        <v>-1618993.5300000012</v>
      </c>
    </row>
    <row r="152" spans="1:7">
      <c r="A152" s="130">
        <v>44588</v>
      </c>
      <c r="B152" s="117">
        <v>1.095</v>
      </c>
      <c r="C152" s="117">
        <v>1.095</v>
      </c>
      <c r="D152" s="127">
        <v>47958477.390000001</v>
      </c>
      <c r="E152" s="127">
        <v>45000000</v>
      </c>
      <c r="F152" s="127">
        <f t="shared" ref="F152:F153" si="19">G152-G151</f>
        <v>-1240031.4200000018</v>
      </c>
      <c r="G152" s="127">
        <f t="shared" ref="G152:G153" si="20">D152-E152-$G$125</f>
        <v>-2859024.950000003</v>
      </c>
    </row>
    <row r="153" spans="1:7">
      <c r="A153" s="130">
        <v>44589</v>
      </c>
      <c r="B153" s="117">
        <v>1.091</v>
      </c>
      <c r="C153" s="117">
        <v>1.095</v>
      </c>
      <c r="D153" s="71">
        <v>47766113.009999998</v>
      </c>
      <c r="E153" s="127">
        <v>45000000</v>
      </c>
      <c r="F153" s="127">
        <f t="shared" si="19"/>
        <v>-192364.38000000268</v>
      </c>
      <c r="G153" s="127">
        <f t="shared" si="20"/>
        <v>-3051389.3300000057</v>
      </c>
    </row>
    <row r="154" spans="1:7">
      <c r="A154" s="130">
        <v>44590</v>
      </c>
      <c r="B154" s="117">
        <v>1.091</v>
      </c>
      <c r="C154" s="117">
        <v>1.095</v>
      </c>
      <c r="D154" s="71">
        <v>47766113.009999998</v>
      </c>
      <c r="E154" s="127">
        <v>45000000</v>
      </c>
      <c r="F154" s="127">
        <f t="shared" ref="F154:F163" si="21">G154-G153</f>
        <v>0</v>
      </c>
      <c r="G154" s="127">
        <f t="shared" ref="G154:G163" si="22">D154-E154-$G$125</f>
        <v>-3051389.3300000057</v>
      </c>
    </row>
    <row r="155" spans="1:7">
      <c r="A155" s="130">
        <v>44591</v>
      </c>
      <c r="B155" s="117">
        <v>1.091</v>
      </c>
      <c r="C155" s="117">
        <v>1.095</v>
      </c>
      <c r="D155" s="71">
        <v>47766113.009999998</v>
      </c>
      <c r="E155" s="127">
        <v>45000000</v>
      </c>
      <c r="F155" s="127">
        <f t="shared" si="21"/>
        <v>0</v>
      </c>
      <c r="G155" s="127">
        <f t="shared" si="22"/>
        <v>-3051389.3300000057</v>
      </c>
    </row>
    <row r="156" spans="1:7">
      <c r="A156" s="130">
        <v>44592</v>
      </c>
      <c r="B156" s="117">
        <v>1.091</v>
      </c>
      <c r="C156" s="117">
        <v>1.095</v>
      </c>
      <c r="D156" s="71">
        <v>47766113.009999998</v>
      </c>
      <c r="E156" s="127">
        <v>45000000</v>
      </c>
      <c r="F156" s="127">
        <f t="shared" si="21"/>
        <v>0</v>
      </c>
      <c r="G156" s="127">
        <f t="shared" si="22"/>
        <v>-3051389.3300000057</v>
      </c>
    </row>
    <row r="157" spans="1:7">
      <c r="A157" s="130">
        <v>44593</v>
      </c>
      <c r="B157" s="117">
        <v>1.091</v>
      </c>
      <c r="C157" s="117">
        <v>1.095</v>
      </c>
      <c r="D157" s="71">
        <v>47766113.009999998</v>
      </c>
      <c r="E157" s="127">
        <v>45000000</v>
      </c>
      <c r="F157" s="127">
        <f t="shared" si="21"/>
        <v>0</v>
      </c>
      <c r="G157" s="127">
        <f t="shared" si="22"/>
        <v>-3051389.3300000057</v>
      </c>
    </row>
    <row r="158" spans="1:7">
      <c r="A158" s="130">
        <v>44594</v>
      </c>
      <c r="B158" s="117">
        <v>1.091</v>
      </c>
      <c r="C158" s="117">
        <v>1.095</v>
      </c>
      <c r="D158" s="71">
        <v>47766113.009999998</v>
      </c>
      <c r="E158" s="127">
        <v>45000000</v>
      </c>
      <c r="F158" s="127">
        <f t="shared" si="21"/>
        <v>0</v>
      </c>
      <c r="G158" s="127">
        <f t="shared" si="22"/>
        <v>-3051389.3300000057</v>
      </c>
    </row>
    <row r="159" spans="1:7">
      <c r="A159" s="130">
        <v>44595</v>
      </c>
      <c r="B159" s="117">
        <v>1.091</v>
      </c>
      <c r="C159" s="117">
        <v>1.095</v>
      </c>
      <c r="D159" s="71">
        <v>47766113.009999998</v>
      </c>
      <c r="E159" s="127">
        <v>45000000</v>
      </c>
      <c r="F159" s="127">
        <f t="shared" si="21"/>
        <v>0</v>
      </c>
      <c r="G159" s="127">
        <f t="shared" si="22"/>
        <v>-3051389.3300000057</v>
      </c>
    </row>
    <row r="160" spans="1:7">
      <c r="A160" s="130">
        <v>44596</v>
      </c>
      <c r="B160" s="117">
        <v>1.091</v>
      </c>
      <c r="C160" s="117">
        <v>1.095</v>
      </c>
      <c r="D160" s="71">
        <v>47766113.009999998</v>
      </c>
      <c r="E160" s="127">
        <v>45000000</v>
      </c>
      <c r="F160" s="127">
        <f t="shared" si="21"/>
        <v>0</v>
      </c>
      <c r="G160" s="127">
        <f t="shared" si="22"/>
        <v>-3051389.3300000057</v>
      </c>
    </row>
    <row r="161" spans="1:7">
      <c r="A161" s="130">
        <v>44597</v>
      </c>
      <c r="B161" s="117">
        <v>1.091</v>
      </c>
      <c r="C161" s="117">
        <v>1.095</v>
      </c>
      <c r="D161" s="71">
        <v>47766113.009999998</v>
      </c>
      <c r="E161" s="127">
        <v>45000000</v>
      </c>
      <c r="F161" s="127">
        <f t="shared" si="21"/>
        <v>0</v>
      </c>
      <c r="G161" s="127">
        <f t="shared" si="22"/>
        <v>-3051389.3300000057</v>
      </c>
    </row>
    <row r="162" spans="1:7">
      <c r="A162" s="130">
        <v>44598</v>
      </c>
      <c r="B162" s="117">
        <v>1.091</v>
      </c>
      <c r="C162" s="117">
        <v>1.095</v>
      </c>
      <c r="D162" s="71">
        <v>47766113.009999998</v>
      </c>
      <c r="E162" s="127">
        <v>45000000</v>
      </c>
      <c r="F162" s="127">
        <f t="shared" si="21"/>
        <v>0</v>
      </c>
      <c r="G162" s="127">
        <f t="shared" si="22"/>
        <v>-3051389.3300000057</v>
      </c>
    </row>
    <row r="163" spans="1:7">
      <c r="A163" s="130">
        <v>44599</v>
      </c>
      <c r="B163" s="117">
        <v>1.107</v>
      </c>
      <c r="C163" s="117">
        <v>1.107</v>
      </c>
      <c r="D163" s="71">
        <v>48459071.609999999</v>
      </c>
      <c r="E163" s="127">
        <v>45000000</v>
      </c>
      <c r="F163" s="127">
        <f t="shared" si="21"/>
        <v>692958.60000000149</v>
      </c>
      <c r="G163" s="127">
        <f t="shared" si="22"/>
        <v>-2358430.7300000042</v>
      </c>
    </row>
    <row r="164" spans="1:7">
      <c r="A164" s="130">
        <v>44600</v>
      </c>
      <c r="B164" s="117">
        <v>1.113</v>
      </c>
      <c r="C164" s="117">
        <v>1.113</v>
      </c>
      <c r="D164" s="71">
        <v>48721440.939999998</v>
      </c>
      <c r="E164" s="127">
        <v>45000000</v>
      </c>
      <c r="F164" s="127">
        <f t="shared" ref="F164" si="23">G164-G163</f>
        <v>262369.32999999821</v>
      </c>
      <c r="G164" s="127">
        <f t="shared" ref="G164" si="24">D164-E164-$G$125</f>
        <v>-2096061.400000006</v>
      </c>
    </row>
    <row r="165" spans="1:7">
      <c r="A165" s="130">
        <v>44601</v>
      </c>
      <c r="B165" s="117">
        <v>1.131</v>
      </c>
      <c r="C165" s="117">
        <v>1.131</v>
      </c>
      <c r="D165" s="71">
        <v>49531175.18</v>
      </c>
      <c r="E165" s="127">
        <v>45000000</v>
      </c>
      <c r="F165" s="127">
        <f t="shared" ref="F165" si="25">G165-G164</f>
        <v>809734.24000000209</v>
      </c>
      <c r="G165" s="127">
        <f t="shared" ref="G165" si="26">D165-E165-$G$125</f>
        <v>-1286327.1600000039</v>
      </c>
    </row>
    <row r="166" spans="1:7">
      <c r="A166" s="130">
        <v>44602</v>
      </c>
      <c r="B166" s="117">
        <v>1.131</v>
      </c>
      <c r="C166" s="117">
        <v>1.131</v>
      </c>
      <c r="D166" s="71">
        <v>49510862.619999997</v>
      </c>
      <c r="E166" s="127">
        <v>45000000</v>
      </c>
      <c r="F166" s="127">
        <f t="shared" ref="F166" si="27">G166-G165</f>
        <v>-20312.560000002384</v>
      </c>
      <c r="G166" s="127">
        <f t="shared" ref="G166" si="28">D166-E166-$G$125</f>
        <v>-1306639.7200000063</v>
      </c>
    </row>
    <row r="167" spans="1:7">
      <c r="A167" s="130">
        <v>44603</v>
      </c>
      <c r="B167" s="117">
        <v>1.1140000000000001</v>
      </c>
      <c r="C167" s="117">
        <v>1.1140000000000001</v>
      </c>
      <c r="D167" s="71">
        <v>48798887.920000002</v>
      </c>
      <c r="E167" s="127">
        <v>45000000</v>
      </c>
      <c r="F167" s="127">
        <f t="shared" ref="F167" si="29">G167-G166</f>
        <v>-711974.69999999553</v>
      </c>
      <c r="G167" s="127">
        <f t="shared" ref="G167" si="30">D167-E167-$G$125</f>
        <v>-2018614.4200000018</v>
      </c>
    </row>
    <row r="168" spans="1:7">
      <c r="A168" s="130">
        <v>44604</v>
      </c>
      <c r="B168" s="117">
        <v>1.1140000000000001</v>
      </c>
      <c r="C168" s="117">
        <v>1.1140000000000001</v>
      </c>
      <c r="D168" s="71">
        <v>48798887.920000002</v>
      </c>
      <c r="E168" s="127">
        <v>45000000</v>
      </c>
      <c r="F168" s="127">
        <f t="shared" ref="F168:F170" si="31">G168-G167</f>
        <v>0</v>
      </c>
      <c r="G168" s="127">
        <f t="shared" ref="G168:G170" si="32">D168-E168-$G$125</f>
        <v>-2018614.4200000018</v>
      </c>
    </row>
    <row r="169" spans="1:7">
      <c r="A169" s="130">
        <v>44605</v>
      </c>
      <c r="B169" s="117">
        <v>1.1140000000000001</v>
      </c>
      <c r="C169" s="117">
        <v>1.1140000000000001</v>
      </c>
      <c r="D169" s="71">
        <v>48798887.920000002</v>
      </c>
      <c r="E169" s="127">
        <v>45000000</v>
      </c>
      <c r="F169" s="127">
        <f t="shared" si="31"/>
        <v>0</v>
      </c>
      <c r="G169" s="127">
        <f t="shared" si="32"/>
        <v>-2018614.4200000018</v>
      </c>
    </row>
    <row r="170" spans="1:7">
      <c r="A170" s="130">
        <v>44606</v>
      </c>
      <c r="B170" s="117">
        <v>1.103</v>
      </c>
      <c r="C170" s="117">
        <v>1.103</v>
      </c>
      <c r="D170" s="71">
        <v>48316976.700000003</v>
      </c>
      <c r="E170" s="127">
        <v>45000000</v>
      </c>
      <c r="F170" s="127">
        <f t="shared" si="31"/>
        <v>-481911.21999999881</v>
      </c>
      <c r="G170" s="127">
        <f t="shared" si="32"/>
        <v>-2500525.6400000006</v>
      </c>
    </row>
    <row r="171" spans="1:7">
      <c r="A171" s="130">
        <v>44607</v>
      </c>
      <c r="B171" s="117">
        <v>1.113</v>
      </c>
      <c r="C171" s="117">
        <v>1.113</v>
      </c>
      <c r="D171" s="71">
        <v>48752167.640000001</v>
      </c>
      <c r="E171" s="127">
        <v>45000000</v>
      </c>
      <c r="F171" s="127">
        <f t="shared" ref="F171" si="33">G171-G170</f>
        <v>435190.93999999762</v>
      </c>
      <c r="G171" s="127">
        <f t="shared" ref="G171" si="34">D171-E171-$G$125</f>
        <v>-2065334.700000003</v>
      </c>
    </row>
    <row r="172" spans="1:7">
      <c r="A172" s="130">
        <v>44608</v>
      </c>
      <c r="B172" s="117">
        <v>1.117</v>
      </c>
      <c r="C172" s="117">
        <v>1.117</v>
      </c>
      <c r="D172" s="71">
        <v>48921432.469999999</v>
      </c>
      <c r="E172" s="127">
        <v>45000000</v>
      </c>
      <c r="F172" s="127">
        <f t="shared" ref="F172" si="35">G172-G171</f>
        <v>169264.82999999821</v>
      </c>
      <c r="G172" s="127">
        <f t="shared" ref="G172" si="36">D172-E172-$G$125</f>
        <v>-1896069.8700000048</v>
      </c>
    </row>
    <row r="173" spans="1:7">
      <c r="A173" s="130">
        <v>44609</v>
      </c>
      <c r="B173" s="117">
        <v>1.119</v>
      </c>
      <c r="C173" s="117">
        <v>1.119</v>
      </c>
      <c r="D173" s="71">
        <v>49652759.617052987</v>
      </c>
      <c r="E173" s="127">
        <f>45000000</f>
        <v>45000000</v>
      </c>
      <c r="F173" s="127">
        <f t="shared" ref="F173" si="37">G173-G172</f>
        <v>731327.14705298841</v>
      </c>
      <c r="G173" s="127">
        <f t="shared" ref="G173" si="38">D173-E173-$G$125</f>
        <v>-1164742.7229470164</v>
      </c>
    </row>
    <row r="174" spans="1:7">
      <c r="A174" s="130">
        <v>44610</v>
      </c>
      <c r="B174" s="117">
        <v>1.1259999999999999</v>
      </c>
      <c r="C174" s="117">
        <v>1.1259999999999999</v>
      </c>
      <c r="D174" s="71">
        <f>SUMIF(持仓!$A$2:$A$1048576,"财通产品",持仓!$F$2:$F$1048576)+SUMIF(持仓!$A$2:$A$1048576,"财通产品",持仓!$N$2:$N$1048576)</f>
        <v>50140661.378329068</v>
      </c>
      <c r="E174" s="127">
        <f>45000000</f>
        <v>45000000</v>
      </c>
      <c r="F174" s="127">
        <f t="shared" ref="F174" si="39">G174-G173</f>
        <v>487901.7612760812</v>
      </c>
      <c r="G174" s="127">
        <f t="shared" ref="G174" si="40">D174-E174-$G$125</f>
        <v>-676840.96167093515</v>
      </c>
    </row>
  </sheetData>
  <mergeCells count="2">
    <mergeCell ref="B1:D1"/>
    <mergeCell ref="F1:G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7" workbookViewId="0">
      <selection activeCell="B52" sqref="B52"/>
    </sheetView>
  </sheetViews>
  <sheetFormatPr defaultColWidth="8.875" defaultRowHeight="13.5"/>
  <cols>
    <col min="1" max="1" width="11.125" style="10" bestFit="1" customWidth="1"/>
    <col min="2" max="2" width="19.875" style="118" customWidth="1"/>
    <col min="3" max="3" width="15.125" style="38" customWidth="1"/>
    <col min="4" max="4" width="15.625" style="2" customWidth="1"/>
    <col min="5" max="5" width="15.25" style="2" customWidth="1"/>
    <col min="6" max="6" width="10.5" bestFit="1" customWidth="1"/>
  </cols>
  <sheetData>
    <row r="1" spans="1:6" ht="15" customHeight="1" thickBot="1">
      <c r="A1" s="42" t="s">
        <v>123</v>
      </c>
      <c r="B1" s="39" t="s">
        <v>146</v>
      </c>
      <c r="C1" s="39" t="s">
        <v>147</v>
      </c>
      <c r="D1" s="40" t="s">
        <v>144</v>
      </c>
      <c r="E1" s="41" t="s">
        <v>145</v>
      </c>
      <c r="F1" s="41" t="s">
        <v>173</v>
      </c>
    </row>
    <row r="2" spans="1:6">
      <c r="A2" s="36">
        <v>44561</v>
      </c>
      <c r="B2" s="118">
        <v>444709.3</v>
      </c>
      <c r="C2" s="37"/>
      <c r="D2" s="35"/>
      <c r="E2" s="35"/>
    </row>
    <row r="3" spans="1:6">
      <c r="A3" s="36">
        <v>44562</v>
      </c>
      <c r="B3" s="118">
        <v>444709.3</v>
      </c>
      <c r="C3" s="37"/>
      <c r="D3" s="119">
        <f t="shared" ref="D3:D8" si="0">E3-E2</f>
        <v>0</v>
      </c>
      <c r="E3" s="120">
        <f t="shared" ref="E3:E8" si="1">B3-$B$2-C3</f>
        <v>0</v>
      </c>
    </row>
    <row r="4" spans="1:6">
      <c r="A4" s="36">
        <v>44563</v>
      </c>
      <c r="B4" s="118">
        <v>444709.3</v>
      </c>
      <c r="C4" s="37"/>
      <c r="D4" s="119">
        <f t="shared" si="0"/>
        <v>0</v>
      </c>
      <c r="E4" s="120">
        <f t="shared" si="1"/>
        <v>0</v>
      </c>
    </row>
    <row r="5" spans="1:6">
      <c r="A5" s="36">
        <v>44564</v>
      </c>
      <c r="B5" s="118">
        <v>444709.3</v>
      </c>
      <c r="C5" s="37"/>
      <c r="D5" s="119">
        <f t="shared" si="0"/>
        <v>0</v>
      </c>
      <c r="E5" s="120">
        <f t="shared" si="1"/>
        <v>0</v>
      </c>
    </row>
    <row r="6" spans="1:6">
      <c r="A6" s="36">
        <v>44565</v>
      </c>
      <c r="B6" s="118">
        <v>444709.3</v>
      </c>
      <c r="C6" s="37"/>
      <c r="D6" s="119">
        <f t="shared" si="0"/>
        <v>0</v>
      </c>
      <c r="E6" s="120">
        <f t="shared" si="1"/>
        <v>0</v>
      </c>
    </row>
    <row r="7" spans="1:6">
      <c r="A7" s="36">
        <v>44566</v>
      </c>
      <c r="B7" s="118">
        <v>444709.3</v>
      </c>
      <c r="C7" s="37"/>
      <c r="D7" s="119">
        <f t="shared" si="0"/>
        <v>0</v>
      </c>
      <c r="E7" s="120">
        <f t="shared" si="1"/>
        <v>0</v>
      </c>
    </row>
    <row r="8" spans="1:6">
      <c r="A8" s="49">
        <v>44567</v>
      </c>
      <c r="B8" s="118">
        <v>20434084.98</v>
      </c>
      <c r="C8" s="118">
        <v>20000000</v>
      </c>
      <c r="D8" s="119">
        <f t="shared" si="0"/>
        <v>-10624.320000000298</v>
      </c>
      <c r="E8" s="121">
        <f t="shared" si="1"/>
        <v>-10624.320000000298</v>
      </c>
    </row>
    <row r="9" spans="1:6">
      <c r="A9" s="49">
        <v>44568</v>
      </c>
      <c r="B9" s="118">
        <v>20548859.800000001</v>
      </c>
      <c r="D9" s="119">
        <f t="shared" ref="D9:D20" si="2">B9-C9-B8</f>
        <v>114774.8200000003</v>
      </c>
      <c r="E9" s="119">
        <f t="shared" ref="E9:E20" si="3">D9+E8</f>
        <v>104150.5</v>
      </c>
    </row>
    <row r="10" spans="1:6">
      <c r="A10" s="49">
        <v>44569</v>
      </c>
      <c r="B10" s="118">
        <v>20548859.800000001</v>
      </c>
      <c r="D10" s="119">
        <f t="shared" si="2"/>
        <v>0</v>
      </c>
      <c r="E10" s="119">
        <f t="shared" si="3"/>
        <v>104150.5</v>
      </c>
    </row>
    <row r="11" spans="1:6">
      <c r="A11" s="49">
        <v>44570</v>
      </c>
      <c r="B11" s="118">
        <v>20548859.800000001</v>
      </c>
      <c r="D11" s="119">
        <f t="shared" si="2"/>
        <v>0</v>
      </c>
      <c r="E11" s="119">
        <f t="shared" si="3"/>
        <v>104150.5</v>
      </c>
    </row>
    <row r="12" spans="1:6">
      <c r="A12" s="49">
        <v>44571</v>
      </c>
      <c r="B12" s="118">
        <v>20547238.379999999</v>
      </c>
      <c r="D12" s="119">
        <f t="shared" si="2"/>
        <v>-1621.4200000017881</v>
      </c>
      <c r="E12" s="119">
        <f t="shared" si="3"/>
        <v>102529.07999999821</v>
      </c>
    </row>
    <row r="13" spans="1:6">
      <c r="A13" s="49">
        <v>44572</v>
      </c>
      <c r="B13" s="118">
        <v>20869147.710000001</v>
      </c>
      <c r="D13" s="119">
        <f t="shared" si="2"/>
        <v>321909.33000000194</v>
      </c>
      <c r="E13" s="119">
        <f t="shared" si="3"/>
        <v>424438.41000000015</v>
      </c>
    </row>
    <row r="14" spans="1:6">
      <c r="A14" s="49">
        <v>44573</v>
      </c>
      <c r="B14" s="118">
        <v>20456247.870000001</v>
      </c>
      <c r="D14" s="119">
        <f t="shared" si="2"/>
        <v>-412899.83999999985</v>
      </c>
      <c r="E14" s="119">
        <f t="shared" si="3"/>
        <v>11538.570000000298</v>
      </c>
    </row>
    <row r="15" spans="1:6">
      <c r="A15" s="49">
        <v>44574</v>
      </c>
      <c r="B15" s="118">
        <v>21131003.48</v>
      </c>
      <c r="D15" s="119">
        <f t="shared" si="2"/>
        <v>674755.6099999994</v>
      </c>
      <c r="E15" s="119">
        <f t="shared" si="3"/>
        <v>686294.1799999997</v>
      </c>
    </row>
    <row r="16" spans="1:6">
      <c r="A16" s="49">
        <v>44575</v>
      </c>
      <c r="B16" s="118">
        <v>21410083.48</v>
      </c>
      <c r="D16" s="119">
        <f t="shared" si="2"/>
        <v>279080</v>
      </c>
      <c r="E16" s="119">
        <f t="shared" si="3"/>
        <v>965374.1799999997</v>
      </c>
    </row>
    <row r="17" spans="1:12">
      <c r="A17" s="49">
        <v>44576</v>
      </c>
      <c r="B17" s="118">
        <v>21410083.48</v>
      </c>
      <c r="D17" s="119">
        <f t="shared" si="2"/>
        <v>0</v>
      </c>
      <c r="E17" s="119">
        <f t="shared" si="3"/>
        <v>965374.1799999997</v>
      </c>
    </row>
    <row r="18" spans="1:12">
      <c r="A18" s="49">
        <v>44577</v>
      </c>
      <c r="B18" s="118">
        <v>21410083.48</v>
      </c>
      <c r="D18" s="119">
        <f t="shared" si="2"/>
        <v>0</v>
      </c>
      <c r="E18" s="119">
        <f t="shared" si="3"/>
        <v>965374.1799999997</v>
      </c>
    </row>
    <row r="19" spans="1:12">
      <c r="A19" s="126">
        <v>44578</v>
      </c>
      <c r="B19" s="118">
        <v>20721300.34</v>
      </c>
      <c r="D19" s="131">
        <f t="shared" si="2"/>
        <v>-688783.1400000006</v>
      </c>
      <c r="E19" s="131">
        <f t="shared" si="3"/>
        <v>276591.03999999911</v>
      </c>
    </row>
    <row r="20" spans="1:12">
      <c r="A20" s="126">
        <v>44579</v>
      </c>
      <c r="B20" s="118">
        <v>20744712.77</v>
      </c>
      <c r="D20" s="131">
        <f t="shared" si="2"/>
        <v>23412.429999999702</v>
      </c>
      <c r="E20" s="131">
        <f t="shared" si="3"/>
        <v>300003.46999999881</v>
      </c>
    </row>
    <row r="21" spans="1:12">
      <c r="A21" s="126">
        <v>44580</v>
      </c>
      <c r="B21" s="118">
        <v>21153872.77</v>
      </c>
      <c r="D21" s="131">
        <f t="shared" ref="D21" si="4">B21-C21-B20</f>
        <v>409160</v>
      </c>
      <c r="E21" s="131">
        <f t="shared" ref="E21" si="5">D21+E20</f>
        <v>709163.46999999881</v>
      </c>
    </row>
    <row r="22" spans="1:12">
      <c r="A22" s="126">
        <v>44581</v>
      </c>
      <c r="B22" s="118">
        <v>21512152.77</v>
      </c>
      <c r="D22" s="131">
        <f t="shared" ref="D22" si="6">B22-C22-B21</f>
        <v>358280</v>
      </c>
      <c r="E22" s="131">
        <f t="shared" ref="E22" si="7">D22+E21</f>
        <v>1067443.4699999988</v>
      </c>
    </row>
    <row r="23" spans="1:12">
      <c r="A23" s="126">
        <v>44582</v>
      </c>
      <c r="B23" s="118">
        <v>22391952.77</v>
      </c>
      <c r="D23" s="131">
        <f t="shared" ref="D23" si="8">B23-C23-B22</f>
        <v>879800</v>
      </c>
      <c r="E23" s="131">
        <f t="shared" ref="E23" si="9">D23+E22</f>
        <v>1947243.4699999988</v>
      </c>
    </row>
    <row r="24" spans="1:12">
      <c r="A24" s="126">
        <v>44583</v>
      </c>
      <c r="B24" s="118">
        <v>22391952.77</v>
      </c>
      <c r="D24" s="131">
        <f t="shared" ref="D24:D26" si="10">B24-C24-B23</f>
        <v>0</v>
      </c>
      <c r="E24" s="131">
        <f t="shared" ref="E24:E26" si="11">D24+E23</f>
        <v>1947243.4699999988</v>
      </c>
      <c r="L24" s="132" t="s">
        <v>148</v>
      </c>
    </row>
    <row r="25" spans="1:12">
      <c r="A25" s="126">
        <v>44584</v>
      </c>
      <c r="B25" s="118">
        <v>22391952.77</v>
      </c>
      <c r="D25" s="131">
        <f t="shared" si="10"/>
        <v>0</v>
      </c>
      <c r="E25" s="131">
        <f t="shared" si="11"/>
        <v>1947243.4699999988</v>
      </c>
    </row>
    <row r="26" spans="1:12">
      <c r="A26" s="126">
        <v>44585</v>
      </c>
      <c r="B26" s="118">
        <v>22419512.77</v>
      </c>
      <c r="D26" s="131">
        <f t="shared" si="10"/>
        <v>27560</v>
      </c>
      <c r="E26" s="131">
        <f t="shared" si="11"/>
        <v>1974803.4699999988</v>
      </c>
    </row>
    <row r="27" spans="1:12">
      <c r="A27" s="126">
        <v>44586</v>
      </c>
      <c r="B27" s="118">
        <v>24575552.77</v>
      </c>
      <c r="D27" s="131">
        <f t="shared" ref="D27" si="12">B27-C27-B26</f>
        <v>2156040</v>
      </c>
      <c r="E27" s="131">
        <f t="shared" ref="E27" si="13">D27+E26</f>
        <v>4130843.4699999988</v>
      </c>
    </row>
    <row r="28" spans="1:12">
      <c r="A28" s="126">
        <v>44587</v>
      </c>
      <c r="B28" s="118">
        <v>24677312.77</v>
      </c>
      <c r="D28" s="131">
        <f t="shared" ref="D28" si="14">B28-C28-B27</f>
        <v>101760</v>
      </c>
      <c r="E28" s="131">
        <f t="shared" ref="E28" si="15">D28+E27</f>
        <v>4232603.4699999988</v>
      </c>
    </row>
    <row r="29" spans="1:12">
      <c r="A29" s="126">
        <v>44588</v>
      </c>
      <c r="B29" s="118">
        <v>26343632.77</v>
      </c>
      <c r="D29" s="131">
        <f t="shared" ref="D29:D30" si="16">B29-C29-B28</f>
        <v>1666320</v>
      </c>
      <c r="E29" s="131">
        <f t="shared" ref="E29:E30" si="17">D29+E28</f>
        <v>5898923.4699999988</v>
      </c>
    </row>
    <row r="30" spans="1:12">
      <c r="A30" s="126">
        <v>44589</v>
      </c>
      <c r="B30" s="118">
        <v>26919263.969999999</v>
      </c>
      <c r="D30" s="131">
        <f t="shared" si="16"/>
        <v>575631.19999999925</v>
      </c>
      <c r="E30" s="131">
        <f t="shared" si="17"/>
        <v>6474554.6699999981</v>
      </c>
    </row>
    <row r="31" spans="1:12">
      <c r="A31" s="126">
        <v>44590</v>
      </c>
      <c r="B31" s="118">
        <v>26919263.969999999</v>
      </c>
      <c r="D31" s="131">
        <f t="shared" ref="D31:D40" si="18">B31-C31-B30</f>
        <v>0</v>
      </c>
      <c r="E31" s="131">
        <f t="shared" ref="E31:E40" si="19">D31+E30</f>
        <v>6474554.6699999981</v>
      </c>
    </row>
    <row r="32" spans="1:12">
      <c r="A32" s="126">
        <v>44591</v>
      </c>
      <c r="B32" s="118">
        <v>26919263.969999999</v>
      </c>
      <c r="D32" s="131">
        <f t="shared" si="18"/>
        <v>0</v>
      </c>
      <c r="E32" s="131">
        <f t="shared" si="19"/>
        <v>6474554.6699999981</v>
      </c>
    </row>
    <row r="33" spans="1:5">
      <c r="A33" s="126">
        <v>44592</v>
      </c>
      <c r="B33" s="118">
        <v>26919263.969999999</v>
      </c>
      <c r="D33" s="131">
        <f t="shared" si="18"/>
        <v>0</v>
      </c>
      <c r="E33" s="131">
        <f t="shared" si="19"/>
        <v>6474554.6699999981</v>
      </c>
    </row>
    <row r="34" spans="1:5">
      <c r="A34" s="126">
        <v>44593</v>
      </c>
      <c r="B34" s="118">
        <v>26919263.969999999</v>
      </c>
      <c r="D34" s="131">
        <f t="shared" si="18"/>
        <v>0</v>
      </c>
      <c r="E34" s="131">
        <f t="shared" si="19"/>
        <v>6474554.6699999981</v>
      </c>
    </row>
    <row r="35" spans="1:5">
      <c r="A35" s="126">
        <v>44594</v>
      </c>
      <c r="B35" s="118">
        <v>26919263.969999999</v>
      </c>
      <c r="D35" s="131">
        <f t="shared" si="18"/>
        <v>0</v>
      </c>
      <c r="E35" s="131">
        <f t="shared" si="19"/>
        <v>6474554.6699999981</v>
      </c>
    </row>
    <row r="36" spans="1:5">
      <c r="A36" s="126">
        <v>44595</v>
      </c>
      <c r="B36" s="118">
        <v>26919263.969999999</v>
      </c>
      <c r="D36" s="131">
        <f t="shared" si="18"/>
        <v>0</v>
      </c>
      <c r="E36" s="131">
        <f t="shared" si="19"/>
        <v>6474554.6699999981</v>
      </c>
    </row>
    <row r="37" spans="1:5">
      <c r="A37" s="126">
        <v>44596</v>
      </c>
      <c r="B37" s="118">
        <v>26919263.969999999</v>
      </c>
      <c r="D37" s="131">
        <f t="shared" si="18"/>
        <v>0</v>
      </c>
      <c r="E37" s="131">
        <f t="shared" si="19"/>
        <v>6474554.6699999981</v>
      </c>
    </row>
    <row r="38" spans="1:5">
      <c r="A38" s="126">
        <v>44597</v>
      </c>
      <c r="B38" s="118">
        <v>26919263.969999999</v>
      </c>
      <c r="D38" s="131">
        <f t="shared" si="18"/>
        <v>0</v>
      </c>
      <c r="E38" s="131">
        <f t="shared" si="19"/>
        <v>6474554.6699999981</v>
      </c>
    </row>
    <row r="39" spans="1:5">
      <c r="A39" s="126">
        <v>44598</v>
      </c>
      <c r="B39" s="118">
        <v>26919263.969999999</v>
      </c>
      <c r="D39" s="131">
        <f t="shared" si="18"/>
        <v>0</v>
      </c>
      <c r="E39" s="131">
        <f t="shared" si="19"/>
        <v>6474554.6699999981</v>
      </c>
    </row>
    <row r="40" spans="1:5">
      <c r="A40" s="126">
        <v>44599</v>
      </c>
      <c r="B40" s="118">
        <v>25737343.969999999</v>
      </c>
      <c r="D40" s="131">
        <f t="shared" si="18"/>
        <v>-1181920</v>
      </c>
      <c r="E40" s="131">
        <f t="shared" si="19"/>
        <v>5292634.6699999981</v>
      </c>
    </row>
    <row r="41" spans="1:5">
      <c r="A41" s="126">
        <v>44600</v>
      </c>
      <c r="B41" s="118">
        <v>24605223.969999999</v>
      </c>
      <c r="D41" s="131">
        <f t="shared" ref="D41" si="20">B41-C41-B40</f>
        <v>-1132120</v>
      </c>
      <c r="E41" s="131">
        <f t="shared" ref="E41" si="21">D41+E40</f>
        <v>4160514.6699999981</v>
      </c>
    </row>
    <row r="42" spans="1:5">
      <c r="A42" s="126">
        <v>44601</v>
      </c>
      <c r="B42" s="118">
        <v>22729152.960000001</v>
      </c>
      <c r="D42" s="131">
        <f t="shared" ref="D42" si="22">B42-C42-B41</f>
        <v>-1876071.0099999979</v>
      </c>
      <c r="E42" s="131">
        <f t="shared" ref="E42" si="23">D42+E41</f>
        <v>2284443.66</v>
      </c>
    </row>
    <row r="43" spans="1:5">
      <c r="A43" s="126">
        <v>44602</v>
      </c>
      <c r="B43" s="118">
        <v>22832894.890000001</v>
      </c>
      <c r="D43" s="131">
        <f t="shared" ref="D43" si="24">B43-C43-B42</f>
        <v>103741.9299999997</v>
      </c>
      <c r="E43" s="131">
        <f t="shared" ref="E43" si="25">D43+E42</f>
        <v>2388185.59</v>
      </c>
    </row>
    <row r="44" spans="1:5">
      <c r="A44" s="126">
        <v>44603</v>
      </c>
      <c r="B44" s="118">
        <v>24038181.030000001</v>
      </c>
      <c r="D44" s="131">
        <f t="shared" ref="D44" si="26">B44-C44-B43</f>
        <v>1205286.1400000006</v>
      </c>
      <c r="E44" s="131">
        <f t="shared" ref="E44" si="27">D44+E43</f>
        <v>3593471.7300000004</v>
      </c>
    </row>
    <row r="45" spans="1:5">
      <c r="A45" s="126">
        <v>44604</v>
      </c>
      <c r="B45" s="118">
        <v>24038181.030000001</v>
      </c>
      <c r="D45" s="131">
        <f t="shared" ref="D45:D47" si="28">B45-C45-B44</f>
        <v>0</v>
      </c>
      <c r="E45" s="131">
        <f t="shared" ref="E45:E47" si="29">D45+E44</f>
        <v>3593471.7300000004</v>
      </c>
    </row>
    <row r="46" spans="1:5">
      <c r="A46" s="126">
        <v>44605</v>
      </c>
      <c r="B46" s="118">
        <v>24038181.030000001</v>
      </c>
      <c r="D46" s="131">
        <f t="shared" si="28"/>
        <v>0</v>
      </c>
      <c r="E46" s="131">
        <f t="shared" si="29"/>
        <v>3593471.7300000004</v>
      </c>
    </row>
    <row r="47" spans="1:5">
      <c r="A47" s="126">
        <v>44606</v>
      </c>
      <c r="B47" s="118">
        <v>24937255.699999999</v>
      </c>
      <c r="D47" s="131">
        <f t="shared" si="28"/>
        <v>899074.66999999806</v>
      </c>
      <c r="E47" s="131">
        <f t="shared" si="29"/>
        <v>4492546.3999999985</v>
      </c>
    </row>
    <row r="48" spans="1:5">
      <c r="A48" s="126">
        <v>44607</v>
      </c>
      <c r="B48" s="118">
        <v>24176975.699999999</v>
      </c>
      <c r="D48" s="131">
        <f t="shared" ref="D48" si="30">B48-C48-B47</f>
        <v>-760280</v>
      </c>
      <c r="E48" s="131">
        <f t="shared" ref="E48" si="31">D48+E47</f>
        <v>3732266.3999999985</v>
      </c>
    </row>
    <row r="49" spans="1:6">
      <c r="A49" s="126">
        <v>44608</v>
      </c>
      <c r="B49" s="118">
        <v>23818415.699999999</v>
      </c>
      <c r="D49" s="131">
        <f t="shared" ref="D49" si="32">B49-C49-B48</f>
        <v>-358560</v>
      </c>
      <c r="E49" s="131">
        <f t="shared" ref="E49" si="33">D49+E48</f>
        <v>3373706.3999999985</v>
      </c>
    </row>
    <row r="50" spans="1:6">
      <c r="A50" s="126">
        <v>44609</v>
      </c>
      <c r="B50" s="118">
        <v>23725455.699999999</v>
      </c>
      <c r="D50" s="131">
        <f t="shared" ref="D50" si="34">B50-C50-B49</f>
        <v>-92960</v>
      </c>
      <c r="E50" s="131">
        <f t="shared" ref="E50" si="35">D50+E49</f>
        <v>3280746.3999999985</v>
      </c>
      <c r="F50">
        <v>112308960</v>
      </c>
    </row>
    <row r="51" spans="1:6">
      <c r="A51" s="126">
        <v>44610</v>
      </c>
      <c r="B51" s="118">
        <v>22782575.699999999</v>
      </c>
      <c r="D51" s="131">
        <f t="shared" ref="D51" si="36">B51-C51-B50</f>
        <v>-942880</v>
      </c>
      <c r="E51" s="131">
        <f t="shared" ref="E51" si="37">D51+E50</f>
        <v>2337866.3999999985</v>
      </c>
      <c r="F51">
        <v>113251840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20" sqref="G20"/>
    </sheetView>
  </sheetViews>
  <sheetFormatPr defaultColWidth="8.875" defaultRowHeight="13.5"/>
  <cols>
    <col min="1" max="1" width="11.375" style="14" bestFit="1" customWidth="1"/>
    <col min="2" max="2" width="13.375" style="2" bestFit="1" customWidth="1"/>
    <col min="3" max="3" width="16.125" style="2" bestFit="1" customWidth="1"/>
    <col min="4" max="4" width="13.375" style="2" bestFit="1" customWidth="1"/>
    <col min="5" max="6" width="11.375" style="2" bestFit="1" customWidth="1"/>
    <col min="7" max="7" width="13.375" style="2" bestFit="1" customWidth="1"/>
    <col min="8" max="8" width="17.375" style="2" bestFit="1" customWidth="1"/>
    <col min="9" max="9" width="15.375" style="2" bestFit="1" customWidth="1"/>
    <col min="10" max="10" width="11.375" style="2" bestFit="1" customWidth="1"/>
    <col min="11" max="11" width="13.375" style="2" bestFit="1" customWidth="1"/>
    <col min="12" max="12" width="2.375" style="2" customWidth="1"/>
    <col min="13" max="13" width="16.125" style="122" bestFit="1" customWidth="1"/>
  </cols>
  <sheetData>
    <row r="1" spans="1:14" ht="15" customHeight="1" thickBot="1">
      <c r="A1" s="11" t="s">
        <v>149</v>
      </c>
      <c r="B1" s="75" t="s">
        <v>124</v>
      </c>
      <c r="C1" s="76" t="s">
        <v>125</v>
      </c>
      <c r="D1" s="76" t="s">
        <v>126</v>
      </c>
      <c r="E1" s="76" t="s">
        <v>127</v>
      </c>
      <c r="F1" s="76" t="s">
        <v>128</v>
      </c>
      <c r="G1" s="77" t="s">
        <v>129</v>
      </c>
      <c r="H1" s="78" t="s">
        <v>130</v>
      </c>
      <c r="I1" s="79" t="s">
        <v>131</v>
      </c>
      <c r="J1" s="80" t="s">
        <v>132</v>
      </c>
      <c r="K1" s="81" t="s">
        <v>133</v>
      </c>
      <c r="M1" s="123" t="s">
        <v>150</v>
      </c>
      <c r="N1" s="14" t="s">
        <v>151</v>
      </c>
    </row>
    <row r="2" spans="1:14">
      <c r="A2" s="13" t="s">
        <v>152</v>
      </c>
      <c r="B2" s="70"/>
      <c r="C2" s="71">
        <v>15003262.779999999</v>
      </c>
      <c r="D2" s="70">
        <v>18989084.52</v>
      </c>
      <c r="E2" s="124">
        <f>D2*0.0013</f>
        <v>24685.809875999999</v>
      </c>
      <c r="F2" s="71"/>
      <c r="G2" s="82">
        <f>D2-C2-E2</f>
        <v>3961135.9301240002</v>
      </c>
      <c r="H2" s="72">
        <v>79778.769075703603</v>
      </c>
      <c r="I2" s="72"/>
      <c r="K2" s="82">
        <f>G2-H2</f>
        <v>3881357.1610482964</v>
      </c>
      <c r="M2" s="122">
        <v>3906042.970924295</v>
      </c>
      <c r="N2" s="124">
        <f>M2-K2</f>
        <v>24685.809875998646</v>
      </c>
    </row>
    <row r="3" spans="1:14">
      <c r="A3" s="13" t="s">
        <v>153</v>
      </c>
      <c r="B3" s="70"/>
      <c r="C3" s="71">
        <v>57005636.859999999</v>
      </c>
      <c r="D3" s="70">
        <v>72723067.5</v>
      </c>
      <c r="E3" s="82">
        <f>D3*0.0013</f>
        <v>94539.98775</v>
      </c>
      <c r="F3" s="125"/>
      <c r="G3" s="82">
        <f>D3-C3-E3</f>
        <v>15622890.652250001</v>
      </c>
      <c r="H3" s="72">
        <v>312660.40999999997</v>
      </c>
      <c r="I3" s="72">
        <v>49452.85</v>
      </c>
      <c r="K3" s="82">
        <f>G3-H3+I3</f>
        <v>15359683.092250001</v>
      </c>
      <c r="M3" s="122">
        <v>15359683.092250001</v>
      </c>
      <c r="N3" s="82">
        <f>M3-K3</f>
        <v>0</v>
      </c>
    </row>
    <row r="4" spans="1:14">
      <c r="A4" s="13" t="s">
        <v>154</v>
      </c>
      <c r="B4" s="70"/>
      <c r="C4" s="71">
        <f>SUM(C2:C3)</f>
        <v>72008899.640000001</v>
      </c>
      <c r="D4" s="70">
        <f>SUM(D2:D3)</f>
        <v>91712152.019999996</v>
      </c>
      <c r="E4" s="71">
        <f>SUM(E2:E3)</f>
        <v>119225.797626</v>
      </c>
      <c r="F4" s="71"/>
      <c r="G4" s="71">
        <f>SUM(G2:G3)</f>
        <v>19584026.582374003</v>
      </c>
      <c r="H4" s="72">
        <f>SUM(H2:H3)</f>
        <v>392439.17907570361</v>
      </c>
      <c r="I4" s="72"/>
      <c r="J4" s="71">
        <f>SUM(J2:J3)</f>
        <v>0</v>
      </c>
      <c r="K4" s="71">
        <f>SUM(K2:K3)</f>
        <v>19241040.253298298</v>
      </c>
      <c r="M4" s="122">
        <f>SUM(M2:M3)</f>
        <v>19265726.063174296</v>
      </c>
    </row>
    <row r="5" spans="1:14">
      <c r="A5" s="13" t="s">
        <v>42</v>
      </c>
      <c r="B5" s="70"/>
      <c r="C5" s="71"/>
      <c r="D5" s="70"/>
      <c r="E5" s="71"/>
      <c r="F5" s="71"/>
      <c r="G5" s="71"/>
      <c r="H5" s="72"/>
      <c r="I5" s="72"/>
      <c r="K5" s="82">
        <f>'财通（君享天成）定增'!G125</f>
        <v>5817502.3400000036</v>
      </c>
    </row>
    <row r="6" spans="1:14">
      <c r="A6" s="13" t="s">
        <v>155</v>
      </c>
      <c r="C6" s="71">
        <f>23900*48.55</f>
        <v>1160345</v>
      </c>
      <c r="D6" s="70">
        <f>23900*37.424</f>
        <v>894433.6</v>
      </c>
      <c r="E6" s="71">
        <f>D6*0.0013</f>
        <v>1162.76368</v>
      </c>
      <c r="G6" s="82">
        <f>C6-D6-E6</f>
        <v>264748.63632000005</v>
      </c>
      <c r="K6" s="82">
        <f>G6</f>
        <v>264748.63632000005</v>
      </c>
    </row>
    <row r="8" spans="1:14">
      <c r="A8" s="14" t="s">
        <v>156</v>
      </c>
      <c r="K8" s="82">
        <f>K4+K5+K6</f>
        <v>25323291.2296183</v>
      </c>
      <c r="M8" s="122">
        <f>M4+K5+K6</f>
        <v>25347977.039494298</v>
      </c>
      <c r="N8" s="124">
        <f>M8-K8</f>
        <v>24685.809875998646</v>
      </c>
    </row>
    <row r="11" spans="1:14">
      <c r="E11" s="1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持仓</vt:lpstr>
      <vt:lpstr>互换策略收益</vt:lpstr>
      <vt:lpstr>财通（君享天成）定增</vt:lpstr>
      <vt:lpstr>2129</vt:lpstr>
      <vt:lpstr>2021年底核对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QCloud</cp:lastModifiedBy>
  <dcterms:created xsi:type="dcterms:W3CDTF">2015-06-05T18:19:34Z</dcterms:created>
  <dcterms:modified xsi:type="dcterms:W3CDTF">2022-02-22T09:02:03Z</dcterms:modified>
</cp:coreProperties>
</file>