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成本法" sheetId="1" r:id="rId1"/>
    <sheet name="市值法" sheetId="2" r:id="rId2"/>
    <sheet name="差异" sheetId="3" r:id="rId3"/>
    <sheet name="账户收益合计更正" sheetId="4" r:id="rId4"/>
  </sheets>
  <externalReferences>
    <externalReference r:id="rId5"/>
  </externalReferences>
  <definedNames>
    <definedName name="_xlnm._FilterDatabase" localSheetId="1" hidden="1">市值法!$B$1:$B$73</definedName>
  </definedNames>
  <calcPr calcId="152511"/>
</workbook>
</file>

<file path=xl/calcChain.xml><?xml version="1.0" encoding="utf-8"?>
<calcChain xmlns="http://schemas.openxmlformats.org/spreadsheetml/2006/main">
  <c r="E14" i="3" l="1"/>
  <c r="D50" i="3" l="1"/>
  <c r="C5" i="3" l="1"/>
  <c r="D14" i="3" s="1"/>
  <c r="L41" i="2" l="1"/>
  <c r="D36" i="3"/>
  <c r="Q41" i="2"/>
  <c r="R41" i="2"/>
  <c r="I41" i="2"/>
  <c r="T41" i="2"/>
  <c r="V41" i="2"/>
  <c r="U41" i="2"/>
  <c r="K41" i="2" l="1"/>
  <c r="N41" i="2"/>
  <c r="M41" i="2"/>
  <c r="O41" i="2" s="1"/>
  <c r="L41" i="1"/>
  <c r="T41" i="1"/>
  <c r="I41" i="1"/>
  <c r="V41" i="1"/>
  <c r="U41" i="1"/>
  <c r="R41" i="1"/>
  <c r="Q41" i="1"/>
  <c r="K41" i="1" l="1"/>
  <c r="N41" i="1"/>
  <c r="M41" i="1"/>
  <c r="O41" i="1" s="1"/>
  <c r="E13" i="3"/>
  <c r="F13" i="3" s="1"/>
  <c r="I59" i="1" l="1"/>
  <c r="K59" i="1" s="1"/>
  <c r="I58" i="1"/>
  <c r="K58" i="1" s="1"/>
  <c r="I57" i="1"/>
  <c r="K57" i="1" s="1"/>
  <c r="I56" i="1"/>
  <c r="K56" i="1" s="1"/>
  <c r="O49" i="1"/>
  <c r="K49" i="1"/>
  <c r="O48" i="1"/>
  <c r="K48" i="1"/>
  <c r="O47" i="1"/>
  <c r="K47" i="1"/>
  <c r="N32" i="1"/>
  <c r="K32" i="1"/>
  <c r="N31" i="1"/>
  <c r="K31" i="1"/>
  <c r="N29" i="1"/>
  <c r="K29" i="1"/>
  <c r="N28" i="1"/>
  <c r="K28" i="1"/>
  <c r="N27" i="1"/>
  <c r="K27" i="1"/>
  <c r="N23" i="1"/>
  <c r="K23" i="1"/>
  <c r="P32" i="2"/>
  <c r="Q34" i="2"/>
  <c r="R34" i="2"/>
  <c r="T20" i="2"/>
  <c r="T27" i="2"/>
  <c r="T23" i="2"/>
  <c r="T3" i="2"/>
  <c r="T11" i="2"/>
  <c r="T28" i="2"/>
  <c r="P31" i="2"/>
  <c r="T24" i="2"/>
  <c r="Q32" i="2"/>
  <c r="T15" i="2"/>
  <c r="T10" i="2"/>
  <c r="T25" i="2"/>
  <c r="P33" i="2"/>
  <c r="R31" i="2"/>
  <c r="P34" i="2"/>
  <c r="T31" i="2"/>
  <c r="T5" i="2"/>
  <c r="T33" i="2"/>
  <c r="T29" i="2"/>
  <c r="I34" i="2"/>
  <c r="T30" i="2"/>
  <c r="T16" i="2"/>
  <c r="Q30" i="2"/>
  <c r="T22" i="2"/>
  <c r="R30" i="2"/>
  <c r="T14" i="2"/>
  <c r="T4" i="2"/>
  <c r="T21" i="2"/>
  <c r="T12" i="2"/>
  <c r="R32" i="2"/>
  <c r="T35" i="2"/>
  <c r="T18" i="2"/>
  <c r="T19" i="2"/>
  <c r="Q33" i="2"/>
  <c r="T34" i="2"/>
  <c r="R33" i="2"/>
  <c r="T17" i="2"/>
  <c r="P30" i="2"/>
  <c r="T32" i="2"/>
  <c r="T7" i="2"/>
  <c r="Q31" i="2"/>
  <c r="T13" i="2"/>
  <c r="T26" i="2"/>
  <c r="T9" i="2"/>
  <c r="T6" i="2"/>
  <c r="J34" i="2"/>
  <c r="T8" i="2"/>
  <c r="M34" i="2" l="1"/>
  <c r="O34" i="2" s="1"/>
  <c r="K34" i="2"/>
  <c r="N34" i="2"/>
  <c r="L34" i="2"/>
  <c r="I59" i="2" l="1"/>
  <c r="K59" i="2" s="1"/>
  <c r="I58" i="2"/>
  <c r="K58" i="2" s="1"/>
  <c r="I57" i="2"/>
  <c r="K57" i="2" s="1"/>
  <c r="I56" i="2"/>
  <c r="K56" i="2" s="1"/>
  <c r="K49" i="2"/>
  <c r="K48" i="2"/>
  <c r="K47" i="2"/>
  <c r="F50" i="3" l="1"/>
  <c r="E50" i="3"/>
  <c r="F14" i="3" l="1"/>
  <c r="Q28" i="1" l="1"/>
  <c r="J18" i="2"/>
  <c r="I22" i="1"/>
  <c r="J10" i="1"/>
  <c r="J18" i="1"/>
  <c r="Q6" i="2"/>
  <c r="J44" i="1"/>
  <c r="Q19" i="2"/>
  <c r="R23" i="1"/>
  <c r="I24" i="1"/>
  <c r="I5" i="2"/>
  <c r="P10" i="1"/>
  <c r="V42" i="1"/>
  <c r="R19" i="1"/>
  <c r="Q39" i="2"/>
  <c r="J5" i="1"/>
  <c r="I29" i="2"/>
  <c r="V5" i="2"/>
  <c r="V9" i="2"/>
  <c r="I17" i="2"/>
  <c r="P17" i="1"/>
  <c r="R8" i="2"/>
  <c r="V22" i="2"/>
  <c r="V21" i="1"/>
  <c r="R5" i="2"/>
  <c r="I21" i="2"/>
  <c r="V23" i="2"/>
  <c r="V44" i="2"/>
  <c r="J35" i="2"/>
  <c r="U6" i="1"/>
  <c r="Q21" i="2"/>
  <c r="U7" i="1"/>
  <c r="P5" i="2"/>
  <c r="J8" i="1"/>
  <c r="U22" i="1"/>
  <c r="Q3" i="2"/>
  <c r="Q29" i="1"/>
  <c r="J30" i="1"/>
  <c r="V40" i="1"/>
  <c r="P9" i="1"/>
  <c r="R34" i="1"/>
  <c r="Q26" i="2"/>
  <c r="P23" i="2"/>
  <c r="R3" i="1"/>
  <c r="I3" i="1"/>
  <c r="J15" i="1"/>
  <c r="R11" i="1"/>
  <c r="I11" i="1"/>
  <c r="P12" i="1"/>
  <c r="Q10" i="2"/>
  <c r="Q40" i="1"/>
  <c r="J19" i="2"/>
  <c r="U5" i="1"/>
  <c r="U18" i="2"/>
  <c r="Q24" i="2"/>
  <c r="U35" i="2"/>
  <c r="R14" i="2"/>
  <c r="Q18" i="1"/>
  <c r="U43" i="1"/>
  <c r="P24" i="2"/>
  <c r="U28" i="2"/>
  <c r="J20" i="2"/>
  <c r="V27" i="2"/>
  <c r="P13" i="2"/>
  <c r="U26" i="2"/>
  <c r="R17" i="2"/>
  <c r="U3" i="1"/>
  <c r="R22" i="1"/>
  <c r="J3" i="2"/>
  <c r="V19" i="2"/>
  <c r="U4" i="2"/>
  <c r="J29" i="2"/>
  <c r="I32" i="2"/>
  <c r="Q32" i="1"/>
  <c r="I11" i="2"/>
  <c r="U31" i="1"/>
  <c r="V3" i="2"/>
  <c r="P43" i="2"/>
  <c r="P11" i="2"/>
  <c r="U16" i="1"/>
  <c r="Q4" i="1"/>
  <c r="Q15" i="1"/>
  <c r="R6" i="2"/>
  <c r="V32" i="2"/>
  <c r="R8" i="1"/>
  <c r="I10" i="1"/>
  <c r="P7" i="1"/>
  <c r="J12" i="2"/>
  <c r="J6" i="2"/>
  <c r="J19" i="1"/>
  <c r="Q25" i="1"/>
  <c r="V11" i="1"/>
  <c r="I26" i="1"/>
  <c r="J7" i="2"/>
  <c r="U12" i="1"/>
  <c r="R17" i="1"/>
  <c r="Q44" i="1"/>
  <c r="Q35" i="2"/>
  <c r="P7" i="2"/>
  <c r="J43" i="2"/>
  <c r="I15" i="1"/>
  <c r="V7" i="2"/>
  <c r="I8" i="1"/>
  <c r="U13" i="2"/>
  <c r="V23" i="1"/>
  <c r="P5" i="1"/>
  <c r="I43" i="2"/>
  <c r="P10" i="2"/>
  <c r="R15" i="2"/>
  <c r="J35" i="1"/>
  <c r="V13" i="2"/>
  <c r="J13" i="2"/>
  <c r="J29" i="1"/>
  <c r="P32" i="1"/>
  <c r="V4" i="1"/>
  <c r="J32" i="2"/>
  <c r="U14" i="1"/>
  <c r="J5" i="2"/>
  <c r="P35" i="1"/>
  <c r="J6" i="1"/>
  <c r="R13" i="2"/>
  <c r="I44" i="2"/>
  <c r="Q44" i="2"/>
  <c r="I6" i="1"/>
  <c r="P4" i="2"/>
  <c r="R32" i="1"/>
  <c r="I17" i="1"/>
  <c r="R29" i="1"/>
  <c r="P39" i="1"/>
  <c r="I19" i="2"/>
  <c r="V18" i="1"/>
  <c r="P28" i="2"/>
  <c r="Q26" i="1"/>
  <c r="V35" i="1"/>
  <c r="J23" i="2"/>
  <c r="R44" i="1"/>
  <c r="P40" i="1"/>
  <c r="I28" i="2"/>
  <c r="J24" i="2"/>
  <c r="I33" i="1"/>
  <c r="V17" i="1"/>
  <c r="U26" i="1"/>
  <c r="U17" i="1"/>
  <c r="V40" i="2"/>
  <c r="J28" i="1"/>
  <c r="U11" i="1"/>
  <c r="I33" i="2"/>
  <c r="J16" i="1"/>
  <c r="R40" i="2"/>
  <c r="J17" i="2"/>
  <c r="V10" i="2"/>
  <c r="V38" i="2"/>
  <c r="P14" i="1"/>
  <c r="P15" i="2"/>
  <c r="Q38" i="2"/>
  <c r="I7" i="1"/>
  <c r="I9" i="1"/>
  <c r="V12" i="1"/>
  <c r="J24" i="1"/>
  <c r="I24" i="2"/>
  <c r="R44" i="2"/>
  <c r="V14" i="1"/>
  <c r="Q11" i="2"/>
  <c r="V25" i="1"/>
  <c r="V21" i="2"/>
  <c r="U27" i="1"/>
  <c r="R7" i="2"/>
  <c r="J14" i="2"/>
  <c r="U19" i="2"/>
  <c r="U27" i="2"/>
  <c r="I7" i="2"/>
  <c r="V29" i="2"/>
  <c r="P20" i="1"/>
  <c r="P3" i="1"/>
  <c r="R42" i="2"/>
  <c r="J16" i="2"/>
  <c r="R10" i="1"/>
  <c r="U8" i="1"/>
  <c r="U42" i="2"/>
  <c r="R21" i="2"/>
  <c r="I5" i="1"/>
  <c r="Q22" i="1"/>
  <c r="R28" i="2"/>
  <c r="I4" i="1"/>
  <c r="V38" i="1"/>
  <c r="I42" i="2"/>
  <c r="U32" i="1"/>
  <c r="I3" i="2"/>
  <c r="P16" i="1"/>
  <c r="Q17" i="2"/>
  <c r="U20" i="2"/>
  <c r="V14" i="2"/>
  <c r="V11" i="2"/>
  <c r="I31" i="2"/>
  <c r="U13" i="1"/>
  <c r="I21" i="1"/>
  <c r="P25" i="1"/>
  <c r="V4" i="2"/>
  <c r="J43" i="1"/>
  <c r="R27" i="2"/>
  <c r="I9" i="2"/>
  <c r="P22" i="1"/>
  <c r="P40" i="2"/>
  <c r="R6" i="1"/>
  <c r="U40" i="2"/>
  <c r="J4" i="1"/>
  <c r="I19" i="1"/>
  <c r="Q43" i="2"/>
  <c r="U29" i="1"/>
  <c r="Q16" i="2"/>
  <c r="J31" i="1"/>
  <c r="U7" i="2"/>
  <c r="V43" i="2"/>
  <c r="Q18" i="2"/>
  <c r="J33" i="2"/>
  <c r="P29" i="1"/>
  <c r="U21" i="2"/>
  <c r="R28" i="1"/>
  <c r="P18" i="2"/>
  <c r="J44" i="2"/>
  <c r="I18" i="2"/>
  <c r="U20" i="1"/>
  <c r="I35" i="1"/>
  <c r="V42" i="2"/>
  <c r="U23" i="2"/>
  <c r="R7" i="1"/>
  <c r="P44" i="2"/>
  <c r="P11" i="1"/>
  <c r="V6" i="2"/>
  <c r="R22" i="2"/>
  <c r="U32" i="2"/>
  <c r="V8" i="1"/>
  <c r="Q22" i="2"/>
  <c r="J13" i="1"/>
  <c r="U23" i="1"/>
  <c r="Q13" i="1"/>
  <c r="U40" i="1"/>
  <c r="R4" i="1"/>
  <c r="U22" i="2"/>
  <c r="Q14" i="2"/>
  <c r="J27" i="1"/>
  <c r="R26" i="1"/>
  <c r="U25" i="1"/>
  <c r="I14" i="1"/>
  <c r="J15" i="2"/>
  <c r="J33" i="1"/>
  <c r="R26" i="2"/>
  <c r="Q13" i="2"/>
  <c r="U9" i="1"/>
  <c r="P43" i="1"/>
  <c r="I10" i="2"/>
  <c r="J27" i="2"/>
  <c r="R10" i="2"/>
  <c r="J8" i="2"/>
  <c r="R3" i="2"/>
  <c r="U24" i="1"/>
  <c r="P39" i="2"/>
  <c r="R13" i="1"/>
  <c r="Q11" i="1"/>
  <c r="U17" i="2"/>
  <c r="Q5" i="1"/>
  <c r="U28" i="1"/>
  <c r="Q9" i="2"/>
  <c r="Q8" i="2"/>
  <c r="U16" i="2"/>
  <c r="Q10" i="1"/>
  <c r="R16" i="1"/>
  <c r="Q6" i="1"/>
  <c r="Q27" i="1"/>
  <c r="U4" i="1"/>
  <c r="U38" i="2"/>
  <c r="I16" i="2"/>
  <c r="R19" i="2"/>
  <c r="R23" i="2"/>
  <c r="J21" i="2"/>
  <c r="V16" i="2"/>
  <c r="Q9" i="1"/>
  <c r="I40" i="1"/>
  <c r="P18" i="1"/>
  <c r="V16" i="1"/>
  <c r="V29" i="1"/>
  <c r="P38" i="1"/>
  <c r="P3" i="2"/>
  <c r="Q31" i="1"/>
  <c r="U3" i="2"/>
  <c r="J23" i="1"/>
  <c r="R40" i="1"/>
  <c r="U5" i="2"/>
  <c r="Q3" i="1"/>
  <c r="V20" i="1"/>
  <c r="Q19" i="1"/>
  <c r="Q16" i="1"/>
  <c r="Q42" i="2"/>
  <c r="I20" i="1"/>
  <c r="J32" i="1"/>
  <c r="R11" i="2"/>
  <c r="R18" i="2"/>
  <c r="P8" i="2"/>
  <c r="Q40" i="2"/>
  <c r="J25" i="2"/>
  <c r="I30" i="1"/>
  <c r="Q35" i="1"/>
  <c r="P28" i="1"/>
  <c r="U44" i="2"/>
  <c r="P19" i="2"/>
  <c r="Q20" i="1"/>
  <c r="I13" i="1"/>
  <c r="R39" i="2"/>
  <c r="J34" i="1"/>
  <c r="Q23" i="1"/>
  <c r="J26" i="1"/>
  <c r="J42" i="2"/>
  <c r="I35" i="2"/>
  <c r="V26" i="2"/>
  <c r="J9" i="1"/>
  <c r="Q34" i="1"/>
  <c r="U12" i="2"/>
  <c r="R5" i="1"/>
  <c r="V22" i="1"/>
  <c r="V3" i="1"/>
  <c r="Q12" i="2"/>
  <c r="R29" i="2"/>
  <c r="U11" i="2"/>
  <c r="I25" i="2"/>
  <c r="R21" i="1"/>
  <c r="Q39" i="1"/>
  <c r="Q8" i="1"/>
  <c r="R25" i="2"/>
  <c r="I39" i="1"/>
  <c r="U29" i="2"/>
  <c r="P24" i="1"/>
  <c r="R4" i="2"/>
  <c r="Q4" i="2"/>
  <c r="R43" i="2"/>
  <c r="P8" i="1"/>
  <c r="J31" i="2"/>
  <c r="R25" i="1"/>
  <c r="P4" i="1"/>
  <c r="J22" i="2"/>
  <c r="R20" i="2"/>
  <c r="I38" i="2"/>
  <c r="Q12" i="1"/>
  <c r="P31" i="1"/>
  <c r="U25" i="2"/>
  <c r="Q24" i="1"/>
  <c r="R9" i="1"/>
  <c r="U42" i="1"/>
  <c r="J11" i="2"/>
  <c r="J20" i="1"/>
  <c r="I38" i="1"/>
  <c r="U10" i="2"/>
  <c r="V39" i="2"/>
  <c r="R35" i="1"/>
  <c r="Q17" i="1"/>
  <c r="V15" i="1"/>
  <c r="V32" i="1"/>
  <c r="V15" i="2"/>
  <c r="P17" i="2"/>
  <c r="R42" i="1"/>
  <c r="J30" i="2"/>
  <c r="Q5" i="2"/>
  <c r="I34" i="1"/>
  <c r="U14" i="2"/>
  <c r="U18" i="1"/>
  <c r="R35" i="2"/>
  <c r="R15" i="1"/>
  <c r="Q38" i="1"/>
  <c r="V25" i="2"/>
  <c r="I39" i="2"/>
  <c r="I25" i="1"/>
  <c r="V20" i="2"/>
  <c r="P23" i="1"/>
  <c r="P27" i="2"/>
  <c r="I26" i="2"/>
  <c r="I44" i="1"/>
  <c r="Q42" i="1"/>
  <c r="Q28" i="2"/>
  <c r="R43" i="1"/>
  <c r="U38" i="1"/>
  <c r="V12" i="2"/>
  <c r="I15" i="2"/>
  <c r="Q7" i="1"/>
  <c r="P42" i="1"/>
  <c r="I16" i="1"/>
  <c r="V31" i="2"/>
  <c r="I13" i="2"/>
  <c r="I8" i="2"/>
  <c r="U43" i="2"/>
  <c r="V28" i="2"/>
  <c r="Q25" i="2"/>
  <c r="V35" i="2"/>
  <c r="P16" i="2"/>
  <c r="P6" i="2"/>
  <c r="Q14" i="1"/>
  <c r="J3" i="1"/>
  <c r="V18" i="2"/>
  <c r="V43" i="1"/>
  <c r="U24" i="2"/>
  <c r="J4" i="2"/>
  <c r="Q29" i="2"/>
  <c r="Q7" i="2"/>
  <c r="Q21" i="1"/>
  <c r="Q43" i="1"/>
  <c r="P21" i="1"/>
  <c r="V13" i="1"/>
  <c r="V8" i="2"/>
  <c r="J42" i="1"/>
  <c r="U21" i="1"/>
  <c r="P27" i="1"/>
  <c r="R24" i="1"/>
  <c r="P26" i="1"/>
  <c r="P42" i="2"/>
  <c r="J12" i="1"/>
  <c r="J7" i="1"/>
  <c r="P22" i="2"/>
  <c r="P44" i="1"/>
  <c r="V28" i="1"/>
  <c r="P13" i="1"/>
  <c r="U8" i="2"/>
  <c r="V10" i="1"/>
  <c r="P25" i="2"/>
  <c r="R38" i="2"/>
  <c r="U31" i="2"/>
  <c r="V19" i="1"/>
  <c r="Q23" i="2"/>
  <c r="I18" i="1"/>
  <c r="U39" i="2"/>
  <c r="P21" i="2"/>
  <c r="P6" i="1"/>
  <c r="R12" i="2"/>
  <c r="V7" i="1"/>
  <c r="I43" i="1"/>
  <c r="R38" i="1"/>
  <c r="I14" i="2"/>
  <c r="V5" i="1"/>
  <c r="P19" i="1"/>
  <c r="V44" i="1"/>
  <c r="I20" i="2"/>
  <c r="J25" i="1"/>
  <c r="V9" i="1"/>
  <c r="U15" i="2"/>
  <c r="R14" i="1"/>
  <c r="U15" i="1"/>
  <c r="U10" i="1"/>
  <c r="P38" i="2"/>
  <c r="V6" i="1"/>
  <c r="V26" i="1"/>
  <c r="I30" i="2"/>
  <c r="V31" i="1"/>
  <c r="U9" i="2"/>
  <c r="U19" i="1"/>
  <c r="P12" i="2"/>
  <c r="Q15" i="2"/>
  <c r="J22" i="1"/>
  <c r="R20" i="1"/>
  <c r="J26" i="2"/>
  <c r="I12" i="2"/>
  <c r="R24" i="2"/>
  <c r="P14" i="2"/>
  <c r="U35" i="1"/>
  <c r="V27" i="1"/>
  <c r="Q20" i="2"/>
  <c r="I27" i="2"/>
  <c r="J9" i="2"/>
  <c r="P26" i="2"/>
  <c r="I23" i="2"/>
  <c r="I12" i="1"/>
  <c r="R16" i="2"/>
  <c r="J11" i="1"/>
  <c r="V39" i="1"/>
  <c r="P15" i="1"/>
  <c r="J10" i="2"/>
  <c r="R18" i="1"/>
  <c r="I6" i="2"/>
  <c r="P29" i="2"/>
  <c r="J21" i="1"/>
  <c r="P35" i="2"/>
  <c r="J17" i="1"/>
  <c r="I22" i="2"/>
  <c r="R12" i="1"/>
  <c r="P20" i="2"/>
  <c r="Q27" i="2"/>
  <c r="V17" i="2"/>
  <c r="U44" i="1"/>
  <c r="R39" i="1"/>
  <c r="R9" i="2"/>
  <c r="I42" i="1"/>
  <c r="V24" i="2"/>
  <c r="P9" i="2"/>
  <c r="J28" i="2"/>
  <c r="U39" i="1"/>
  <c r="U6" i="2"/>
  <c r="V24" i="1"/>
  <c r="I4" i="2"/>
  <c r="R27" i="1"/>
  <c r="P34" i="1"/>
  <c r="I40" i="2"/>
  <c r="J14" i="1"/>
  <c r="L14" i="1" l="1"/>
  <c r="N40" i="2"/>
  <c r="M40" i="2"/>
  <c r="O40" i="2" s="1"/>
  <c r="K40" i="2"/>
  <c r="M4" i="2"/>
  <c r="O4" i="2" s="1"/>
  <c r="K4" i="2"/>
  <c r="N4" i="2"/>
  <c r="L28" i="2"/>
  <c r="N42" i="1"/>
  <c r="K42" i="1"/>
  <c r="M42" i="1"/>
  <c r="O42" i="1" s="1"/>
  <c r="K22" i="2"/>
  <c r="M22" i="2"/>
  <c r="O22" i="2" s="1"/>
  <c r="N22" i="2"/>
  <c r="L17" i="1"/>
  <c r="L35" i="2"/>
  <c r="L21" i="1"/>
  <c r="K6" i="2"/>
  <c r="N6" i="2"/>
  <c r="M6" i="2"/>
  <c r="O6" i="2" s="1"/>
  <c r="L10" i="2"/>
  <c r="L11" i="1"/>
  <c r="M12" i="1"/>
  <c r="O12" i="1" s="1"/>
  <c r="K12" i="1"/>
  <c r="N12" i="1"/>
  <c r="K23" i="2"/>
  <c r="M23" i="2"/>
  <c r="O23" i="2" s="1"/>
  <c r="N23" i="2"/>
  <c r="L9" i="2"/>
  <c r="K27" i="2"/>
  <c r="N27" i="2"/>
  <c r="M27" i="2"/>
  <c r="O27" i="2" s="1"/>
  <c r="N12" i="2"/>
  <c r="K12" i="2"/>
  <c r="M12" i="2"/>
  <c r="O12" i="2" s="1"/>
  <c r="L26" i="2"/>
  <c r="L22" i="1"/>
  <c r="K30" i="2"/>
  <c r="N30" i="2"/>
  <c r="M30" i="2"/>
  <c r="O30" i="2" s="1"/>
  <c r="L38" i="2"/>
  <c r="L25" i="1"/>
  <c r="N20" i="2"/>
  <c r="M20" i="2"/>
  <c r="O20" i="2" s="1"/>
  <c r="K20" i="2"/>
  <c r="N14" i="2"/>
  <c r="M14" i="2"/>
  <c r="O14" i="2" s="1"/>
  <c r="K14" i="2"/>
  <c r="N43" i="1"/>
  <c r="K43" i="1"/>
  <c r="M43" i="1"/>
  <c r="O43" i="1" s="1"/>
  <c r="N18" i="1"/>
  <c r="K18" i="1"/>
  <c r="M18" i="1"/>
  <c r="O18" i="1" s="1"/>
  <c r="L7" i="1"/>
  <c r="L12" i="1"/>
  <c r="L42" i="2"/>
  <c r="L4" i="2"/>
  <c r="L3" i="1"/>
  <c r="M8" i="2"/>
  <c r="O8" i="2" s="1"/>
  <c r="N8" i="2"/>
  <c r="K8" i="2"/>
  <c r="N13" i="2"/>
  <c r="K13" i="2"/>
  <c r="M13" i="2"/>
  <c r="O13" i="2" s="1"/>
  <c r="M16" i="1"/>
  <c r="O16" i="1" s="1"/>
  <c r="K16" i="1"/>
  <c r="N16" i="1"/>
  <c r="L42" i="1"/>
  <c r="N15" i="2"/>
  <c r="K15" i="2"/>
  <c r="M15" i="2"/>
  <c r="O15" i="2" s="1"/>
  <c r="M44" i="1"/>
  <c r="O44" i="1" s="1"/>
  <c r="K44" i="1"/>
  <c r="N44" i="1"/>
  <c r="K26" i="2"/>
  <c r="M26" i="2"/>
  <c r="O26" i="2" s="1"/>
  <c r="N26" i="2"/>
  <c r="K25" i="1"/>
  <c r="N25" i="1"/>
  <c r="M25" i="1"/>
  <c r="O25" i="1" s="1"/>
  <c r="N39" i="2"/>
  <c r="K39" i="2"/>
  <c r="M39" i="2"/>
  <c r="O39" i="2" s="1"/>
  <c r="M34" i="1"/>
  <c r="O34" i="1" s="1"/>
  <c r="K34" i="1"/>
  <c r="N34" i="1"/>
  <c r="L30" i="2"/>
  <c r="N38" i="1"/>
  <c r="K38" i="1"/>
  <c r="M38" i="1"/>
  <c r="O38" i="1" s="1"/>
  <c r="L20" i="1"/>
  <c r="L11" i="2"/>
  <c r="N38" i="2"/>
  <c r="M38" i="2"/>
  <c r="O38" i="2" s="1"/>
  <c r="K38" i="2"/>
  <c r="L22" i="2"/>
  <c r="L31" i="2"/>
  <c r="N39" i="1"/>
  <c r="M39" i="1"/>
  <c r="O39" i="1" s="1"/>
  <c r="K39" i="1"/>
  <c r="N25" i="2"/>
  <c r="K25" i="2"/>
  <c r="M25" i="2"/>
  <c r="O25" i="2" s="1"/>
  <c r="L9" i="1"/>
  <c r="K35" i="2"/>
  <c r="M35" i="2"/>
  <c r="O35" i="2" s="1"/>
  <c r="N35" i="2"/>
  <c r="L26" i="1"/>
  <c r="L34" i="1"/>
  <c r="K13" i="1"/>
  <c r="M13" i="1"/>
  <c r="O13" i="1" s="1"/>
  <c r="N13" i="1"/>
  <c r="K30" i="1"/>
  <c r="L25" i="2"/>
  <c r="L32" i="1"/>
  <c r="M32" i="1"/>
  <c r="O32" i="1" s="1"/>
  <c r="M20" i="1"/>
  <c r="O20" i="1" s="1"/>
  <c r="N20" i="1"/>
  <c r="K20" i="1"/>
  <c r="M1" i="1"/>
  <c r="L23" i="1"/>
  <c r="M23" i="1"/>
  <c r="O23" i="1" s="1"/>
  <c r="L38" i="1"/>
  <c r="N40" i="1"/>
  <c r="M40" i="1"/>
  <c r="O40" i="1" s="1"/>
  <c r="K40" i="1"/>
  <c r="L21" i="2"/>
  <c r="K16" i="2"/>
  <c r="N16" i="2"/>
  <c r="M16" i="2"/>
  <c r="O16" i="2" s="1"/>
  <c r="L39" i="2"/>
  <c r="L8" i="2"/>
  <c r="L27" i="2"/>
  <c r="N10" i="2"/>
  <c r="M10" i="2"/>
  <c r="O10" i="2" s="1"/>
  <c r="K10" i="2"/>
  <c r="L33" i="1"/>
  <c r="L15" i="2"/>
  <c r="N14" i="1"/>
  <c r="K14" i="1"/>
  <c r="M14" i="1"/>
  <c r="O14" i="1" s="1"/>
  <c r="M27" i="1"/>
  <c r="O27" i="1" s="1"/>
  <c r="L27" i="1"/>
  <c r="L13" i="1"/>
  <c r="K35" i="1"/>
  <c r="M35" i="1"/>
  <c r="O35" i="1" s="1"/>
  <c r="N35" i="1"/>
  <c r="N18" i="2"/>
  <c r="M18" i="2"/>
  <c r="O18" i="2" s="1"/>
  <c r="K18" i="2"/>
  <c r="L44" i="2"/>
  <c r="L33" i="2"/>
  <c r="L31" i="1"/>
  <c r="M31" i="1"/>
  <c r="O31" i="1" s="1"/>
  <c r="M19" i="1"/>
  <c r="O19" i="1" s="1"/>
  <c r="K19" i="1"/>
  <c r="N19" i="1"/>
  <c r="L4" i="1"/>
  <c r="L40" i="2"/>
  <c r="K9" i="2"/>
  <c r="N9" i="2"/>
  <c r="M9" i="2"/>
  <c r="O9" i="2" s="1"/>
  <c r="L43" i="1"/>
  <c r="N21" i="1"/>
  <c r="M21" i="1"/>
  <c r="O21" i="1" s="1"/>
  <c r="K21" i="1"/>
  <c r="K31" i="2"/>
  <c r="N31" i="2"/>
  <c r="M31" i="2"/>
  <c r="O31" i="2" s="1"/>
  <c r="K3" i="2"/>
  <c r="M3" i="2"/>
  <c r="O3" i="2" s="1"/>
  <c r="N3" i="2"/>
  <c r="M42" i="2"/>
  <c r="O42" i="2" s="1"/>
  <c r="K42" i="2"/>
  <c r="N42" i="2"/>
  <c r="K4" i="1"/>
  <c r="N4" i="1"/>
  <c r="M4" i="1"/>
  <c r="O4" i="1" s="1"/>
  <c r="K5" i="1"/>
  <c r="N5" i="1"/>
  <c r="M5" i="1"/>
  <c r="O5" i="1" s="1"/>
  <c r="L16" i="2"/>
  <c r="N7" i="2"/>
  <c r="M7" i="2"/>
  <c r="O7" i="2" s="1"/>
  <c r="K7" i="2"/>
  <c r="L14" i="2"/>
  <c r="M24" i="2"/>
  <c r="O24" i="2" s="1"/>
  <c r="K24" i="2"/>
  <c r="N24" i="2"/>
  <c r="L24" i="1"/>
  <c r="N9" i="1"/>
  <c r="K9" i="1"/>
  <c r="M9" i="1"/>
  <c r="O9" i="1" s="1"/>
  <c r="N7" i="1"/>
  <c r="K7" i="1"/>
  <c r="M7" i="1"/>
  <c r="O7" i="1" s="1"/>
  <c r="L17" i="2"/>
  <c r="L16" i="1"/>
  <c r="N33" i="2"/>
  <c r="K33" i="2"/>
  <c r="M33" i="2"/>
  <c r="O33" i="2" s="1"/>
  <c r="M28" i="1"/>
  <c r="O28" i="1" s="1"/>
  <c r="L28" i="1"/>
  <c r="K33" i="1"/>
  <c r="L24" i="2"/>
  <c r="N28" i="2"/>
  <c r="K28" i="2"/>
  <c r="M28" i="2"/>
  <c r="O28" i="2" s="1"/>
  <c r="L40" i="1"/>
  <c r="L23" i="2"/>
  <c r="N19" i="2"/>
  <c r="K19" i="2"/>
  <c r="M19" i="2"/>
  <c r="O19" i="2" s="1"/>
  <c r="L39" i="1"/>
  <c r="N17" i="1"/>
  <c r="M17" i="1"/>
  <c r="O17" i="1" s="1"/>
  <c r="K17" i="1"/>
  <c r="N6" i="1"/>
  <c r="M6" i="1"/>
  <c r="O6" i="1" s="1"/>
  <c r="K6" i="1"/>
  <c r="M44" i="2"/>
  <c r="O44" i="2" s="1"/>
  <c r="K44" i="2"/>
  <c r="N44" i="2"/>
  <c r="L6" i="1"/>
  <c r="L35" i="1"/>
  <c r="L5" i="2"/>
  <c r="L32" i="2"/>
  <c r="L29" i="1"/>
  <c r="M29" i="1"/>
  <c r="O29" i="1" s="1"/>
  <c r="L13" i="2"/>
  <c r="K43" i="2"/>
  <c r="M43" i="2"/>
  <c r="O43" i="2" s="1"/>
  <c r="N43" i="2"/>
  <c r="N8" i="1"/>
  <c r="K8" i="1"/>
  <c r="M8" i="1"/>
  <c r="O8" i="1" s="1"/>
  <c r="N15" i="1"/>
  <c r="K15" i="1"/>
  <c r="M15" i="1"/>
  <c r="O15" i="1" s="1"/>
  <c r="L43" i="2"/>
  <c r="L7" i="2"/>
  <c r="K26" i="1"/>
  <c r="M26" i="1"/>
  <c r="O26" i="1" s="1"/>
  <c r="N26" i="1"/>
  <c r="L19" i="1"/>
  <c r="L6" i="2"/>
  <c r="L12" i="2"/>
  <c r="K10" i="1"/>
  <c r="M10" i="1"/>
  <c r="O10" i="1" s="1"/>
  <c r="N10" i="1"/>
  <c r="N11" i="2"/>
  <c r="M11" i="2"/>
  <c r="O11" i="2" s="1"/>
  <c r="K11" i="2"/>
  <c r="N32" i="2"/>
  <c r="M32" i="2"/>
  <c r="O32" i="2" s="1"/>
  <c r="K32" i="2"/>
  <c r="L29" i="2"/>
  <c r="L3" i="2"/>
  <c r="L20" i="2"/>
  <c r="L19" i="2"/>
  <c r="N11" i="1"/>
  <c r="M11" i="1"/>
  <c r="O11" i="1" s="1"/>
  <c r="K11" i="1"/>
  <c r="L15" i="1"/>
  <c r="N3" i="1"/>
  <c r="K3" i="1"/>
  <c r="M3" i="1"/>
  <c r="O3" i="1" s="1"/>
  <c r="I1" i="1" s="1"/>
  <c r="L30" i="1"/>
  <c r="M1" i="2"/>
  <c r="L8" i="1"/>
  <c r="M21" i="2"/>
  <c r="O21" i="2" s="1"/>
  <c r="N21" i="2"/>
  <c r="K21" i="2"/>
  <c r="K17" i="2"/>
  <c r="M17" i="2"/>
  <c r="O17" i="2" s="1"/>
  <c r="N17" i="2"/>
  <c r="M29" i="2"/>
  <c r="O29" i="2" s="1"/>
  <c r="N29" i="2"/>
  <c r="K29" i="2"/>
  <c r="L5" i="1"/>
  <c r="N5" i="2"/>
  <c r="M5" i="2"/>
  <c r="O5" i="2" s="1"/>
  <c r="K5" i="2"/>
  <c r="M24" i="1"/>
  <c r="O24" i="1" s="1"/>
  <c r="N24" i="1"/>
  <c r="K24" i="1"/>
  <c r="L44" i="1"/>
  <c r="L18" i="1"/>
  <c r="L10" i="1"/>
  <c r="M22" i="1"/>
  <c r="O22" i="1" s="1"/>
  <c r="N22" i="1"/>
  <c r="K22" i="1"/>
  <c r="L18" i="2"/>
  <c r="E1" i="2" l="1"/>
  <c r="G1" i="1"/>
  <c r="E1" i="1"/>
  <c r="I1" i="2"/>
  <c r="G1" i="2"/>
  <c r="O1" i="1"/>
  <c r="K1" i="1"/>
  <c r="K1" i="2"/>
  <c r="O1" i="2"/>
</calcChain>
</file>

<file path=xl/comments1.xml><?xml version="1.0" encoding="utf-8"?>
<comments xmlns="http://schemas.openxmlformats.org/spreadsheetml/2006/main">
  <authors>
    <author>作者</author>
  </authors>
  <commentLis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成本法
</t>
        </r>
      </text>
    </comment>
    <comment ref="I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中证估值
</t>
        </r>
      </text>
    </comment>
    <comment ref="I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不复权的收盘价
</t>
        </r>
      </text>
    </comment>
    <comment ref="I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不复权的收盘价
</t>
        </r>
      </text>
    </comment>
    <comment ref="I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不复权的收盘价
</t>
        </r>
      </text>
    </comment>
    <comment ref="I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不复权的收盘价
</t>
        </r>
      </text>
    </comment>
    <comment ref="I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不复权的收盘价
</t>
        </r>
      </text>
    </comment>
    <comment ref="I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日间估价全价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中证估值
</t>
        </r>
      </text>
    </comment>
    <comment ref="I3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不赋权的前收盘价
</t>
        </r>
      </text>
    </comment>
    <comment ref="I3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不赋权的前收盘价
</t>
        </r>
      </text>
    </comment>
    <comment ref="I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不赋权的前收盘价
</t>
        </r>
      </text>
    </comment>
    <comment ref="I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不复权的收盘价
</t>
        </r>
      </text>
    </comment>
    <comment ref="I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不赋权的前收盘价
</t>
        </r>
      </text>
    </comment>
    <comment ref="I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日间估价全价
</t>
        </r>
      </text>
    </comment>
  </commentList>
</comments>
</file>

<file path=xl/sharedStrings.xml><?xml version="1.0" encoding="utf-8"?>
<sst xmlns="http://schemas.openxmlformats.org/spreadsheetml/2006/main" count="393" uniqueCount="183">
  <si>
    <t>浮动净价收益</t>
    <phoneticPr fontId="2" type="noConversion"/>
  </si>
  <si>
    <t>浮动利息收益</t>
    <phoneticPr fontId="2" type="noConversion"/>
  </si>
  <si>
    <t>规模</t>
    <phoneticPr fontId="2" type="noConversion"/>
  </si>
  <si>
    <t>久期</t>
    <phoneticPr fontId="2" type="noConversion"/>
  </si>
  <si>
    <t>DV01</t>
    <phoneticPr fontId="2" type="noConversion"/>
  </si>
  <si>
    <t>债券名称</t>
  </si>
  <si>
    <t>债券代码</t>
  </si>
  <si>
    <t>面值(万）</t>
    <phoneticPr fontId="2" type="noConversion"/>
  </si>
  <si>
    <t>买入时应计利息</t>
    <phoneticPr fontId="2" type="noConversion"/>
  </si>
  <si>
    <t>当日日终估价全价</t>
    <phoneticPr fontId="2" type="noConversion"/>
  </si>
  <si>
    <t>当日结算净价</t>
    <phoneticPr fontId="2" type="noConversion"/>
  </si>
  <si>
    <t>当日结算全价</t>
    <phoneticPr fontId="2" type="noConversion"/>
  </si>
  <si>
    <t>估价修正久期</t>
    <phoneticPr fontId="2" type="noConversion"/>
  </si>
  <si>
    <t>交易类别</t>
    <phoneticPr fontId="2" type="noConversion"/>
  </si>
  <si>
    <t>主体评级</t>
    <phoneticPr fontId="2" type="noConversion"/>
  </si>
  <si>
    <t>17黔南债02</t>
  </si>
  <si>
    <t>1780108</t>
  </si>
  <si>
    <t>自营</t>
    <phoneticPr fontId="2" type="noConversion"/>
  </si>
  <si>
    <t>17川金财债</t>
  </si>
  <si>
    <t>1780177</t>
  </si>
  <si>
    <t>17毕节信泰债</t>
  </si>
  <si>
    <t>1780349</t>
  </si>
  <si>
    <t>17白云债01</t>
  </si>
  <si>
    <t>1780125</t>
  </si>
  <si>
    <t>17青州建投债01</t>
  </si>
  <si>
    <t>1780135</t>
  </si>
  <si>
    <t>17张家界专项债</t>
  </si>
  <si>
    <t>1780170</t>
  </si>
  <si>
    <t>17红花岗停车场债01</t>
  </si>
  <si>
    <t>1780173</t>
  </si>
  <si>
    <t>17金潼债01</t>
  </si>
  <si>
    <t>1780183</t>
  </si>
  <si>
    <t>17白云债02</t>
  </si>
  <si>
    <t>1780307</t>
  </si>
  <si>
    <t>17遵义旅投债</t>
  </si>
  <si>
    <t>1780311</t>
  </si>
  <si>
    <t>17青州建投债02</t>
  </si>
  <si>
    <t>1780258</t>
  </si>
  <si>
    <t>19鄂供01</t>
  </si>
  <si>
    <t>162818</t>
  </si>
  <si>
    <t>20金科01</t>
  </si>
  <si>
    <t>20时代02</t>
  </si>
  <si>
    <t>163142</t>
  </si>
  <si>
    <t>20奥园01</t>
  </si>
  <si>
    <t>20新开元PPN001</t>
  </si>
  <si>
    <t>032000264</t>
  </si>
  <si>
    <t>20时代05</t>
  </si>
  <si>
    <t>163316</t>
  </si>
  <si>
    <t>19磁湖高新MTN002</t>
  </si>
  <si>
    <t>101901758</t>
  </si>
  <si>
    <t>20时代07</t>
  </si>
  <si>
    <t>163571</t>
  </si>
  <si>
    <t>15冀广网络债01</t>
  </si>
  <si>
    <t>1580170</t>
  </si>
  <si>
    <t>20合景04</t>
  </si>
  <si>
    <t>175068</t>
  </si>
  <si>
    <t>20合景06</t>
  </si>
  <si>
    <t>175201</t>
  </si>
  <si>
    <t>163188</t>
  </si>
  <si>
    <t>正荣03优</t>
  </si>
  <si>
    <t>169687</t>
  </si>
  <si>
    <t>18泛海1B</t>
  </si>
  <si>
    <t>149771</t>
  </si>
  <si>
    <t>082100184</t>
  </si>
  <si>
    <t>平裕6优</t>
  </si>
  <si>
    <t>20市北EB</t>
  </si>
  <si>
    <t>137114</t>
  </si>
  <si>
    <t>117192.SZ</t>
  </si>
  <si>
    <t>20蓝光02</t>
  </si>
  <si>
    <t>17宜华企业MTN002</t>
  </si>
  <si>
    <t>101761030</t>
  </si>
  <si>
    <t>15宜华02</t>
  </si>
  <si>
    <t>122405</t>
  </si>
  <si>
    <t>16铁牛01</t>
  </si>
  <si>
    <t>145204</t>
  </si>
  <si>
    <t>17泰禾MTN002</t>
  </si>
  <si>
    <t>101774003</t>
  </si>
  <si>
    <t>产品名称</t>
  </si>
  <si>
    <t>基金规模</t>
    <phoneticPr fontId="2" type="noConversion"/>
  </si>
  <si>
    <t>自营名义份额（万份）</t>
    <phoneticPr fontId="2" type="noConversion"/>
  </si>
  <si>
    <t>20211231日净值</t>
    <phoneticPr fontId="2" type="noConversion"/>
  </si>
  <si>
    <t>最新单位净值</t>
  </si>
  <si>
    <t>最新自营名义市值</t>
    <phoneticPr fontId="2" type="noConversion"/>
  </si>
  <si>
    <t>期间分红</t>
    <phoneticPr fontId="2" type="noConversion"/>
  </si>
  <si>
    <t>浮动收益</t>
    <phoneticPr fontId="2" type="noConversion"/>
  </si>
  <si>
    <t>天慧1号</t>
  </si>
  <si>
    <t>成本法</t>
    <phoneticPr fontId="2" type="noConversion"/>
  </si>
  <si>
    <t>浮动净价收益</t>
  </si>
  <si>
    <t>浮动利息收益</t>
  </si>
  <si>
    <t>市值法</t>
    <phoneticPr fontId="2" type="noConversion"/>
  </si>
  <si>
    <t>差异</t>
    <phoneticPr fontId="2" type="noConversion"/>
  </si>
  <si>
    <t>债投</t>
    <phoneticPr fontId="2" type="noConversion"/>
  </si>
  <si>
    <t>指数互换</t>
    <phoneticPr fontId="2" type="noConversion"/>
  </si>
  <si>
    <t>合计</t>
    <phoneticPr fontId="2" type="noConversion"/>
  </si>
  <si>
    <t>国债期货</t>
  </si>
  <si>
    <t>银行间回购</t>
  </si>
  <si>
    <t>交易所回购</t>
  </si>
  <si>
    <t>可转债</t>
    <phoneticPr fontId="2" type="noConversion"/>
  </si>
  <si>
    <t>卖出债券已净价收益</t>
    <phoneticPr fontId="2" type="noConversion"/>
  </si>
  <si>
    <t>卖出债券已实现利息</t>
    <phoneticPr fontId="2" type="noConversion"/>
  </si>
  <si>
    <t>未卖出债券浮动净价收益</t>
    <phoneticPr fontId="2" type="noConversion"/>
  </si>
  <si>
    <t>未卖出债券浮动利息收益</t>
    <phoneticPr fontId="2" type="noConversion"/>
  </si>
  <si>
    <t>合计总收益</t>
    <phoneticPr fontId="2" type="noConversion"/>
  </si>
  <si>
    <t>持仓（万）</t>
    <phoneticPr fontId="2" type="noConversion"/>
  </si>
  <si>
    <t>21奥园债</t>
  </si>
  <si>
    <t>21尚隽保理ABN001优先</t>
  </si>
  <si>
    <t>鹏举8号</t>
  </si>
  <si>
    <t>20奥园01</t>
    <phoneticPr fontId="2" type="noConversion"/>
  </si>
  <si>
    <t>指数互换2021.12.31日收益</t>
    <phoneticPr fontId="2" type="noConversion"/>
  </si>
  <si>
    <t>指数互换最新收益</t>
    <phoneticPr fontId="2" type="noConversion"/>
  </si>
  <si>
    <t>天诚固利1号</t>
    <phoneticPr fontId="2" type="noConversion"/>
  </si>
  <si>
    <t>天诚固利2号</t>
    <phoneticPr fontId="2" type="noConversion"/>
  </si>
  <si>
    <t>天诚固利3号</t>
    <phoneticPr fontId="2" type="noConversion"/>
  </si>
  <si>
    <t>浮动净价收益</t>
    <phoneticPr fontId="2" type="noConversion"/>
  </si>
  <si>
    <t>浮动利息收益</t>
    <phoneticPr fontId="2" type="noConversion"/>
  </si>
  <si>
    <t>平均票面</t>
    <phoneticPr fontId="2" type="noConversion"/>
  </si>
  <si>
    <t>日期</t>
    <phoneticPr fontId="2" type="noConversion"/>
  </si>
  <si>
    <t>买入时交易净价</t>
    <phoneticPr fontId="2" type="noConversion"/>
  </si>
  <si>
    <t>买入时结算净价/份额</t>
    <phoneticPr fontId="2" type="noConversion"/>
  </si>
  <si>
    <t>买入时结算全价</t>
    <phoneticPr fontId="2" type="noConversion"/>
  </si>
  <si>
    <t>当日估价净价</t>
    <phoneticPr fontId="2" type="noConversion"/>
  </si>
  <si>
    <t>当日日终应计利息</t>
    <phoneticPr fontId="2" type="noConversion"/>
  </si>
  <si>
    <t>浮动利息收益</t>
    <phoneticPr fontId="2" type="noConversion"/>
  </si>
  <si>
    <t>票面利率</t>
    <phoneticPr fontId="2" type="noConversion"/>
  </si>
  <si>
    <t>估价基点价值</t>
    <phoneticPr fontId="2" type="noConversion"/>
  </si>
  <si>
    <t>资产类别</t>
    <phoneticPr fontId="2" type="noConversion"/>
  </si>
  <si>
    <t>债项评级</t>
    <phoneticPr fontId="2" type="noConversion"/>
  </si>
  <si>
    <t>可供</t>
    <phoneticPr fontId="12" type="noConversion"/>
  </si>
  <si>
    <t>自营</t>
    <phoneticPr fontId="2" type="noConversion"/>
  </si>
  <si>
    <t>21太新06</t>
  </si>
  <si>
    <t>188692</t>
  </si>
  <si>
    <t>16山东经投债</t>
  </si>
  <si>
    <t>1680368</t>
  </si>
  <si>
    <t>149037.SZ</t>
    <phoneticPr fontId="2" type="noConversion"/>
  </si>
  <si>
    <t>188326.SH</t>
  </si>
  <si>
    <t>21中骏1B</t>
  </si>
  <si>
    <t>179511</t>
  </si>
  <si>
    <t>21番雅01</t>
  </si>
  <si>
    <t>175934.SH</t>
  </si>
  <si>
    <t>136209.SZ</t>
  </si>
  <si>
    <t>20宝龙A</t>
  </si>
  <si>
    <t>168764</t>
  </si>
  <si>
    <t>21方大EB</t>
  </si>
  <si>
    <t>137129.SH</t>
  </si>
  <si>
    <t>21甘电E1</t>
    <phoneticPr fontId="2" type="noConversion"/>
  </si>
  <si>
    <t>21鲁银EB</t>
  </si>
  <si>
    <t>117181</t>
  </si>
  <si>
    <t>21恒力EB</t>
  </si>
  <si>
    <t>137000.SH</t>
  </si>
  <si>
    <t>三一重工</t>
  </si>
  <si>
    <t>600031</t>
  </si>
  <si>
    <t>金贵银业</t>
  </si>
  <si>
    <t>002716</t>
  </si>
  <si>
    <t>163275</t>
    <phoneticPr fontId="2" type="noConversion"/>
  </si>
  <si>
    <t>16金立债</t>
  </si>
  <si>
    <t>114036</t>
  </si>
  <si>
    <t>20211231日自营名义市值</t>
    <phoneticPr fontId="2" type="noConversion"/>
  </si>
  <si>
    <t>面值(万）</t>
    <phoneticPr fontId="2" type="noConversion"/>
  </si>
  <si>
    <t>买入时交易净价</t>
    <phoneticPr fontId="2" type="noConversion"/>
  </si>
  <si>
    <t>买入时结算净价/份额</t>
    <phoneticPr fontId="2" type="noConversion"/>
  </si>
  <si>
    <t>买入时结算全价</t>
    <phoneticPr fontId="2" type="noConversion"/>
  </si>
  <si>
    <t>当日估价净价</t>
    <phoneticPr fontId="2" type="noConversion"/>
  </si>
  <si>
    <t>当日日终应计利息</t>
    <phoneticPr fontId="2" type="noConversion"/>
  </si>
  <si>
    <t>当日日终估价全价</t>
    <phoneticPr fontId="2" type="noConversion"/>
  </si>
  <si>
    <t>票面利率</t>
    <phoneticPr fontId="2" type="noConversion"/>
  </si>
  <si>
    <t>交易类别</t>
    <phoneticPr fontId="2" type="noConversion"/>
  </si>
  <si>
    <t>主体评级</t>
    <phoneticPr fontId="2" type="noConversion"/>
  </si>
  <si>
    <t>自营</t>
    <phoneticPr fontId="2" type="noConversion"/>
  </si>
  <si>
    <t>149037.SZ</t>
    <phoneticPr fontId="2" type="noConversion"/>
  </si>
  <si>
    <t>自营</t>
    <phoneticPr fontId="2" type="noConversion"/>
  </si>
  <si>
    <t>163275</t>
    <phoneticPr fontId="2" type="noConversion"/>
  </si>
  <si>
    <t>20211231日净值</t>
    <phoneticPr fontId="2" type="noConversion"/>
  </si>
  <si>
    <t>最新自营名义市值</t>
    <phoneticPr fontId="2" type="noConversion"/>
  </si>
  <si>
    <t>浮动收益</t>
    <phoneticPr fontId="2" type="noConversion"/>
  </si>
  <si>
    <t>天诚固利3号</t>
    <phoneticPr fontId="2" type="noConversion"/>
  </si>
  <si>
    <t>回售日</t>
    <phoneticPr fontId="2" type="noConversion"/>
  </si>
  <si>
    <t>日期</t>
  </si>
  <si>
    <t>交易账户收益合计</t>
  </si>
  <si>
    <t>自营</t>
    <phoneticPr fontId="2" type="noConversion"/>
  </si>
  <si>
    <t>去年结转数</t>
    <phoneticPr fontId="2" type="noConversion"/>
  </si>
  <si>
    <t>鹏举08优</t>
  </si>
  <si>
    <t>公允</t>
  </si>
  <si>
    <t>2,959,732.56    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</si>
</sst>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 * #,##0.00_ ;_ * \-#,##0.00_ ;_ * &quot;-&quot;??_ ;_ @_ "/>
    <numFmt numFmtId="176" formatCode="#,##0.00_);[Red]\(#,##0.00\)"/>
    <numFmt numFmtId="177" formatCode="#,##0.0000_ "/>
    <numFmt numFmtId="178" formatCode="#,##0.0000_);[Red]\(#,##0.0000\)"/>
    <numFmt numFmtId="179" formatCode="0.0000_ "/>
    <numFmt numFmtId="180" formatCode="0.00_ "/>
    <numFmt numFmtId="181" formatCode="0.0000_);[Red]\(0.0000\)"/>
    <numFmt numFmtId="182" formatCode="#,##0.00_ "/>
    <numFmt numFmtId="183" formatCode="0_);[Red]\(0\)"/>
    <numFmt numFmtId="184" formatCode="###,###,##0.0000"/>
    <numFmt numFmtId="185" formatCode="#,##0.000000000_ "/>
    <numFmt numFmtId="186" formatCode="#,##0.000000_ "/>
    <numFmt numFmtId="187" formatCode="0.00_);[Red]\(0.00\)"/>
  </numFmts>
  <fonts count="27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2"/>
      <scheme val="minor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6" fillId="0" borderId="0" applyFont="0" applyFill="0" applyBorder="0" applyAlignment="0" applyProtection="0">
      <alignment vertical="center"/>
    </xf>
  </cellStyleXfs>
  <cellXfs count="118">
    <xf numFmtId="0" fontId="0" fillId="0" borderId="0" xfId="0"/>
    <xf numFmtId="14" fontId="1" fillId="2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176" fontId="3" fillId="3" borderId="0" xfId="0" applyNumberFormat="1" applyFont="1" applyFill="1" applyAlignment="1">
      <alignment horizontal="center"/>
    </xf>
    <xf numFmtId="177" fontId="4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8" fontId="4" fillId="4" borderId="0" xfId="0" applyNumberFormat="1" applyFont="1" applyFill="1" applyAlignment="1">
      <alignment horizontal="center"/>
    </xf>
    <xf numFmtId="179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80" fontId="4" fillId="4" borderId="0" xfId="0" applyNumberFormat="1" applyFont="1" applyFill="1" applyAlignment="1">
      <alignment horizontal="center"/>
    </xf>
    <xf numFmtId="10" fontId="4" fillId="4" borderId="0" xfId="0" applyNumberFormat="1" applyFont="1" applyFill="1" applyAlignment="1">
      <alignment horizontal="center"/>
    </xf>
    <xf numFmtId="10" fontId="5" fillId="4" borderId="0" xfId="0" applyNumberFormat="1" applyFont="1" applyFill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81" fontId="7" fillId="5" borderId="0" xfId="0" applyNumberFormat="1" applyFont="1" applyFill="1" applyAlignment="1">
      <alignment horizontal="center" vertical="center"/>
    </xf>
    <xf numFmtId="182" fontId="8" fillId="5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180" fontId="8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14" fontId="11" fillId="0" borderId="0" xfId="0" applyNumberFormat="1" applyFont="1" applyFill="1" applyBorder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81" fontId="8" fillId="0" borderId="0" xfId="0" applyNumberFormat="1" applyFont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184" fontId="8" fillId="0" borderId="0" xfId="0" applyNumberFormat="1" applyFont="1" applyAlignment="1">
      <alignment horizontal="center"/>
    </xf>
    <xf numFmtId="182" fontId="8" fillId="0" borderId="0" xfId="0" applyNumberFormat="1" applyFont="1" applyAlignment="1">
      <alignment horizontal="center"/>
    </xf>
    <xf numFmtId="176" fontId="8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176" fontId="13" fillId="0" borderId="0" xfId="0" applyNumberFormat="1" applyFont="1" applyAlignment="1">
      <alignment horizontal="center"/>
    </xf>
    <xf numFmtId="176" fontId="8" fillId="0" borderId="0" xfId="0" applyNumberFormat="1" applyFont="1" applyFill="1" applyBorder="1" applyAlignment="1">
      <alignment horizontal="center" vertical="center"/>
    </xf>
    <xf numFmtId="184" fontId="6" fillId="0" borderId="0" xfId="0" applyNumberFormat="1" applyFont="1" applyAlignment="1">
      <alignment horizontal="center"/>
    </xf>
    <xf numFmtId="176" fontId="6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82" fontId="14" fillId="0" borderId="0" xfId="0" applyNumberFormat="1" applyFont="1" applyAlignment="1">
      <alignment horizontal="center"/>
    </xf>
    <xf numFmtId="176" fontId="10" fillId="0" borderId="0" xfId="0" applyNumberFormat="1" applyFont="1" applyAlignment="1">
      <alignment horizontal="center"/>
    </xf>
    <xf numFmtId="179" fontId="8" fillId="0" borderId="0" xfId="0" applyNumberFormat="1" applyFont="1" applyAlignment="1">
      <alignment horizontal="center"/>
    </xf>
    <xf numFmtId="178" fontId="6" fillId="0" borderId="0" xfId="0" applyNumberFormat="1" applyFont="1" applyAlignment="1">
      <alignment horizontal="center"/>
    </xf>
    <xf numFmtId="179" fontId="6" fillId="0" borderId="0" xfId="0" applyNumberFormat="1" applyFont="1" applyAlignment="1">
      <alignment horizontal="center" vertical="center"/>
    </xf>
    <xf numFmtId="176" fontId="14" fillId="0" borderId="0" xfId="0" applyNumberFormat="1" applyFont="1" applyBorder="1" applyAlignment="1">
      <alignment horizontal="center" vertical="center"/>
    </xf>
    <xf numFmtId="180" fontId="14" fillId="0" borderId="0" xfId="0" applyNumberFormat="1" applyFont="1" applyAlignment="1">
      <alignment horizontal="center"/>
    </xf>
    <xf numFmtId="176" fontId="7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center"/>
    </xf>
    <xf numFmtId="178" fontId="16" fillId="0" borderId="0" xfId="0" applyNumberFormat="1" applyFont="1" applyAlignment="1">
      <alignment horizontal="center"/>
    </xf>
    <xf numFmtId="177" fontId="14" fillId="0" borderId="0" xfId="0" applyNumberFormat="1" applyFont="1" applyAlignment="1">
      <alignment horizontal="center"/>
    </xf>
    <xf numFmtId="0" fontId="1" fillId="0" borderId="0" xfId="0" applyFont="1"/>
    <xf numFmtId="0" fontId="5" fillId="0" borderId="0" xfId="0" applyFont="1"/>
    <xf numFmtId="4" fontId="0" fillId="0" borderId="0" xfId="0" applyNumberFormat="1"/>
    <xf numFmtId="182" fontId="0" fillId="0" borderId="0" xfId="0" applyNumberFormat="1"/>
    <xf numFmtId="185" fontId="0" fillId="0" borderId="0" xfId="0" applyNumberFormat="1"/>
    <xf numFmtId="182" fontId="21" fillId="0" borderId="0" xfId="0" applyNumberFormat="1" applyFont="1" applyFill="1" applyBorder="1" applyAlignment="1">
      <alignment vertical="center"/>
    </xf>
    <xf numFmtId="182" fontId="5" fillId="0" borderId="0" xfId="0" applyNumberFormat="1" applyFont="1"/>
    <xf numFmtId="0" fontId="22" fillId="0" borderId="0" xfId="0" applyFont="1"/>
    <xf numFmtId="186" fontId="0" fillId="0" borderId="0" xfId="0" applyNumberFormat="1"/>
    <xf numFmtId="187" fontId="19" fillId="0" borderId="0" xfId="0" applyNumberFormat="1" applyFont="1" applyFill="1" applyBorder="1" applyAlignment="1">
      <alignment horizontal="center" vertical="center"/>
    </xf>
    <xf numFmtId="187" fontId="20" fillId="0" borderId="0" xfId="0" applyNumberFormat="1" applyFont="1" applyFill="1" applyBorder="1" applyAlignment="1">
      <alignment horizontal="center" vertical="center"/>
    </xf>
    <xf numFmtId="4" fontId="0" fillId="2" borderId="0" xfId="0" applyNumberFormat="1" applyFill="1"/>
    <xf numFmtId="182" fontId="21" fillId="2" borderId="0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49" fontId="23" fillId="0" borderId="0" xfId="0" applyNumberFormat="1" applyFont="1" applyFill="1" applyBorder="1" applyAlignment="1">
      <alignment horizontal="center" vertical="center"/>
    </xf>
    <xf numFmtId="183" fontId="23" fillId="0" borderId="0" xfId="0" applyNumberFormat="1" applyFont="1" applyFill="1" applyBorder="1" applyAlignment="1">
      <alignment horizontal="center" vertical="center"/>
    </xf>
    <xf numFmtId="181" fontId="24" fillId="0" borderId="0" xfId="0" applyNumberFormat="1" applyFont="1" applyFill="1" applyBorder="1" applyAlignment="1">
      <alignment horizontal="center" vertical="center"/>
    </xf>
    <xf numFmtId="176" fontId="24" fillId="0" borderId="0" xfId="0" applyNumberFormat="1" applyFont="1" applyFill="1" applyBorder="1" applyAlignment="1">
      <alignment horizontal="center"/>
    </xf>
    <xf numFmtId="49" fontId="23" fillId="6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176" fontId="23" fillId="0" borderId="0" xfId="0" applyNumberFormat="1" applyFont="1" applyFill="1" applyBorder="1" applyAlignment="1">
      <alignment horizontal="center" vertical="center"/>
    </xf>
    <xf numFmtId="176" fontId="24" fillId="0" borderId="0" xfId="0" applyNumberFormat="1" applyFont="1" applyFill="1" applyBorder="1" applyAlignment="1">
      <alignment horizontal="center" vertical="center"/>
    </xf>
    <xf numFmtId="14" fontId="24" fillId="0" borderId="0" xfId="0" applyNumberFormat="1" applyFont="1" applyFill="1" applyBorder="1" applyAlignment="1">
      <alignment horizontal="center" vertical="center"/>
    </xf>
    <xf numFmtId="49" fontId="24" fillId="0" borderId="0" xfId="0" applyNumberFormat="1" applyFont="1" applyFill="1" applyBorder="1" applyAlignment="1">
      <alignment horizontal="center" vertical="center"/>
    </xf>
    <xf numFmtId="182" fontId="24" fillId="0" borderId="0" xfId="0" applyNumberFormat="1" applyFont="1" applyFill="1" applyBorder="1" applyAlignment="1">
      <alignment horizontal="center" vertical="center"/>
    </xf>
    <xf numFmtId="182" fontId="6" fillId="0" borderId="0" xfId="0" applyNumberFormat="1" applyFont="1" applyAlignment="1">
      <alignment horizontal="center"/>
    </xf>
    <xf numFmtId="184" fontId="13" fillId="0" borderId="0" xfId="0" applyNumberFormat="1" applyFont="1" applyAlignment="1">
      <alignment horizontal="center"/>
    </xf>
    <xf numFmtId="14" fontId="24" fillId="5" borderId="0" xfId="0" applyNumberFormat="1" applyFont="1" applyFill="1" applyBorder="1" applyAlignment="1">
      <alignment horizontal="center" vertical="center"/>
    </xf>
    <xf numFmtId="182" fontId="13" fillId="0" borderId="0" xfId="0" applyNumberFormat="1" applyFont="1" applyAlignment="1">
      <alignment horizontal="center"/>
    </xf>
    <xf numFmtId="49" fontId="13" fillId="0" borderId="0" xfId="0" applyNumberFormat="1" applyFont="1" applyFill="1" applyBorder="1" applyAlignment="1">
      <alignment horizontal="center" vertical="center"/>
    </xf>
    <xf numFmtId="0" fontId="14" fillId="5" borderId="0" xfId="0" applyFont="1" applyFill="1" applyAlignment="1">
      <alignment vertical="center"/>
    </xf>
    <xf numFmtId="0" fontId="8" fillId="0" borderId="0" xfId="0" applyNumberFormat="1" applyFont="1" applyAlignment="1">
      <alignment horizontal="center"/>
    </xf>
    <xf numFmtId="176" fontId="8" fillId="5" borderId="0" xfId="0" applyNumberFormat="1" applyFont="1" applyFill="1" applyAlignment="1">
      <alignment horizontal="center"/>
    </xf>
    <xf numFmtId="184" fontId="9" fillId="5" borderId="0" xfId="0" applyNumberFormat="1" applyFont="1" applyFill="1" applyAlignment="1">
      <alignment horizontal="center"/>
    </xf>
    <xf numFmtId="184" fontId="8" fillId="5" borderId="0" xfId="0" applyNumberFormat="1" applyFont="1" applyFill="1" applyAlignment="1">
      <alignment horizontal="center"/>
    </xf>
    <xf numFmtId="182" fontId="8" fillId="5" borderId="0" xfId="0" applyNumberFormat="1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176" fontId="23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/>
    </xf>
    <xf numFmtId="179" fontId="6" fillId="0" borderId="0" xfId="0" applyNumberFormat="1" applyFont="1" applyAlignment="1">
      <alignment horizontal="center"/>
    </xf>
    <xf numFmtId="176" fontId="6" fillId="0" borderId="0" xfId="0" applyNumberFormat="1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182" fontId="19" fillId="0" borderId="0" xfId="0" applyNumberFormat="1" applyFont="1" applyFill="1" applyBorder="1" applyAlignment="1">
      <alignment horizontal="center" vertical="center"/>
    </xf>
    <xf numFmtId="14" fontId="19" fillId="0" borderId="0" xfId="0" applyNumberFormat="1" applyFont="1" applyFill="1" applyBorder="1" applyAlignment="1">
      <alignment vertical="center"/>
    </xf>
    <xf numFmtId="182" fontId="19" fillId="0" borderId="0" xfId="0" applyNumberFormat="1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0" fillId="0" borderId="0" xfId="0" applyNumberFormat="1"/>
    <xf numFmtId="0" fontId="6" fillId="5" borderId="0" xfId="0" applyFont="1" applyFill="1" applyAlignment="1">
      <alignment horizontal="center"/>
    </xf>
    <xf numFmtId="176" fontId="23" fillId="0" borderId="1" xfId="0" applyNumberFormat="1" applyFont="1" applyFill="1" applyBorder="1"/>
    <xf numFmtId="43" fontId="23" fillId="0" borderId="1" xfId="1" applyFont="1" applyFill="1" applyBorder="1" applyAlignment="1"/>
    <xf numFmtId="43" fontId="0" fillId="0" borderId="0" xfId="0" applyNumberFormat="1"/>
  </cellXfs>
  <cellStyles count="2">
    <cellStyle name="常规" xfId="0" builtinId="0"/>
    <cellStyle name="千位分隔" xfId="1" builtinId="3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accrint_dayend_cnbd"/>
      <definedName name="b_anal_modidura_cnbd"/>
      <definedName name="b_anal_net_cnbd"/>
      <definedName name="b_anal_net_csi1"/>
      <definedName name="b_anal_vobp_cnbd"/>
      <definedName name="b_dq_close"/>
      <definedName name="b_info_couponrate"/>
      <definedName name="b_info_latestissurercreditrating"/>
      <definedName name="b_info_repurchasedate"/>
      <definedName name="b_rate_latestcredit"/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3"/>
  <sheetViews>
    <sheetView workbookViewId="0">
      <selection activeCell="D1" sqref="D1:G1"/>
    </sheetView>
  </sheetViews>
  <sheetFormatPr defaultColWidth="9" defaultRowHeight="12"/>
  <cols>
    <col min="1" max="1" width="12.875" style="24" customWidth="1"/>
    <col min="2" max="2" width="16.625" style="24" customWidth="1"/>
    <col min="3" max="3" width="11" style="24" customWidth="1"/>
    <col min="4" max="4" width="12.125" style="51" customWidth="1"/>
    <col min="5" max="5" width="22.125" style="48" customWidth="1"/>
    <col min="6" max="6" width="14.25" style="24" customWidth="1"/>
    <col min="7" max="7" width="21.875" style="24" customWidth="1"/>
    <col min="8" max="8" width="18.625" style="24" customWidth="1"/>
    <col min="9" max="9" width="15.75" style="40" customWidth="1"/>
    <col min="10" max="10" width="19.125" style="40" customWidth="1"/>
    <col min="11" max="11" width="21" style="56" customWidth="1"/>
    <col min="12" max="12" width="18.25" style="40" customWidth="1"/>
    <col min="13" max="13" width="16.25" style="40" customWidth="1"/>
    <col min="14" max="14" width="20.125" style="47" customWidth="1"/>
    <col min="15" max="15" width="16.25" style="40" customWidth="1"/>
    <col min="16" max="16" width="12.75" style="40" customWidth="1"/>
    <col min="17" max="17" width="13.625" style="40" customWidth="1"/>
    <col min="18" max="18" width="10.5" style="40" customWidth="1"/>
    <col min="19" max="19" width="6.875" style="24" customWidth="1"/>
    <col min="20" max="20" width="9.75" style="24" customWidth="1"/>
    <col min="21" max="16384" width="9" style="24"/>
  </cols>
  <sheetData>
    <row r="1" spans="1:22" s="2" customFormat="1" ht="13.5">
      <c r="A1" s="1">
        <v>44608</v>
      </c>
      <c r="B1" s="1">
        <v>44561</v>
      </c>
      <c r="D1" s="3" t="s">
        <v>0</v>
      </c>
      <c r="E1" s="4">
        <f>SUM(K3:K62)</f>
        <v>-90988096.95474799</v>
      </c>
      <c r="F1" s="5" t="s">
        <v>1</v>
      </c>
      <c r="G1" s="4">
        <f>SUM(L3:L52)</f>
        <v>19754142.633640133</v>
      </c>
      <c r="H1" s="6" t="s">
        <v>2</v>
      </c>
      <c r="I1" s="7">
        <f>SUM(O3:O52)/10000</f>
        <v>213729.41161311997</v>
      </c>
      <c r="J1" s="6" t="s">
        <v>3</v>
      </c>
      <c r="K1" s="8">
        <f>SUMPRODUCT(N3:N49,R3:R49)/SUM(N3:N49)</f>
        <v>0.90030450942963069</v>
      </c>
      <c r="L1" s="6" t="s">
        <v>4</v>
      </c>
      <c r="M1" s="8">
        <f>SUMPRODUCT(D3:D52,Q3:Q52)/100</f>
        <v>17.846439999999994</v>
      </c>
      <c r="N1" s="9" t="s">
        <v>115</v>
      </c>
      <c r="O1" s="10">
        <f>SUMPRODUCT(N3:N52,P3:P52)/SUM(N3:N52)</f>
        <v>5.7213554723658744</v>
      </c>
      <c r="P1" s="6"/>
      <c r="Q1" s="11"/>
      <c r="R1" s="12"/>
    </row>
    <row r="2" spans="1:22" ht="12.95" customHeight="1">
      <c r="A2" s="13" t="s">
        <v>116</v>
      </c>
      <c r="B2" s="14" t="s">
        <v>5</v>
      </c>
      <c r="C2" s="15" t="s">
        <v>6</v>
      </c>
      <c r="D2" s="16" t="s">
        <v>157</v>
      </c>
      <c r="E2" s="17" t="s">
        <v>158</v>
      </c>
      <c r="F2" s="18" t="s">
        <v>8</v>
      </c>
      <c r="G2" s="16" t="s">
        <v>159</v>
      </c>
      <c r="H2" s="16" t="s">
        <v>160</v>
      </c>
      <c r="I2" s="19" t="s">
        <v>161</v>
      </c>
      <c r="J2" s="19" t="s">
        <v>162</v>
      </c>
      <c r="K2" s="20" t="s">
        <v>0</v>
      </c>
      <c r="L2" s="19" t="s">
        <v>1</v>
      </c>
      <c r="M2" s="19" t="s">
        <v>163</v>
      </c>
      <c r="N2" s="21" t="s">
        <v>10</v>
      </c>
      <c r="O2" s="19" t="s">
        <v>11</v>
      </c>
      <c r="P2" s="22" t="s">
        <v>164</v>
      </c>
      <c r="Q2" s="19" t="s">
        <v>124</v>
      </c>
      <c r="R2" s="19" t="s">
        <v>12</v>
      </c>
      <c r="S2" s="23" t="s">
        <v>165</v>
      </c>
      <c r="T2" s="23" t="s">
        <v>125</v>
      </c>
      <c r="U2" s="24" t="s">
        <v>126</v>
      </c>
      <c r="V2" s="24" t="s">
        <v>166</v>
      </c>
    </row>
    <row r="3" spans="1:22" s="33" customFormat="1" ht="12.95" customHeight="1">
      <c r="A3" s="75">
        <v>44561</v>
      </c>
      <c r="B3" s="76" t="s">
        <v>15</v>
      </c>
      <c r="C3" s="77" t="s">
        <v>16</v>
      </c>
      <c r="D3" s="78">
        <v>8000</v>
      </c>
      <c r="E3" s="79">
        <v>55.125399999999999</v>
      </c>
      <c r="F3" s="80">
        <v>1643072.8800000027</v>
      </c>
      <c r="G3" s="80">
        <v>44100320</v>
      </c>
      <c r="H3" s="80">
        <v>45743392.880000003</v>
      </c>
      <c r="I3" s="37">
        <f>[1]!b_anal_net_cnbd(C3,$A$1,1)</f>
        <v>55.183799999999998</v>
      </c>
      <c r="J3" s="37">
        <f>[1]!accrint_dayend_cnbd(C3,$A$1,1)</f>
        <v>2.5931000000000002</v>
      </c>
      <c r="K3" s="39">
        <f t="shared" ref="K3:K49" si="0">(I3-E3)*D3*100</f>
        <v>46719.99999999912</v>
      </c>
      <c r="L3" s="39">
        <f t="shared" ref="L3:L33" si="1">J3*D3*100-F3</f>
        <v>431407.11999999755</v>
      </c>
      <c r="M3" s="37">
        <f t="shared" ref="M3:M20" si="2">I3+J3</f>
        <v>57.776899999999998</v>
      </c>
      <c r="N3" s="38">
        <f t="shared" ref="N3:N20" si="3">D3*I3*100</f>
        <v>44147040</v>
      </c>
      <c r="O3" s="39">
        <f t="shared" ref="O3:O20" si="4">D3*M3*100</f>
        <v>46221519.999999993</v>
      </c>
      <c r="P3" s="39">
        <f>[1]!b_info_couponrate(C3)</f>
        <v>6.98</v>
      </c>
      <c r="Q3" s="39">
        <f>[1]!b_anal_vobp_cnbd(C3,$A$1,1)</f>
        <v>6.4000000000000003E-3</v>
      </c>
      <c r="R3" s="39">
        <f>[1]!b_anal_modidura_cnbd(C3,$A$1,1)</f>
        <v>1.1041000000000001</v>
      </c>
      <c r="S3" s="33" t="s">
        <v>17</v>
      </c>
      <c r="T3" s="46" t="s">
        <v>127</v>
      </c>
      <c r="U3" s="33" t="str">
        <f>[1]!b_rate_latestcredit(C3)</f>
        <v>AA</v>
      </c>
      <c r="V3" s="33" t="str">
        <f>[1]!b_info_latestissurercreditrating(C3)</f>
        <v>AA</v>
      </c>
    </row>
    <row r="4" spans="1:22" s="33" customFormat="1" ht="12.95" customHeight="1">
      <c r="A4" s="75">
        <v>44561</v>
      </c>
      <c r="B4" s="76" t="s">
        <v>18</v>
      </c>
      <c r="C4" s="81" t="s">
        <v>19</v>
      </c>
      <c r="D4" s="78">
        <v>8000</v>
      </c>
      <c r="E4" s="79">
        <v>59.444799999999994</v>
      </c>
      <c r="F4" s="80">
        <v>1433845.4799999967</v>
      </c>
      <c r="G4" s="80">
        <v>47555840</v>
      </c>
      <c r="H4" s="80">
        <v>48989685.479999997</v>
      </c>
      <c r="I4" s="37">
        <f>[1]!b_anal_net_cnbd(C4,$A$1,1)</f>
        <v>59.653300000000002</v>
      </c>
      <c r="J4" s="37">
        <f>[1]!accrint_dayend_cnbd(C4,$A$1,1)</f>
        <v>2.3393000000000002</v>
      </c>
      <c r="K4" s="39">
        <f t="shared" si="0"/>
        <v>166800.00000000632</v>
      </c>
      <c r="L4" s="39">
        <f t="shared" si="1"/>
        <v>437594.52000000351</v>
      </c>
      <c r="M4" s="37">
        <f t="shared" si="2"/>
        <v>61.992600000000003</v>
      </c>
      <c r="N4" s="38">
        <f t="shared" si="3"/>
        <v>47722640</v>
      </c>
      <c r="O4" s="39">
        <f t="shared" si="4"/>
        <v>49594080.000000007</v>
      </c>
      <c r="P4" s="39">
        <f>[1]!b_info_couponrate(C4)</f>
        <v>7.08</v>
      </c>
      <c r="Q4" s="39">
        <f>[1]!b_anal_vobp_cnbd(C4,$A$1,1)</f>
        <v>7.9000000000000008E-3</v>
      </c>
      <c r="R4" s="39">
        <f>[1]!b_anal_modidura_cnbd(C4,$A$1,1)</f>
        <v>1.2682</v>
      </c>
      <c r="S4" s="33" t="s">
        <v>17</v>
      </c>
      <c r="T4" s="46" t="s">
        <v>127</v>
      </c>
      <c r="U4" s="33" t="str">
        <f>[1]!b_rate_latestcredit(C4)</f>
        <v>AAA</v>
      </c>
      <c r="V4" s="33" t="str">
        <f>[1]!b_info_latestissurercreditrating(C4)</f>
        <v>A+</v>
      </c>
    </row>
    <row r="5" spans="1:22" s="33" customFormat="1" ht="12.95" customHeight="1">
      <c r="A5" s="75">
        <v>44561</v>
      </c>
      <c r="B5" s="76" t="s">
        <v>20</v>
      </c>
      <c r="C5" s="81" t="s">
        <v>21</v>
      </c>
      <c r="D5" s="78">
        <v>9000</v>
      </c>
      <c r="E5" s="79">
        <v>57.590299999999999</v>
      </c>
      <c r="F5" s="80">
        <v>703923.28999999911</v>
      </c>
      <c r="G5" s="80">
        <v>51831270</v>
      </c>
      <c r="H5" s="80">
        <v>52535193.289999999</v>
      </c>
      <c r="I5" s="37">
        <f>[1]!b_anal_net_cnbd(C5,$A$1,1)</f>
        <v>55.8065</v>
      </c>
      <c r="J5" s="37">
        <f>[1]!accrint_dayend_cnbd(C5,$A$1,1)</f>
        <v>1.3848</v>
      </c>
      <c r="K5" s="39">
        <f t="shared" si="0"/>
        <v>-1605419.9999999995</v>
      </c>
      <c r="L5" s="39">
        <f t="shared" si="1"/>
        <v>542396.71000000089</v>
      </c>
      <c r="M5" s="37">
        <f t="shared" si="2"/>
        <v>57.191299999999998</v>
      </c>
      <c r="N5" s="38">
        <f t="shared" si="3"/>
        <v>50225850</v>
      </c>
      <c r="O5" s="39">
        <f t="shared" si="4"/>
        <v>51472170</v>
      </c>
      <c r="P5" s="39">
        <f>[1]!b_info_couponrate(C5)</f>
        <v>7.8</v>
      </c>
      <c r="Q5" s="39">
        <f>[1]!b_anal_vobp_cnbd(C5,$A$1,1)</f>
        <v>8.0000000000000002E-3</v>
      </c>
      <c r="R5" s="39">
        <f>[1]!b_anal_modidura_cnbd(C5,$A$1,1)</f>
        <v>1.4056</v>
      </c>
      <c r="S5" s="33" t="s">
        <v>17</v>
      </c>
      <c r="T5" s="46" t="s">
        <v>127</v>
      </c>
      <c r="U5" s="33" t="str">
        <f>[1]!b_rate_latestcredit(C5)</f>
        <v>AA</v>
      </c>
      <c r="V5" s="33" t="str">
        <f>[1]!b_info_latestissurercreditrating(C5)</f>
        <v>AA</v>
      </c>
    </row>
    <row r="6" spans="1:22" s="33" customFormat="1" ht="12.95" customHeight="1">
      <c r="A6" s="75">
        <v>44561</v>
      </c>
      <c r="B6" s="76" t="s">
        <v>22</v>
      </c>
      <c r="C6" s="77" t="s">
        <v>23</v>
      </c>
      <c r="D6" s="78">
        <v>5000</v>
      </c>
      <c r="E6" s="79">
        <v>57.549099999999996</v>
      </c>
      <c r="F6" s="80">
        <v>894772.60000000149</v>
      </c>
      <c r="G6" s="80">
        <v>28774550</v>
      </c>
      <c r="H6" s="80">
        <v>29669322.600000001</v>
      </c>
      <c r="I6" s="37">
        <f>[1]!b_anal_net_cnbd(C6,$A$1,1)</f>
        <v>57.946399999999997</v>
      </c>
      <c r="J6" s="37">
        <f>[1]!accrint_dayend_cnbd(C6,$A$1,1)</f>
        <v>2.2902</v>
      </c>
      <c r="K6" s="39">
        <f t="shared" si="0"/>
        <v>198650.00000000067</v>
      </c>
      <c r="L6" s="39">
        <f t="shared" si="1"/>
        <v>250327.39999999851</v>
      </c>
      <c r="M6" s="37">
        <f t="shared" si="2"/>
        <v>60.236599999999996</v>
      </c>
      <c r="N6" s="38">
        <f t="shared" si="3"/>
        <v>28973200</v>
      </c>
      <c r="O6" s="39">
        <f t="shared" si="4"/>
        <v>30118300</v>
      </c>
      <c r="P6" s="39">
        <f>[1]!b_info_couponrate(C6)</f>
        <v>6.48</v>
      </c>
      <c r="Q6" s="39">
        <f>[1]!b_anal_vobp_cnbd(C6,$A$1,1)</f>
        <v>7.3000000000000001E-3</v>
      </c>
      <c r="R6" s="39">
        <f>[1]!b_anal_modidura_cnbd(C6,$A$1,1)</f>
        <v>1.2067000000000001</v>
      </c>
      <c r="S6" s="33" t="s">
        <v>17</v>
      </c>
      <c r="U6" s="33" t="str">
        <f>[1]!b_rate_latestcredit(C6)</f>
        <v>AA</v>
      </c>
      <c r="V6" s="33" t="str">
        <f>[1]!b_info_latestissurercreditrating(C6)</f>
        <v>AA</v>
      </c>
    </row>
    <row r="7" spans="1:22" s="33" customFormat="1" ht="12.95" customHeight="1">
      <c r="A7" s="75">
        <v>44561</v>
      </c>
      <c r="B7" s="76" t="s">
        <v>24</v>
      </c>
      <c r="C7" s="77" t="s">
        <v>25</v>
      </c>
      <c r="D7" s="78">
        <v>5000</v>
      </c>
      <c r="E7" s="79">
        <v>58.680600000000005</v>
      </c>
      <c r="F7" s="80">
        <v>920547.94999999925</v>
      </c>
      <c r="G7" s="80">
        <v>29340300</v>
      </c>
      <c r="H7" s="80">
        <v>30260847.949999999</v>
      </c>
      <c r="I7" s="37">
        <f>[1]!b_anal_net_cnbd(C7,$A$1,1)</f>
        <v>58.723999999999997</v>
      </c>
      <c r="J7" s="37">
        <f>[1]!accrint_dayend_cnbd(C7,$A$1,1)</f>
        <v>2.3355999999999999</v>
      </c>
      <c r="K7" s="39">
        <f t="shared" si="0"/>
        <v>21699.999999995613</v>
      </c>
      <c r="L7" s="39">
        <f t="shared" si="1"/>
        <v>247252.05000000075</v>
      </c>
      <c r="M7" s="37">
        <f t="shared" si="2"/>
        <v>61.059599999999996</v>
      </c>
      <c r="N7" s="38">
        <f t="shared" si="3"/>
        <v>29362000</v>
      </c>
      <c r="O7" s="39">
        <f t="shared" si="4"/>
        <v>30529800</v>
      </c>
      <c r="P7" s="39">
        <f>[1]!b_info_couponrate(C7)</f>
        <v>6.4</v>
      </c>
      <c r="Q7" s="39">
        <f>[1]!b_anal_vobp_cnbd(C7,$A$1,1)</f>
        <v>7.4000000000000003E-3</v>
      </c>
      <c r="R7" s="39">
        <f>[1]!b_anal_modidura_cnbd(C7,$A$1,1)</f>
        <v>1.208</v>
      </c>
      <c r="S7" s="33" t="s">
        <v>17</v>
      </c>
      <c r="U7" s="33" t="str">
        <f>[1]!b_rate_latestcredit(C7)</f>
        <v>AA</v>
      </c>
      <c r="V7" s="33" t="str">
        <f>[1]!b_info_latestissurercreditrating(C7)</f>
        <v>AA</v>
      </c>
    </row>
    <row r="8" spans="1:22" s="33" customFormat="1" ht="12.95" customHeight="1">
      <c r="A8" s="75">
        <v>44561</v>
      </c>
      <c r="B8" s="76" t="s">
        <v>26</v>
      </c>
      <c r="C8" s="77" t="s">
        <v>27</v>
      </c>
      <c r="D8" s="78">
        <v>10000</v>
      </c>
      <c r="E8" s="79">
        <v>73.981999999999999</v>
      </c>
      <c r="F8" s="80">
        <v>2283112.3299999982</v>
      </c>
      <c r="G8" s="80">
        <v>73982000</v>
      </c>
      <c r="H8" s="80">
        <v>76265112.329999998</v>
      </c>
      <c r="I8" s="37">
        <f>[1]!b_anal_net_cnbd(C8,$A$1,1)</f>
        <v>74.483599999999996</v>
      </c>
      <c r="J8" s="37">
        <f>[1]!accrint_dayend_cnbd(C8,$A$1,1)</f>
        <v>2.9496000000000002</v>
      </c>
      <c r="K8" s="39">
        <f t="shared" si="0"/>
        <v>501599.99999999627</v>
      </c>
      <c r="L8" s="39">
        <f t="shared" si="1"/>
        <v>666487.67000000225</v>
      </c>
      <c r="M8" s="37">
        <f t="shared" si="2"/>
        <v>77.433199999999999</v>
      </c>
      <c r="N8" s="38">
        <f t="shared" si="3"/>
        <v>74483600</v>
      </c>
      <c r="O8" s="39">
        <f t="shared" si="4"/>
        <v>77433200</v>
      </c>
      <c r="P8" s="39">
        <f>[1]!b_info_couponrate(C8)</f>
        <v>6.47</v>
      </c>
      <c r="Q8" s="39">
        <f>[1]!b_anal_vobp_cnbd(C8,$A$1,1)</f>
        <v>1.95E-2</v>
      </c>
      <c r="R8" s="39">
        <f>[1]!b_anal_modidura_cnbd(C8,$A$1,1)</f>
        <v>2.5142000000000002</v>
      </c>
      <c r="S8" s="33" t="s">
        <v>17</v>
      </c>
      <c r="U8" s="33" t="str">
        <f>[1]!b_rate_latestcredit(C8)</f>
        <v>AA</v>
      </c>
      <c r="V8" s="33" t="str">
        <f>[1]!b_info_latestissurercreditrating(C8)</f>
        <v>AA</v>
      </c>
    </row>
    <row r="9" spans="1:22" s="33" customFormat="1" ht="12.95" customHeight="1">
      <c r="A9" s="75">
        <v>44561</v>
      </c>
      <c r="B9" s="76" t="s">
        <v>28</v>
      </c>
      <c r="C9" s="77" t="s">
        <v>29</v>
      </c>
      <c r="D9" s="78">
        <v>8000</v>
      </c>
      <c r="E9" s="79">
        <v>56.403999999999996</v>
      </c>
      <c r="F9" s="80">
        <v>1468668.4900000021</v>
      </c>
      <c r="G9" s="80">
        <v>45123200</v>
      </c>
      <c r="H9" s="80">
        <v>46591868.490000002</v>
      </c>
      <c r="I9" s="37">
        <f>[1]!b_anal_net_cnbd(C9,$A$1,1)</f>
        <v>56.705199999999998</v>
      </c>
      <c r="J9" s="37">
        <f>[1]!accrint_dayend_cnbd(C9,$A$1,1)</f>
        <v>2.3751000000000002</v>
      </c>
      <c r="K9" s="39">
        <f t="shared" si="0"/>
        <v>240960.00000000116</v>
      </c>
      <c r="L9" s="39">
        <f t="shared" si="1"/>
        <v>431411.50999999815</v>
      </c>
      <c r="M9" s="37">
        <f t="shared" si="2"/>
        <v>59.080300000000001</v>
      </c>
      <c r="N9" s="38">
        <f t="shared" si="3"/>
        <v>45364160</v>
      </c>
      <c r="O9" s="39">
        <f t="shared" si="4"/>
        <v>47264240</v>
      </c>
      <c r="P9" s="39">
        <f>[1]!b_info_couponrate(C9)</f>
        <v>6.98</v>
      </c>
      <c r="Q9" s="39">
        <f>[1]!b_anal_vobp_cnbd(C9,$A$1,1)</f>
        <v>7.0000000000000001E-3</v>
      </c>
      <c r="R9" s="39">
        <f>[1]!b_anal_modidura_cnbd(C9,$A$1,1)</f>
        <v>1.1884999999999999</v>
      </c>
      <c r="S9" s="33" t="s">
        <v>17</v>
      </c>
      <c r="U9" s="33" t="str">
        <f>[1]!b_rate_latestcredit(C9)</f>
        <v>AA</v>
      </c>
      <c r="V9" s="33" t="str">
        <f>[1]!b_info_latestissurercreditrating(C9)</f>
        <v>AA</v>
      </c>
    </row>
    <row r="10" spans="1:22" s="33" customFormat="1" ht="12.95" customHeight="1">
      <c r="A10" s="75">
        <v>44561</v>
      </c>
      <c r="B10" s="82" t="s">
        <v>30</v>
      </c>
      <c r="C10" s="77" t="s">
        <v>31</v>
      </c>
      <c r="D10" s="78">
        <v>10000</v>
      </c>
      <c r="E10" s="79">
        <v>55.634399999999999</v>
      </c>
      <c r="F10" s="80">
        <v>1634794.5200000033</v>
      </c>
      <c r="G10" s="80">
        <v>55634400</v>
      </c>
      <c r="H10" s="80">
        <v>57269194.520000003</v>
      </c>
      <c r="I10" s="37">
        <f>[1]!b_anal_net_cnbd(C10,$A$1,1)</f>
        <v>55.812600000000003</v>
      </c>
      <c r="J10" s="37">
        <f>[1]!accrint_dayend_cnbd(C10,$A$1,1)</f>
        <v>2.137</v>
      </c>
      <c r="K10" s="39">
        <f t="shared" si="0"/>
        <v>178200.0000000039</v>
      </c>
      <c r="L10" s="39">
        <f t="shared" si="1"/>
        <v>502205.47999999672</v>
      </c>
      <c r="M10" s="37">
        <f t="shared" si="2"/>
        <v>57.949600000000004</v>
      </c>
      <c r="N10" s="38">
        <f t="shared" si="3"/>
        <v>55812600</v>
      </c>
      <c r="O10" s="39">
        <f t="shared" si="4"/>
        <v>57949600</v>
      </c>
      <c r="P10" s="39">
        <f>[1]!b_info_couponrate(C10)</f>
        <v>6.5</v>
      </c>
      <c r="Q10" s="39">
        <f>[1]!b_anal_vobp_cnbd(C10,$A$1,1)</f>
        <v>6.8999999999999999E-3</v>
      </c>
      <c r="R10" s="39">
        <f>[1]!b_anal_modidura_cnbd(C10,$A$1,1)</f>
        <v>1.1964999999999999</v>
      </c>
      <c r="S10" s="33" t="s">
        <v>17</v>
      </c>
      <c r="U10" s="33" t="str">
        <f>[1]!b_rate_latestcredit(C10)</f>
        <v>AA</v>
      </c>
      <c r="V10" s="33" t="str">
        <f>[1]!b_info_latestissurercreditrating(C10)</f>
        <v>AA</v>
      </c>
    </row>
    <row r="11" spans="1:22" s="33" customFormat="1" ht="12.95" customHeight="1">
      <c r="A11" s="75">
        <v>44561</v>
      </c>
      <c r="B11" s="82" t="s">
        <v>32</v>
      </c>
      <c r="C11" s="77" t="s">
        <v>33</v>
      </c>
      <c r="D11" s="78">
        <v>1000</v>
      </c>
      <c r="E11" s="79">
        <v>57.954799999999999</v>
      </c>
      <c r="F11" s="80">
        <v>117277.80999999959</v>
      </c>
      <c r="G11" s="80">
        <v>5795480</v>
      </c>
      <c r="H11" s="80">
        <v>5912757.8099999996</v>
      </c>
      <c r="I11" s="37">
        <f>[1]!b_anal_net_cnbd(C11,$A$1,1)</f>
        <v>58.315600000000003</v>
      </c>
      <c r="J11" s="37">
        <f>[1]!accrint_dayend_cnbd(C11,$A$1,1)</f>
        <v>1.7352000000000001</v>
      </c>
      <c r="K11" s="39">
        <f t="shared" si="0"/>
        <v>36080.000000000466</v>
      </c>
      <c r="L11" s="39">
        <f t="shared" si="1"/>
        <v>56242.19000000041</v>
      </c>
      <c r="M11" s="37">
        <f t="shared" si="2"/>
        <v>60.050800000000002</v>
      </c>
      <c r="N11" s="38">
        <f t="shared" si="3"/>
        <v>5831560.0000000009</v>
      </c>
      <c r="O11" s="39">
        <f t="shared" si="4"/>
        <v>6005080</v>
      </c>
      <c r="P11" s="39">
        <f>[1]!b_info_couponrate(C11)</f>
        <v>7.28</v>
      </c>
      <c r="Q11" s="39">
        <f>[1]!b_anal_vobp_cnbd(C11,$A$1,1)</f>
        <v>8.3000000000000001E-3</v>
      </c>
      <c r="R11" s="39">
        <f>[1]!b_anal_modidura_cnbd(C11,$A$1,1)</f>
        <v>1.3776999999999999</v>
      </c>
      <c r="S11" s="33" t="s">
        <v>17</v>
      </c>
      <c r="U11" s="33" t="str">
        <f>[1]!b_rate_latestcredit(C11)</f>
        <v>AA</v>
      </c>
      <c r="V11" s="33" t="str">
        <f>[1]!b_info_latestissurercreditrating(C11)</f>
        <v>AA</v>
      </c>
    </row>
    <row r="12" spans="1:22" s="33" customFormat="1" ht="12.95" customHeight="1">
      <c r="A12" s="75">
        <v>44561</v>
      </c>
      <c r="B12" s="76" t="s">
        <v>34</v>
      </c>
      <c r="C12" s="77" t="s">
        <v>35</v>
      </c>
      <c r="D12" s="78">
        <v>5000</v>
      </c>
      <c r="E12" s="79">
        <v>74.184899999999999</v>
      </c>
      <c r="F12" s="80">
        <v>810082.18999999762</v>
      </c>
      <c r="G12" s="80">
        <v>37092450</v>
      </c>
      <c r="H12" s="80">
        <v>37902532.189999998</v>
      </c>
      <c r="I12" s="37">
        <f>[1]!b_anal_net_cnbd(C12,$A$1,1)</f>
        <v>71.6126</v>
      </c>
      <c r="J12" s="37">
        <f>[1]!accrint_dayend_cnbd(C12,$A$1,1)</f>
        <v>2.4134000000000002</v>
      </c>
      <c r="K12" s="39">
        <f t="shared" si="0"/>
        <v>-1286149.9999999993</v>
      </c>
      <c r="L12" s="39">
        <f t="shared" si="1"/>
        <v>396617.81000000262</v>
      </c>
      <c r="M12" s="37">
        <f t="shared" si="2"/>
        <v>74.025999999999996</v>
      </c>
      <c r="N12" s="38">
        <f t="shared" si="3"/>
        <v>35806300</v>
      </c>
      <c r="O12" s="39">
        <f t="shared" si="4"/>
        <v>37013000</v>
      </c>
      <c r="P12" s="39">
        <f>[1]!b_info_couponrate(C12)</f>
        <v>7.7</v>
      </c>
      <c r="Q12" s="39">
        <f>[1]!b_anal_vobp_cnbd(C12,$A$1,1)</f>
        <v>1.8700000000000001E-2</v>
      </c>
      <c r="R12" s="39">
        <f>[1]!b_anal_modidura_cnbd(C12,$A$1,1)</f>
        <v>2.5293000000000001</v>
      </c>
      <c r="S12" s="33" t="s">
        <v>167</v>
      </c>
      <c r="U12" s="33" t="str">
        <f>[1]!b_rate_latestcredit(C12)</f>
        <v>AA</v>
      </c>
      <c r="V12" s="33" t="str">
        <f>[1]!b_info_latestissurercreditrating(C12)</f>
        <v>AA</v>
      </c>
    </row>
    <row r="13" spans="1:22" s="33" customFormat="1" ht="12.75" customHeight="1">
      <c r="A13" s="75">
        <v>44561</v>
      </c>
      <c r="B13" s="76" t="s">
        <v>36</v>
      </c>
      <c r="C13" s="77" t="s">
        <v>37</v>
      </c>
      <c r="D13" s="83">
        <v>8000</v>
      </c>
      <c r="E13" s="79">
        <v>58.710799999999999</v>
      </c>
      <c r="F13" s="84">
        <v>1153578.0799999982</v>
      </c>
      <c r="G13" s="84">
        <v>46968640</v>
      </c>
      <c r="H13" s="80">
        <v>48122218.079999998</v>
      </c>
      <c r="I13" s="37">
        <f>[1]!b_anal_net_cnbd(C13,$A$1,1)</f>
        <v>58.825600000000001</v>
      </c>
      <c r="J13" s="37">
        <f>[1]!accrint_dayend_cnbd(C13,$A$1,1)</f>
        <v>1.9673</v>
      </c>
      <c r="K13" s="39">
        <f t="shared" si="0"/>
        <v>91840.000000001965</v>
      </c>
      <c r="L13" s="39">
        <f t="shared" si="1"/>
        <v>420261.92000000179</v>
      </c>
      <c r="M13" s="37">
        <f t="shared" si="2"/>
        <v>60.792900000000003</v>
      </c>
      <c r="N13" s="38">
        <f t="shared" si="3"/>
        <v>47060480</v>
      </c>
      <c r="O13" s="39">
        <f t="shared" si="4"/>
        <v>48634320</v>
      </c>
      <c r="P13" s="39">
        <f>[1]!b_info_couponrate(C13)</f>
        <v>6.8</v>
      </c>
      <c r="Q13" s="39">
        <f>[1]!b_anal_vobp_cnbd(C13,$A$1,1)</f>
        <v>8.0000000000000002E-3</v>
      </c>
      <c r="R13" s="39">
        <f>[1]!b_anal_modidura_cnbd(C13,$A$1,1)</f>
        <v>1.3202</v>
      </c>
      <c r="S13" s="33" t="s">
        <v>17</v>
      </c>
      <c r="U13" s="33" t="str">
        <f>[1]!b_rate_latestcredit(C13)</f>
        <v>AA</v>
      </c>
      <c r="V13" s="33" t="str">
        <f>[1]!b_info_latestissurercreditrating(C13)</f>
        <v>AA</v>
      </c>
    </row>
    <row r="14" spans="1:22" s="33" customFormat="1" ht="12.95" customHeight="1">
      <c r="A14" s="85">
        <v>44561</v>
      </c>
      <c r="B14" s="82" t="s">
        <v>38</v>
      </c>
      <c r="C14" s="86" t="s">
        <v>39</v>
      </c>
      <c r="D14" s="84">
        <v>4500</v>
      </c>
      <c r="E14" s="79">
        <v>96.4499</v>
      </c>
      <c r="F14" s="87">
        <v>45123.289999999106</v>
      </c>
      <c r="G14" s="84">
        <v>43402455</v>
      </c>
      <c r="H14" s="84">
        <v>43447578.289999999</v>
      </c>
      <c r="I14" s="37">
        <f>[1]!b_anal_net_cnbd(C14,$A$1,1)</f>
        <v>97.112499999999997</v>
      </c>
      <c r="J14" s="37">
        <f>[1]!accrint_dayend_cnbd(C14,$A$1,1)</f>
        <v>0.88580000000000003</v>
      </c>
      <c r="K14" s="39">
        <f t="shared" si="0"/>
        <v>298169.99999999895</v>
      </c>
      <c r="L14" s="39">
        <f>J14*D14*100-F14</f>
        <v>353486.71000000095</v>
      </c>
      <c r="M14" s="37">
        <f t="shared" si="2"/>
        <v>97.9983</v>
      </c>
      <c r="N14" s="38">
        <f t="shared" si="3"/>
        <v>43700625</v>
      </c>
      <c r="O14" s="39">
        <f t="shared" si="4"/>
        <v>44099235</v>
      </c>
      <c r="P14" s="39">
        <f>[1]!b_info_couponrate(C14)</f>
        <v>6.1</v>
      </c>
      <c r="Q14" s="39">
        <f>[1]!b_anal_vobp_cnbd(C14,$A$1,1)</f>
        <v>7.7999999999999996E-3</v>
      </c>
      <c r="R14" s="39">
        <f>[1]!b_anal_modidura_cnbd(C14,$A$1,1)</f>
        <v>0.79149999999999998</v>
      </c>
      <c r="S14" s="33" t="s">
        <v>167</v>
      </c>
      <c r="U14" s="33">
        <f>[1]!b_rate_latestcredit(C14)</f>
        <v>0</v>
      </c>
      <c r="V14" s="33" t="str">
        <f>[1]!b_info_latestissurercreditrating(C14)</f>
        <v>AA</v>
      </c>
    </row>
    <row r="15" spans="1:22" s="33" customFormat="1" ht="12.95" customHeight="1">
      <c r="A15" s="85">
        <v>44561</v>
      </c>
      <c r="B15" s="82" t="s">
        <v>44</v>
      </c>
      <c r="C15" s="86" t="s">
        <v>45</v>
      </c>
      <c r="D15" s="84">
        <v>8000</v>
      </c>
      <c r="E15" s="79">
        <v>100.5218</v>
      </c>
      <c r="F15" s="87">
        <v>4635616.4399999976</v>
      </c>
      <c r="G15" s="84">
        <v>80417440</v>
      </c>
      <c r="H15" s="84">
        <v>85053056.439999998</v>
      </c>
      <c r="I15" s="37">
        <f>[1]!b_anal_net_cnbd(C15,$A$1,1)</f>
        <v>100.2527</v>
      </c>
      <c r="J15" s="37">
        <f>[1]!accrint_dayend_cnbd(C15,$A$1,1)</f>
        <v>6.7603</v>
      </c>
      <c r="K15" s="39">
        <f t="shared" si="0"/>
        <v>-215279.99999999566</v>
      </c>
      <c r="L15" s="39">
        <f t="shared" si="1"/>
        <v>772623.56000000238</v>
      </c>
      <c r="M15" s="37">
        <f t="shared" si="2"/>
        <v>107.01300000000001</v>
      </c>
      <c r="N15" s="38">
        <f t="shared" si="3"/>
        <v>80202160.000000015</v>
      </c>
      <c r="O15" s="39">
        <f t="shared" si="4"/>
        <v>85610400</v>
      </c>
      <c r="P15" s="39">
        <f>[1]!b_info_couponrate(C15)</f>
        <v>7.5</v>
      </c>
      <c r="Q15" s="39">
        <f>[1]!b_anal_vobp_cnbd(C15,$A$1,1)</f>
        <v>1.1000000000000001E-3</v>
      </c>
      <c r="R15" s="39">
        <f>[1]!b_anal_modidura_cnbd(C15,$A$1,1)</f>
        <v>0.1009</v>
      </c>
      <c r="S15" s="33" t="s">
        <v>167</v>
      </c>
      <c r="U15" s="33">
        <f>[1]!b_rate_latestcredit(C15)</f>
        <v>0</v>
      </c>
      <c r="V15" s="33" t="str">
        <f>[1]!b_info_latestissurercreditrating(C15)</f>
        <v>AA</v>
      </c>
    </row>
    <row r="16" spans="1:22" s="33" customFormat="1" ht="12.95" customHeight="1">
      <c r="A16" s="85">
        <v>44561</v>
      </c>
      <c r="B16" s="82" t="s">
        <v>48</v>
      </c>
      <c r="C16" s="86" t="s">
        <v>49</v>
      </c>
      <c r="D16" s="84">
        <v>9000</v>
      </c>
      <c r="E16" s="79">
        <v>99.215000000000003</v>
      </c>
      <c r="F16" s="87">
        <v>96164.379999995232</v>
      </c>
      <c r="G16" s="84">
        <v>89293500</v>
      </c>
      <c r="H16" s="84">
        <v>89389664.379999995</v>
      </c>
      <c r="I16" s="45">
        <f>[1]!b_anal_net_cnbd(C16,$A$1,1)</f>
        <v>98.93</v>
      </c>
      <c r="J16" s="45">
        <f>[1]!accrint_dayend_cnbd(C16,$A$1,1)</f>
        <v>0.94379999999999997</v>
      </c>
      <c r="K16" s="39">
        <f t="shared" si="0"/>
        <v>-256499.99999999691</v>
      </c>
      <c r="L16" s="39">
        <f t="shared" si="1"/>
        <v>753255.62000000465</v>
      </c>
      <c r="M16" s="45">
        <f t="shared" si="2"/>
        <v>99.873800000000003</v>
      </c>
      <c r="N16" s="88">
        <f t="shared" si="3"/>
        <v>89037000.000000015</v>
      </c>
      <c r="O16" s="46">
        <f t="shared" si="4"/>
        <v>89886420</v>
      </c>
      <c r="P16" s="46">
        <f>[1]!b_info_couponrate(C16)</f>
        <v>6.5</v>
      </c>
      <c r="Q16" s="46">
        <f>[1]!b_anal_vobp_cnbd(C16,$A$1,1)</f>
        <v>8.0000000000000002E-3</v>
      </c>
      <c r="R16" s="46">
        <f>[1]!b_anal_modidura_cnbd(C16,$A$1,1)</f>
        <v>0.80379999999999996</v>
      </c>
      <c r="S16" s="33" t="s">
        <v>167</v>
      </c>
      <c r="U16" s="33" t="str">
        <f>[1]!b_rate_latestcredit(C16)</f>
        <v>AA</v>
      </c>
      <c r="V16" s="33" t="str">
        <f>[1]!b_info_latestissurercreditrating(C16)</f>
        <v>AA</v>
      </c>
    </row>
    <row r="17" spans="1:22" s="33" customFormat="1" ht="12.95" customHeight="1">
      <c r="A17" s="85">
        <v>44561</v>
      </c>
      <c r="B17" s="82" t="s">
        <v>52</v>
      </c>
      <c r="C17" s="86" t="s">
        <v>53</v>
      </c>
      <c r="D17" s="84">
        <v>4000</v>
      </c>
      <c r="E17" s="79">
        <v>99.820300000000003</v>
      </c>
      <c r="F17" s="87">
        <v>1067835.6199999973</v>
      </c>
      <c r="G17" s="84">
        <v>39928120</v>
      </c>
      <c r="H17" s="84">
        <v>40995955.619999997</v>
      </c>
      <c r="I17" s="37">
        <f>[1]!b_anal_net_cnbd(C17,$A$1,1)</f>
        <v>100.23560000000001</v>
      </c>
      <c r="J17" s="37">
        <f>[1]!accrint_dayend_cnbd(C17,$A$1,1)</f>
        <v>3.2877000000000001</v>
      </c>
      <c r="K17" s="39">
        <f t="shared" si="0"/>
        <v>166120.00000000081</v>
      </c>
      <c r="L17" s="39">
        <f t="shared" si="1"/>
        <v>247244.38000000268</v>
      </c>
      <c r="M17" s="37">
        <f t="shared" si="2"/>
        <v>103.52330000000001</v>
      </c>
      <c r="N17" s="38">
        <f t="shared" si="3"/>
        <v>40094240</v>
      </c>
      <c r="O17" s="39">
        <f t="shared" si="4"/>
        <v>41409320</v>
      </c>
      <c r="P17" s="39">
        <f>[1]!b_info_couponrate(C17)</f>
        <v>5.3</v>
      </c>
      <c r="Q17" s="39">
        <f>[1]!b_anal_vobp_cnbd(C17,$A$1,1)</f>
        <v>1.26E-2</v>
      </c>
      <c r="R17" s="39">
        <f>[1]!b_anal_modidura_cnbd(C17,$A$1,1)</f>
        <v>1.2161999999999999</v>
      </c>
      <c r="S17" s="33" t="s">
        <v>17</v>
      </c>
      <c r="U17" s="33" t="str">
        <f>[1]!b_rate_latestcredit(C17)</f>
        <v>AA</v>
      </c>
      <c r="V17" s="33" t="str">
        <f>[1]!b_info_latestissurercreditrating(C17)</f>
        <v>AA</v>
      </c>
    </row>
    <row r="18" spans="1:22" s="33" customFormat="1" ht="12.95" customHeight="1">
      <c r="A18" s="85">
        <v>44561</v>
      </c>
      <c r="B18" s="82" t="s">
        <v>129</v>
      </c>
      <c r="C18" s="86" t="s">
        <v>130</v>
      </c>
      <c r="D18" s="84">
        <v>3000</v>
      </c>
      <c r="E18" s="79">
        <v>101.3339</v>
      </c>
      <c r="F18" s="87">
        <v>436191.78000000119</v>
      </c>
      <c r="G18" s="84">
        <v>30400170</v>
      </c>
      <c r="H18" s="84">
        <v>30836361.780000001</v>
      </c>
      <c r="I18" s="37">
        <f>[1]!b_anal_net_cnbd(C18,$A$1,1)</f>
        <v>101.4631</v>
      </c>
      <c r="J18" s="37">
        <f>[1]!accrint_dayend_cnbd(C18,$A$1,1)</f>
        <v>2.0141</v>
      </c>
      <c r="K18" s="39">
        <f t="shared" si="0"/>
        <v>38759.999999999192</v>
      </c>
      <c r="L18" s="39">
        <f t="shared" si="1"/>
        <v>168038.21999999881</v>
      </c>
      <c r="M18" s="37">
        <f t="shared" si="2"/>
        <v>103.4772</v>
      </c>
      <c r="N18" s="38">
        <f t="shared" si="3"/>
        <v>30438930</v>
      </c>
      <c r="O18" s="39">
        <f t="shared" si="4"/>
        <v>31043159.999999996</v>
      </c>
      <c r="P18" s="39">
        <f>[1]!b_info_couponrate(C18)</f>
        <v>4.3499999999999996</v>
      </c>
      <c r="Q18" s="39">
        <f>[1]!b_anal_vobp_cnbd(C18,$A$1,1)</f>
        <v>7.8200000000000006E-2</v>
      </c>
      <c r="R18" s="39">
        <f>[1]!b_anal_modidura_cnbd(C18,$A$1,1)</f>
        <v>7.5585000000000004</v>
      </c>
      <c r="S18" s="33" t="s">
        <v>167</v>
      </c>
      <c r="T18" s="22"/>
      <c r="U18" s="33" t="str">
        <f>[1]!b_rate_latestcredit(C18)</f>
        <v>AAA</v>
      </c>
      <c r="V18" s="33" t="str">
        <f>[1]!b_info_latestissurercreditrating(C18)</f>
        <v>AAA</v>
      </c>
    </row>
    <row r="19" spans="1:22" s="22" customFormat="1" ht="12.95" customHeight="1">
      <c r="A19" s="85">
        <v>44561</v>
      </c>
      <c r="B19" s="82" t="s">
        <v>131</v>
      </c>
      <c r="C19" s="86" t="s">
        <v>132</v>
      </c>
      <c r="D19" s="84">
        <v>9000</v>
      </c>
      <c r="E19" s="79">
        <v>99.974699999999999</v>
      </c>
      <c r="F19" s="84">
        <v>1003808.2178571352</v>
      </c>
      <c r="G19" s="87">
        <v>89977230</v>
      </c>
      <c r="H19" s="84">
        <v>90981038.217857137</v>
      </c>
      <c r="I19" s="37">
        <f>[1]!b_anal_net_cnbd(C19,$A$1,1)</f>
        <v>100.1949</v>
      </c>
      <c r="J19" s="37">
        <f>[1]!accrint_dayend_cnbd(C19,$A$1,1)</f>
        <v>1.5711999999999999</v>
      </c>
      <c r="K19" s="39">
        <f t="shared" si="0"/>
        <v>198180.00000000495</v>
      </c>
      <c r="L19" s="39">
        <f t="shared" si="1"/>
        <v>410271.78214286477</v>
      </c>
      <c r="M19" s="37">
        <f t="shared" si="2"/>
        <v>101.76610000000001</v>
      </c>
      <c r="N19" s="38">
        <f t="shared" si="3"/>
        <v>90175410.000000015</v>
      </c>
      <c r="O19" s="39">
        <f t="shared" si="4"/>
        <v>91589490</v>
      </c>
      <c r="P19" s="39">
        <f>[1]!b_info_couponrate(C19)</f>
        <v>3.54</v>
      </c>
      <c r="Q19" s="39">
        <f>[1]!b_anal_vobp_cnbd(C19,$A$1,1)</f>
        <v>4.1599999999999998E-2</v>
      </c>
      <c r="R19" s="39">
        <f>[1]!b_anal_modidura_cnbd(C19,$A$1,1)</f>
        <v>4.0862999999999996</v>
      </c>
      <c r="S19" s="22" t="s">
        <v>167</v>
      </c>
      <c r="U19" s="22" t="str">
        <f>[1]!b_rate_latestcredit(C19)</f>
        <v>AAA</v>
      </c>
      <c r="V19" s="22" t="str">
        <f>[1]!b_info_latestissurercreditrating(C19)</f>
        <v>AAA</v>
      </c>
    </row>
    <row r="20" spans="1:22" s="33" customFormat="1" ht="12.95" customHeight="1">
      <c r="A20" s="85">
        <v>44561</v>
      </c>
      <c r="B20" s="29" t="s">
        <v>40</v>
      </c>
      <c r="C20" s="86" t="s">
        <v>168</v>
      </c>
      <c r="D20" s="29">
        <v>1000</v>
      </c>
      <c r="E20" s="30">
        <v>82.8339</v>
      </c>
      <c r="F20" s="28">
        <v>517808.22000000067</v>
      </c>
      <c r="G20" s="31">
        <v>8283390</v>
      </c>
      <c r="H20" s="31">
        <v>8801198.2200000007</v>
      </c>
      <c r="I20" s="37">
        <f>[1]!b_anal_net_cnbd(C20,$A$1,1)</f>
        <v>98.507499999999993</v>
      </c>
      <c r="J20" s="37">
        <f>[1]!accrint_dayend_cnbd(C20,$A$1,1)</f>
        <v>5.9507000000000003</v>
      </c>
      <c r="K20" s="39">
        <f t="shared" si="0"/>
        <v>1567359.9999999993</v>
      </c>
      <c r="L20" s="39">
        <f t="shared" si="1"/>
        <v>77261.779999999446</v>
      </c>
      <c r="M20" s="37">
        <f t="shared" si="2"/>
        <v>104.45819999999999</v>
      </c>
      <c r="N20" s="38">
        <f t="shared" si="3"/>
        <v>9850750</v>
      </c>
      <c r="O20" s="39">
        <f t="shared" si="4"/>
        <v>10445820</v>
      </c>
      <c r="P20" s="39">
        <f>[1]!b_info_couponrate(C20)</f>
        <v>6</v>
      </c>
      <c r="Q20" s="39">
        <f>[1]!b_anal_vobp_cnbd(C20,$A$1,1)</f>
        <v>1E-4</v>
      </c>
      <c r="R20" s="39">
        <f>[1]!b_anal_modidura_cnbd(C20,$A$1,1)</f>
        <v>1.35E-2</v>
      </c>
      <c r="S20" s="22" t="s">
        <v>17</v>
      </c>
      <c r="T20" s="22"/>
      <c r="U20" s="22" t="str">
        <f>[1]!b_rate_latestcredit(C20)</f>
        <v>AAA</v>
      </c>
      <c r="V20" s="22" t="str">
        <f>[1]!b_info_latestissurercreditrating(C20)</f>
        <v>AAA</v>
      </c>
    </row>
    <row r="21" spans="1:22" s="33" customFormat="1" ht="12.95" customHeight="1">
      <c r="A21" s="85">
        <v>44561</v>
      </c>
      <c r="B21" s="29" t="s">
        <v>41</v>
      </c>
      <c r="C21" s="86" t="s">
        <v>42</v>
      </c>
      <c r="D21" s="29">
        <v>1000</v>
      </c>
      <c r="E21" s="30">
        <v>69.834099999999992</v>
      </c>
      <c r="F21" s="28">
        <v>426027.40000000037</v>
      </c>
      <c r="G21" s="31">
        <v>6983410</v>
      </c>
      <c r="H21" s="31">
        <v>7409437.4000000004</v>
      </c>
      <c r="I21" s="37">
        <f>[1]!b_anal_net_cnbd(C21,$A$1,1)</f>
        <v>57.414200000000001</v>
      </c>
      <c r="J21" s="37">
        <f>[1]!accrint_dayend_cnbd(C21,$A$1,1)</f>
        <v>4.9040999999999997</v>
      </c>
      <c r="K21" s="39">
        <f t="shared" si="0"/>
        <v>-1241989.9999999991</v>
      </c>
      <c r="L21" s="39">
        <f t="shared" si="1"/>
        <v>64382.599999999569</v>
      </c>
      <c r="M21" s="37">
        <f>I21+J21</f>
        <v>62.318300000000001</v>
      </c>
      <c r="N21" s="38">
        <f>D21*I21*100</f>
        <v>5741420</v>
      </c>
      <c r="O21" s="39">
        <f>D21*M21*100</f>
        <v>6231830</v>
      </c>
      <c r="P21" s="39">
        <f>[1]!b_info_couponrate(C21)</f>
        <v>5</v>
      </c>
      <c r="Q21" s="39">
        <f>[1]!b_anal_vobp_cnbd(C21,$A$1,1)</f>
        <v>3.3E-3</v>
      </c>
      <c r="R21" s="39">
        <f>[1]!b_anal_modidura_cnbd(C21,$A$1,1)</f>
        <v>0.52180000000000004</v>
      </c>
      <c r="S21" s="22" t="s">
        <v>169</v>
      </c>
      <c r="T21" s="22"/>
      <c r="U21" s="22" t="str">
        <f>[1]!b_rate_latestcredit(C21)</f>
        <v>AAA</v>
      </c>
      <c r="V21" s="22" t="str">
        <f>[1]!b_info_latestissurercreditrating(C21)</f>
        <v>AAA</v>
      </c>
    </row>
    <row r="22" spans="1:22" s="33" customFormat="1" ht="12.95" customHeight="1">
      <c r="A22" s="85">
        <v>44561</v>
      </c>
      <c r="B22" s="29" t="s">
        <v>43</v>
      </c>
      <c r="C22" s="86" t="s">
        <v>58</v>
      </c>
      <c r="D22" s="29">
        <v>15740</v>
      </c>
      <c r="E22" s="30">
        <v>31.185499999999994</v>
      </c>
      <c r="F22" s="28">
        <v>7210213.700000003</v>
      </c>
      <c r="G22" s="31">
        <v>49085976.999999985</v>
      </c>
      <c r="H22" s="31">
        <v>56296190.699999988</v>
      </c>
      <c r="I22" s="37">
        <f>[1]!b_anal_net_cnbd(C22,$A$1,1)</f>
        <v>23.829000000000001</v>
      </c>
      <c r="J22" s="37">
        <f>[1]!accrint_dayend_cnbd(C22,$A$1,1)</f>
        <v>5.2889999999999997</v>
      </c>
      <c r="K22" s="39">
        <f t="shared" si="0"/>
        <v>-11579130.999999989</v>
      </c>
      <c r="L22" s="39">
        <f t="shared" si="1"/>
        <v>1114672.299999997</v>
      </c>
      <c r="M22" s="37">
        <f t="shared" ref="M22" si="5">I22+J22</f>
        <v>29.118000000000002</v>
      </c>
      <c r="N22" s="38">
        <f t="shared" ref="N22" si="6">D22*I22*100</f>
        <v>37506846</v>
      </c>
      <c r="O22" s="39">
        <f t="shared" ref="O22" si="7">D22*M22*100</f>
        <v>45831732</v>
      </c>
      <c r="P22" s="39">
        <f>[1]!b_info_couponrate(C22)</f>
        <v>5.5</v>
      </c>
      <c r="Q22" s="39">
        <f>[1]!b_anal_vobp_cnbd(C22,$A$1,1)</f>
        <v>5.9999999999999995E-4</v>
      </c>
      <c r="R22" s="39">
        <f>[1]!b_anal_modidura_cnbd(C22,$A$1,1)</f>
        <v>0.2074</v>
      </c>
      <c r="S22" s="22" t="s">
        <v>17</v>
      </c>
      <c r="T22" s="22"/>
      <c r="U22" s="22" t="str">
        <f>[1]!b_rate_latestcredit(C22)</f>
        <v>A</v>
      </c>
      <c r="V22" s="22" t="str">
        <f>[1]!b_info_latestissurercreditrating(C22)</f>
        <v>A</v>
      </c>
    </row>
    <row r="23" spans="1:22" s="33" customFormat="1" ht="12.95" customHeight="1">
      <c r="A23" s="85">
        <v>44561</v>
      </c>
      <c r="B23" s="26" t="s">
        <v>104</v>
      </c>
      <c r="C23" s="86" t="s">
        <v>134</v>
      </c>
      <c r="D23" s="29">
        <v>10000</v>
      </c>
      <c r="E23" s="30">
        <v>100</v>
      </c>
      <c r="F23" s="28">
        <v>3409315.07</v>
      </c>
      <c r="G23" s="31">
        <v>100000000</v>
      </c>
      <c r="H23" s="31">
        <v>103409315.06999999</v>
      </c>
      <c r="I23" s="89">
        <v>100</v>
      </c>
      <c r="J23" s="37">
        <f>[1]!accrint_dayend_cnbd(C23,$A$1,1)</f>
        <v>4.2849000000000004</v>
      </c>
      <c r="K23" s="39">
        <f t="shared" si="0"/>
        <v>0</v>
      </c>
      <c r="L23" s="39">
        <f t="shared" si="1"/>
        <v>875584.9300000011</v>
      </c>
      <c r="M23" s="37">
        <f>I23+J23</f>
        <v>104.28489999999999</v>
      </c>
      <c r="N23" s="38">
        <f>D23*I23*100</f>
        <v>100000000</v>
      </c>
      <c r="O23" s="39">
        <f>D23*M23*100</f>
        <v>104284899.99999999</v>
      </c>
      <c r="P23" s="39">
        <f>[1]!b_info_couponrate(C23)</f>
        <v>6.8</v>
      </c>
      <c r="Q23" s="39">
        <f>[1]!b_anal_vobp_cnbd(C23,$A$1,1)</f>
        <v>1.1000000000000001E-3</v>
      </c>
      <c r="R23" s="39">
        <f>[1]!b_anal_modidura_cnbd(C23,$A$1,1)</f>
        <v>0.4032</v>
      </c>
      <c r="S23" s="22" t="s">
        <v>17</v>
      </c>
      <c r="T23" s="22"/>
      <c r="U23" s="22" t="str">
        <f>[1]!b_rate_latestcredit(C23)</f>
        <v>A</v>
      </c>
      <c r="V23" s="22" t="str">
        <f>[1]!b_info_latestissurercreditrating(C23)</f>
        <v>A</v>
      </c>
    </row>
    <row r="24" spans="1:22" s="33" customFormat="1" ht="12.95" customHeight="1">
      <c r="A24" s="85">
        <v>44561</v>
      </c>
      <c r="B24" s="29" t="s">
        <v>46</v>
      </c>
      <c r="C24" s="86" t="s">
        <v>47</v>
      </c>
      <c r="D24" s="29">
        <v>10000</v>
      </c>
      <c r="E24" s="30">
        <v>69.616900000000001</v>
      </c>
      <c r="F24" s="28">
        <v>3870410.9599999934</v>
      </c>
      <c r="G24" s="31">
        <v>69616900</v>
      </c>
      <c r="H24" s="31">
        <v>73487310.959999993</v>
      </c>
      <c r="I24" s="37">
        <f>[1]!b_anal_net_cnbd(C24,$A$1,1)</f>
        <v>57.201500000000003</v>
      </c>
      <c r="J24" s="37">
        <f>[1]!accrint_dayend_cnbd(C24,$A$1,1)</f>
        <v>4.5270999999999999</v>
      </c>
      <c r="K24" s="39">
        <f t="shared" si="0"/>
        <v>-12415399.999999998</v>
      </c>
      <c r="L24" s="39">
        <f t="shared" si="1"/>
        <v>656689.04000000656</v>
      </c>
      <c r="M24" s="37">
        <f t="shared" ref="M24:M29" si="8">I24+J24</f>
        <v>61.7286</v>
      </c>
      <c r="N24" s="38">
        <f t="shared" ref="N24:N29" si="9">D24*I24*100</f>
        <v>57201500</v>
      </c>
      <c r="O24" s="39">
        <f t="shared" ref="O24:O29" si="10">D24*M24*100</f>
        <v>61728600</v>
      </c>
      <c r="P24" s="39">
        <f>[1]!b_info_couponrate(C24)</f>
        <v>5.0999999999999996</v>
      </c>
      <c r="Q24" s="39">
        <f>[1]!b_anal_vobp_cnbd(C24,$A$1,1)</f>
        <v>3.7000000000000002E-3</v>
      </c>
      <c r="R24" s="39">
        <f>[1]!b_anal_modidura_cnbd(C24,$A$1,1)</f>
        <v>0.59870000000000001</v>
      </c>
      <c r="S24" s="22" t="s">
        <v>17</v>
      </c>
      <c r="T24" s="22"/>
      <c r="U24" s="22" t="str">
        <f>[1]!b_rate_latestcredit(C24)</f>
        <v>AAA</v>
      </c>
      <c r="V24" s="22" t="str">
        <f>[1]!b_info_latestissurercreditrating(C24)</f>
        <v>AAA</v>
      </c>
    </row>
    <row r="25" spans="1:22" s="33" customFormat="1" ht="12.95" customHeight="1">
      <c r="A25" s="85">
        <v>44561</v>
      </c>
      <c r="B25" s="29" t="s">
        <v>50</v>
      </c>
      <c r="C25" s="86" t="s">
        <v>51</v>
      </c>
      <c r="D25" s="29">
        <v>20000</v>
      </c>
      <c r="E25" s="32">
        <v>69.247700000000009</v>
      </c>
      <c r="F25" s="30">
        <v>6288000</v>
      </c>
      <c r="G25" s="31">
        <v>138495400</v>
      </c>
      <c r="H25" s="31">
        <v>144783400</v>
      </c>
      <c r="I25" s="37">
        <f>[1]!b_anal_net_cnbd(C25,$A$1,1)</f>
        <v>57.034599999999998</v>
      </c>
      <c r="J25" s="37">
        <f>[1]!accrint_dayend_cnbd(C25,$A$1,1)</f>
        <v>3.8187000000000002</v>
      </c>
      <c r="K25" s="39">
        <f t="shared" si="0"/>
        <v>-24426200.000000022</v>
      </c>
      <c r="L25" s="39">
        <f t="shared" si="1"/>
        <v>1349400</v>
      </c>
      <c r="M25" s="37">
        <f t="shared" si="8"/>
        <v>60.853299999999997</v>
      </c>
      <c r="N25" s="38">
        <f t="shared" si="9"/>
        <v>114069200</v>
      </c>
      <c r="O25" s="39">
        <f t="shared" si="10"/>
        <v>121706600</v>
      </c>
      <c r="P25" s="39">
        <f>[1]!b_info_couponrate(C25)</f>
        <v>5.24</v>
      </c>
      <c r="Q25" s="39">
        <f>[1]!b_anal_vobp_cnbd(C25,$A$1,1)</f>
        <v>4.4999999999999997E-3</v>
      </c>
      <c r="R25" s="39">
        <f>[1]!b_anal_modidura_cnbd(C25,$A$1,1)</f>
        <v>0.73319999999999996</v>
      </c>
      <c r="S25" s="22" t="s">
        <v>169</v>
      </c>
      <c r="T25" s="22"/>
      <c r="U25" s="22" t="str">
        <f>[1]!b_rate_latestcredit(C25)</f>
        <v>AAA</v>
      </c>
      <c r="V25" s="22" t="str">
        <f>[1]!b_info_latestissurercreditrating(C25)</f>
        <v>AAA</v>
      </c>
    </row>
    <row r="26" spans="1:22" s="33" customFormat="1" ht="12.95" customHeight="1">
      <c r="A26" s="85">
        <v>44561</v>
      </c>
      <c r="B26" s="29" t="s">
        <v>135</v>
      </c>
      <c r="C26" s="86" t="s">
        <v>136</v>
      </c>
      <c r="D26" s="29">
        <v>4500</v>
      </c>
      <c r="E26" s="30">
        <v>97.616699999999994</v>
      </c>
      <c r="F26" s="28">
        <v>100602.74000000209</v>
      </c>
      <c r="G26" s="31">
        <v>43927515</v>
      </c>
      <c r="H26" s="31">
        <v>44028117.740000002</v>
      </c>
      <c r="I26" s="37">
        <f>[1]!b_anal_net_cnbd(C26,$A$1,1)</f>
        <v>94.609399999999994</v>
      </c>
      <c r="J26" s="37">
        <f>[1]!accrint_dayend_cnbd(C26,$A$1,1)</f>
        <v>1.0992</v>
      </c>
      <c r="K26" s="39">
        <f t="shared" si="0"/>
        <v>-1353285.0000000005</v>
      </c>
      <c r="L26" s="39">
        <f t="shared" si="1"/>
        <v>394037.25999999786</v>
      </c>
      <c r="M26" s="37">
        <f t="shared" si="8"/>
        <v>95.70859999999999</v>
      </c>
      <c r="N26" s="38">
        <f t="shared" si="9"/>
        <v>42574230</v>
      </c>
      <c r="O26" s="39">
        <f t="shared" si="10"/>
        <v>43068869.999999993</v>
      </c>
      <c r="P26" s="39">
        <f>[1]!b_info_couponrate(C26)</f>
        <v>6.8</v>
      </c>
      <c r="Q26" s="39">
        <f>[1]!b_anal_vobp_cnbd(C26,$A$1,1)</f>
        <v>6.7999999999999996E-3</v>
      </c>
      <c r="R26" s="39">
        <f>[1]!b_anal_modidura_cnbd(C26,$A$1,1)</f>
        <v>0.7127</v>
      </c>
      <c r="S26" s="22" t="s">
        <v>17</v>
      </c>
      <c r="T26" s="22"/>
      <c r="U26" s="22">
        <f>[1]!b_rate_latestcredit(C26)</f>
        <v>0</v>
      </c>
      <c r="V26" s="22" t="str">
        <f>[1]!b_info_latestissurercreditrating(C26)</f>
        <v>AA+</v>
      </c>
    </row>
    <row r="27" spans="1:22" s="33" customFormat="1" ht="12.95" customHeight="1">
      <c r="A27" s="85">
        <v>44561</v>
      </c>
      <c r="B27" s="26" t="s">
        <v>54</v>
      </c>
      <c r="C27" s="86" t="s">
        <v>55</v>
      </c>
      <c r="D27" s="29">
        <v>10500</v>
      </c>
      <c r="E27" s="30">
        <v>97.033999999999992</v>
      </c>
      <c r="F27" s="28">
        <v>2078136.98</v>
      </c>
      <c r="G27" s="31">
        <v>101885700</v>
      </c>
      <c r="H27" s="31">
        <v>103963836.98</v>
      </c>
      <c r="I27" s="89">
        <v>97.033999999999992</v>
      </c>
      <c r="J27" s="37">
        <f>[1]!accrint_dayend_cnbd(C27,$A$1,1)</f>
        <v>2.7002999999999999</v>
      </c>
      <c r="K27" s="39">
        <f t="shared" si="0"/>
        <v>0</v>
      </c>
      <c r="L27" s="39">
        <f t="shared" si="1"/>
        <v>757178.02</v>
      </c>
      <c r="M27" s="37">
        <f t="shared" si="8"/>
        <v>99.73429999999999</v>
      </c>
      <c r="N27" s="38">
        <f t="shared" si="9"/>
        <v>101885699.99999999</v>
      </c>
      <c r="O27" s="39">
        <f t="shared" si="10"/>
        <v>104721014.99999999</v>
      </c>
      <c r="P27" s="39">
        <f>[1]!b_info_couponrate(C27)</f>
        <v>5.6</v>
      </c>
      <c r="Q27" s="39">
        <f>[1]!b_anal_vobp_cnbd(C27,$A$1,1)</f>
        <v>3.2000000000000002E-3</v>
      </c>
      <c r="R27" s="39">
        <f>[1]!b_anal_modidura_cnbd(C27,$A$1,1)</f>
        <v>0.39389999999999997</v>
      </c>
      <c r="S27" s="22" t="s">
        <v>17</v>
      </c>
      <c r="T27" s="22"/>
      <c r="U27" s="22" t="str">
        <f>[1]!b_rate_latestcredit(C27)</f>
        <v>AAA</v>
      </c>
      <c r="V27" s="22" t="str">
        <f>[1]!b_info_latestissurercreditrating(C27)</f>
        <v>AA+</v>
      </c>
    </row>
    <row r="28" spans="1:22" s="33" customFormat="1" ht="12.95" customHeight="1">
      <c r="A28" s="85">
        <v>44561</v>
      </c>
      <c r="B28" s="26" t="s">
        <v>56</v>
      </c>
      <c r="C28" s="86" t="s">
        <v>57</v>
      </c>
      <c r="D28" s="29">
        <v>8500</v>
      </c>
      <c r="E28" s="30">
        <v>97.168588235294123</v>
      </c>
      <c r="F28" s="28">
        <v>1131780.82</v>
      </c>
      <c r="G28" s="31">
        <v>82593300</v>
      </c>
      <c r="H28" s="31">
        <v>83725080.819999993</v>
      </c>
      <c r="I28" s="89">
        <v>97.168588235294123</v>
      </c>
      <c r="J28" s="37">
        <f>[1]!accrint_dayend_cnbd(C28,$A$1,1)</f>
        <v>2.1040999999999999</v>
      </c>
      <c r="K28" s="39">
        <f t="shared" si="0"/>
        <v>0</v>
      </c>
      <c r="L28" s="39">
        <f t="shared" si="1"/>
        <v>656704.1799999997</v>
      </c>
      <c r="M28" s="37">
        <f t="shared" si="8"/>
        <v>99.272688235294126</v>
      </c>
      <c r="N28" s="38">
        <f t="shared" si="9"/>
        <v>82593300</v>
      </c>
      <c r="O28" s="39">
        <f t="shared" si="10"/>
        <v>84381785.000000015</v>
      </c>
      <c r="P28" s="39">
        <f>[1]!b_info_couponrate(C28)</f>
        <v>6</v>
      </c>
      <c r="Q28" s="39">
        <f>[1]!b_anal_vobp_cnbd(C28,$A$1,1)</f>
        <v>4.0000000000000001E-3</v>
      </c>
      <c r="R28" s="39">
        <f>[1]!b_anal_modidura_cnbd(C28,$A$1,1)</f>
        <v>0.48870000000000002</v>
      </c>
      <c r="S28" s="22" t="s">
        <v>17</v>
      </c>
      <c r="T28" s="22"/>
      <c r="U28" s="22" t="str">
        <f>[1]!b_rate_latestcredit(C28)</f>
        <v>AAA</v>
      </c>
      <c r="V28" s="22" t="str">
        <f>[1]!b_info_latestissurercreditrating(C28)</f>
        <v>AA+</v>
      </c>
    </row>
    <row r="29" spans="1:22" s="33" customFormat="1" ht="12.95" customHeight="1">
      <c r="A29" s="75">
        <v>44561</v>
      </c>
      <c r="B29" s="26" t="s">
        <v>105</v>
      </c>
      <c r="C29" s="86" t="s">
        <v>63</v>
      </c>
      <c r="D29" s="29">
        <v>10000</v>
      </c>
      <c r="E29" s="30">
        <v>100</v>
      </c>
      <c r="F29" s="28">
        <v>4369863.01</v>
      </c>
      <c r="G29" s="31">
        <v>100000000</v>
      </c>
      <c r="H29" s="31">
        <v>104369863.01000001</v>
      </c>
      <c r="I29" s="89">
        <v>100</v>
      </c>
      <c r="J29" s="37">
        <f>[1]!accrint_dayend_cnbd(C29,$A$1,1)</f>
        <v>5.0781000000000001</v>
      </c>
      <c r="K29" s="39">
        <f t="shared" si="0"/>
        <v>0</v>
      </c>
      <c r="L29" s="39">
        <f t="shared" si="1"/>
        <v>708236.99000000022</v>
      </c>
      <c r="M29" s="37">
        <f t="shared" si="8"/>
        <v>105.07810000000001</v>
      </c>
      <c r="N29" s="38">
        <f t="shared" si="9"/>
        <v>100000000</v>
      </c>
      <c r="O29" s="39">
        <f t="shared" si="10"/>
        <v>105078100</v>
      </c>
      <c r="P29" s="39">
        <f>[1]!b_info_couponrate(C29)</f>
        <v>5.5</v>
      </c>
      <c r="Q29" s="39">
        <f>[1]!b_anal_vobp_cnbd(C29,$A$1,1)</f>
        <v>2.0000000000000001E-4</v>
      </c>
      <c r="R29" s="39">
        <f>[1]!b_anal_modidura_cnbd(C29,$A$1,1)</f>
        <v>4.1099999999999998E-2</v>
      </c>
      <c r="S29" s="22" t="s">
        <v>17</v>
      </c>
      <c r="T29" s="22"/>
      <c r="U29" s="22" t="str">
        <f>[1]!b_rate_latestcredit(C29)</f>
        <v>AAA</v>
      </c>
      <c r="V29" s="22">
        <f>[1]!b_info_latestissurercreditrating(C29)</f>
        <v>0</v>
      </c>
    </row>
    <row r="30" spans="1:22" s="33" customFormat="1" ht="12.95" customHeight="1">
      <c r="A30" s="90">
        <v>44561</v>
      </c>
      <c r="B30" s="29" t="s">
        <v>137</v>
      </c>
      <c r="C30" s="86" t="s">
        <v>138</v>
      </c>
      <c r="D30" s="29">
        <v>8000</v>
      </c>
      <c r="E30" s="30">
        <v>98.6374</v>
      </c>
      <c r="F30" s="28">
        <v>3452712.3299999982</v>
      </c>
      <c r="G30" s="31">
        <v>78909920</v>
      </c>
      <c r="H30" s="31">
        <v>82362632.329999998</v>
      </c>
      <c r="I30" s="37">
        <f>[1]!b_anal_net_cnbd(C30,$A$1,1)</f>
        <v>91.0488</v>
      </c>
      <c r="J30" s="37">
        <f>[1]!accrint_dayend_cnbd(C30,$A$1,1)</f>
        <v>5.0755999999999997</v>
      </c>
      <c r="K30" s="39">
        <f t="shared" si="0"/>
        <v>-6070880</v>
      </c>
      <c r="L30" s="39">
        <f t="shared" si="1"/>
        <v>607767.67000000132</v>
      </c>
      <c r="M30" s="37"/>
      <c r="N30" s="91"/>
      <c r="O30" s="43"/>
      <c r="P30" s="39"/>
      <c r="Q30" s="39"/>
      <c r="R30" s="39"/>
      <c r="S30" s="22"/>
      <c r="T30" s="22"/>
      <c r="U30" s="22"/>
      <c r="V30" s="22"/>
    </row>
    <row r="31" spans="1:22" s="33" customFormat="1" ht="12.95" customHeight="1">
      <c r="A31" s="75">
        <v>44561</v>
      </c>
      <c r="B31" s="92" t="s">
        <v>64</v>
      </c>
      <c r="C31" s="86">
        <v>179965</v>
      </c>
      <c r="D31" s="35">
        <v>6500</v>
      </c>
      <c r="E31" s="30">
        <v>99.516000000000005</v>
      </c>
      <c r="F31" s="36">
        <v>2827321.92</v>
      </c>
      <c r="G31" s="31">
        <v>64685400</v>
      </c>
      <c r="H31" s="31">
        <v>67512721.920000002</v>
      </c>
      <c r="I31" s="89">
        <v>99.516000000000005</v>
      </c>
      <c r="J31" s="37">
        <f>[1]!accrint_dayend_cnbd(C31,$A$1,1)</f>
        <v>5.0773000000000001</v>
      </c>
      <c r="K31" s="39">
        <f t="shared" si="0"/>
        <v>0</v>
      </c>
      <c r="L31" s="39">
        <f t="shared" si="1"/>
        <v>472923.08000000054</v>
      </c>
      <c r="M31" s="37">
        <f>I31+J31</f>
        <v>104.5933</v>
      </c>
      <c r="N31" s="38">
        <f>D31*I31*100</f>
        <v>64685400</v>
      </c>
      <c r="O31" s="39">
        <f>D31*M31*100</f>
        <v>67985645</v>
      </c>
      <c r="P31" s="39">
        <f>[1]!b_info_couponrate(C31)</f>
        <v>5.65</v>
      </c>
      <c r="Q31" s="39">
        <f>[1]!b_anal_vobp_cnbd(C31,$A$1,1)</f>
        <v>4.0000000000000002E-4</v>
      </c>
      <c r="R31" s="39">
        <v>0.8</v>
      </c>
      <c r="S31" s="34" t="s">
        <v>17</v>
      </c>
      <c r="T31" s="34"/>
      <c r="U31" s="33" t="str">
        <f>[1]!b_rate_latestcredit(C31)</f>
        <v>AAA</v>
      </c>
      <c r="V31" s="33">
        <f>[1]!b_info_latestissurercreditrating(C31)</f>
        <v>0</v>
      </c>
    </row>
    <row r="32" spans="1:22" s="93" customFormat="1" ht="12.95" customHeight="1">
      <c r="A32" s="75">
        <v>44561</v>
      </c>
      <c r="B32" s="92" t="s">
        <v>106</v>
      </c>
      <c r="C32" s="86" t="s">
        <v>139</v>
      </c>
      <c r="D32" s="35">
        <v>8500</v>
      </c>
      <c r="E32" s="30">
        <v>100</v>
      </c>
      <c r="F32" s="36">
        <v>2498767.13</v>
      </c>
      <c r="G32" s="31">
        <v>85000000</v>
      </c>
      <c r="H32" s="31">
        <v>87498767.129999995</v>
      </c>
      <c r="I32" s="89">
        <v>100</v>
      </c>
      <c r="J32" s="37">
        <f>[1]!accrint_dayend_cnbd(C32,$A$1,1)</f>
        <v>3.6865999999999999</v>
      </c>
      <c r="K32" s="39">
        <f t="shared" si="0"/>
        <v>0</v>
      </c>
      <c r="L32" s="39">
        <f t="shared" si="1"/>
        <v>634842.87000000011</v>
      </c>
      <c r="M32" s="37">
        <f t="shared" ref="M32" si="11">I32+J32</f>
        <v>103.6866</v>
      </c>
      <c r="N32" s="38">
        <f t="shared" ref="N32:N34" si="12">D32*I32*100</f>
        <v>85000000</v>
      </c>
      <c r="O32" s="39">
        <f t="shared" ref="O32:O34" si="13">D32*M32*100</f>
        <v>88133610</v>
      </c>
      <c r="P32" s="39">
        <f>[1]!b_info_couponrate(C32)</f>
        <v>5.8</v>
      </c>
      <c r="Q32" s="39">
        <f>[1]!b_anal_vobp_cnbd(C32,$A$1,1)</f>
        <v>1E-3</v>
      </c>
      <c r="R32" s="39">
        <f>[1]!b_anal_modidura_cnbd(C32,$A$1,1)</f>
        <v>0.1855</v>
      </c>
      <c r="S32" s="33" t="s">
        <v>17</v>
      </c>
      <c r="T32" s="34"/>
      <c r="U32" s="33" t="str">
        <f>[1]!b_rate_latestcredit(C32)</f>
        <v>AAA</v>
      </c>
      <c r="V32" s="33">
        <f>[1]!b_info_latestissurercreditrating(C32)</f>
        <v>0</v>
      </c>
    </row>
    <row r="33" spans="1:22" s="33" customFormat="1" ht="12.95" customHeight="1">
      <c r="A33" s="85">
        <v>44561</v>
      </c>
      <c r="B33" s="36" t="s">
        <v>59</v>
      </c>
      <c r="C33" s="86" t="s">
        <v>60</v>
      </c>
      <c r="D33" s="44">
        <v>10000</v>
      </c>
      <c r="E33" s="30">
        <v>96.557900000000004</v>
      </c>
      <c r="F33" s="36">
        <v>707671.23000000417</v>
      </c>
      <c r="G33" s="31">
        <v>96557900</v>
      </c>
      <c r="H33" s="31">
        <v>97265571.230000004</v>
      </c>
      <c r="I33" s="37">
        <f>[1]!b_anal_net_cnbd(C33,$A$1,1)</f>
        <v>63.470500000000001</v>
      </c>
      <c r="J33" s="37">
        <f>[1]!accrint_dayend_cnbd(C33,$A$1,1)</f>
        <v>1.4996</v>
      </c>
      <c r="K33" s="39">
        <f t="shared" si="0"/>
        <v>-33087400</v>
      </c>
      <c r="L33" s="39">
        <f t="shared" si="1"/>
        <v>791928.76999999583</v>
      </c>
      <c r="M33" s="94"/>
      <c r="N33" s="38"/>
      <c r="O33" s="39"/>
      <c r="P33" s="39"/>
      <c r="Q33" s="39"/>
      <c r="R33" s="39"/>
      <c r="T33" s="34"/>
    </row>
    <row r="34" spans="1:22" s="33" customFormat="1" ht="12.95" customHeight="1">
      <c r="A34" s="85">
        <v>44561</v>
      </c>
      <c r="B34" s="29" t="s">
        <v>140</v>
      </c>
      <c r="C34" s="86" t="s">
        <v>141</v>
      </c>
      <c r="D34" s="29">
        <v>3000</v>
      </c>
      <c r="E34" s="27">
        <v>95.657800000000009</v>
      </c>
      <c r="F34" s="28">
        <v>315616.44000000134</v>
      </c>
      <c r="G34" s="87">
        <v>28697340</v>
      </c>
      <c r="H34" s="84">
        <v>29012956.440000001</v>
      </c>
      <c r="I34" s="37">
        <f>[1]!b_anal_net_cnbd(C34,$A$1,1)</f>
        <v>12.962999999999999</v>
      </c>
      <c r="J34" s="37">
        <f>[1]!accrint_dayend_cnbd(C34,$A$1,1)</f>
        <v>5.8500000000000003E-2</v>
      </c>
      <c r="K34" s="39">
        <f>(I34-E34)*D34*100+25893000</f>
        <v>1084559.9999999963</v>
      </c>
      <c r="L34" s="39">
        <f>J34*D34*100-F34+419190</f>
        <v>121123.55999999866</v>
      </c>
      <c r="M34" s="94">
        <f>I34+J34</f>
        <v>13.0215</v>
      </c>
      <c r="N34" s="38">
        <f t="shared" si="12"/>
        <v>3888900</v>
      </c>
      <c r="O34" s="39">
        <f t="shared" si="13"/>
        <v>3906450</v>
      </c>
      <c r="P34" s="39">
        <f>[1]!b_info_couponrate(C34)</f>
        <v>6</v>
      </c>
      <c r="Q34" s="39">
        <f>[1]!b_anal_vobp_cnbd(C34,$A$1,1)</f>
        <v>5.0000000000000001E-4</v>
      </c>
      <c r="R34" s="39">
        <f>[1]!b_anal_modidura_cnbd(C34,$A$1,1)</f>
        <v>0.36880000000000002</v>
      </c>
      <c r="S34" s="33" t="s">
        <v>17</v>
      </c>
      <c r="T34" s="22"/>
    </row>
    <row r="35" spans="1:22" s="33" customFormat="1" ht="12.95" customHeight="1">
      <c r="A35" s="85">
        <v>44561</v>
      </c>
      <c r="B35" s="29" t="s">
        <v>61</v>
      </c>
      <c r="C35" s="86" t="s">
        <v>62</v>
      </c>
      <c r="D35" s="29">
        <v>28000</v>
      </c>
      <c r="E35" s="27">
        <v>60.060299999999998</v>
      </c>
      <c r="F35" s="28">
        <v>2999452.0600000024</v>
      </c>
      <c r="G35" s="31">
        <v>168168840</v>
      </c>
      <c r="H35" s="31">
        <v>171168292.06</v>
      </c>
      <c r="I35" s="37">
        <f>[1]!b_anal_net_csi1(C35,$A$1,1)</f>
        <v>59.915599999999998</v>
      </c>
      <c r="J35" s="37">
        <f>[1]!accrint_dayend_cnbd(C35,$A$1,1)</f>
        <v>0</v>
      </c>
      <c r="K35" s="39">
        <f t="shared" si="0"/>
        <v>-405160.00000000076</v>
      </c>
      <c r="L35" s="95">
        <f>(A1-A35)/365*D35*P35*100</f>
        <v>3064657.5342465751</v>
      </c>
      <c r="M35" s="37">
        <f>I35+J35</f>
        <v>59.915599999999998</v>
      </c>
      <c r="N35" s="38">
        <f>D35*I35*100</f>
        <v>167763680</v>
      </c>
      <c r="O35" s="39">
        <f>D35*M35*100</f>
        <v>167763680</v>
      </c>
      <c r="P35" s="39">
        <f>[1]!b_info_couponrate(C35)</f>
        <v>8.5</v>
      </c>
      <c r="Q35" s="39">
        <f>[1]!b_anal_vobp_cnbd(C35,$A$1,1)</f>
        <v>0</v>
      </c>
      <c r="R35" s="39">
        <f>[1]!b_anal_modidura_cnbd(C35,$A$1,1)</f>
        <v>0</v>
      </c>
      <c r="S35" s="22" t="s">
        <v>17</v>
      </c>
      <c r="T35" s="22"/>
      <c r="U35" s="22" t="str">
        <f>[1]!b_rate_latestcredit(C35)</f>
        <v>AA+</v>
      </c>
      <c r="V35" s="22" t="str">
        <f>[1]!b_info_latestissurercreditrating(C35)</f>
        <v>A</v>
      </c>
    </row>
    <row r="36" spans="1:22" s="33" customFormat="1" ht="12.95" customHeight="1">
      <c r="A36" s="85"/>
      <c r="B36" s="29"/>
      <c r="C36" s="86"/>
      <c r="D36" s="29"/>
      <c r="E36" s="27"/>
      <c r="F36" s="28"/>
      <c r="G36" s="31"/>
      <c r="H36" s="31"/>
      <c r="I36" s="37"/>
      <c r="J36" s="37"/>
      <c r="K36" s="39"/>
      <c r="L36" s="95"/>
      <c r="M36" s="37"/>
      <c r="N36" s="38"/>
      <c r="O36" s="39"/>
      <c r="P36" s="39"/>
      <c r="Q36" s="39"/>
      <c r="R36" s="39"/>
      <c r="S36" s="22"/>
      <c r="T36" s="22"/>
      <c r="U36" s="22"/>
      <c r="V36" s="22"/>
    </row>
    <row r="37" spans="1:22" s="33" customFormat="1" ht="12.95" customHeight="1">
      <c r="A37" s="85"/>
      <c r="B37" s="29"/>
      <c r="C37" s="86"/>
      <c r="D37" s="29"/>
      <c r="E37" s="27"/>
      <c r="F37" s="28"/>
      <c r="G37" s="31"/>
      <c r="H37" s="31"/>
      <c r="I37" s="37"/>
      <c r="J37" s="37"/>
      <c r="K37" s="39"/>
      <c r="L37" s="95"/>
      <c r="M37" s="37"/>
      <c r="N37" s="38"/>
      <c r="O37" s="39"/>
      <c r="P37" s="39"/>
      <c r="Q37" s="39"/>
      <c r="R37" s="39"/>
      <c r="S37" s="22"/>
      <c r="T37" s="22"/>
      <c r="U37" s="22"/>
      <c r="V37" s="22"/>
    </row>
    <row r="38" spans="1:22" s="99" customFormat="1" ht="12.95" customHeight="1">
      <c r="A38" s="85">
        <v>44561</v>
      </c>
      <c r="B38" s="29" t="s">
        <v>142</v>
      </c>
      <c r="C38" s="86" t="s">
        <v>143</v>
      </c>
      <c r="D38" s="29">
        <v>5000</v>
      </c>
      <c r="E38" s="30">
        <v>100</v>
      </c>
      <c r="F38" s="28">
        <v>273287.67000000179</v>
      </c>
      <c r="G38" s="31">
        <v>50000000</v>
      </c>
      <c r="H38" s="31">
        <v>50273287.670000002</v>
      </c>
      <c r="I38" s="37">
        <f>[1]!b_dq_close(C38,$A$1,1)</f>
        <v>100</v>
      </c>
      <c r="J38" s="96"/>
      <c r="K38" s="95">
        <f t="shared" ref="K38:K42" si="14">(I38-E38)*D38*100</f>
        <v>0</v>
      </c>
      <c r="L38" s="95">
        <f>(A1-A38)/365*D38*P38*100</f>
        <v>225342.46575342468</v>
      </c>
      <c r="M38" s="97">
        <f t="shared" ref="M38:M44" si="15">I38+J38</f>
        <v>100</v>
      </c>
      <c r="N38" s="98">
        <f t="shared" ref="N38:N44" si="16">D38*I38*100</f>
        <v>50000000</v>
      </c>
      <c r="O38" s="95">
        <f t="shared" ref="O38:O44" si="17">D38*M38*100</f>
        <v>50000000</v>
      </c>
      <c r="P38" s="95">
        <f>[1]!b_info_couponrate(C38)</f>
        <v>3.5</v>
      </c>
      <c r="Q38" s="95">
        <f>[1]!b_anal_vobp_cnbd(C38,$A$1,1)</f>
        <v>0</v>
      </c>
      <c r="R38" s="95">
        <f>[1]!b_anal_modidura_cnbd(C38,$A$1,1)</f>
        <v>0</v>
      </c>
      <c r="S38" s="23" t="s">
        <v>17</v>
      </c>
      <c r="T38" s="23"/>
      <c r="U38" s="23">
        <f>[1]!b_rate_latestcredit(C38)</f>
        <v>0</v>
      </c>
      <c r="V38" s="23" t="str">
        <f>[1]!b_info_latestissurercreditrating(C38)</f>
        <v>AA+</v>
      </c>
    </row>
    <row r="39" spans="1:22" s="99" customFormat="1" ht="12.95" customHeight="1">
      <c r="A39" s="85">
        <v>44561</v>
      </c>
      <c r="B39" s="29" t="s">
        <v>144</v>
      </c>
      <c r="C39" s="86" t="s">
        <v>67</v>
      </c>
      <c r="D39" s="29">
        <v>2000</v>
      </c>
      <c r="E39" s="30">
        <v>108.999</v>
      </c>
      <c r="F39" s="28">
        <v>208.21999999880791</v>
      </c>
      <c r="G39" s="31">
        <v>21799800</v>
      </c>
      <c r="H39" s="31">
        <v>21800008.219999999</v>
      </c>
      <c r="I39" s="37">
        <f>[1]!b_dq_close(C39,$A$1,1)</f>
        <v>114.99769999999999</v>
      </c>
      <c r="J39" s="96"/>
      <c r="K39" s="95">
        <f t="shared" si="14"/>
        <v>1199740</v>
      </c>
      <c r="L39" s="95">
        <f>(A1-A39)/365*D39*P39*100</f>
        <v>257.53424657534248</v>
      </c>
      <c r="M39" s="97">
        <f t="shared" si="15"/>
        <v>114.99769999999999</v>
      </c>
      <c r="N39" s="98">
        <f t="shared" si="16"/>
        <v>22999540</v>
      </c>
      <c r="O39" s="95">
        <f t="shared" si="17"/>
        <v>22999540</v>
      </c>
      <c r="P39" s="95">
        <f>[1]!b_info_couponrate(C39)</f>
        <v>0.01</v>
      </c>
      <c r="Q39" s="95">
        <f>[1]!b_anal_vobp_cnbd(C39,$A$1,1)</f>
        <v>0</v>
      </c>
      <c r="R39" s="95">
        <f>[1]!b_anal_modidura_cnbd(C39,$A$1,1)</f>
        <v>0</v>
      </c>
      <c r="S39" s="23" t="s">
        <v>17</v>
      </c>
      <c r="T39" s="23"/>
      <c r="U39" s="23">
        <f>[1]!b_rate_latestcredit(C39)</f>
        <v>0</v>
      </c>
      <c r="V39" s="23" t="str">
        <f>[1]!b_info_latestissurercreditrating(C39)</f>
        <v>AA+</v>
      </c>
    </row>
    <row r="40" spans="1:22" s="99" customFormat="1" ht="12.95" customHeight="1">
      <c r="A40" s="85">
        <v>44561</v>
      </c>
      <c r="B40" s="29" t="s">
        <v>65</v>
      </c>
      <c r="C40" s="86" t="s">
        <v>66</v>
      </c>
      <c r="D40" s="29">
        <v>3000</v>
      </c>
      <c r="E40" s="30">
        <v>100</v>
      </c>
      <c r="F40" s="28">
        <v>69041.10000000149</v>
      </c>
      <c r="G40" s="31">
        <v>30000000</v>
      </c>
      <c r="H40" s="31">
        <v>30069041.100000001</v>
      </c>
      <c r="I40" s="37">
        <f>[1]!b_dq_close(C40,$A$1,1)</f>
        <v>100</v>
      </c>
      <c r="J40" s="96"/>
      <c r="K40" s="95">
        <f t="shared" si="14"/>
        <v>0</v>
      </c>
      <c r="L40" s="95">
        <f>(A1-A40)/365*D40*P40*100</f>
        <v>19315.068493150684</v>
      </c>
      <c r="M40" s="97">
        <f t="shared" si="15"/>
        <v>100</v>
      </c>
      <c r="N40" s="98">
        <f t="shared" si="16"/>
        <v>30000000</v>
      </c>
      <c r="O40" s="95">
        <f t="shared" si="17"/>
        <v>30000000</v>
      </c>
      <c r="P40" s="95">
        <f>[1]!b_info_couponrate(C40)</f>
        <v>0.5</v>
      </c>
      <c r="Q40" s="95">
        <f>[1]!b_anal_vobp_cnbd(C40,$A$1,1)</f>
        <v>0</v>
      </c>
      <c r="R40" s="95">
        <f>[1]!b_anal_modidura_cnbd(C40,$A$1,1)</f>
        <v>0</v>
      </c>
      <c r="S40" s="23" t="s">
        <v>17</v>
      </c>
      <c r="T40" s="23"/>
      <c r="U40" s="23" t="str">
        <f>[1]!b_rate_latestcredit(C40)</f>
        <v>AAA</v>
      </c>
      <c r="V40" s="23" t="str">
        <f>[1]!b_info_latestissurercreditrating(C40)</f>
        <v>AAA</v>
      </c>
    </row>
    <row r="41" spans="1:22" s="114" customFormat="1" ht="12.95" customHeight="1">
      <c r="A41" s="85">
        <v>44561</v>
      </c>
      <c r="B41" s="29" t="s">
        <v>145</v>
      </c>
      <c r="C41" s="86" t="s">
        <v>146</v>
      </c>
      <c r="D41" s="29">
        <v>1000</v>
      </c>
      <c r="E41" s="30">
        <v>99.91</v>
      </c>
      <c r="F41" s="28">
        <v>9041.0999999996275</v>
      </c>
      <c r="G41" s="31">
        <v>9991000</v>
      </c>
      <c r="H41" s="31">
        <v>10000041.1</v>
      </c>
      <c r="I41" s="37">
        <f>[1]!b_dq_close(C41,$A$1,1)</f>
        <v>99.983599999999996</v>
      </c>
      <c r="J41" s="97"/>
      <c r="K41" s="95">
        <f>(I41-E41)*D41*100</f>
        <v>7359.9999999999</v>
      </c>
      <c r="L41" s="95">
        <f>(A1-DATE(2022,2,4))/365*D41*P41*100+958.9041</f>
        <v>2602.739716438356</v>
      </c>
      <c r="M41" s="97">
        <f t="shared" si="15"/>
        <v>99.983599999999996</v>
      </c>
      <c r="N41" s="98">
        <f t="shared" si="16"/>
        <v>9998360</v>
      </c>
      <c r="O41" s="95">
        <f t="shared" si="17"/>
        <v>9998360</v>
      </c>
      <c r="P41" s="95">
        <v>0.5</v>
      </c>
      <c r="Q41" s="95">
        <f>[1]!b_anal_vobp_cnbd(C41,$A$1,1)</f>
        <v>0</v>
      </c>
      <c r="R41" s="95">
        <f>[1]!b_anal_modidura_cnbd(C41,$A$1,1)</f>
        <v>0</v>
      </c>
      <c r="S41" s="23" t="s">
        <v>178</v>
      </c>
      <c r="T41" s="33">
        <f>[1]!b_info_repurchasedate(C41)</f>
        <v>0</v>
      </c>
      <c r="U41" s="23" t="str">
        <f>[1]!b_rate_latestcredit(C41)</f>
        <v>AA</v>
      </c>
      <c r="V41" s="23" t="str">
        <f>[1]!b_info_latestissurercreditrating(C41)</f>
        <v>AA</v>
      </c>
    </row>
    <row r="42" spans="1:22" s="100" customFormat="1" ht="12.95" customHeight="1">
      <c r="A42" s="85">
        <v>44561</v>
      </c>
      <c r="B42" s="29" t="s">
        <v>147</v>
      </c>
      <c r="C42" s="86" t="s">
        <v>148</v>
      </c>
      <c r="D42" s="29">
        <v>11200</v>
      </c>
      <c r="E42" s="30">
        <v>100</v>
      </c>
      <c r="F42" s="28">
        <v>316054.79000000656</v>
      </c>
      <c r="G42" s="31">
        <v>112000000</v>
      </c>
      <c r="H42" s="31">
        <v>112316054.79000001</v>
      </c>
      <c r="I42" s="37">
        <f>[1]!b_dq_close(C42,$A$1,1)</f>
        <v>100</v>
      </c>
      <c r="J42" s="37">
        <f>[1]!accrint_dayend_cnbd(C42,$A$1,1)</f>
        <v>0</v>
      </c>
      <c r="K42" s="39">
        <f t="shared" si="14"/>
        <v>0</v>
      </c>
      <c r="L42" s="95">
        <f>(A1-A42)/365*D42*P42*100</f>
        <v>72109.589041095882</v>
      </c>
      <c r="M42" s="37">
        <f t="shared" si="15"/>
        <v>100</v>
      </c>
      <c r="N42" s="38">
        <f t="shared" si="16"/>
        <v>112000000</v>
      </c>
      <c r="O42" s="39">
        <f t="shared" si="17"/>
        <v>112000000</v>
      </c>
      <c r="P42" s="39">
        <f>[1]!b_info_couponrate(C42)</f>
        <v>0.5</v>
      </c>
      <c r="Q42" s="39">
        <f>[1]!b_anal_vobp_cnbd(C42,$A$1,1)</f>
        <v>0</v>
      </c>
      <c r="R42" s="39">
        <f>[1]!b_anal_modidura_cnbd(C42,$A$1,1)</f>
        <v>0</v>
      </c>
      <c r="S42" s="22" t="s">
        <v>169</v>
      </c>
      <c r="T42" s="22"/>
      <c r="U42" s="22">
        <f>[1]!b_rate_latestcredit(C42)</f>
        <v>0</v>
      </c>
      <c r="V42" s="22" t="str">
        <f>[1]!b_info_latestissurercreditrating(C42)</f>
        <v>AAA</v>
      </c>
    </row>
    <row r="43" spans="1:22" s="99" customFormat="1" ht="12.95" customHeight="1">
      <c r="A43" s="85">
        <v>44561</v>
      </c>
      <c r="B43" s="29" t="s">
        <v>149</v>
      </c>
      <c r="C43" s="86" t="s">
        <v>150</v>
      </c>
      <c r="D43" s="29">
        <v>142.8571</v>
      </c>
      <c r="E43" s="30">
        <v>22.799999999999997</v>
      </c>
      <c r="F43" s="28">
        <v>0</v>
      </c>
      <c r="G43" s="31">
        <v>32571418.800000001</v>
      </c>
      <c r="H43" s="31">
        <v>32571418.800000001</v>
      </c>
      <c r="I43" s="37">
        <f>[1]!s_dq_close(C43,$A$1,1)</f>
        <v>20.82</v>
      </c>
      <c r="J43" s="97">
        <f>[1]!accrint_dayend_cnbd(C43,$A$1,1)</f>
        <v>0</v>
      </c>
      <c r="K43" s="95">
        <f>(I43-E43)*D43*10000</f>
        <v>-2828570.5799999954</v>
      </c>
      <c r="L43" s="95">
        <f>J43*D43*100-F43</f>
        <v>0</v>
      </c>
      <c r="M43" s="97">
        <f t="shared" si="15"/>
        <v>20.82</v>
      </c>
      <c r="N43" s="98">
        <f t="shared" si="16"/>
        <v>297428.48220000003</v>
      </c>
      <c r="O43" s="95">
        <f t="shared" si="17"/>
        <v>297428.48220000003</v>
      </c>
      <c r="P43" s="95">
        <f>[1]!b_info_couponrate(C43)</f>
        <v>0</v>
      </c>
      <c r="Q43" s="95">
        <f>[1]!b_anal_vobp_cnbd(C43,$A$1,1)</f>
        <v>0</v>
      </c>
      <c r="R43" s="95">
        <f>[1]!b_anal_modidura_cnbd(C43,$A$1,1)</f>
        <v>0</v>
      </c>
      <c r="S43" s="23" t="s">
        <v>169</v>
      </c>
      <c r="T43" s="23"/>
      <c r="U43" s="23">
        <f>[1]!b_rate_latestcredit(C43)</f>
        <v>0</v>
      </c>
      <c r="V43" s="23" t="str">
        <f>[1]!b_info_latestissurercreditrating(C43)</f>
        <v>AAA</v>
      </c>
    </row>
    <row r="44" spans="1:22" s="33" customFormat="1" ht="12.95" customHeight="1">
      <c r="A44" s="85">
        <v>44561</v>
      </c>
      <c r="B44" s="29" t="s">
        <v>151</v>
      </c>
      <c r="C44" s="86" t="s">
        <v>152</v>
      </c>
      <c r="D44" s="29">
        <v>352.94900000000001</v>
      </c>
      <c r="E44" s="30">
        <v>3.21</v>
      </c>
      <c r="F44" s="28">
        <v>0</v>
      </c>
      <c r="G44" s="31">
        <v>11329662.9</v>
      </c>
      <c r="H44" s="31">
        <v>11329662.9</v>
      </c>
      <c r="I44" s="37">
        <f>[1]!s_dq_close(C44,$A$1,1)</f>
        <v>3.01</v>
      </c>
      <c r="J44" s="37">
        <f>[1]!accrint_dayend_cnbd(C44,$A$1,1)</f>
        <v>0</v>
      </c>
      <c r="K44" s="95">
        <f>(I44-E44)*D44*10000</f>
        <v>-705898.0000000007</v>
      </c>
      <c r="L44" s="39">
        <f>J44*D44*100-F44</f>
        <v>0</v>
      </c>
      <c r="M44" s="37">
        <f t="shared" si="15"/>
        <v>3.01</v>
      </c>
      <c r="N44" s="38">
        <f t="shared" si="16"/>
        <v>106237.64899999999</v>
      </c>
      <c r="O44" s="39">
        <f t="shared" si="17"/>
        <v>106237.64899999999</v>
      </c>
      <c r="P44" s="39">
        <f>[1]!b_info_couponrate(C44)</f>
        <v>0</v>
      </c>
      <c r="Q44" s="39">
        <f>[1]!b_anal_vobp_cnbd(C44,$A$1,1)</f>
        <v>0</v>
      </c>
      <c r="R44" s="39">
        <f>[1]!b_anal_modidura_cnbd(C44,$A$1,1)</f>
        <v>0</v>
      </c>
      <c r="S44" s="22" t="s">
        <v>17</v>
      </c>
      <c r="T44" s="22"/>
      <c r="U44" s="22">
        <f>[1]!b_rate_latestcredit(C44)</f>
        <v>0</v>
      </c>
      <c r="V44" s="22" t="str">
        <f>[1]!b_info_latestissurercreditrating(C44)</f>
        <v>AA</v>
      </c>
    </row>
    <row r="45" spans="1:22" s="33" customFormat="1" ht="12.95" customHeight="1">
      <c r="A45" s="85"/>
      <c r="B45" s="29"/>
      <c r="C45" s="86"/>
      <c r="D45" s="29"/>
      <c r="E45" s="27"/>
      <c r="F45" s="28"/>
      <c r="G45" s="31"/>
      <c r="H45" s="31"/>
      <c r="I45" s="37"/>
      <c r="J45" s="37"/>
      <c r="K45" s="39"/>
      <c r="L45" s="95"/>
      <c r="M45" s="37"/>
      <c r="N45" s="38"/>
      <c r="O45" s="39"/>
      <c r="P45" s="39"/>
      <c r="Q45" s="39"/>
      <c r="R45" s="39"/>
      <c r="S45" s="22"/>
      <c r="T45" s="22"/>
      <c r="U45" s="22"/>
      <c r="V45" s="22"/>
    </row>
    <row r="46" spans="1:22" s="33" customFormat="1" ht="12.95" customHeight="1">
      <c r="A46" s="85"/>
      <c r="B46" s="29"/>
      <c r="C46" s="86"/>
      <c r="D46" s="29"/>
      <c r="E46" s="27"/>
      <c r="F46" s="28"/>
      <c r="G46" s="31"/>
      <c r="H46" s="31"/>
      <c r="I46" s="37"/>
      <c r="J46" s="37"/>
      <c r="K46" s="39"/>
      <c r="L46" s="95"/>
      <c r="M46" s="37"/>
      <c r="N46" s="38"/>
      <c r="O46" s="39"/>
      <c r="P46" s="39"/>
      <c r="Q46" s="39"/>
      <c r="R46" s="39"/>
      <c r="S46" s="22"/>
      <c r="T46" s="22"/>
      <c r="U46" s="22"/>
      <c r="V46" s="22"/>
    </row>
    <row r="47" spans="1:22" s="104" customFormat="1" ht="12.95" customHeight="1">
      <c r="A47" s="85">
        <v>44561</v>
      </c>
      <c r="B47" s="29" t="s">
        <v>71</v>
      </c>
      <c r="C47" s="86" t="s">
        <v>72</v>
      </c>
      <c r="D47" s="29">
        <v>800</v>
      </c>
      <c r="E47" s="27">
        <v>45.848100000000002</v>
      </c>
      <c r="F47" s="28"/>
      <c r="G47" s="31">
        <v>3667848</v>
      </c>
      <c r="H47" s="31">
        <v>3667848</v>
      </c>
      <c r="I47" s="37">
        <v>45.848100000000002</v>
      </c>
      <c r="J47" s="101"/>
      <c r="K47" s="102">
        <f>(I47-E47)*D47*100</f>
        <v>0</v>
      </c>
      <c r="L47" s="103"/>
      <c r="O47" s="39">
        <f>I47*D47*100</f>
        <v>3667848.0000000005</v>
      </c>
    </row>
    <row r="48" spans="1:22" s="104" customFormat="1" ht="12.95" customHeight="1">
      <c r="A48" s="85">
        <v>44561</v>
      </c>
      <c r="B48" s="29" t="s">
        <v>69</v>
      </c>
      <c r="C48" s="86" t="s">
        <v>70</v>
      </c>
      <c r="D48" s="29">
        <v>4000</v>
      </c>
      <c r="E48" s="27">
        <v>27.214099999999998</v>
      </c>
      <c r="F48" s="28"/>
      <c r="G48" s="31">
        <v>10885640</v>
      </c>
      <c r="H48" s="31">
        <v>10885640</v>
      </c>
      <c r="I48" s="37">
        <v>27.214099999999998</v>
      </c>
      <c r="J48" s="101"/>
      <c r="K48" s="102">
        <f t="shared" si="0"/>
        <v>0</v>
      </c>
      <c r="L48" s="103"/>
      <c r="O48" s="39">
        <f>I48*D48*100</f>
        <v>10885640</v>
      </c>
    </row>
    <row r="49" spans="1:18" s="104" customFormat="1" ht="12.95" customHeight="1">
      <c r="A49" s="85">
        <v>44561</v>
      </c>
      <c r="B49" s="29" t="s">
        <v>68</v>
      </c>
      <c r="C49" s="86" t="s">
        <v>170</v>
      </c>
      <c r="D49" s="29">
        <v>6500</v>
      </c>
      <c r="E49" s="27">
        <v>24.918600000000001</v>
      </c>
      <c r="F49" s="28"/>
      <c r="G49" s="31">
        <v>16197090</v>
      </c>
      <c r="H49" s="31">
        <v>16197090</v>
      </c>
      <c r="I49" s="37">
        <v>24.918600000000001</v>
      </c>
      <c r="J49" s="101"/>
      <c r="K49" s="102">
        <f t="shared" si="0"/>
        <v>0</v>
      </c>
      <c r="L49" s="103"/>
      <c r="O49" s="39">
        <f>I49*D49*100</f>
        <v>16197090.000000002</v>
      </c>
    </row>
    <row r="50" spans="1:18" s="103" customFormat="1" ht="12.95" customHeight="1">
      <c r="A50" s="85">
        <v>44561</v>
      </c>
      <c r="B50" s="29" t="s">
        <v>154</v>
      </c>
      <c r="C50" s="86" t="s">
        <v>155</v>
      </c>
      <c r="D50" s="29">
        <v>10000</v>
      </c>
      <c r="E50" s="27">
        <v>0</v>
      </c>
      <c r="F50" s="28"/>
      <c r="G50" s="31"/>
      <c r="H50" s="31">
        <v>23749700</v>
      </c>
      <c r="I50" s="37"/>
      <c r="J50" s="101"/>
      <c r="K50" s="102"/>
    </row>
    <row r="51" spans="1:18" s="103" customFormat="1" ht="12.95" customHeight="1">
      <c r="A51" s="85">
        <v>44561</v>
      </c>
      <c r="B51" s="29" t="s">
        <v>73</v>
      </c>
      <c r="C51" s="86" t="s">
        <v>74</v>
      </c>
      <c r="D51" s="29">
        <v>8000</v>
      </c>
      <c r="E51" s="27">
        <v>0</v>
      </c>
      <c r="F51" s="28"/>
      <c r="G51" s="31"/>
      <c r="H51" s="31">
        <v>24000000</v>
      </c>
      <c r="I51" s="37"/>
      <c r="J51" s="101"/>
      <c r="K51" s="102"/>
    </row>
    <row r="52" spans="1:18" s="103" customFormat="1" ht="12.95" customHeight="1">
      <c r="A52" s="85">
        <v>44561</v>
      </c>
      <c r="B52" s="29" t="s">
        <v>75</v>
      </c>
      <c r="C52" s="86" t="s">
        <v>76</v>
      </c>
      <c r="D52" s="29">
        <v>7000</v>
      </c>
      <c r="E52" s="27">
        <v>0</v>
      </c>
      <c r="F52" s="28"/>
      <c r="G52" s="31"/>
      <c r="H52" s="31">
        <v>21000000</v>
      </c>
      <c r="I52" s="37"/>
      <c r="J52" s="101"/>
      <c r="K52" s="102"/>
    </row>
    <row r="53" spans="1:18" s="33" customFormat="1" ht="12.95" customHeight="1">
      <c r="A53" s="75"/>
      <c r="C53" s="105"/>
      <c r="D53" s="46"/>
      <c r="E53" s="52"/>
      <c r="F53" s="106"/>
      <c r="G53" s="37"/>
      <c r="H53" s="106"/>
      <c r="I53" s="53"/>
      <c r="J53" s="40"/>
      <c r="K53" s="39"/>
      <c r="L53" s="40"/>
      <c r="M53" s="40"/>
      <c r="N53" s="47"/>
      <c r="O53" s="40"/>
      <c r="P53" s="40"/>
      <c r="Q53" s="40"/>
      <c r="R53" s="40"/>
    </row>
    <row r="54" spans="1:18" s="33" customFormat="1" ht="12.95" customHeight="1">
      <c r="A54" s="75"/>
      <c r="B54" s="42"/>
      <c r="C54" s="46"/>
      <c r="D54" s="46"/>
      <c r="E54" s="54"/>
      <c r="F54" s="22"/>
      <c r="G54" s="52"/>
      <c r="J54" s="40"/>
      <c r="K54" s="39"/>
      <c r="L54" s="40"/>
      <c r="M54" s="40"/>
      <c r="N54" s="47"/>
      <c r="O54" s="40"/>
      <c r="P54" s="40"/>
      <c r="Q54" s="40"/>
      <c r="R54" s="40"/>
    </row>
    <row r="55" spans="1:18" s="33" customFormat="1" ht="12.95" customHeight="1">
      <c r="A55" s="75">
        <v>44561</v>
      </c>
      <c r="B55" s="42" t="s">
        <v>77</v>
      </c>
      <c r="C55" s="42"/>
      <c r="D55" s="107" t="s">
        <v>78</v>
      </c>
      <c r="E55" s="14" t="s">
        <v>79</v>
      </c>
      <c r="F55" s="22" t="s">
        <v>171</v>
      </c>
      <c r="G55" s="40" t="s">
        <v>81</v>
      </c>
      <c r="H55" s="33" t="s">
        <v>156</v>
      </c>
      <c r="I55" s="33" t="s">
        <v>172</v>
      </c>
      <c r="J55" s="50" t="s">
        <v>83</v>
      </c>
      <c r="K55" s="39" t="s">
        <v>173</v>
      </c>
      <c r="L55" s="40"/>
      <c r="M55" s="40"/>
      <c r="N55" s="47"/>
      <c r="O55" s="40"/>
      <c r="P55" s="40"/>
      <c r="Q55" s="40"/>
      <c r="R55" s="40"/>
    </row>
    <row r="56" spans="1:18" s="40" customFormat="1">
      <c r="A56" s="75">
        <v>44561</v>
      </c>
      <c r="B56" s="42" t="s">
        <v>85</v>
      </c>
      <c r="C56" s="42"/>
      <c r="D56" s="28"/>
      <c r="E56" s="16">
        <v>663.315113</v>
      </c>
      <c r="F56" s="22">
        <v>1.0286999999999999</v>
      </c>
      <c r="G56" s="37">
        <v>1.0365</v>
      </c>
      <c r="H56" s="53">
        <v>6823522.5674310001</v>
      </c>
      <c r="I56" s="53">
        <f>G56*E56*10000</f>
        <v>6875261.146245</v>
      </c>
      <c r="J56" s="50"/>
      <c r="K56" s="39">
        <f>I56-H56+J56</f>
        <v>51738.578813999891</v>
      </c>
      <c r="N56" s="47"/>
    </row>
    <row r="57" spans="1:18" s="40" customFormat="1">
      <c r="A57" s="75">
        <v>44561</v>
      </c>
      <c r="B57" s="42" t="s">
        <v>110</v>
      </c>
      <c r="C57" s="42"/>
      <c r="D57" s="55"/>
      <c r="E57" s="16">
        <v>1266.969658</v>
      </c>
      <c r="F57" s="52">
        <v>1.0188999999999999</v>
      </c>
      <c r="G57" s="37">
        <v>1.0265</v>
      </c>
      <c r="H57" s="53">
        <v>12909153.845361998</v>
      </c>
      <c r="I57" s="53">
        <f t="shared" ref="I57:I59" si="18">G57*E57*10000</f>
        <v>13005443.539369998</v>
      </c>
      <c r="J57" s="50"/>
      <c r="K57" s="39">
        <f t="shared" ref="K57:K59" si="19">I57-H57+J57</f>
        <v>96289.694008000195</v>
      </c>
      <c r="N57" s="47"/>
    </row>
    <row r="58" spans="1:18" s="40" customFormat="1">
      <c r="A58" s="75">
        <v>44561</v>
      </c>
      <c r="B58" s="42" t="s">
        <v>111</v>
      </c>
      <c r="C58" s="42"/>
      <c r="D58" s="55"/>
      <c r="E58" s="16">
        <v>1889.5028280000001</v>
      </c>
      <c r="F58" s="22">
        <v>1.0258</v>
      </c>
      <c r="G58" s="37">
        <v>1.0339</v>
      </c>
      <c r="H58" s="53">
        <v>19382520.009624001</v>
      </c>
      <c r="I58" s="53">
        <f>G58*E58*10000</f>
        <v>19535569.738692001</v>
      </c>
      <c r="J58" s="50"/>
      <c r="K58" s="39">
        <f t="shared" si="19"/>
        <v>153049.72906799987</v>
      </c>
      <c r="N58" s="47"/>
    </row>
    <row r="59" spans="1:18" s="40" customFormat="1">
      <c r="A59" s="75">
        <v>44561</v>
      </c>
      <c r="B59" s="42" t="s">
        <v>174</v>
      </c>
      <c r="C59" s="42"/>
      <c r="D59" s="55"/>
      <c r="E59" s="16">
        <v>1862.6874789999999</v>
      </c>
      <c r="F59" s="22">
        <v>1.0295000000000001</v>
      </c>
      <c r="G59" s="37">
        <v>1.0373000000000001</v>
      </c>
      <c r="H59" s="53">
        <v>19176367.596305002</v>
      </c>
      <c r="I59" s="53">
        <f t="shared" si="18"/>
        <v>19321657.219667003</v>
      </c>
      <c r="J59" s="50"/>
      <c r="K59" s="39">
        <f t="shared" si="19"/>
        <v>145289.62336200103</v>
      </c>
      <c r="N59" s="47"/>
    </row>
    <row r="61" spans="1:18" s="40" customFormat="1">
      <c r="A61" s="25"/>
      <c r="B61" s="33"/>
      <c r="C61" s="33"/>
      <c r="D61" s="41"/>
      <c r="E61" s="46"/>
      <c r="F61" s="22"/>
      <c r="G61" s="52"/>
      <c r="H61" s="53"/>
      <c r="I61" s="53"/>
      <c r="J61" s="50"/>
      <c r="K61" s="39"/>
      <c r="N61" s="47"/>
    </row>
    <row r="62" spans="1:18">
      <c r="A62" s="25"/>
    </row>
    <row r="63" spans="1:18">
      <c r="A63" s="25"/>
    </row>
    <row r="64" spans="1:18">
      <c r="A64" s="25"/>
      <c r="E64" s="57"/>
    </row>
    <row r="65" spans="1:10">
      <c r="A65" s="25"/>
      <c r="E65" s="57"/>
      <c r="F65" s="58"/>
    </row>
    <row r="66" spans="1:10">
      <c r="A66" s="25"/>
      <c r="B66" s="49"/>
      <c r="D66" s="59"/>
      <c r="J66" s="60"/>
    </row>
    <row r="67" spans="1:10">
      <c r="A67" s="25"/>
      <c r="B67" s="40"/>
      <c r="D67" s="59"/>
      <c r="J67" s="50"/>
    </row>
    <row r="69" spans="1:10">
      <c r="J69" s="60"/>
    </row>
    <row r="72" spans="1:10">
      <c r="F72" s="51"/>
    </row>
    <row r="73" spans="1:10">
      <c r="F73" s="51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3"/>
  <sheetViews>
    <sheetView workbookViewId="0">
      <selection activeCell="K22" sqref="K22:L22"/>
    </sheetView>
  </sheetViews>
  <sheetFormatPr defaultColWidth="9" defaultRowHeight="12"/>
  <cols>
    <col min="1" max="1" width="12.875" style="24" customWidth="1"/>
    <col min="2" max="2" width="16.625" style="24" customWidth="1"/>
    <col min="3" max="3" width="11" style="24" customWidth="1"/>
    <col min="4" max="4" width="12.125" style="51" customWidth="1"/>
    <col min="5" max="5" width="22.125" style="48" customWidth="1"/>
    <col min="6" max="6" width="14.25" style="24" customWidth="1"/>
    <col min="7" max="7" width="21.875" style="24" customWidth="1"/>
    <col min="8" max="8" width="18.625" style="24" customWidth="1"/>
    <col min="9" max="9" width="15.75" style="40" customWidth="1"/>
    <col min="10" max="10" width="19.125" style="40" customWidth="1"/>
    <col min="11" max="11" width="21" style="56" customWidth="1"/>
    <col min="12" max="12" width="18.25" style="40" customWidth="1"/>
    <col min="13" max="13" width="16.25" style="40" customWidth="1"/>
    <col min="14" max="14" width="20.125" style="47" customWidth="1"/>
    <col min="15" max="15" width="16.25" style="40" customWidth="1"/>
    <col min="16" max="16" width="12.75" style="40" customWidth="1"/>
    <col min="17" max="17" width="13.625" style="40" customWidth="1"/>
    <col min="18" max="18" width="10.5" style="40" customWidth="1"/>
    <col min="19" max="19" width="6.875" style="24" customWidth="1"/>
    <col min="20" max="20" width="11.75" style="24" customWidth="1"/>
    <col min="21" max="16384" width="9" style="24"/>
  </cols>
  <sheetData>
    <row r="1" spans="1:22" s="2" customFormat="1" ht="13.5">
      <c r="A1" s="1">
        <v>44608</v>
      </c>
      <c r="B1" s="1">
        <v>44561</v>
      </c>
      <c r="D1" s="3" t="s">
        <v>113</v>
      </c>
      <c r="E1" s="4">
        <f>SUM(K3:K62)+282448364.51</f>
        <v>-44167687.444748044</v>
      </c>
      <c r="F1" s="5" t="s">
        <v>114</v>
      </c>
      <c r="G1" s="4">
        <f>SUM(L3:L52)</f>
        <v>19754142.633640133</v>
      </c>
      <c r="H1" s="6" t="s">
        <v>2</v>
      </c>
      <c r="I1" s="7">
        <f>SUM(O3:O52)/10000</f>
        <v>201278.52031311998</v>
      </c>
      <c r="J1" s="6" t="s">
        <v>3</v>
      </c>
      <c r="K1" s="8">
        <f>SUMPRODUCT(N3:N49,R3:R49)/SUM(N3:N49)</f>
        <v>0.90935445983313912</v>
      </c>
      <c r="L1" s="6" t="s">
        <v>4</v>
      </c>
      <c r="M1" s="8">
        <f>SUMPRODUCT(D3:D52,Q3:Q52)/100</f>
        <v>18.182439999999996</v>
      </c>
      <c r="N1" s="9" t="s">
        <v>115</v>
      </c>
      <c r="O1" s="10">
        <f>SUMPRODUCT(N3:N52,P3:P52)/SUM(N3:N52)</f>
        <v>5.7038438697327871</v>
      </c>
      <c r="P1" s="6"/>
      <c r="Q1" s="11"/>
      <c r="R1" s="12"/>
      <c r="T1" s="24"/>
    </row>
    <row r="2" spans="1:22" ht="12.95" customHeight="1">
      <c r="A2" s="13" t="s">
        <v>116</v>
      </c>
      <c r="B2" s="14" t="s">
        <v>5</v>
      </c>
      <c r="C2" s="15" t="s">
        <v>6</v>
      </c>
      <c r="D2" s="16" t="s">
        <v>7</v>
      </c>
      <c r="E2" s="17" t="s">
        <v>117</v>
      </c>
      <c r="F2" s="18" t="s">
        <v>8</v>
      </c>
      <c r="G2" s="16" t="s">
        <v>118</v>
      </c>
      <c r="H2" s="16" t="s">
        <v>119</v>
      </c>
      <c r="I2" s="19" t="s">
        <v>120</v>
      </c>
      <c r="J2" s="19" t="s">
        <v>121</v>
      </c>
      <c r="K2" s="20" t="s">
        <v>0</v>
      </c>
      <c r="L2" s="19" t="s">
        <v>122</v>
      </c>
      <c r="M2" s="19" t="s">
        <v>9</v>
      </c>
      <c r="N2" s="21" t="s">
        <v>10</v>
      </c>
      <c r="O2" s="19" t="s">
        <v>11</v>
      </c>
      <c r="P2" s="22" t="s">
        <v>123</v>
      </c>
      <c r="Q2" s="19" t="s">
        <v>124</v>
      </c>
      <c r="R2" s="19" t="s">
        <v>12</v>
      </c>
      <c r="S2" s="23" t="s">
        <v>13</v>
      </c>
      <c r="T2" s="24" t="s">
        <v>175</v>
      </c>
      <c r="U2" s="24" t="s">
        <v>126</v>
      </c>
      <c r="V2" s="24" t="s">
        <v>14</v>
      </c>
    </row>
    <row r="3" spans="1:22" s="33" customFormat="1" ht="12.95" customHeight="1">
      <c r="A3" s="75">
        <v>44561</v>
      </c>
      <c r="B3" s="76" t="s">
        <v>15</v>
      </c>
      <c r="C3" s="77" t="s">
        <v>16</v>
      </c>
      <c r="D3" s="78">
        <v>8000</v>
      </c>
      <c r="E3" s="79">
        <v>55.125399999999999</v>
      </c>
      <c r="F3" s="80">
        <v>1643072.8800000027</v>
      </c>
      <c r="G3" s="80">
        <v>44100320</v>
      </c>
      <c r="H3" s="80">
        <v>45743392.880000003</v>
      </c>
      <c r="I3" s="37">
        <f>[1]!b_anal_net_cnbd(C3,$A$1,1)</f>
        <v>55.183799999999998</v>
      </c>
      <c r="J3" s="37">
        <f>[1]!accrint_dayend_cnbd(C3,$A$1,1)</f>
        <v>2.5931000000000002</v>
      </c>
      <c r="K3" s="39">
        <f t="shared" ref="K3:K49" si="0">(I3-E3)*D3*100</f>
        <v>46719.99999999912</v>
      </c>
      <c r="L3" s="39">
        <f t="shared" ref="L3:L33" si="1">J3*D3*100-F3</f>
        <v>431407.11999999755</v>
      </c>
      <c r="M3" s="37">
        <f t="shared" ref="M3:M20" si="2">I3+J3</f>
        <v>57.776899999999998</v>
      </c>
      <c r="N3" s="38">
        <f t="shared" ref="N3:N20" si="3">D3*I3*100</f>
        <v>44147040</v>
      </c>
      <c r="O3" s="39">
        <f t="shared" ref="O3:O20" si="4">D3*M3*100</f>
        <v>46221519.999999993</v>
      </c>
      <c r="P3" s="39">
        <f>[1]!b_info_couponrate(C3)</f>
        <v>6.98</v>
      </c>
      <c r="Q3" s="39">
        <f>[1]!b_anal_vobp_cnbd(C3,$A$1,1)</f>
        <v>6.4000000000000003E-3</v>
      </c>
      <c r="R3" s="39">
        <f>[1]!b_anal_modidura_cnbd(C3,$A$1,1)</f>
        <v>1.1041000000000001</v>
      </c>
      <c r="S3" s="33" t="s">
        <v>128</v>
      </c>
      <c r="T3" s="24">
        <f>[1]!b_info_repurchasedate(C3)</f>
        <v>0</v>
      </c>
      <c r="U3" s="33" t="str">
        <f>[1]!b_rate_latestcredit(C3)</f>
        <v>AA</v>
      </c>
      <c r="V3" s="33" t="str">
        <f>[1]!b_info_latestissurercreditrating(C3)</f>
        <v>AA</v>
      </c>
    </row>
    <row r="4" spans="1:22" s="33" customFormat="1" ht="12.95" customHeight="1">
      <c r="A4" s="75">
        <v>44561</v>
      </c>
      <c r="B4" s="76" t="s">
        <v>18</v>
      </c>
      <c r="C4" s="81" t="s">
        <v>19</v>
      </c>
      <c r="D4" s="78">
        <v>8000</v>
      </c>
      <c r="E4" s="79">
        <v>59.444799999999994</v>
      </c>
      <c r="F4" s="80">
        <v>1433845.4799999967</v>
      </c>
      <c r="G4" s="80">
        <v>47555840</v>
      </c>
      <c r="H4" s="80">
        <v>48989685.479999997</v>
      </c>
      <c r="I4" s="37">
        <f>[1]!b_anal_net_cnbd(C4,$A$1,1)</f>
        <v>59.653300000000002</v>
      </c>
      <c r="J4" s="37">
        <f>[1]!accrint_dayend_cnbd(C4,$A$1,1)</f>
        <v>2.3393000000000002</v>
      </c>
      <c r="K4" s="39">
        <f t="shared" si="0"/>
        <v>166800.00000000632</v>
      </c>
      <c r="L4" s="39">
        <f t="shared" si="1"/>
        <v>437594.52000000351</v>
      </c>
      <c r="M4" s="37">
        <f t="shared" si="2"/>
        <v>61.992600000000003</v>
      </c>
      <c r="N4" s="38">
        <f t="shared" si="3"/>
        <v>47722640</v>
      </c>
      <c r="O4" s="39">
        <f t="shared" si="4"/>
        <v>49594080.000000007</v>
      </c>
      <c r="P4" s="39">
        <f>[1]!b_info_couponrate(C4)</f>
        <v>7.08</v>
      </c>
      <c r="Q4" s="39">
        <f>[1]!b_anal_vobp_cnbd(C4,$A$1,1)</f>
        <v>7.9000000000000008E-3</v>
      </c>
      <c r="R4" s="39">
        <f>[1]!b_anal_modidura_cnbd(C4,$A$1,1)</f>
        <v>1.2682</v>
      </c>
      <c r="S4" s="33" t="s">
        <v>17</v>
      </c>
      <c r="T4" s="24">
        <f>[1]!b_info_repurchasedate(C4)</f>
        <v>0</v>
      </c>
      <c r="U4" s="33" t="str">
        <f>[1]!b_rate_latestcredit(C4)</f>
        <v>AAA</v>
      </c>
      <c r="V4" s="33" t="str">
        <f>[1]!b_info_latestissurercreditrating(C4)</f>
        <v>A+</v>
      </c>
    </row>
    <row r="5" spans="1:22" s="33" customFormat="1" ht="12.95" customHeight="1">
      <c r="A5" s="75">
        <v>44561</v>
      </c>
      <c r="B5" s="76" t="s">
        <v>20</v>
      </c>
      <c r="C5" s="81" t="s">
        <v>21</v>
      </c>
      <c r="D5" s="78">
        <v>9000</v>
      </c>
      <c r="E5" s="79">
        <v>57.590299999999999</v>
      </c>
      <c r="F5" s="80">
        <v>703923.28999999911</v>
      </c>
      <c r="G5" s="80">
        <v>51831270</v>
      </c>
      <c r="H5" s="80">
        <v>52535193.289999999</v>
      </c>
      <c r="I5" s="37">
        <f>[1]!b_anal_net_cnbd(C5,$A$1,1)</f>
        <v>55.8065</v>
      </c>
      <c r="J5" s="37">
        <f>[1]!accrint_dayend_cnbd(C5,$A$1,1)</f>
        <v>1.3848</v>
      </c>
      <c r="K5" s="39">
        <f t="shared" si="0"/>
        <v>-1605419.9999999995</v>
      </c>
      <c r="L5" s="39">
        <f t="shared" si="1"/>
        <v>542396.71000000089</v>
      </c>
      <c r="M5" s="37">
        <f t="shared" si="2"/>
        <v>57.191299999999998</v>
      </c>
      <c r="N5" s="38">
        <f t="shared" si="3"/>
        <v>50225850</v>
      </c>
      <c r="O5" s="39">
        <f t="shared" si="4"/>
        <v>51472170</v>
      </c>
      <c r="P5" s="39">
        <f>[1]!b_info_couponrate(C5)</f>
        <v>7.8</v>
      </c>
      <c r="Q5" s="39">
        <f>[1]!b_anal_vobp_cnbd(C5,$A$1,1)</f>
        <v>8.0000000000000002E-3</v>
      </c>
      <c r="R5" s="39">
        <f>[1]!b_anal_modidura_cnbd(C5,$A$1,1)</f>
        <v>1.4056</v>
      </c>
      <c r="S5" s="33" t="s">
        <v>17</v>
      </c>
      <c r="T5" s="24">
        <f>[1]!b_info_repurchasedate(C5)</f>
        <v>0</v>
      </c>
      <c r="U5" s="33" t="str">
        <f>[1]!b_rate_latestcredit(C5)</f>
        <v>AA</v>
      </c>
      <c r="V5" s="33" t="str">
        <f>[1]!b_info_latestissurercreditrating(C5)</f>
        <v>AA</v>
      </c>
    </row>
    <row r="6" spans="1:22" s="33" customFormat="1" ht="12.95" customHeight="1">
      <c r="A6" s="75">
        <v>44561</v>
      </c>
      <c r="B6" s="76" t="s">
        <v>22</v>
      </c>
      <c r="C6" s="77" t="s">
        <v>23</v>
      </c>
      <c r="D6" s="78">
        <v>5000</v>
      </c>
      <c r="E6" s="79">
        <v>57.549099999999996</v>
      </c>
      <c r="F6" s="80">
        <v>894772.60000000149</v>
      </c>
      <c r="G6" s="80">
        <v>28774550</v>
      </c>
      <c r="H6" s="80">
        <v>29669322.600000001</v>
      </c>
      <c r="I6" s="37">
        <f>[1]!b_anal_net_cnbd(C6,$A$1,1)</f>
        <v>57.946399999999997</v>
      </c>
      <c r="J6" s="37">
        <f>[1]!accrint_dayend_cnbd(C6,$A$1,1)</f>
        <v>2.2902</v>
      </c>
      <c r="K6" s="39">
        <f t="shared" si="0"/>
        <v>198650.00000000067</v>
      </c>
      <c r="L6" s="39">
        <f t="shared" si="1"/>
        <v>250327.39999999851</v>
      </c>
      <c r="M6" s="37">
        <f t="shared" si="2"/>
        <v>60.236599999999996</v>
      </c>
      <c r="N6" s="38">
        <f t="shared" si="3"/>
        <v>28973200</v>
      </c>
      <c r="O6" s="39">
        <f t="shared" si="4"/>
        <v>30118300</v>
      </c>
      <c r="P6" s="39">
        <f>[1]!b_info_couponrate(C6)</f>
        <v>6.48</v>
      </c>
      <c r="Q6" s="39">
        <f>[1]!b_anal_vobp_cnbd(C6,$A$1,1)</f>
        <v>7.3000000000000001E-3</v>
      </c>
      <c r="R6" s="39">
        <f>[1]!b_anal_modidura_cnbd(C6,$A$1,1)</f>
        <v>1.2067000000000001</v>
      </c>
      <c r="S6" s="33" t="s">
        <v>17</v>
      </c>
      <c r="T6" s="24">
        <f>[1]!b_info_repurchasedate(C6)</f>
        <v>0</v>
      </c>
      <c r="U6" s="33" t="str">
        <f>[1]!b_rate_latestcredit(C6)</f>
        <v>AA</v>
      </c>
      <c r="V6" s="33" t="str">
        <f>[1]!b_info_latestissurercreditrating(C6)</f>
        <v>AA</v>
      </c>
    </row>
    <row r="7" spans="1:22" s="33" customFormat="1" ht="12.95" customHeight="1">
      <c r="A7" s="75">
        <v>44561</v>
      </c>
      <c r="B7" s="76" t="s">
        <v>24</v>
      </c>
      <c r="C7" s="77" t="s">
        <v>25</v>
      </c>
      <c r="D7" s="78">
        <v>5000</v>
      </c>
      <c r="E7" s="79">
        <v>58.680600000000005</v>
      </c>
      <c r="F7" s="80">
        <v>920547.94999999925</v>
      </c>
      <c r="G7" s="80">
        <v>29340300</v>
      </c>
      <c r="H7" s="80">
        <v>30260847.949999999</v>
      </c>
      <c r="I7" s="37">
        <f>[1]!b_anal_net_cnbd(C7,$A$1,1)</f>
        <v>58.723999999999997</v>
      </c>
      <c r="J7" s="37">
        <f>[1]!accrint_dayend_cnbd(C7,$A$1,1)</f>
        <v>2.3355999999999999</v>
      </c>
      <c r="K7" s="39">
        <f t="shared" si="0"/>
        <v>21699.999999995613</v>
      </c>
      <c r="L7" s="39">
        <f t="shared" si="1"/>
        <v>247252.05000000075</v>
      </c>
      <c r="M7" s="37">
        <f t="shared" si="2"/>
        <v>61.059599999999996</v>
      </c>
      <c r="N7" s="38">
        <f t="shared" si="3"/>
        <v>29362000</v>
      </c>
      <c r="O7" s="39">
        <f t="shared" si="4"/>
        <v>30529800</v>
      </c>
      <c r="P7" s="39">
        <f>[1]!b_info_couponrate(C7)</f>
        <v>6.4</v>
      </c>
      <c r="Q7" s="39">
        <f>[1]!b_anal_vobp_cnbd(C7,$A$1,1)</f>
        <v>7.4000000000000003E-3</v>
      </c>
      <c r="R7" s="39">
        <f>[1]!b_anal_modidura_cnbd(C7,$A$1,1)</f>
        <v>1.208</v>
      </c>
      <c r="S7" s="33" t="s">
        <v>17</v>
      </c>
      <c r="T7" s="24">
        <f>[1]!b_info_repurchasedate(C7)</f>
        <v>0</v>
      </c>
      <c r="U7" s="33" t="str">
        <f>[1]!b_rate_latestcredit(C7)</f>
        <v>AA</v>
      </c>
      <c r="V7" s="33" t="str">
        <f>[1]!b_info_latestissurercreditrating(C7)</f>
        <v>AA</v>
      </c>
    </row>
    <row r="8" spans="1:22" s="33" customFormat="1" ht="12.95" customHeight="1">
      <c r="A8" s="75">
        <v>44561</v>
      </c>
      <c r="B8" s="76" t="s">
        <v>26</v>
      </c>
      <c r="C8" s="77" t="s">
        <v>27</v>
      </c>
      <c r="D8" s="78">
        <v>10000</v>
      </c>
      <c r="E8" s="79">
        <v>73.981999999999999</v>
      </c>
      <c r="F8" s="80">
        <v>2283112.3299999982</v>
      </c>
      <c r="G8" s="80">
        <v>73982000</v>
      </c>
      <c r="H8" s="80">
        <v>76265112.329999998</v>
      </c>
      <c r="I8" s="37">
        <f>[1]!b_anal_net_cnbd(C8,$A$1,1)</f>
        <v>74.483599999999996</v>
      </c>
      <c r="J8" s="37">
        <f>[1]!accrint_dayend_cnbd(C8,$A$1,1)</f>
        <v>2.9496000000000002</v>
      </c>
      <c r="K8" s="39">
        <f t="shared" si="0"/>
        <v>501599.99999999627</v>
      </c>
      <c r="L8" s="39">
        <f t="shared" si="1"/>
        <v>666487.67000000225</v>
      </c>
      <c r="M8" s="37">
        <f t="shared" si="2"/>
        <v>77.433199999999999</v>
      </c>
      <c r="N8" s="38">
        <f t="shared" si="3"/>
        <v>74483600</v>
      </c>
      <c r="O8" s="39">
        <f t="shared" si="4"/>
        <v>77433200</v>
      </c>
      <c r="P8" s="39">
        <f>[1]!b_info_couponrate(C8)</f>
        <v>6.47</v>
      </c>
      <c r="Q8" s="39">
        <f>[1]!b_anal_vobp_cnbd(C8,$A$1,1)</f>
        <v>1.95E-2</v>
      </c>
      <c r="R8" s="39">
        <f>[1]!b_anal_modidura_cnbd(C8,$A$1,1)</f>
        <v>2.5142000000000002</v>
      </c>
      <c r="S8" s="33" t="s">
        <v>17</v>
      </c>
      <c r="T8" s="24">
        <f>[1]!b_info_repurchasedate(C8)</f>
        <v>0</v>
      </c>
      <c r="U8" s="33" t="str">
        <f>[1]!b_rate_latestcredit(C8)</f>
        <v>AA</v>
      </c>
      <c r="V8" s="33" t="str">
        <f>[1]!b_info_latestissurercreditrating(C8)</f>
        <v>AA</v>
      </c>
    </row>
    <row r="9" spans="1:22" s="33" customFormat="1" ht="12.95" customHeight="1">
      <c r="A9" s="75">
        <v>44561</v>
      </c>
      <c r="B9" s="76" t="s">
        <v>28</v>
      </c>
      <c r="C9" s="77" t="s">
        <v>29</v>
      </c>
      <c r="D9" s="78">
        <v>8000</v>
      </c>
      <c r="E9" s="79">
        <v>56.403999999999996</v>
      </c>
      <c r="F9" s="80">
        <v>1468668.4900000021</v>
      </c>
      <c r="G9" s="80">
        <v>45123200</v>
      </c>
      <c r="H9" s="80">
        <v>46591868.490000002</v>
      </c>
      <c r="I9" s="37">
        <f>[1]!b_anal_net_cnbd(C9,$A$1,1)</f>
        <v>56.705199999999998</v>
      </c>
      <c r="J9" s="37">
        <f>[1]!accrint_dayend_cnbd(C9,$A$1,1)</f>
        <v>2.3751000000000002</v>
      </c>
      <c r="K9" s="39">
        <f t="shared" si="0"/>
        <v>240960.00000000116</v>
      </c>
      <c r="L9" s="39">
        <f t="shared" si="1"/>
        <v>431411.50999999815</v>
      </c>
      <c r="M9" s="37">
        <f t="shared" si="2"/>
        <v>59.080300000000001</v>
      </c>
      <c r="N9" s="38">
        <f t="shared" si="3"/>
        <v>45364160</v>
      </c>
      <c r="O9" s="39">
        <f t="shared" si="4"/>
        <v>47264240</v>
      </c>
      <c r="P9" s="39">
        <f>[1]!b_info_couponrate(C9)</f>
        <v>6.98</v>
      </c>
      <c r="Q9" s="39">
        <f>[1]!b_anal_vobp_cnbd(C9,$A$1,1)</f>
        <v>7.0000000000000001E-3</v>
      </c>
      <c r="R9" s="39">
        <f>[1]!b_anal_modidura_cnbd(C9,$A$1,1)</f>
        <v>1.1884999999999999</v>
      </c>
      <c r="S9" s="33" t="s">
        <v>17</v>
      </c>
      <c r="T9" s="24">
        <f>[1]!b_info_repurchasedate(C9)</f>
        <v>0</v>
      </c>
      <c r="U9" s="33" t="str">
        <f>[1]!b_rate_latestcredit(C9)</f>
        <v>AA</v>
      </c>
      <c r="V9" s="33" t="str">
        <f>[1]!b_info_latestissurercreditrating(C9)</f>
        <v>AA</v>
      </c>
    </row>
    <row r="10" spans="1:22" s="33" customFormat="1" ht="12.95" customHeight="1">
      <c r="A10" s="75">
        <v>44561</v>
      </c>
      <c r="B10" s="82" t="s">
        <v>30</v>
      </c>
      <c r="C10" s="77" t="s">
        <v>31</v>
      </c>
      <c r="D10" s="78">
        <v>10000</v>
      </c>
      <c r="E10" s="79">
        <v>55.634399999999999</v>
      </c>
      <c r="F10" s="80">
        <v>1634794.5200000033</v>
      </c>
      <c r="G10" s="80">
        <v>55634400</v>
      </c>
      <c r="H10" s="80">
        <v>57269194.520000003</v>
      </c>
      <c r="I10" s="37">
        <f>[1]!b_anal_net_cnbd(C10,$A$1,1)</f>
        <v>55.812600000000003</v>
      </c>
      <c r="J10" s="37">
        <f>[1]!accrint_dayend_cnbd(C10,$A$1,1)</f>
        <v>2.137</v>
      </c>
      <c r="K10" s="39">
        <f t="shared" si="0"/>
        <v>178200.0000000039</v>
      </c>
      <c r="L10" s="39">
        <f t="shared" si="1"/>
        <v>502205.47999999672</v>
      </c>
      <c r="M10" s="37">
        <f t="shared" si="2"/>
        <v>57.949600000000004</v>
      </c>
      <c r="N10" s="38">
        <f t="shared" si="3"/>
        <v>55812600</v>
      </c>
      <c r="O10" s="39">
        <f t="shared" si="4"/>
        <v>57949600</v>
      </c>
      <c r="P10" s="39">
        <f>[1]!b_info_couponrate(C10)</f>
        <v>6.5</v>
      </c>
      <c r="Q10" s="39">
        <f>[1]!b_anal_vobp_cnbd(C10,$A$1,1)</f>
        <v>6.8999999999999999E-3</v>
      </c>
      <c r="R10" s="39">
        <f>[1]!b_anal_modidura_cnbd(C10,$A$1,1)</f>
        <v>1.1964999999999999</v>
      </c>
      <c r="S10" s="33" t="s">
        <v>17</v>
      </c>
      <c r="T10" s="24">
        <f>[1]!b_info_repurchasedate(C10)</f>
        <v>0</v>
      </c>
      <c r="U10" s="33" t="str">
        <f>[1]!b_rate_latestcredit(C10)</f>
        <v>AA</v>
      </c>
      <c r="V10" s="33" t="str">
        <f>[1]!b_info_latestissurercreditrating(C10)</f>
        <v>AA</v>
      </c>
    </row>
    <row r="11" spans="1:22" s="33" customFormat="1" ht="12.95" customHeight="1">
      <c r="A11" s="75">
        <v>44561</v>
      </c>
      <c r="B11" s="82" t="s">
        <v>32</v>
      </c>
      <c r="C11" s="77" t="s">
        <v>33</v>
      </c>
      <c r="D11" s="78">
        <v>1000</v>
      </c>
      <c r="E11" s="79">
        <v>57.954799999999999</v>
      </c>
      <c r="F11" s="80">
        <v>117277.80999999959</v>
      </c>
      <c r="G11" s="80">
        <v>5795480</v>
      </c>
      <c r="H11" s="80">
        <v>5912757.8099999996</v>
      </c>
      <c r="I11" s="37">
        <f>[1]!b_anal_net_cnbd(C11,$A$1,1)</f>
        <v>58.315600000000003</v>
      </c>
      <c r="J11" s="37">
        <f>[1]!accrint_dayend_cnbd(C11,$A$1,1)</f>
        <v>1.7352000000000001</v>
      </c>
      <c r="K11" s="39">
        <f t="shared" si="0"/>
        <v>36080.000000000466</v>
      </c>
      <c r="L11" s="39">
        <f t="shared" si="1"/>
        <v>56242.19000000041</v>
      </c>
      <c r="M11" s="37">
        <f t="shared" si="2"/>
        <v>60.050800000000002</v>
      </c>
      <c r="N11" s="38">
        <f t="shared" si="3"/>
        <v>5831560.0000000009</v>
      </c>
      <c r="O11" s="39">
        <f t="shared" si="4"/>
        <v>6005080</v>
      </c>
      <c r="P11" s="39">
        <f>[1]!b_info_couponrate(C11)</f>
        <v>7.28</v>
      </c>
      <c r="Q11" s="39">
        <f>[1]!b_anal_vobp_cnbd(C11,$A$1,1)</f>
        <v>8.3000000000000001E-3</v>
      </c>
      <c r="R11" s="39">
        <f>[1]!b_anal_modidura_cnbd(C11,$A$1,1)</f>
        <v>1.3776999999999999</v>
      </c>
      <c r="S11" s="33" t="s">
        <v>17</v>
      </c>
      <c r="T11" s="24">
        <f>[1]!b_info_repurchasedate(C11)</f>
        <v>0</v>
      </c>
      <c r="U11" s="33" t="str">
        <f>[1]!b_rate_latestcredit(C11)</f>
        <v>AA</v>
      </c>
      <c r="V11" s="33" t="str">
        <f>[1]!b_info_latestissurercreditrating(C11)</f>
        <v>AA</v>
      </c>
    </row>
    <row r="12" spans="1:22" s="33" customFormat="1" ht="12.95" customHeight="1">
      <c r="A12" s="75">
        <v>44561</v>
      </c>
      <c r="B12" s="76" t="s">
        <v>34</v>
      </c>
      <c r="C12" s="77" t="s">
        <v>35</v>
      </c>
      <c r="D12" s="78">
        <v>5000</v>
      </c>
      <c r="E12" s="79">
        <v>74.184899999999999</v>
      </c>
      <c r="F12" s="80">
        <v>810082.18999999762</v>
      </c>
      <c r="G12" s="80">
        <v>37092450</v>
      </c>
      <c r="H12" s="80">
        <v>37902532.189999998</v>
      </c>
      <c r="I12" s="37">
        <f>[1]!b_anal_net_cnbd(C12,$A$1,1)</f>
        <v>71.6126</v>
      </c>
      <c r="J12" s="37">
        <f>[1]!accrint_dayend_cnbd(C12,$A$1,1)</f>
        <v>2.4134000000000002</v>
      </c>
      <c r="K12" s="39">
        <f t="shared" si="0"/>
        <v>-1286149.9999999993</v>
      </c>
      <c r="L12" s="39">
        <f t="shared" si="1"/>
        <v>396617.81000000262</v>
      </c>
      <c r="M12" s="37">
        <f t="shared" si="2"/>
        <v>74.025999999999996</v>
      </c>
      <c r="N12" s="38">
        <f t="shared" si="3"/>
        <v>35806300</v>
      </c>
      <c r="O12" s="39">
        <f t="shared" si="4"/>
        <v>37013000</v>
      </c>
      <c r="P12" s="39">
        <f>[1]!b_info_couponrate(C12)</f>
        <v>7.7</v>
      </c>
      <c r="Q12" s="39">
        <f>[1]!b_anal_vobp_cnbd(C12,$A$1,1)</f>
        <v>1.8700000000000001E-2</v>
      </c>
      <c r="R12" s="39">
        <f>[1]!b_anal_modidura_cnbd(C12,$A$1,1)</f>
        <v>2.5293000000000001</v>
      </c>
      <c r="S12" s="33" t="s">
        <v>17</v>
      </c>
      <c r="T12" s="24">
        <f>[1]!b_info_repurchasedate(C12)</f>
        <v>0</v>
      </c>
      <c r="U12" s="33" t="str">
        <f>[1]!b_rate_latestcredit(C12)</f>
        <v>AA</v>
      </c>
      <c r="V12" s="33" t="str">
        <f>[1]!b_info_latestissurercreditrating(C12)</f>
        <v>AA</v>
      </c>
    </row>
    <row r="13" spans="1:22" s="33" customFormat="1" ht="12.95" customHeight="1">
      <c r="A13" s="75">
        <v>44561</v>
      </c>
      <c r="B13" s="76" t="s">
        <v>36</v>
      </c>
      <c r="C13" s="77" t="s">
        <v>37</v>
      </c>
      <c r="D13" s="83">
        <v>8000</v>
      </c>
      <c r="E13" s="79">
        <v>58.710799999999999</v>
      </c>
      <c r="F13" s="84">
        <v>1153578.0799999982</v>
      </c>
      <c r="G13" s="84">
        <v>46968640</v>
      </c>
      <c r="H13" s="80">
        <v>48122218.079999998</v>
      </c>
      <c r="I13" s="37">
        <f>[1]!b_anal_net_cnbd(C13,$A$1,1)</f>
        <v>58.825600000000001</v>
      </c>
      <c r="J13" s="37">
        <f>[1]!accrint_dayend_cnbd(C13,$A$1,1)</f>
        <v>1.9673</v>
      </c>
      <c r="K13" s="39">
        <f t="shared" si="0"/>
        <v>91840.000000001965</v>
      </c>
      <c r="L13" s="39">
        <f t="shared" si="1"/>
        <v>420261.92000000179</v>
      </c>
      <c r="M13" s="37">
        <f t="shared" si="2"/>
        <v>60.792900000000003</v>
      </c>
      <c r="N13" s="38">
        <f t="shared" si="3"/>
        <v>47060480</v>
      </c>
      <c r="O13" s="39">
        <f t="shared" si="4"/>
        <v>48634320</v>
      </c>
      <c r="P13" s="39">
        <f>[1]!b_info_couponrate(C13)</f>
        <v>6.8</v>
      </c>
      <c r="Q13" s="39">
        <f>[1]!b_anal_vobp_cnbd(C13,$A$1,1)</f>
        <v>8.0000000000000002E-3</v>
      </c>
      <c r="R13" s="39">
        <f>[1]!b_anal_modidura_cnbd(C13,$A$1,1)</f>
        <v>1.3202</v>
      </c>
      <c r="S13" s="33" t="s">
        <v>17</v>
      </c>
      <c r="T13" s="24">
        <f>[1]!b_info_repurchasedate(C13)</f>
        <v>0</v>
      </c>
      <c r="U13" s="33" t="str">
        <f>[1]!b_rate_latestcredit(C13)</f>
        <v>AA</v>
      </c>
      <c r="V13" s="33" t="str">
        <f>[1]!b_info_latestissurercreditrating(C13)</f>
        <v>AA</v>
      </c>
    </row>
    <row r="14" spans="1:22" s="33" customFormat="1" ht="12.95" customHeight="1">
      <c r="A14" s="85">
        <v>44561</v>
      </c>
      <c r="B14" s="82" t="s">
        <v>38</v>
      </c>
      <c r="C14" s="86" t="s">
        <v>39</v>
      </c>
      <c r="D14" s="84">
        <v>4500</v>
      </c>
      <c r="E14" s="79">
        <v>96.4499</v>
      </c>
      <c r="F14" s="87">
        <v>45123.289999999106</v>
      </c>
      <c r="G14" s="84">
        <v>43402455</v>
      </c>
      <c r="H14" s="84">
        <v>43447578.289999999</v>
      </c>
      <c r="I14" s="37">
        <f>[1]!b_anal_net_cnbd(C14,$A$1,1)</f>
        <v>97.112499999999997</v>
      </c>
      <c r="J14" s="37">
        <f>[1]!accrint_dayend_cnbd(C14,$A$1,1)</f>
        <v>0.88580000000000003</v>
      </c>
      <c r="K14" s="39">
        <f t="shared" si="0"/>
        <v>298169.99999999895</v>
      </c>
      <c r="L14" s="39">
        <f>J14*D14*100-F14</f>
        <v>353486.71000000095</v>
      </c>
      <c r="M14" s="37">
        <f t="shared" si="2"/>
        <v>97.9983</v>
      </c>
      <c r="N14" s="38">
        <f t="shared" si="3"/>
        <v>43700625</v>
      </c>
      <c r="O14" s="39">
        <f t="shared" si="4"/>
        <v>44099235</v>
      </c>
      <c r="P14" s="39">
        <f>[1]!b_info_couponrate(C14)</f>
        <v>6.1</v>
      </c>
      <c r="Q14" s="39">
        <f>[1]!b_anal_vobp_cnbd(C14,$A$1,1)</f>
        <v>7.7999999999999996E-3</v>
      </c>
      <c r="R14" s="39">
        <f>[1]!b_anal_modidura_cnbd(C14,$A$1,1)</f>
        <v>0.79149999999999998</v>
      </c>
      <c r="S14" s="33" t="s">
        <v>17</v>
      </c>
      <c r="T14" s="24" t="str">
        <f>[1]!b_info_repurchasedate(C14)</f>
        <v>2022-12-26</v>
      </c>
      <c r="U14" s="33">
        <f>[1]!b_rate_latestcredit(C14)</f>
        <v>0</v>
      </c>
      <c r="V14" s="33" t="str">
        <f>[1]!b_info_latestissurercreditrating(C14)</f>
        <v>AA</v>
      </c>
    </row>
    <row r="15" spans="1:22" s="33" customFormat="1" ht="12.95" customHeight="1">
      <c r="A15" s="85">
        <v>44561</v>
      </c>
      <c r="B15" s="82" t="s">
        <v>44</v>
      </c>
      <c r="C15" s="86" t="s">
        <v>45</v>
      </c>
      <c r="D15" s="84">
        <v>8000</v>
      </c>
      <c r="E15" s="79">
        <v>100.5218</v>
      </c>
      <c r="F15" s="87">
        <v>4635616.4399999976</v>
      </c>
      <c r="G15" s="84">
        <v>80417440</v>
      </c>
      <c r="H15" s="84">
        <v>85053056.439999998</v>
      </c>
      <c r="I15" s="37">
        <f>[1]!b_anal_net_cnbd(C15,$A$1,1)</f>
        <v>100.2527</v>
      </c>
      <c r="J15" s="37">
        <f>[1]!accrint_dayend_cnbd(C15,$A$1,1)</f>
        <v>6.7603</v>
      </c>
      <c r="K15" s="39">
        <f t="shared" si="0"/>
        <v>-215279.99999999566</v>
      </c>
      <c r="L15" s="39">
        <f t="shared" si="1"/>
        <v>772623.56000000238</v>
      </c>
      <c r="M15" s="37">
        <f t="shared" si="2"/>
        <v>107.01300000000001</v>
      </c>
      <c r="N15" s="38">
        <f t="shared" si="3"/>
        <v>80202160.000000015</v>
      </c>
      <c r="O15" s="39">
        <f t="shared" si="4"/>
        <v>85610400</v>
      </c>
      <c r="P15" s="39">
        <f>[1]!b_info_couponrate(C15)</f>
        <v>7.5</v>
      </c>
      <c r="Q15" s="39">
        <f>[1]!b_anal_vobp_cnbd(C15,$A$1,1)</f>
        <v>1.1000000000000001E-3</v>
      </c>
      <c r="R15" s="39">
        <f>[1]!b_anal_modidura_cnbd(C15,$A$1,1)</f>
        <v>0.1009</v>
      </c>
      <c r="S15" s="33" t="s">
        <v>17</v>
      </c>
      <c r="T15" s="24" t="str">
        <f>[1]!b_info_repurchasedate(C15)</f>
        <v>2022-03-25</v>
      </c>
      <c r="U15" s="33">
        <f>[1]!b_rate_latestcredit(C15)</f>
        <v>0</v>
      </c>
      <c r="V15" s="33" t="str">
        <f>[1]!b_info_latestissurercreditrating(C15)</f>
        <v>AA</v>
      </c>
    </row>
    <row r="16" spans="1:22" s="33" customFormat="1" ht="12.95" customHeight="1">
      <c r="A16" s="85">
        <v>44561</v>
      </c>
      <c r="B16" s="82" t="s">
        <v>48</v>
      </c>
      <c r="C16" s="86" t="s">
        <v>49</v>
      </c>
      <c r="D16" s="84">
        <v>9000</v>
      </c>
      <c r="E16" s="79">
        <v>99.215000000000003</v>
      </c>
      <c r="F16" s="87">
        <v>96164.379999995232</v>
      </c>
      <c r="G16" s="84">
        <v>89293500</v>
      </c>
      <c r="H16" s="84">
        <v>89389664.379999995</v>
      </c>
      <c r="I16" s="45">
        <f>[1]!b_anal_net_cnbd(C16,$A$1,1)</f>
        <v>98.93</v>
      </c>
      <c r="J16" s="45">
        <f>[1]!accrint_dayend_cnbd(C16,$A$1,1)</f>
        <v>0.94379999999999997</v>
      </c>
      <c r="K16" s="39">
        <f t="shared" si="0"/>
        <v>-256499.99999999691</v>
      </c>
      <c r="L16" s="39">
        <f t="shared" si="1"/>
        <v>753255.62000000465</v>
      </c>
      <c r="M16" s="45">
        <f t="shared" si="2"/>
        <v>99.873800000000003</v>
      </c>
      <c r="N16" s="88">
        <f t="shared" si="3"/>
        <v>89037000.000000015</v>
      </c>
      <c r="O16" s="46">
        <f t="shared" si="4"/>
        <v>89886420</v>
      </c>
      <c r="P16" s="46">
        <f>[1]!b_info_couponrate(C16)</f>
        <v>6.5</v>
      </c>
      <c r="Q16" s="46">
        <f>[1]!b_anal_vobp_cnbd(C16,$A$1,1)</f>
        <v>8.0000000000000002E-3</v>
      </c>
      <c r="R16" s="46">
        <f>[1]!b_anal_modidura_cnbd(C16,$A$1,1)</f>
        <v>0.80379999999999996</v>
      </c>
      <c r="S16" s="33" t="s">
        <v>17</v>
      </c>
      <c r="T16" s="24" t="str">
        <f>[1]!b_info_repurchasedate(C16)</f>
        <v>2022-12-26</v>
      </c>
      <c r="U16" s="33" t="str">
        <f>[1]!b_rate_latestcredit(C16)</f>
        <v>AA</v>
      </c>
      <c r="V16" s="33" t="str">
        <f>[1]!b_info_latestissurercreditrating(C16)</f>
        <v>AA</v>
      </c>
    </row>
    <row r="17" spans="1:22" s="33" customFormat="1" ht="12.95" customHeight="1">
      <c r="A17" s="85">
        <v>44561</v>
      </c>
      <c r="B17" s="82" t="s">
        <v>52</v>
      </c>
      <c r="C17" s="86" t="s">
        <v>53</v>
      </c>
      <c r="D17" s="84">
        <v>4000</v>
      </c>
      <c r="E17" s="79">
        <v>99.820300000000003</v>
      </c>
      <c r="F17" s="87">
        <v>1067835.6199999973</v>
      </c>
      <c r="G17" s="84">
        <v>39928120</v>
      </c>
      <c r="H17" s="84">
        <v>40995955.619999997</v>
      </c>
      <c r="I17" s="37">
        <f>[1]!b_anal_net_cnbd(C17,$A$1,1)</f>
        <v>100.23560000000001</v>
      </c>
      <c r="J17" s="37">
        <f>[1]!accrint_dayend_cnbd(C17,$A$1,1)</f>
        <v>3.2877000000000001</v>
      </c>
      <c r="K17" s="39">
        <f t="shared" si="0"/>
        <v>166120.00000000081</v>
      </c>
      <c r="L17" s="39">
        <f t="shared" si="1"/>
        <v>247244.38000000268</v>
      </c>
      <c r="M17" s="37">
        <f t="shared" si="2"/>
        <v>103.52330000000001</v>
      </c>
      <c r="N17" s="38">
        <f t="shared" si="3"/>
        <v>40094240</v>
      </c>
      <c r="O17" s="39">
        <f t="shared" si="4"/>
        <v>41409320</v>
      </c>
      <c r="P17" s="39">
        <f>[1]!b_info_couponrate(C17)</f>
        <v>5.3</v>
      </c>
      <c r="Q17" s="39">
        <f>[1]!b_anal_vobp_cnbd(C17,$A$1,1)</f>
        <v>1.26E-2</v>
      </c>
      <c r="R17" s="39">
        <f>[1]!b_anal_modidura_cnbd(C17,$A$1,1)</f>
        <v>1.2161999999999999</v>
      </c>
      <c r="S17" s="33" t="s">
        <v>17</v>
      </c>
      <c r="T17" s="24" t="str">
        <f>[1]!b_info_repurchasedate(C17)</f>
        <v>2020-06-12</v>
      </c>
      <c r="U17" s="33" t="str">
        <f>[1]!b_rate_latestcredit(C17)</f>
        <v>AA</v>
      </c>
      <c r="V17" s="33" t="str">
        <f>[1]!b_info_latestissurercreditrating(C17)</f>
        <v>AA</v>
      </c>
    </row>
    <row r="18" spans="1:22" s="33" customFormat="1" ht="12.95" customHeight="1">
      <c r="A18" s="85">
        <v>44561</v>
      </c>
      <c r="B18" s="82" t="s">
        <v>129</v>
      </c>
      <c r="C18" s="86" t="s">
        <v>130</v>
      </c>
      <c r="D18" s="84">
        <v>3000</v>
      </c>
      <c r="E18" s="79">
        <v>101.3339</v>
      </c>
      <c r="F18" s="87">
        <v>436191.78000000119</v>
      </c>
      <c r="G18" s="84">
        <v>30400170</v>
      </c>
      <c r="H18" s="84">
        <v>30836361.780000001</v>
      </c>
      <c r="I18" s="37">
        <f>[1]!b_anal_net_cnbd(C18,$A$1,1)</f>
        <v>101.4631</v>
      </c>
      <c r="J18" s="37">
        <f>[1]!accrint_dayend_cnbd(C18,$A$1,1)</f>
        <v>2.0141</v>
      </c>
      <c r="K18" s="39">
        <f t="shared" si="0"/>
        <v>38759.999999999192</v>
      </c>
      <c r="L18" s="39">
        <f t="shared" si="1"/>
        <v>168038.21999999881</v>
      </c>
      <c r="M18" s="37">
        <f t="shared" si="2"/>
        <v>103.4772</v>
      </c>
      <c r="N18" s="38">
        <f t="shared" si="3"/>
        <v>30438930</v>
      </c>
      <c r="O18" s="39">
        <f t="shared" si="4"/>
        <v>31043159.999999996</v>
      </c>
      <c r="P18" s="39">
        <f>[1]!b_info_couponrate(C18)</f>
        <v>4.3499999999999996</v>
      </c>
      <c r="Q18" s="39">
        <f>[1]!b_anal_vobp_cnbd(C18,$A$1,1)</f>
        <v>7.8200000000000006E-2</v>
      </c>
      <c r="R18" s="39">
        <f>[1]!b_anal_modidura_cnbd(C18,$A$1,1)</f>
        <v>7.5585000000000004</v>
      </c>
      <c r="S18" s="33" t="s">
        <v>17</v>
      </c>
      <c r="T18" s="24">
        <f>[1]!b_info_repurchasedate(C18)</f>
        <v>0</v>
      </c>
      <c r="U18" s="33" t="str">
        <f>[1]!b_rate_latestcredit(C18)</f>
        <v>AAA</v>
      </c>
      <c r="V18" s="33" t="str">
        <f>[1]!b_info_latestissurercreditrating(C18)</f>
        <v>AAA</v>
      </c>
    </row>
    <row r="19" spans="1:22" s="22" customFormat="1" ht="12.95" customHeight="1">
      <c r="A19" s="85">
        <v>44561</v>
      </c>
      <c r="B19" s="82" t="s">
        <v>131</v>
      </c>
      <c r="C19" s="86" t="s">
        <v>132</v>
      </c>
      <c r="D19" s="84">
        <v>9000</v>
      </c>
      <c r="E19" s="79">
        <v>99.974699999999999</v>
      </c>
      <c r="F19" s="84">
        <v>1003808.2178571352</v>
      </c>
      <c r="G19" s="87">
        <v>89977230</v>
      </c>
      <c r="H19" s="84">
        <v>90981038.217857137</v>
      </c>
      <c r="I19" s="37">
        <f>[1]!b_anal_net_cnbd(C19,$A$1,1)</f>
        <v>100.1949</v>
      </c>
      <c r="J19" s="37">
        <f>[1]!accrint_dayend_cnbd(C19,$A$1,1)</f>
        <v>1.5711999999999999</v>
      </c>
      <c r="K19" s="39">
        <f t="shared" si="0"/>
        <v>198180.00000000495</v>
      </c>
      <c r="L19" s="39">
        <f t="shared" si="1"/>
        <v>410271.78214286477</v>
      </c>
      <c r="M19" s="37">
        <f t="shared" si="2"/>
        <v>101.76610000000001</v>
      </c>
      <c r="N19" s="38">
        <f t="shared" si="3"/>
        <v>90175410.000000015</v>
      </c>
      <c r="O19" s="39">
        <f t="shared" si="4"/>
        <v>91589490</v>
      </c>
      <c r="P19" s="39">
        <f>[1]!b_info_couponrate(C19)</f>
        <v>3.54</v>
      </c>
      <c r="Q19" s="39">
        <f>[1]!b_anal_vobp_cnbd(C19,$A$1,1)</f>
        <v>4.1599999999999998E-2</v>
      </c>
      <c r="R19" s="39">
        <f>[1]!b_anal_modidura_cnbd(C19,$A$1,1)</f>
        <v>4.0862999999999996</v>
      </c>
      <c r="S19" s="22" t="s">
        <v>167</v>
      </c>
      <c r="T19" s="24" t="str">
        <f>[1]!b_info_repurchasedate(C19)</f>
        <v>2021-09-08</v>
      </c>
      <c r="U19" s="22" t="str">
        <f>[1]!b_rate_latestcredit(C19)</f>
        <v>AAA</v>
      </c>
      <c r="V19" s="22" t="str">
        <f>[1]!b_info_latestissurercreditrating(C19)</f>
        <v>AAA</v>
      </c>
    </row>
    <row r="20" spans="1:22" s="33" customFormat="1" ht="12.95" customHeight="1">
      <c r="A20" s="85">
        <v>44561</v>
      </c>
      <c r="B20" s="29" t="s">
        <v>40</v>
      </c>
      <c r="C20" s="86" t="s">
        <v>133</v>
      </c>
      <c r="D20" s="29">
        <v>1000</v>
      </c>
      <c r="E20" s="30">
        <v>82.8339</v>
      </c>
      <c r="F20" s="28">
        <v>517808.22000000067</v>
      </c>
      <c r="G20" s="31">
        <v>8283390</v>
      </c>
      <c r="H20" s="31">
        <v>8801198.2200000007</v>
      </c>
      <c r="I20" s="37">
        <f>[1]!b_anal_net_cnbd(C20,$A$1,1)</f>
        <v>98.507499999999993</v>
      </c>
      <c r="J20" s="37">
        <f>[1]!accrint_dayend_cnbd(C20,$A$1,1)</f>
        <v>5.9507000000000003</v>
      </c>
      <c r="K20" s="39">
        <f t="shared" si="0"/>
        <v>1567359.9999999993</v>
      </c>
      <c r="L20" s="39">
        <f t="shared" si="1"/>
        <v>77261.779999999446</v>
      </c>
      <c r="M20" s="37">
        <f t="shared" si="2"/>
        <v>104.45819999999999</v>
      </c>
      <c r="N20" s="38">
        <f t="shared" si="3"/>
        <v>9850750</v>
      </c>
      <c r="O20" s="39">
        <f t="shared" si="4"/>
        <v>10445820</v>
      </c>
      <c r="P20" s="39">
        <f>[1]!b_info_couponrate(C20)</f>
        <v>6</v>
      </c>
      <c r="Q20" s="39">
        <f>[1]!b_anal_vobp_cnbd(C20,$A$1,1)</f>
        <v>1E-4</v>
      </c>
      <c r="R20" s="39">
        <f>[1]!b_anal_modidura_cnbd(C20,$A$1,1)</f>
        <v>1.35E-2</v>
      </c>
      <c r="S20" s="22" t="s">
        <v>17</v>
      </c>
      <c r="T20" s="24" t="str">
        <f>[1]!b_info_repurchasedate(C20)</f>
        <v>2022-02-21</v>
      </c>
      <c r="U20" s="22" t="str">
        <f>[1]!b_rate_latestcredit(C20)</f>
        <v>AAA</v>
      </c>
      <c r="V20" s="22" t="str">
        <f>[1]!b_info_latestissurercreditrating(C20)</f>
        <v>AAA</v>
      </c>
    </row>
    <row r="21" spans="1:22" s="33" customFormat="1" ht="12.95" customHeight="1">
      <c r="A21" s="85">
        <v>44561</v>
      </c>
      <c r="B21" s="29" t="s">
        <v>41</v>
      </c>
      <c r="C21" s="86" t="s">
        <v>42</v>
      </c>
      <c r="D21" s="29">
        <v>1000</v>
      </c>
      <c r="E21" s="30">
        <v>69.834099999999992</v>
      </c>
      <c r="F21" s="28">
        <v>426027.40000000037</v>
      </c>
      <c r="G21" s="31">
        <v>6983410</v>
      </c>
      <c r="H21" s="31">
        <v>7409437.4000000004</v>
      </c>
      <c r="I21" s="37">
        <f>[1]!b_anal_net_cnbd(C21,$A$1,1)</f>
        <v>57.414200000000001</v>
      </c>
      <c r="J21" s="37">
        <f>[1]!accrint_dayend_cnbd(C21,$A$1,1)</f>
        <v>4.9040999999999997</v>
      </c>
      <c r="K21" s="39">
        <f t="shared" si="0"/>
        <v>-1241989.9999999991</v>
      </c>
      <c r="L21" s="39">
        <f t="shared" si="1"/>
        <v>64382.599999999569</v>
      </c>
      <c r="M21" s="37">
        <f>I21+J21</f>
        <v>62.318300000000001</v>
      </c>
      <c r="N21" s="38">
        <f>D21*I21*100</f>
        <v>5741420</v>
      </c>
      <c r="O21" s="39">
        <f>D21*M21*100</f>
        <v>6231830</v>
      </c>
      <c r="P21" s="39">
        <f>[1]!b_info_couponrate(C21)</f>
        <v>5</v>
      </c>
      <c r="Q21" s="39">
        <f>[1]!b_anal_vobp_cnbd(C21,$A$1,1)</f>
        <v>3.3E-3</v>
      </c>
      <c r="R21" s="39">
        <f>[1]!b_anal_modidura_cnbd(C21,$A$1,1)</f>
        <v>0.52180000000000004</v>
      </c>
      <c r="S21" s="22" t="s">
        <v>17</v>
      </c>
      <c r="T21" s="24" t="str">
        <f>[1]!b_info_repurchasedate(C21)</f>
        <v>2023-02-24</v>
      </c>
      <c r="U21" s="22" t="str">
        <f>[1]!b_rate_latestcredit(C21)</f>
        <v>AAA</v>
      </c>
      <c r="V21" s="22" t="str">
        <f>[1]!b_info_latestissurercreditrating(C21)</f>
        <v>AAA</v>
      </c>
    </row>
    <row r="22" spans="1:22" s="33" customFormat="1" ht="12.95" customHeight="1">
      <c r="A22" s="85">
        <v>44561</v>
      </c>
      <c r="B22" s="29" t="s">
        <v>43</v>
      </c>
      <c r="C22" s="86" t="s">
        <v>58</v>
      </c>
      <c r="D22" s="29">
        <v>15740</v>
      </c>
      <c r="E22" s="30">
        <v>31.185499999999994</v>
      </c>
      <c r="F22" s="28">
        <v>7210213.700000003</v>
      </c>
      <c r="G22" s="31">
        <v>49085976.999999985</v>
      </c>
      <c r="H22" s="31">
        <v>56296190.699999988</v>
      </c>
      <c r="I22" s="37">
        <f>[1]!b_anal_net_cnbd(C22,$A$1,1)</f>
        <v>23.829000000000001</v>
      </c>
      <c r="J22" s="37">
        <f>[1]!accrint_dayend_cnbd(C22,$A$1,1)</f>
        <v>5.2889999999999997</v>
      </c>
      <c r="K22" s="39">
        <f t="shared" si="0"/>
        <v>-11579130.999999989</v>
      </c>
      <c r="L22" s="39">
        <f t="shared" si="1"/>
        <v>1114672.299999997</v>
      </c>
      <c r="M22" s="37">
        <f t="shared" ref="M22" si="5">I22+J22</f>
        <v>29.118000000000002</v>
      </c>
      <c r="N22" s="38">
        <f t="shared" ref="N22" si="6">D22*I22*100</f>
        <v>37506846</v>
      </c>
      <c r="O22" s="39">
        <f t="shared" ref="O22" si="7">D22*M22*100</f>
        <v>45831732</v>
      </c>
      <c r="P22" s="39">
        <f>[1]!b_info_couponrate(C22)</f>
        <v>5.5</v>
      </c>
      <c r="Q22" s="39">
        <f>[1]!b_anal_vobp_cnbd(C22,$A$1,1)</f>
        <v>5.9999999999999995E-4</v>
      </c>
      <c r="R22" s="39">
        <f>[1]!b_anal_modidura_cnbd(C22,$A$1,1)</f>
        <v>0.2074</v>
      </c>
      <c r="S22" s="22" t="s">
        <v>17</v>
      </c>
      <c r="T22" s="24" t="str">
        <f>[1]!b_info_repurchasedate(C22)</f>
        <v>2023-03-03</v>
      </c>
      <c r="U22" s="22" t="str">
        <f>[1]!b_rate_latestcredit(C22)</f>
        <v>A</v>
      </c>
      <c r="V22" s="22" t="str">
        <f>[1]!b_info_latestissurercreditrating(C22)</f>
        <v>A</v>
      </c>
    </row>
    <row r="23" spans="1:22" s="33" customFormat="1" ht="12.95" customHeight="1">
      <c r="A23" s="85">
        <v>44561</v>
      </c>
      <c r="B23" s="26" t="s">
        <v>104</v>
      </c>
      <c r="C23" s="86" t="s">
        <v>134</v>
      </c>
      <c r="D23" s="29">
        <v>10000</v>
      </c>
      <c r="E23" s="30">
        <v>100</v>
      </c>
      <c r="F23" s="28">
        <v>3409315.07</v>
      </c>
      <c r="G23" s="31">
        <v>100000000</v>
      </c>
      <c r="H23" s="31">
        <v>103409315.06999999</v>
      </c>
      <c r="I23" s="89">
        <f>[1]!b_anal_net_cnbd(C23,$A$1,1)</f>
        <v>23.8277</v>
      </c>
      <c r="J23" s="37">
        <f>[1]!accrint_dayend_cnbd(C23,$A$1,1)</f>
        <v>4.2849000000000004</v>
      </c>
      <c r="K23" s="39">
        <f t="shared" si="0"/>
        <v>-76172300.000000015</v>
      </c>
      <c r="L23" s="39">
        <f t="shared" si="1"/>
        <v>875584.9300000011</v>
      </c>
      <c r="M23" s="37">
        <f>I23+J23</f>
        <v>28.1126</v>
      </c>
      <c r="N23" s="38">
        <f>D23*I23*100</f>
        <v>23827700</v>
      </c>
      <c r="O23" s="39">
        <f>D23*M23*100</f>
        <v>28112600</v>
      </c>
      <c r="P23" s="39">
        <f>[1]!b_info_couponrate(C23)</f>
        <v>6.8</v>
      </c>
      <c r="Q23" s="39">
        <f>[1]!b_anal_vobp_cnbd(C23,$A$1,1)</f>
        <v>1.1000000000000001E-3</v>
      </c>
      <c r="R23" s="39">
        <f>[1]!b_anal_modidura_cnbd(C23,$A$1,1)</f>
        <v>0.4032</v>
      </c>
      <c r="S23" s="22" t="s">
        <v>17</v>
      </c>
      <c r="T23" s="24" t="str">
        <f>[1]!b_info_repurchasedate(C23)</f>
        <v>2023-07-02</v>
      </c>
      <c r="U23" s="22" t="str">
        <f>[1]!b_rate_latestcredit(C23)</f>
        <v>A</v>
      </c>
      <c r="V23" s="22" t="str">
        <f>[1]!b_info_latestissurercreditrating(C23)</f>
        <v>A</v>
      </c>
    </row>
    <row r="24" spans="1:22" s="33" customFormat="1" ht="12.95" customHeight="1">
      <c r="A24" s="85">
        <v>44561</v>
      </c>
      <c r="B24" s="29" t="s">
        <v>46</v>
      </c>
      <c r="C24" s="86" t="s">
        <v>47</v>
      </c>
      <c r="D24" s="29">
        <v>10000</v>
      </c>
      <c r="E24" s="30">
        <v>69.616900000000001</v>
      </c>
      <c r="F24" s="28">
        <v>3870410.9599999934</v>
      </c>
      <c r="G24" s="31">
        <v>69616900</v>
      </c>
      <c r="H24" s="31">
        <v>73487310.959999993</v>
      </c>
      <c r="I24" s="37">
        <f>[1]!b_anal_net_cnbd(C24,$A$1,1)</f>
        <v>57.201500000000003</v>
      </c>
      <c r="J24" s="37">
        <f>[1]!accrint_dayend_cnbd(C24,$A$1,1)</f>
        <v>4.5270999999999999</v>
      </c>
      <c r="K24" s="39">
        <f t="shared" si="0"/>
        <v>-12415399.999999998</v>
      </c>
      <c r="L24" s="39">
        <f t="shared" si="1"/>
        <v>656689.04000000656</v>
      </c>
      <c r="M24" s="37">
        <f t="shared" ref="M24:M29" si="8">I24+J24</f>
        <v>61.7286</v>
      </c>
      <c r="N24" s="38">
        <f t="shared" ref="N24:N29" si="9">D24*I24*100</f>
        <v>57201500</v>
      </c>
      <c r="O24" s="39">
        <f t="shared" ref="O24:O29" si="10">D24*M24*100</f>
        <v>61728600</v>
      </c>
      <c r="P24" s="39">
        <f>[1]!b_info_couponrate(C24)</f>
        <v>5.0999999999999996</v>
      </c>
      <c r="Q24" s="39">
        <f>[1]!b_anal_vobp_cnbd(C24,$A$1,1)</f>
        <v>3.7000000000000002E-3</v>
      </c>
      <c r="R24" s="39">
        <f>[1]!b_anal_modidura_cnbd(C24,$A$1,1)</f>
        <v>0.59870000000000001</v>
      </c>
      <c r="S24" s="22" t="s">
        <v>17</v>
      </c>
      <c r="T24" s="24" t="str">
        <f>[1]!b_info_repurchasedate(C24)</f>
        <v>2023-03-30</v>
      </c>
      <c r="U24" s="22" t="str">
        <f>[1]!b_rate_latestcredit(C24)</f>
        <v>AAA</v>
      </c>
      <c r="V24" s="22" t="str">
        <f>[1]!b_info_latestissurercreditrating(C24)</f>
        <v>AAA</v>
      </c>
    </row>
    <row r="25" spans="1:22" s="33" customFormat="1" ht="12.95" customHeight="1">
      <c r="A25" s="85">
        <v>44561</v>
      </c>
      <c r="B25" s="29" t="s">
        <v>50</v>
      </c>
      <c r="C25" s="86" t="s">
        <v>51</v>
      </c>
      <c r="D25" s="29">
        <v>20000</v>
      </c>
      <c r="E25" s="32">
        <v>69.247700000000009</v>
      </c>
      <c r="F25" s="30">
        <v>6288000</v>
      </c>
      <c r="G25" s="31">
        <v>138495400</v>
      </c>
      <c r="H25" s="31">
        <v>144783400</v>
      </c>
      <c r="I25" s="37">
        <f>[1]!b_anal_net_cnbd(C25,$A$1,1)</f>
        <v>57.034599999999998</v>
      </c>
      <c r="J25" s="37">
        <f>[1]!accrint_dayend_cnbd(C25,$A$1,1)</f>
        <v>3.8187000000000002</v>
      </c>
      <c r="K25" s="39">
        <f t="shared" si="0"/>
        <v>-24426200.000000022</v>
      </c>
      <c r="L25" s="39">
        <f t="shared" si="1"/>
        <v>1349400</v>
      </c>
      <c r="M25" s="37">
        <f t="shared" si="8"/>
        <v>60.853299999999997</v>
      </c>
      <c r="N25" s="38">
        <f t="shared" si="9"/>
        <v>114069200</v>
      </c>
      <c r="O25" s="39">
        <f t="shared" si="10"/>
        <v>121706600</v>
      </c>
      <c r="P25" s="39">
        <f>[1]!b_info_couponrate(C25)</f>
        <v>5.24</v>
      </c>
      <c r="Q25" s="39">
        <f>[1]!b_anal_vobp_cnbd(C25,$A$1,1)</f>
        <v>4.4999999999999997E-3</v>
      </c>
      <c r="R25" s="39">
        <f>[1]!b_anal_modidura_cnbd(C25,$A$1,1)</f>
        <v>0.73319999999999996</v>
      </c>
      <c r="S25" s="22" t="s">
        <v>17</v>
      </c>
      <c r="T25" s="24" t="str">
        <f>[1]!b_info_repurchasedate(C25)</f>
        <v>2023-05-27</v>
      </c>
      <c r="U25" s="22" t="str">
        <f>[1]!b_rate_latestcredit(C25)</f>
        <v>AAA</v>
      </c>
      <c r="V25" s="22" t="str">
        <f>[1]!b_info_latestissurercreditrating(C25)</f>
        <v>AAA</v>
      </c>
    </row>
    <row r="26" spans="1:22" s="33" customFormat="1" ht="12.95" customHeight="1">
      <c r="A26" s="85">
        <v>44561</v>
      </c>
      <c r="B26" s="29" t="s">
        <v>135</v>
      </c>
      <c r="C26" s="86" t="s">
        <v>136</v>
      </c>
      <c r="D26" s="29">
        <v>4500</v>
      </c>
      <c r="E26" s="30">
        <v>97.616699999999994</v>
      </c>
      <c r="F26" s="28">
        <v>100602.74000000209</v>
      </c>
      <c r="G26" s="31">
        <v>43927515</v>
      </c>
      <c r="H26" s="31">
        <v>44028117.740000002</v>
      </c>
      <c r="I26" s="37">
        <f>[1]!b_anal_net_cnbd(C26,$A$1,1)</f>
        <v>94.609399999999994</v>
      </c>
      <c r="J26" s="37">
        <f>[1]!accrint_dayend_cnbd(C26,$A$1,1)</f>
        <v>1.0992</v>
      </c>
      <c r="K26" s="39">
        <f t="shared" si="0"/>
        <v>-1353285.0000000005</v>
      </c>
      <c r="L26" s="39">
        <f t="shared" si="1"/>
        <v>394037.25999999786</v>
      </c>
      <c r="M26" s="37">
        <f t="shared" si="8"/>
        <v>95.70859999999999</v>
      </c>
      <c r="N26" s="38">
        <f t="shared" si="9"/>
        <v>42574230</v>
      </c>
      <c r="O26" s="39">
        <f t="shared" si="10"/>
        <v>43068869.999999993</v>
      </c>
      <c r="P26" s="39">
        <f>[1]!b_info_couponrate(C26)</f>
        <v>6.8</v>
      </c>
      <c r="Q26" s="39">
        <f>[1]!b_anal_vobp_cnbd(C26,$A$1,1)</f>
        <v>6.7999999999999996E-3</v>
      </c>
      <c r="R26" s="39">
        <f>[1]!b_anal_modidura_cnbd(C26,$A$1,1)</f>
        <v>0.7127</v>
      </c>
      <c r="S26" s="22" t="s">
        <v>17</v>
      </c>
      <c r="T26" s="24">
        <f>[1]!b_info_repurchasedate(C26)</f>
        <v>0</v>
      </c>
      <c r="U26" s="22">
        <f>[1]!b_rate_latestcredit(C26)</f>
        <v>0</v>
      </c>
      <c r="V26" s="22" t="str">
        <f>[1]!b_info_latestissurercreditrating(C26)</f>
        <v>AA+</v>
      </c>
    </row>
    <row r="27" spans="1:22" s="33" customFormat="1" ht="12.95" customHeight="1">
      <c r="A27" s="85">
        <v>44561</v>
      </c>
      <c r="B27" s="26" t="s">
        <v>54</v>
      </c>
      <c r="C27" s="86" t="s">
        <v>55</v>
      </c>
      <c r="D27" s="29">
        <v>10500</v>
      </c>
      <c r="E27" s="30">
        <v>97.033999999999992</v>
      </c>
      <c r="F27" s="28">
        <v>2078136.98</v>
      </c>
      <c r="G27" s="31">
        <v>101885700</v>
      </c>
      <c r="H27" s="31">
        <v>103963836.98</v>
      </c>
      <c r="I27" s="89">
        <f>[1]!b_anal_net_cnbd(C27,$A$1,1)</f>
        <v>79.528800000000004</v>
      </c>
      <c r="J27" s="37">
        <f>[1]!accrint_dayend_cnbd(C27,$A$1,1)</f>
        <v>2.7002999999999999</v>
      </c>
      <c r="K27" s="39">
        <f t="shared" si="0"/>
        <v>-18380459.999999985</v>
      </c>
      <c r="L27" s="39">
        <f t="shared" si="1"/>
        <v>757178.02</v>
      </c>
      <c r="M27" s="37">
        <f t="shared" si="8"/>
        <v>82.229100000000003</v>
      </c>
      <c r="N27" s="38">
        <f t="shared" si="9"/>
        <v>83505240</v>
      </c>
      <c r="O27" s="39">
        <f t="shared" si="10"/>
        <v>86340555</v>
      </c>
      <c r="P27" s="39">
        <f>[1]!b_info_couponrate(C27)</f>
        <v>5.6</v>
      </c>
      <c r="Q27" s="39">
        <f>[1]!b_anal_vobp_cnbd(C27,$A$1,1)</f>
        <v>3.2000000000000002E-3</v>
      </c>
      <c r="R27" s="39">
        <f>[1]!b_anal_modidura_cnbd(C27,$A$1,1)</f>
        <v>0.39389999999999997</v>
      </c>
      <c r="S27" s="22" t="s">
        <v>17</v>
      </c>
      <c r="T27" s="24" t="str">
        <f>[1]!b_info_repurchasedate(C27)</f>
        <v>2022-08-25</v>
      </c>
      <c r="U27" s="22" t="str">
        <f>[1]!b_rate_latestcredit(C27)</f>
        <v>AAA</v>
      </c>
      <c r="V27" s="22" t="str">
        <f>[1]!b_info_latestissurercreditrating(C27)</f>
        <v>AA+</v>
      </c>
    </row>
    <row r="28" spans="1:22" s="33" customFormat="1" ht="12.95" customHeight="1">
      <c r="A28" s="85">
        <v>44561</v>
      </c>
      <c r="B28" s="26" t="s">
        <v>56</v>
      </c>
      <c r="C28" s="86" t="s">
        <v>57</v>
      </c>
      <c r="D28" s="29">
        <v>8500</v>
      </c>
      <c r="E28" s="30">
        <v>97.168588235294123</v>
      </c>
      <c r="F28" s="28">
        <v>1131780.82</v>
      </c>
      <c r="G28" s="31">
        <v>82593300</v>
      </c>
      <c r="H28" s="31">
        <v>83725080.819999993</v>
      </c>
      <c r="I28" s="89">
        <f>[1]!b_anal_net_cnbd(C28,$A$1,1)</f>
        <v>78.8416</v>
      </c>
      <c r="J28" s="37">
        <f>[1]!accrint_dayend_cnbd(C28,$A$1,1)</f>
        <v>2.1040999999999999</v>
      </c>
      <c r="K28" s="39">
        <f t="shared" si="0"/>
        <v>-15577940.000000006</v>
      </c>
      <c r="L28" s="39">
        <f t="shared" si="1"/>
        <v>656704.1799999997</v>
      </c>
      <c r="M28" s="37">
        <f t="shared" si="8"/>
        <v>80.945700000000002</v>
      </c>
      <c r="N28" s="38">
        <f t="shared" si="9"/>
        <v>67015360</v>
      </c>
      <c r="O28" s="39">
        <f t="shared" si="10"/>
        <v>68803845</v>
      </c>
      <c r="P28" s="39">
        <f>[1]!b_info_couponrate(C28)</f>
        <v>6</v>
      </c>
      <c r="Q28" s="39">
        <f>[1]!b_anal_vobp_cnbd(C28,$A$1,1)</f>
        <v>4.0000000000000001E-3</v>
      </c>
      <c r="R28" s="39">
        <f>[1]!b_anal_modidura_cnbd(C28,$A$1,1)</f>
        <v>0.48870000000000002</v>
      </c>
      <c r="S28" s="22" t="s">
        <v>17</v>
      </c>
      <c r="T28" s="24" t="str">
        <f>[1]!b_info_repurchasedate(C28)</f>
        <v>2022-10-12</v>
      </c>
      <c r="U28" s="22" t="str">
        <f>[1]!b_rate_latestcredit(C28)</f>
        <v>AAA</v>
      </c>
      <c r="V28" s="22" t="str">
        <f>[1]!b_info_latestissurercreditrating(C28)</f>
        <v>AA+</v>
      </c>
    </row>
    <row r="29" spans="1:22" s="33" customFormat="1" ht="12.95" customHeight="1">
      <c r="A29" s="75">
        <v>44561</v>
      </c>
      <c r="B29" s="26" t="s">
        <v>105</v>
      </c>
      <c r="C29" s="86" t="s">
        <v>63</v>
      </c>
      <c r="D29" s="29">
        <v>10000</v>
      </c>
      <c r="E29" s="30">
        <v>100</v>
      </c>
      <c r="F29" s="28">
        <v>4369863.01</v>
      </c>
      <c r="G29" s="31">
        <v>100000000</v>
      </c>
      <c r="H29" s="31">
        <v>104369863.01000001</v>
      </c>
      <c r="I29" s="89">
        <f>[1]!b_anal_net_cnbd(C29,$A$1,1)</f>
        <v>49.493000000000002</v>
      </c>
      <c r="J29" s="37">
        <f>[1]!accrint_dayend_cnbd(C29,$A$1,1)</f>
        <v>5.0781000000000001</v>
      </c>
      <c r="K29" s="39">
        <f t="shared" si="0"/>
        <v>-50507000</v>
      </c>
      <c r="L29" s="39">
        <f t="shared" si="1"/>
        <v>708236.99000000022</v>
      </c>
      <c r="M29" s="37">
        <f t="shared" si="8"/>
        <v>54.571100000000001</v>
      </c>
      <c r="N29" s="38">
        <f t="shared" si="9"/>
        <v>49493000</v>
      </c>
      <c r="O29" s="39">
        <f t="shared" si="10"/>
        <v>54571100</v>
      </c>
      <c r="P29" s="39">
        <f>[1]!b_info_couponrate(C29)</f>
        <v>5.5</v>
      </c>
      <c r="Q29" s="39">
        <f>[1]!b_anal_vobp_cnbd(C29,$A$1,1)</f>
        <v>2.0000000000000001E-4</v>
      </c>
      <c r="R29" s="39">
        <f>[1]!b_anal_modidura_cnbd(C29,$A$1,1)</f>
        <v>4.1099999999999998E-2</v>
      </c>
      <c r="S29" s="22" t="s">
        <v>17</v>
      </c>
      <c r="T29" s="24">
        <f>[1]!b_info_repurchasedate(C29)</f>
        <v>0</v>
      </c>
      <c r="U29" s="22" t="str">
        <f>[1]!b_rate_latestcredit(C29)</f>
        <v>AAA</v>
      </c>
      <c r="V29" s="22">
        <f>[1]!b_info_latestissurercreditrating(C29)</f>
        <v>0</v>
      </c>
    </row>
    <row r="30" spans="1:22" s="33" customFormat="1" ht="12.95" customHeight="1">
      <c r="A30" s="90">
        <v>44561</v>
      </c>
      <c r="B30" s="29" t="s">
        <v>137</v>
      </c>
      <c r="C30" s="86" t="s">
        <v>138</v>
      </c>
      <c r="D30" s="29">
        <v>8000</v>
      </c>
      <c r="E30" s="30">
        <v>98.6374</v>
      </c>
      <c r="F30" s="28">
        <v>3452712.3299999982</v>
      </c>
      <c r="G30" s="31">
        <v>78909920</v>
      </c>
      <c r="H30" s="31">
        <v>82362632.329999998</v>
      </c>
      <c r="I30" s="37">
        <f>[1]!b_anal_net_cnbd(C30,$A$1,1)</f>
        <v>91.0488</v>
      </c>
      <c r="J30" s="37">
        <f>[1]!accrint_dayend_cnbd(C30,$A$1,1)</f>
        <v>5.0755999999999997</v>
      </c>
      <c r="K30" s="39">
        <f t="shared" si="0"/>
        <v>-6070880</v>
      </c>
      <c r="L30" s="39">
        <f t="shared" si="1"/>
        <v>607767.67000000132</v>
      </c>
      <c r="M30" s="37">
        <f t="shared" ref="M30:M33" si="11">I30+J30</f>
        <v>96.124399999999994</v>
      </c>
      <c r="N30" s="38">
        <f t="shared" ref="N30:N33" si="12">D30*I30*100</f>
        <v>72839040</v>
      </c>
      <c r="O30" s="39">
        <f t="shared" ref="O30:O33" si="13">D30*M30*100</f>
        <v>76899520</v>
      </c>
      <c r="P30" s="39">
        <f>[1]!b_info_couponrate(C30)</f>
        <v>5.9</v>
      </c>
      <c r="Q30" s="39">
        <f>[1]!b_anal_vobp_cnbd(C30,$A$1,1)</f>
        <v>1.1999999999999999E-3</v>
      </c>
      <c r="R30" s="39">
        <f>[1]!b_anal_modidura_cnbd(C30,$A$1,1)</f>
        <v>0.1293</v>
      </c>
      <c r="S30" s="22" t="s">
        <v>17</v>
      </c>
      <c r="T30" s="24" t="str">
        <f>[1]!b_info_repurchasedate(C30)</f>
        <v>2022-04-11</v>
      </c>
      <c r="U30" s="22"/>
      <c r="V30" s="22"/>
    </row>
    <row r="31" spans="1:22" s="33" customFormat="1" ht="12.95" customHeight="1">
      <c r="A31" s="75">
        <v>44561</v>
      </c>
      <c r="B31" s="92" t="s">
        <v>64</v>
      </c>
      <c r="C31" s="86">
        <v>179965</v>
      </c>
      <c r="D31" s="35">
        <v>6500</v>
      </c>
      <c r="E31" s="30">
        <v>99.516000000000005</v>
      </c>
      <c r="F31" s="36">
        <v>2827321.92</v>
      </c>
      <c r="G31" s="31">
        <v>64685400</v>
      </c>
      <c r="H31" s="31">
        <v>67512721.920000002</v>
      </c>
      <c r="I31" s="89">
        <f>[1]!b_anal_net_cnbd(C31,$A$1,1)</f>
        <v>49.802599999999998</v>
      </c>
      <c r="J31" s="37">
        <f>[1]!accrint_dayend_cnbd(C31,$A$1,1)</f>
        <v>5.0773000000000001</v>
      </c>
      <c r="K31" s="39">
        <f t="shared" si="0"/>
        <v>-32313710.000000004</v>
      </c>
      <c r="L31" s="39">
        <f t="shared" si="1"/>
        <v>472923.08000000054</v>
      </c>
      <c r="M31" s="37">
        <f t="shared" si="11"/>
        <v>54.879899999999999</v>
      </c>
      <c r="N31" s="38">
        <f t="shared" si="12"/>
        <v>32371689.999999996</v>
      </c>
      <c r="O31" s="39">
        <f t="shared" si="13"/>
        <v>35671935</v>
      </c>
      <c r="P31" s="39">
        <f>[1]!b_info_couponrate(C31)</f>
        <v>5.65</v>
      </c>
      <c r="Q31" s="39">
        <f>[1]!b_anal_vobp_cnbd(C31,$A$1,1)</f>
        <v>4.0000000000000002E-4</v>
      </c>
      <c r="R31" s="39">
        <f>[1]!b_anal_modidura_cnbd(C31,$A$1,1)</f>
        <v>6.9599999999999995E-2</v>
      </c>
      <c r="S31" s="22" t="s">
        <v>17</v>
      </c>
      <c r="T31" s="24">
        <f>[1]!b_info_repurchasedate(C31)</f>
        <v>0</v>
      </c>
      <c r="U31" s="33" t="str">
        <f>[1]!b_rate_latestcredit(C31)</f>
        <v>AAA</v>
      </c>
      <c r="V31" s="33">
        <f>[1]!b_info_latestissurercreditrating(C31)</f>
        <v>0</v>
      </c>
    </row>
    <row r="32" spans="1:22" s="93" customFormat="1" ht="12.95" customHeight="1">
      <c r="A32" s="75">
        <v>44561</v>
      </c>
      <c r="B32" s="92" t="s">
        <v>106</v>
      </c>
      <c r="C32" s="86" t="s">
        <v>139</v>
      </c>
      <c r="D32" s="35">
        <v>8500</v>
      </c>
      <c r="E32" s="30">
        <v>100</v>
      </c>
      <c r="F32" s="36">
        <v>2498767.13</v>
      </c>
      <c r="G32" s="31">
        <v>85000000</v>
      </c>
      <c r="H32" s="31">
        <v>87498767.129999995</v>
      </c>
      <c r="I32" s="89">
        <f>[1]!b_anal_net_cnbd(C32,$A$1,1)</f>
        <v>49.792299999999997</v>
      </c>
      <c r="J32" s="37">
        <f>[1]!accrint_dayend_cnbd(C32,$A$1,1)</f>
        <v>3.6865999999999999</v>
      </c>
      <c r="K32" s="39">
        <f t="shared" si="0"/>
        <v>-42676545</v>
      </c>
      <c r="L32" s="39">
        <f t="shared" si="1"/>
        <v>634842.87000000011</v>
      </c>
      <c r="M32" s="37">
        <f t="shared" si="11"/>
        <v>53.478899999999996</v>
      </c>
      <c r="N32" s="38">
        <f t="shared" si="12"/>
        <v>42323455</v>
      </c>
      <c r="O32" s="39">
        <f t="shared" si="13"/>
        <v>45457065</v>
      </c>
      <c r="P32" s="39">
        <f>[1]!b_info_couponrate(C32)</f>
        <v>5.8</v>
      </c>
      <c r="Q32" s="39">
        <f>[1]!b_anal_vobp_cnbd(C32,$A$1,1)</f>
        <v>1E-3</v>
      </c>
      <c r="R32" s="39">
        <f>[1]!b_anal_modidura_cnbd(C32,$A$1,1)</f>
        <v>0.1855</v>
      </c>
      <c r="S32" s="22" t="s">
        <v>17</v>
      </c>
      <c r="T32" s="24">
        <f>[1]!b_info_repurchasedate(C32)</f>
        <v>0</v>
      </c>
      <c r="U32" s="33" t="str">
        <f>[1]!b_rate_latestcredit(C32)</f>
        <v>AAA</v>
      </c>
      <c r="V32" s="33">
        <f>[1]!b_info_latestissurercreditrating(C32)</f>
        <v>0</v>
      </c>
    </row>
    <row r="33" spans="1:22" s="33" customFormat="1" ht="12.95" customHeight="1">
      <c r="A33" s="85">
        <v>44561</v>
      </c>
      <c r="B33" s="36" t="s">
        <v>59</v>
      </c>
      <c r="C33" s="86" t="s">
        <v>60</v>
      </c>
      <c r="D33" s="44">
        <v>10000</v>
      </c>
      <c r="E33" s="30">
        <v>96.557900000000004</v>
      </c>
      <c r="F33" s="36">
        <v>707671.23000000417</v>
      </c>
      <c r="G33" s="31">
        <v>96557900</v>
      </c>
      <c r="H33" s="31">
        <v>97265571.230000004</v>
      </c>
      <c r="I33" s="37">
        <f>[1]!b_anal_net_cnbd(C33,$A$1,1)</f>
        <v>63.470500000000001</v>
      </c>
      <c r="J33" s="37">
        <f>[1]!accrint_dayend_cnbd(C33,$A$1,1)</f>
        <v>1.4996</v>
      </c>
      <c r="K33" s="39">
        <f t="shared" si="0"/>
        <v>-33087400</v>
      </c>
      <c r="L33" s="39">
        <f t="shared" si="1"/>
        <v>791928.76999999583</v>
      </c>
      <c r="M33" s="37">
        <f t="shared" si="11"/>
        <v>64.970100000000002</v>
      </c>
      <c r="N33" s="38">
        <f t="shared" si="12"/>
        <v>63470500</v>
      </c>
      <c r="O33" s="39">
        <f t="shared" si="13"/>
        <v>64970100</v>
      </c>
      <c r="P33" s="39">
        <f>[1]!b_info_couponrate(C33)</f>
        <v>6.15</v>
      </c>
      <c r="Q33" s="39">
        <f>[1]!b_anal_vobp_cnbd(C33,$A$1,1)</f>
        <v>2.3999999999999998E-3</v>
      </c>
      <c r="R33" s="39">
        <f>[1]!b_anal_modidura_cnbd(C33,$A$1,1)</f>
        <v>0.37419999999999998</v>
      </c>
      <c r="S33" s="22" t="s">
        <v>17</v>
      </c>
      <c r="T33" s="24">
        <f>[1]!b_info_repurchasedate(C33)</f>
        <v>0</v>
      </c>
    </row>
    <row r="34" spans="1:22" s="33" customFormat="1" ht="12.95" customHeight="1">
      <c r="A34" s="85">
        <v>44561</v>
      </c>
      <c r="B34" s="29" t="s">
        <v>140</v>
      </c>
      <c r="C34" s="86" t="s">
        <v>141</v>
      </c>
      <c r="D34" s="29">
        <v>3000</v>
      </c>
      <c r="E34" s="27">
        <v>95.657800000000009</v>
      </c>
      <c r="F34" s="28">
        <v>315616.44000000134</v>
      </c>
      <c r="G34" s="87">
        <v>28697340</v>
      </c>
      <c r="H34" s="84">
        <v>29012956.440000001</v>
      </c>
      <c r="I34" s="37">
        <f>[1]!b_anal_net_cnbd(C34,$A$1,1)</f>
        <v>12.962999999999999</v>
      </c>
      <c r="J34" s="37">
        <f>[1]!accrint_dayend_cnbd(C34,$A$1,1)</f>
        <v>5.8500000000000003E-2</v>
      </c>
      <c r="K34" s="39">
        <f>(I34-E34)*D34*100+25893000</f>
        <v>1084559.9999999963</v>
      </c>
      <c r="L34" s="39">
        <f>J34*D34*100-F34+419190</f>
        <v>121123.55999999866</v>
      </c>
      <c r="M34" s="94">
        <f>I34+J34</f>
        <v>13.0215</v>
      </c>
      <c r="N34" s="38">
        <f t="shared" ref="N34" si="14">D34*I34*100</f>
        <v>3888900</v>
      </c>
      <c r="O34" s="39">
        <f t="shared" ref="O34" si="15">D34*M34*100</f>
        <v>3906450</v>
      </c>
      <c r="P34" s="39">
        <f>[1]!b_info_couponrate(C34)</f>
        <v>6</v>
      </c>
      <c r="Q34" s="39">
        <f>[1]!b_anal_vobp_cnbd(C34,$A$1,1)</f>
        <v>5.0000000000000001E-4</v>
      </c>
      <c r="R34" s="39">
        <f>[1]!b_anal_modidura_cnbd(C34,$A$1,1)</f>
        <v>0.36880000000000002</v>
      </c>
      <c r="S34" s="33" t="s">
        <v>17</v>
      </c>
      <c r="T34" s="24">
        <f>[1]!b_info_repurchasedate(C34)</f>
        <v>0</v>
      </c>
    </row>
    <row r="35" spans="1:22" s="33" customFormat="1" ht="12.95" customHeight="1">
      <c r="A35" s="85">
        <v>44561</v>
      </c>
      <c r="B35" s="29" t="s">
        <v>61</v>
      </c>
      <c r="C35" s="86" t="s">
        <v>62</v>
      </c>
      <c r="D35" s="29">
        <v>28000</v>
      </c>
      <c r="E35" s="27">
        <v>60.060299999999998</v>
      </c>
      <c r="F35" s="28">
        <v>2999452.0600000024</v>
      </c>
      <c r="G35" s="31">
        <v>168168840</v>
      </c>
      <c r="H35" s="31">
        <v>171168292.06</v>
      </c>
      <c r="I35" s="37">
        <f>[1]!b_anal_net_csi1(C35,$A$1,1)</f>
        <v>59.915599999999998</v>
      </c>
      <c r="J35" s="37">
        <f>[1]!accrint_dayend_cnbd(C35,$A$1,1)</f>
        <v>0</v>
      </c>
      <c r="K35" s="39">
        <f t="shared" si="0"/>
        <v>-405160.00000000076</v>
      </c>
      <c r="L35" s="95">
        <f>(A1-A35)/365*D35*P35*100</f>
        <v>3064657.5342465751</v>
      </c>
      <c r="M35" s="37">
        <f>I35+J35</f>
        <v>59.915599999999998</v>
      </c>
      <c r="N35" s="38">
        <f>D35*I35*100</f>
        <v>167763680</v>
      </c>
      <c r="O35" s="39">
        <f>D35*M35*100</f>
        <v>167763680</v>
      </c>
      <c r="P35" s="39">
        <f>[1]!b_info_couponrate(C35)</f>
        <v>8.5</v>
      </c>
      <c r="Q35" s="39">
        <f>[1]!b_anal_vobp_cnbd(C35,$A$1,1)</f>
        <v>0</v>
      </c>
      <c r="R35" s="39">
        <f>[1]!b_anal_modidura_cnbd(C35,$A$1,1)</f>
        <v>0</v>
      </c>
      <c r="S35" s="22" t="s">
        <v>17</v>
      </c>
      <c r="T35" s="24">
        <f>[1]!b_info_repurchasedate(C35)</f>
        <v>0</v>
      </c>
      <c r="U35" s="22" t="str">
        <f>[1]!b_rate_latestcredit(C35)</f>
        <v>AA+</v>
      </c>
      <c r="V35" s="22" t="str">
        <f>[1]!b_info_latestissurercreditrating(C35)</f>
        <v>A</v>
      </c>
    </row>
    <row r="36" spans="1:22" s="33" customFormat="1" ht="12.95" customHeight="1">
      <c r="A36" s="85"/>
      <c r="B36" s="29"/>
      <c r="C36" s="86"/>
      <c r="D36" s="29"/>
      <c r="E36" s="27"/>
      <c r="F36" s="28"/>
      <c r="G36" s="31"/>
      <c r="H36" s="31"/>
      <c r="I36" s="37"/>
      <c r="J36" s="37"/>
      <c r="K36" s="39"/>
      <c r="L36" s="95"/>
      <c r="M36" s="37"/>
      <c r="N36" s="38"/>
      <c r="O36" s="39"/>
      <c r="P36" s="39"/>
      <c r="Q36" s="39"/>
      <c r="R36" s="39"/>
      <c r="S36" s="22"/>
      <c r="T36" s="22"/>
      <c r="U36" s="22"/>
      <c r="V36" s="22"/>
    </row>
    <row r="37" spans="1:22" s="33" customFormat="1" ht="12.95" customHeight="1">
      <c r="A37" s="85"/>
      <c r="B37" s="29"/>
      <c r="C37" s="86"/>
      <c r="D37" s="29"/>
      <c r="E37" s="27"/>
      <c r="F37" s="28"/>
      <c r="G37" s="31"/>
      <c r="H37" s="31"/>
      <c r="I37" s="37"/>
      <c r="J37" s="37"/>
      <c r="K37" s="39"/>
      <c r="L37" s="95"/>
      <c r="M37" s="37"/>
      <c r="N37" s="38"/>
      <c r="O37" s="39"/>
      <c r="P37" s="39"/>
      <c r="Q37" s="39"/>
      <c r="R37" s="39"/>
      <c r="S37" s="22"/>
      <c r="T37" s="22"/>
      <c r="U37" s="22"/>
      <c r="V37" s="22"/>
    </row>
    <row r="38" spans="1:22" s="99" customFormat="1" ht="12.95" customHeight="1">
      <c r="A38" s="85">
        <v>44561</v>
      </c>
      <c r="B38" s="29" t="s">
        <v>142</v>
      </c>
      <c r="C38" s="86" t="s">
        <v>143</v>
      </c>
      <c r="D38" s="29">
        <v>5000</v>
      </c>
      <c r="E38" s="30">
        <v>100</v>
      </c>
      <c r="F38" s="28">
        <v>273287.67000000179</v>
      </c>
      <c r="G38" s="31">
        <v>50000000</v>
      </c>
      <c r="H38" s="31">
        <v>50273287.670000002</v>
      </c>
      <c r="I38" s="37">
        <f>[1]!b_dq_close(C38,$A$1,1)</f>
        <v>100</v>
      </c>
      <c r="J38" s="96"/>
      <c r="K38" s="95">
        <f t="shared" ref="K38:K42" si="16">(I38-E38)*D38*100</f>
        <v>0</v>
      </c>
      <c r="L38" s="95">
        <f>(A1-A38)/365*D38*P38*100</f>
        <v>225342.46575342468</v>
      </c>
      <c r="M38" s="97">
        <f t="shared" ref="M38:M44" si="17">I38+J38</f>
        <v>100</v>
      </c>
      <c r="N38" s="98">
        <f t="shared" ref="N38:N44" si="18">D38*I38*100</f>
        <v>50000000</v>
      </c>
      <c r="O38" s="95">
        <f t="shared" ref="O38:O44" si="19">D38*M38*100</f>
        <v>50000000</v>
      </c>
      <c r="P38" s="95">
        <f>[1]!b_info_couponrate(C38)</f>
        <v>3.5</v>
      </c>
      <c r="Q38" s="95">
        <f>[1]!b_anal_vobp_cnbd(C38,$A$1,1)</f>
        <v>0</v>
      </c>
      <c r="R38" s="95">
        <f>[1]!b_anal_modidura_cnbd(C38,$A$1,1)</f>
        <v>0</v>
      </c>
      <c r="S38" s="23" t="s">
        <v>17</v>
      </c>
      <c r="T38" s="23"/>
      <c r="U38" s="23">
        <f>[1]!b_rate_latestcredit(C38)</f>
        <v>0</v>
      </c>
      <c r="V38" s="23" t="str">
        <f>[1]!b_info_latestissurercreditrating(C38)</f>
        <v>AA+</v>
      </c>
    </row>
    <row r="39" spans="1:22" s="99" customFormat="1" ht="12.95" customHeight="1">
      <c r="A39" s="85">
        <v>44561</v>
      </c>
      <c r="B39" s="29" t="s">
        <v>144</v>
      </c>
      <c r="C39" s="86" t="s">
        <v>67</v>
      </c>
      <c r="D39" s="29">
        <v>2000</v>
      </c>
      <c r="E39" s="30">
        <v>108.999</v>
      </c>
      <c r="F39" s="28">
        <v>208.21999999880791</v>
      </c>
      <c r="G39" s="31">
        <v>21799800</v>
      </c>
      <c r="H39" s="31">
        <v>21800008.219999999</v>
      </c>
      <c r="I39" s="37">
        <f>[1]!b_dq_close(C39,$A$1,1)</f>
        <v>114.99769999999999</v>
      </c>
      <c r="J39" s="96"/>
      <c r="K39" s="95">
        <f t="shared" si="16"/>
        <v>1199740</v>
      </c>
      <c r="L39" s="95">
        <f>(A1-A39)/365*D39*P39*100</f>
        <v>257.53424657534248</v>
      </c>
      <c r="M39" s="97">
        <f t="shared" si="17"/>
        <v>114.99769999999999</v>
      </c>
      <c r="N39" s="98">
        <f t="shared" si="18"/>
        <v>22999540</v>
      </c>
      <c r="O39" s="95">
        <f t="shared" si="19"/>
        <v>22999540</v>
      </c>
      <c r="P39" s="95">
        <f>[1]!b_info_couponrate(C39)</f>
        <v>0.01</v>
      </c>
      <c r="Q39" s="95">
        <f>[1]!b_anal_vobp_cnbd(C39,$A$1,1)</f>
        <v>0</v>
      </c>
      <c r="R39" s="95">
        <f>[1]!b_anal_modidura_cnbd(C39,$A$1,1)</f>
        <v>0</v>
      </c>
      <c r="S39" s="23" t="s">
        <v>17</v>
      </c>
      <c r="T39" s="23"/>
      <c r="U39" s="23">
        <f>[1]!b_rate_latestcredit(C39)</f>
        <v>0</v>
      </c>
      <c r="V39" s="23" t="str">
        <f>[1]!b_info_latestissurercreditrating(C39)</f>
        <v>AA+</v>
      </c>
    </row>
    <row r="40" spans="1:22" s="99" customFormat="1" ht="12.95" customHeight="1">
      <c r="A40" s="85">
        <v>44561</v>
      </c>
      <c r="B40" s="29" t="s">
        <v>65</v>
      </c>
      <c r="C40" s="86" t="s">
        <v>66</v>
      </c>
      <c r="D40" s="29">
        <v>3000</v>
      </c>
      <c r="E40" s="30">
        <v>100</v>
      </c>
      <c r="F40" s="28">
        <v>69041.10000000149</v>
      </c>
      <c r="G40" s="31">
        <v>30000000</v>
      </c>
      <c r="H40" s="31">
        <v>30069041.100000001</v>
      </c>
      <c r="I40" s="37">
        <f>[1]!b_dq_close(C40,$A$1,1)</f>
        <v>100</v>
      </c>
      <c r="J40" s="96"/>
      <c r="K40" s="95">
        <f t="shared" si="16"/>
        <v>0</v>
      </c>
      <c r="L40" s="95">
        <f>(A1-A40)/365*D40*P40*100</f>
        <v>19315.068493150684</v>
      </c>
      <c r="M40" s="97">
        <f t="shared" si="17"/>
        <v>100</v>
      </c>
      <c r="N40" s="98">
        <f t="shared" si="18"/>
        <v>30000000</v>
      </c>
      <c r="O40" s="95">
        <f t="shared" si="19"/>
        <v>30000000</v>
      </c>
      <c r="P40" s="95">
        <f>[1]!b_info_couponrate(C40)</f>
        <v>0.5</v>
      </c>
      <c r="Q40" s="95">
        <f>[1]!b_anal_vobp_cnbd(C40,$A$1,1)</f>
        <v>0</v>
      </c>
      <c r="R40" s="95">
        <f>[1]!b_anal_modidura_cnbd(C40,$A$1,1)</f>
        <v>0</v>
      </c>
      <c r="S40" s="23" t="s">
        <v>17</v>
      </c>
      <c r="T40" s="23"/>
      <c r="U40" s="23" t="str">
        <f>[1]!b_rate_latestcredit(C40)</f>
        <v>AAA</v>
      </c>
      <c r="V40" s="23" t="str">
        <f>[1]!b_info_latestissurercreditrating(C40)</f>
        <v>AAA</v>
      </c>
    </row>
    <row r="41" spans="1:22" s="114" customFormat="1" ht="12.95" customHeight="1">
      <c r="A41" s="85">
        <v>44561</v>
      </c>
      <c r="B41" s="29" t="s">
        <v>145</v>
      </c>
      <c r="C41" s="86" t="s">
        <v>146</v>
      </c>
      <c r="D41" s="29">
        <v>1000</v>
      </c>
      <c r="E41" s="30">
        <v>99.91</v>
      </c>
      <c r="F41" s="28">
        <v>9041.0999999996275</v>
      </c>
      <c r="G41" s="31">
        <v>9991000</v>
      </c>
      <c r="H41" s="31">
        <v>10000041.1</v>
      </c>
      <c r="I41" s="37">
        <f>[1]!b_dq_close(C41,$A$1,1)</f>
        <v>99.983599999999996</v>
      </c>
      <c r="J41" s="97"/>
      <c r="K41" s="95">
        <f>(I41-E41)*D41*100</f>
        <v>7359.9999999999</v>
      </c>
      <c r="L41" s="95">
        <f>(A1-DATE(2022,2,4))/365*D41*P41*100+958.9041</f>
        <v>2602.739716438356</v>
      </c>
      <c r="M41" s="97">
        <f t="shared" si="17"/>
        <v>99.983599999999996</v>
      </c>
      <c r="N41" s="98">
        <f t="shared" si="18"/>
        <v>9998360</v>
      </c>
      <c r="O41" s="95">
        <f t="shared" si="19"/>
        <v>9998360</v>
      </c>
      <c r="P41" s="95">
        <v>0.5</v>
      </c>
      <c r="Q41" s="95">
        <f>[1]!b_anal_vobp_cnbd(C41,$A$1,1)</f>
        <v>0</v>
      </c>
      <c r="R41" s="95">
        <f>[1]!b_anal_modidura_cnbd(C41,$A$1,1)</f>
        <v>0</v>
      </c>
      <c r="S41" s="23" t="s">
        <v>178</v>
      </c>
      <c r="T41" s="33">
        <f>[1]!b_info_repurchasedate(C41)</f>
        <v>0</v>
      </c>
      <c r="U41" s="23" t="str">
        <f>[1]!b_rate_latestcredit(C41)</f>
        <v>AA</v>
      </c>
      <c r="V41" s="23" t="str">
        <f>[1]!b_info_latestissurercreditrating(C41)</f>
        <v>AA</v>
      </c>
    </row>
    <row r="42" spans="1:22" s="100" customFormat="1" ht="12.95" customHeight="1">
      <c r="A42" s="85">
        <v>44561</v>
      </c>
      <c r="B42" s="29" t="s">
        <v>147</v>
      </c>
      <c r="C42" s="86" t="s">
        <v>148</v>
      </c>
      <c r="D42" s="29">
        <v>11200</v>
      </c>
      <c r="E42" s="30">
        <v>100</v>
      </c>
      <c r="F42" s="28">
        <v>316054.79000000656</v>
      </c>
      <c r="G42" s="31">
        <v>112000000</v>
      </c>
      <c r="H42" s="31">
        <v>112316054.79000001</v>
      </c>
      <c r="I42" s="37">
        <f>[1]!b_dq_close(C42,$A$1,1)</f>
        <v>100</v>
      </c>
      <c r="J42" s="37">
        <f>[1]!accrint_dayend_cnbd(C42,$A$1,1)</f>
        <v>0</v>
      </c>
      <c r="K42" s="39">
        <f t="shared" si="16"/>
        <v>0</v>
      </c>
      <c r="L42" s="95">
        <f>(A1-A42)/365*D42*P42*100</f>
        <v>72109.589041095882</v>
      </c>
      <c r="M42" s="37">
        <f t="shared" si="17"/>
        <v>100</v>
      </c>
      <c r="N42" s="38">
        <f t="shared" si="18"/>
        <v>112000000</v>
      </c>
      <c r="O42" s="39">
        <f t="shared" si="19"/>
        <v>112000000</v>
      </c>
      <c r="P42" s="39">
        <f>[1]!b_info_couponrate(C42)</f>
        <v>0.5</v>
      </c>
      <c r="Q42" s="39">
        <f>[1]!b_anal_vobp_cnbd(C42,$A$1,1)</f>
        <v>0</v>
      </c>
      <c r="R42" s="39">
        <f>[1]!b_anal_modidura_cnbd(C42,$A$1,1)</f>
        <v>0</v>
      </c>
      <c r="S42" s="22" t="s">
        <v>17</v>
      </c>
      <c r="T42" s="22"/>
      <c r="U42" s="22">
        <f>[1]!b_rate_latestcredit(C42)</f>
        <v>0</v>
      </c>
      <c r="V42" s="22" t="str">
        <f>[1]!b_info_latestissurercreditrating(C42)</f>
        <v>AAA</v>
      </c>
    </row>
    <row r="43" spans="1:22" s="99" customFormat="1" ht="12.95" customHeight="1">
      <c r="A43" s="85">
        <v>44561</v>
      </c>
      <c r="B43" s="29" t="s">
        <v>149</v>
      </c>
      <c r="C43" s="86" t="s">
        <v>150</v>
      </c>
      <c r="D43" s="29">
        <v>142.8571</v>
      </c>
      <c r="E43" s="30">
        <v>22.799999999999997</v>
      </c>
      <c r="F43" s="28">
        <v>0</v>
      </c>
      <c r="G43" s="31">
        <v>32571418.800000001</v>
      </c>
      <c r="H43" s="31">
        <v>32571418.800000001</v>
      </c>
      <c r="I43" s="37">
        <f>[1]!s_dq_close(C43,$A$1,1)</f>
        <v>20.82</v>
      </c>
      <c r="J43" s="97">
        <f>[1]!accrint_dayend_cnbd(C43,$A$1,1)</f>
        <v>0</v>
      </c>
      <c r="K43" s="95">
        <f>(I43-E43)*D43*10000</f>
        <v>-2828570.5799999954</v>
      </c>
      <c r="L43" s="95">
        <f>J43*D43*100-F43</f>
        <v>0</v>
      </c>
      <c r="M43" s="97">
        <f t="shared" si="17"/>
        <v>20.82</v>
      </c>
      <c r="N43" s="98">
        <f t="shared" si="18"/>
        <v>297428.48220000003</v>
      </c>
      <c r="O43" s="95">
        <f t="shared" si="19"/>
        <v>297428.48220000003</v>
      </c>
      <c r="P43" s="95">
        <f>[1]!b_info_couponrate(C43)</f>
        <v>0</v>
      </c>
      <c r="Q43" s="95">
        <f>[1]!b_anal_vobp_cnbd(C43,$A$1,1)</f>
        <v>0</v>
      </c>
      <c r="R43" s="95">
        <f>[1]!b_anal_modidura_cnbd(C43,$A$1,1)</f>
        <v>0</v>
      </c>
      <c r="S43" s="23" t="s">
        <v>17</v>
      </c>
      <c r="T43" s="23"/>
      <c r="U43" s="23">
        <f>[1]!b_rate_latestcredit(C43)</f>
        <v>0</v>
      </c>
      <c r="V43" s="23" t="str">
        <f>[1]!b_info_latestissurercreditrating(C43)</f>
        <v>AAA</v>
      </c>
    </row>
    <row r="44" spans="1:22" s="33" customFormat="1" ht="12.95" customHeight="1">
      <c r="A44" s="85">
        <v>44561</v>
      </c>
      <c r="B44" s="29" t="s">
        <v>151</v>
      </c>
      <c r="C44" s="86" t="s">
        <v>152</v>
      </c>
      <c r="D44" s="29">
        <v>352.94900000000001</v>
      </c>
      <c r="E44" s="30">
        <v>3.21</v>
      </c>
      <c r="F44" s="28">
        <v>0</v>
      </c>
      <c r="G44" s="31">
        <v>11329662.9</v>
      </c>
      <c r="H44" s="31">
        <v>11329662.9</v>
      </c>
      <c r="I44" s="37">
        <f>[1]!s_dq_close(C44,$A$1,1)</f>
        <v>3.01</v>
      </c>
      <c r="J44" s="37">
        <f>[1]!accrint_dayend_cnbd(C44,$A$1,1)</f>
        <v>0</v>
      </c>
      <c r="K44" s="95">
        <f>(I44-E44)*D44*10000</f>
        <v>-705898.0000000007</v>
      </c>
      <c r="L44" s="39">
        <f>J44*D44*100-F44</f>
        <v>0</v>
      </c>
      <c r="M44" s="37">
        <f t="shared" si="17"/>
        <v>3.01</v>
      </c>
      <c r="N44" s="38">
        <f t="shared" si="18"/>
        <v>106237.64899999999</v>
      </c>
      <c r="O44" s="39">
        <f t="shared" si="19"/>
        <v>106237.64899999999</v>
      </c>
      <c r="P44" s="39">
        <f>[1]!b_info_couponrate(C44)</f>
        <v>0</v>
      </c>
      <c r="Q44" s="39">
        <f>[1]!b_anal_vobp_cnbd(C44,$A$1,1)</f>
        <v>0</v>
      </c>
      <c r="R44" s="39">
        <f>[1]!b_anal_modidura_cnbd(C44,$A$1,1)</f>
        <v>0</v>
      </c>
      <c r="S44" s="22" t="s">
        <v>17</v>
      </c>
      <c r="T44" s="22"/>
      <c r="U44" s="22">
        <f>[1]!b_rate_latestcredit(C44)</f>
        <v>0</v>
      </c>
      <c r="V44" s="22" t="str">
        <f>[1]!b_info_latestissurercreditrating(C44)</f>
        <v>AA</v>
      </c>
    </row>
    <row r="45" spans="1:22" s="33" customFormat="1" ht="12.95" customHeight="1">
      <c r="A45" s="85"/>
      <c r="B45" s="29"/>
      <c r="C45" s="86"/>
      <c r="D45" s="29"/>
      <c r="E45" s="27"/>
      <c r="F45" s="28"/>
      <c r="G45" s="31"/>
      <c r="H45" s="31"/>
      <c r="I45" s="37"/>
      <c r="J45" s="37"/>
      <c r="K45" s="39"/>
      <c r="L45" s="95"/>
      <c r="M45" s="37"/>
      <c r="N45" s="38"/>
      <c r="O45" s="39"/>
      <c r="P45" s="39"/>
      <c r="Q45" s="39"/>
      <c r="R45" s="39"/>
      <c r="S45" s="22"/>
      <c r="T45" s="22"/>
      <c r="U45" s="22"/>
      <c r="V45" s="22"/>
    </row>
    <row r="46" spans="1:22" s="33" customFormat="1" ht="12.95" customHeight="1">
      <c r="A46" s="85"/>
      <c r="B46" s="29"/>
      <c r="C46" s="86"/>
      <c r="D46" s="29"/>
      <c r="E46" s="27"/>
      <c r="F46" s="28"/>
      <c r="G46" s="31"/>
      <c r="H46" s="31"/>
      <c r="I46" s="37"/>
      <c r="J46" s="37"/>
      <c r="K46" s="39"/>
      <c r="L46" s="95"/>
      <c r="M46" s="37"/>
      <c r="N46" s="38"/>
      <c r="O46" s="39"/>
      <c r="P46" s="39"/>
      <c r="Q46" s="39"/>
      <c r="R46" s="39"/>
      <c r="S46" s="22"/>
      <c r="T46" s="22"/>
      <c r="U46" s="22"/>
      <c r="V46" s="22"/>
    </row>
    <row r="47" spans="1:22" s="104" customFormat="1" ht="12.95" customHeight="1">
      <c r="A47" s="85">
        <v>44561</v>
      </c>
      <c r="B47" s="29" t="s">
        <v>71</v>
      </c>
      <c r="C47" s="86" t="s">
        <v>72</v>
      </c>
      <c r="D47" s="29">
        <v>800</v>
      </c>
      <c r="E47" s="27">
        <v>45.848100000000002</v>
      </c>
      <c r="F47" s="28"/>
      <c r="G47" s="31">
        <v>3667848</v>
      </c>
      <c r="H47" s="31">
        <v>3667848</v>
      </c>
      <c r="I47" s="37">
        <v>45.848100000000002</v>
      </c>
      <c r="J47" s="101"/>
      <c r="K47" s="102">
        <f>(I47-E47)*D47*100</f>
        <v>0</v>
      </c>
      <c r="L47" s="103"/>
    </row>
    <row r="48" spans="1:22" s="104" customFormat="1" ht="12.95" customHeight="1">
      <c r="A48" s="85">
        <v>44561</v>
      </c>
      <c r="B48" s="29" t="s">
        <v>69</v>
      </c>
      <c r="C48" s="86" t="s">
        <v>70</v>
      </c>
      <c r="D48" s="29">
        <v>4000</v>
      </c>
      <c r="E48" s="27">
        <v>27.214099999999998</v>
      </c>
      <c r="F48" s="28"/>
      <c r="G48" s="31">
        <v>10885640</v>
      </c>
      <c r="H48" s="31">
        <v>10885640</v>
      </c>
      <c r="I48" s="37">
        <v>27.214099999999998</v>
      </c>
      <c r="J48" s="101"/>
      <c r="K48" s="102">
        <f t="shared" si="0"/>
        <v>0</v>
      </c>
      <c r="L48" s="103"/>
    </row>
    <row r="49" spans="1:18" s="104" customFormat="1" ht="12.95" customHeight="1">
      <c r="A49" s="85">
        <v>44561</v>
      </c>
      <c r="B49" s="29" t="s">
        <v>68</v>
      </c>
      <c r="C49" s="86" t="s">
        <v>153</v>
      </c>
      <c r="D49" s="29">
        <v>6500</v>
      </c>
      <c r="E49" s="27">
        <v>24.918600000000001</v>
      </c>
      <c r="F49" s="28"/>
      <c r="G49" s="31">
        <v>16197090</v>
      </c>
      <c r="H49" s="31">
        <v>16197090</v>
      </c>
      <c r="I49" s="37">
        <v>24.918600000000001</v>
      </c>
      <c r="J49" s="101"/>
      <c r="K49" s="102">
        <f t="shared" si="0"/>
        <v>0</v>
      </c>
      <c r="L49" s="103"/>
    </row>
    <row r="50" spans="1:18" s="103" customFormat="1" ht="12.95" customHeight="1">
      <c r="A50" s="85">
        <v>44561</v>
      </c>
      <c r="B50" s="29" t="s">
        <v>154</v>
      </c>
      <c r="C50" s="86" t="s">
        <v>155</v>
      </c>
      <c r="D50" s="29">
        <v>10000</v>
      </c>
      <c r="E50" s="27">
        <v>0</v>
      </c>
      <c r="F50" s="28"/>
      <c r="G50" s="31"/>
      <c r="H50" s="31">
        <v>23749700</v>
      </c>
      <c r="I50" s="37"/>
      <c r="J50" s="101"/>
      <c r="K50" s="102"/>
    </row>
    <row r="51" spans="1:18" s="103" customFormat="1" ht="12.95" customHeight="1">
      <c r="A51" s="85">
        <v>44561</v>
      </c>
      <c r="B51" s="29" t="s">
        <v>73</v>
      </c>
      <c r="C51" s="86" t="s">
        <v>74</v>
      </c>
      <c r="D51" s="29">
        <v>8000</v>
      </c>
      <c r="E51" s="27">
        <v>0</v>
      </c>
      <c r="F51" s="28"/>
      <c r="G51" s="31"/>
      <c r="H51" s="31">
        <v>24000000</v>
      </c>
      <c r="I51" s="37"/>
      <c r="J51" s="101"/>
      <c r="K51" s="102"/>
    </row>
    <row r="52" spans="1:18" s="103" customFormat="1" ht="12.95" customHeight="1">
      <c r="A52" s="85">
        <v>44561</v>
      </c>
      <c r="B52" s="29" t="s">
        <v>75</v>
      </c>
      <c r="C52" s="86" t="s">
        <v>76</v>
      </c>
      <c r="D52" s="29">
        <v>7000</v>
      </c>
      <c r="E52" s="27">
        <v>0</v>
      </c>
      <c r="F52" s="28"/>
      <c r="G52" s="31"/>
      <c r="H52" s="31">
        <v>21000000</v>
      </c>
      <c r="I52" s="37"/>
      <c r="J52" s="101"/>
      <c r="K52" s="102"/>
    </row>
    <row r="53" spans="1:18" s="33" customFormat="1" ht="12.95" customHeight="1">
      <c r="A53" s="75"/>
      <c r="C53" s="105"/>
      <c r="D53" s="46"/>
      <c r="E53" s="52"/>
      <c r="F53" s="106"/>
      <c r="G53" s="37"/>
      <c r="H53" s="106"/>
      <c r="I53" s="53"/>
      <c r="J53" s="40"/>
      <c r="K53" s="39"/>
      <c r="L53" s="40"/>
      <c r="M53" s="40"/>
      <c r="N53" s="47"/>
      <c r="O53" s="40"/>
      <c r="P53" s="40"/>
      <c r="Q53" s="40"/>
      <c r="R53" s="40"/>
    </row>
    <row r="54" spans="1:18" s="33" customFormat="1" ht="12.95" customHeight="1">
      <c r="A54" s="75"/>
      <c r="B54" s="42"/>
      <c r="C54" s="46"/>
      <c r="D54" s="46"/>
      <c r="E54" s="54"/>
      <c r="F54" s="22"/>
      <c r="G54" s="52"/>
      <c r="J54" s="40"/>
      <c r="K54" s="39"/>
      <c r="L54" s="40"/>
      <c r="M54" s="40"/>
      <c r="N54" s="47"/>
      <c r="O54" s="40"/>
      <c r="P54" s="40"/>
      <c r="Q54" s="40"/>
      <c r="R54" s="40"/>
    </row>
    <row r="55" spans="1:18" s="33" customFormat="1" ht="12.95" customHeight="1">
      <c r="A55" s="75">
        <v>44561</v>
      </c>
      <c r="B55" s="42" t="s">
        <v>77</v>
      </c>
      <c r="C55" s="42"/>
      <c r="D55" s="107" t="s">
        <v>78</v>
      </c>
      <c r="E55" s="14" t="s">
        <v>79</v>
      </c>
      <c r="F55" s="22" t="s">
        <v>80</v>
      </c>
      <c r="G55" s="40" t="s">
        <v>81</v>
      </c>
      <c r="H55" s="33" t="s">
        <v>156</v>
      </c>
      <c r="I55" s="33" t="s">
        <v>82</v>
      </c>
      <c r="J55" s="50" t="s">
        <v>83</v>
      </c>
      <c r="K55" s="39" t="s">
        <v>84</v>
      </c>
      <c r="L55" s="40"/>
      <c r="M55" s="40"/>
      <c r="N55" s="47"/>
      <c r="O55" s="40"/>
      <c r="P55" s="40"/>
      <c r="Q55" s="40"/>
      <c r="R55" s="40"/>
    </row>
    <row r="56" spans="1:18" s="40" customFormat="1" ht="12.95" customHeight="1">
      <c r="A56" s="75">
        <v>44561</v>
      </c>
      <c r="B56" s="42" t="s">
        <v>85</v>
      </c>
      <c r="C56" s="42"/>
      <c r="D56" s="28"/>
      <c r="E56" s="16">
        <v>663.315113</v>
      </c>
      <c r="F56" s="22">
        <v>1.0286999999999999</v>
      </c>
      <c r="G56" s="37">
        <v>1.0365</v>
      </c>
      <c r="H56" s="53">
        <v>6823522.5674310001</v>
      </c>
      <c r="I56" s="53">
        <f>G56*E56*10000</f>
        <v>6875261.146245</v>
      </c>
      <c r="J56" s="50"/>
      <c r="K56" s="39">
        <f>I56-H56+J56</f>
        <v>51738.578813999891</v>
      </c>
      <c r="N56" s="47"/>
    </row>
    <row r="57" spans="1:18" s="40" customFormat="1" ht="12.95" customHeight="1">
      <c r="A57" s="75">
        <v>44561</v>
      </c>
      <c r="B57" s="42" t="s">
        <v>110</v>
      </c>
      <c r="C57" s="42"/>
      <c r="D57" s="55"/>
      <c r="E57" s="16">
        <v>1266.969658</v>
      </c>
      <c r="F57" s="52">
        <v>1.0188999999999999</v>
      </c>
      <c r="G57" s="37">
        <v>1.0265</v>
      </c>
      <c r="H57" s="53">
        <v>12909153.845361998</v>
      </c>
      <c r="I57" s="53">
        <f t="shared" ref="I57:I59" si="20">G57*E57*10000</f>
        <v>13005443.539369998</v>
      </c>
      <c r="J57" s="50"/>
      <c r="K57" s="39">
        <f t="shared" ref="K57:K59" si="21">I57-H57+J57</f>
        <v>96289.694008000195</v>
      </c>
      <c r="N57" s="47"/>
    </row>
    <row r="58" spans="1:18" s="40" customFormat="1" ht="12.95" customHeight="1">
      <c r="A58" s="75">
        <v>44561</v>
      </c>
      <c r="B58" s="42" t="s">
        <v>111</v>
      </c>
      <c r="C58" s="42"/>
      <c r="D58" s="55"/>
      <c r="E58" s="16">
        <v>1889.5028280000001</v>
      </c>
      <c r="F58" s="22">
        <v>1.0258</v>
      </c>
      <c r="G58" s="37">
        <v>1.0339</v>
      </c>
      <c r="H58" s="53">
        <v>19382520.009624001</v>
      </c>
      <c r="I58" s="53">
        <f>G58*E58*10000</f>
        <v>19535569.738692001</v>
      </c>
      <c r="J58" s="50"/>
      <c r="K58" s="39">
        <f t="shared" si="21"/>
        <v>153049.72906799987</v>
      </c>
      <c r="N58" s="47"/>
    </row>
    <row r="59" spans="1:18" s="40" customFormat="1" ht="12.95" customHeight="1">
      <c r="A59" s="75">
        <v>44561</v>
      </c>
      <c r="B59" s="42" t="s">
        <v>112</v>
      </c>
      <c r="C59" s="42"/>
      <c r="D59" s="55"/>
      <c r="E59" s="16">
        <v>1862.6874789999999</v>
      </c>
      <c r="F59" s="22">
        <v>1.0295000000000001</v>
      </c>
      <c r="G59" s="37">
        <v>1.0373000000000001</v>
      </c>
      <c r="H59" s="53">
        <v>19176367.596305002</v>
      </c>
      <c r="I59" s="53">
        <f t="shared" si="20"/>
        <v>19321657.219667003</v>
      </c>
      <c r="J59" s="50"/>
      <c r="K59" s="39">
        <f t="shared" si="21"/>
        <v>145289.62336200103</v>
      </c>
      <c r="N59" s="47"/>
    </row>
    <row r="60" spans="1:18" ht="12.95" customHeight="1"/>
    <row r="61" spans="1:18" s="40" customFormat="1" ht="12.95" customHeight="1">
      <c r="A61" s="25"/>
      <c r="B61" s="33"/>
      <c r="C61" s="33"/>
      <c r="D61" s="41"/>
      <c r="E61" s="46"/>
      <c r="F61" s="22"/>
      <c r="G61" s="52"/>
      <c r="H61" s="53"/>
      <c r="I61" s="53"/>
      <c r="J61" s="50"/>
      <c r="K61" s="39"/>
      <c r="N61" s="47"/>
    </row>
    <row r="62" spans="1:18" ht="12.95" customHeight="1">
      <c r="A62" s="25"/>
    </row>
    <row r="63" spans="1:18" ht="12.95" customHeight="1">
      <c r="A63" s="25"/>
    </row>
    <row r="64" spans="1:18" ht="12.95" customHeight="1">
      <c r="A64" s="25"/>
      <c r="E64" s="57"/>
    </row>
    <row r="65" spans="1:10" ht="12.95" customHeight="1">
      <c r="A65" s="25"/>
      <c r="E65" s="57"/>
      <c r="F65" s="58"/>
    </row>
    <row r="66" spans="1:10" ht="12.95" customHeight="1">
      <c r="A66" s="25"/>
      <c r="B66" s="49"/>
      <c r="D66" s="59"/>
      <c r="J66" s="60"/>
    </row>
    <row r="67" spans="1:10">
      <c r="A67" s="25"/>
      <c r="B67" s="40"/>
      <c r="D67" s="59"/>
      <c r="J67" s="50"/>
    </row>
    <row r="69" spans="1:10">
      <c r="J69" s="60"/>
    </row>
    <row r="72" spans="1:10">
      <c r="F72" s="51"/>
    </row>
    <row r="73" spans="1:10">
      <c r="F73" s="51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C12" sqref="C12:F14"/>
    </sheetView>
  </sheetViews>
  <sheetFormatPr defaultRowHeight="13.5"/>
  <cols>
    <col min="2" max="2" width="24.375" customWidth="1"/>
    <col min="3" max="3" width="22.5" customWidth="1"/>
    <col min="4" max="4" width="21.25" customWidth="1"/>
    <col min="5" max="5" width="28.25" customWidth="1"/>
    <col min="6" max="6" width="17.25" customWidth="1"/>
    <col min="8" max="8" width="19.625" customWidth="1"/>
    <col min="9" max="9" width="15.875" customWidth="1"/>
    <col min="10" max="10" width="13.125" customWidth="1"/>
    <col min="11" max="11" width="15.75" customWidth="1"/>
  </cols>
  <sheetData>
    <row r="1" spans="1:9">
      <c r="A1" t="s">
        <v>86</v>
      </c>
      <c r="B1" t="s">
        <v>87</v>
      </c>
      <c r="C1">
        <v>-90988096.95474799</v>
      </c>
      <c r="D1" t="s">
        <v>88</v>
      </c>
      <c r="E1">
        <v>19754142.633640133</v>
      </c>
    </row>
    <row r="2" spans="1:9">
      <c r="A2" t="s">
        <v>89</v>
      </c>
      <c r="B2" t="s">
        <v>87</v>
      </c>
      <c r="C2" s="68">
        <v>-44167687.444748044</v>
      </c>
      <c r="D2" t="s">
        <v>88</v>
      </c>
      <c r="E2">
        <v>19754142.633640133</v>
      </c>
    </row>
    <row r="3" spans="1:9">
      <c r="C3" s="68"/>
      <c r="D3" s="68"/>
    </row>
    <row r="4" spans="1:9">
      <c r="D4" s="68"/>
    </row>
    <row r="5" spans="1:9">
      <c r="B5" s="61" t="s">
        <v>90</v>
      </c>
      <c r="C5" s="62">
        <f>C2-C1-C3</f>
        <v>46820409.509999946</v>
      </c>
    </row>
    <row r="11" spans="1:9">
      <c r="H11" s="63" t="s">
        <v>182</v>
      </c>
    </row>
    <row r="12" spans="1:9">
      <c r="D12" t="s">
        <v>91</v>
      </c>
      <c r="E12" t="s">
        <v>92</v>
      </c>
      <c r="F12" t="s">
        <v>93</v>
      </c>
      <c r="H12" t="s">
        <v>109</v>
      </c>
      <c r="I12" t="s">
        <v>108</v>
      </c>
    </row>
    <row r="13" spans="1:9">
      <c r="C13" t="s">
        <v>86</v>
      </c>
      <c r="D13" s="63">
        <v>-72447960.112843022</v>
      </c>
      <c r="E13" s="113">
        <f>H13-I13</f>
        <v>1648178.56</v>
      </c>
      <c r="F13" s="113">
        <f>D13+E13</f>
        <v>-70799781.552843019</v>
      </c>
      <c r="H13" s="63">
        <v>2959732.56</v>
      </c>
      <c r="I13" s="63">
        <v>1311554</v>
      </c>
    </row>
    <row r="14" spans="1:9">
      <c r="C14" t="s">
        <v>89</v>
      </c>
      <c r="D14" s="72">
        <f>D13+C5</f>
        <v>-25627550.602843076</v>
      </c>
      <c r="E14" s="63">
        <f>H13-I13</f>
        <v>1648178.56</v>
      </c>
      <c r="F14" s="64">
        <f>D14+E14</f>
        <v>-23979372.042843077</v>
      </c>
    </row>
    <row r="16" spans="1:9">
      <c r="D16" s="69"/>
    </row>
    <row r="19" spans="3:9">
      <c r="E19" s="65"/>
    </row>
    <row r="25" spans="3:9">
      <c r="F25" s="63"/>
    </row>
    <row r="27" spans="3:9">
      <c r="F27" s="64"/>
    </row>
    <row r="28" spans="3:9">
      <c r="C28" t="s">
        <v>94</v>
      </c>
      <c r="D28" s="70">
        <v>1332123.83</v>
      </c>
    </row>
    <row r="29" spans="3:9">
      <c r="C29" t="s">
        <v>95</v>
      </c>
      <c r="D29" s="71">
        <v>-4385995.6007001502</v>
      </c>
    </row>
    <row r="30" spans="3:9">
      <c r="C30" t="s">
        <v>96</v>
      </c>
      <c r="D30" s="70">
        <v>-471620.96</v>
      </c>
    </row>
    <row r="31" spans="3:9">
      <c r="C31" t="s">
        <v>97</v>
      </c>
      <c r="D31" s="74">
        <v>205038</v>
      </c>
      <c r="F31" s="65"/>
      <c r="H31" s="115" t="s">
        <v>179</v>
      </c>
      <c r="I31" s="115" t="s">
        <v>181</v>
      </c>
    </row>
    <row r="32" spans="3:9">
      <c r="C32" t="s">
        <v>98</v>
      </c>
      <c r="D32" s="70">
        <v>750419.99999999988</v>
      </c>
      <c r="H32" s="116" t="s">
        <v>104</v>
      </c>
      <c r="I32" s="116">
        <v>-68826800</v>
      </c>
    </row>
    <row r="33" spans="3:9">
      <c r="C33" t="s">
        <v>99</v>
      </c>
      <c r="D33" s="70">
        <v>1356028.9378571347</v>
      </c>
      <c r="H33" s="116" t="s">
        <v>54</v>
      </c>
      <c r="I33" s="116">
        <v>-8346784.6699999999</v>
      </c>
    </row>
    <row r="34" spans="3:9">
      <c r="C34" t="s">
        <v>100</v>
      </c>
      <c r="D34" s="70">
        <v>-44167687.444748044</v>
      </c>
      <c r="H34" s="116" t="s">
        <v>56</v>
      </c>
      <c r="I34" s="116">
        <v>-7226801.7699999996</v>
      </c>
    </row>
    <row r="35" spans="3:9">
      <c r="C35" t="s">
        <v>101</v>
      </c>
      <c r="D35" s="70">
        <v>19754142.633640133</v>
      </c>
      <c r="F35" s="65"/>
      <c r="H35" s="116" t="s">
        <v>105</v>
      </c>
      <c r="I35" s="116">
        <v>-56814902.040000007</v>
      </c>
    </row>
    <row r="36" spans="3:9">
      <c r="C36" s="61" t="s">
        <v>102</v>
      </c>
      <c r="D36" s="73">
        <f>SUM(D28:D35)</f>
        <v>-25627550.603950925</v>
      </c>
      <c r="E36" s="65"/>
      <c r="H36" s="116" t="s">
        <v>64</v>
      </c>
      <c r="I36" s="116">
        <v>-36190301.030000009</v>
      </c>
    </row>
    <row r="37" spans="3:9">
      <c r="C37" s="61"/>
      <c r="D37" s="66"/>
      <c r="H37" s="116" t="s">
        <v>180</v>
      </c>
      <c r="I37" s="116">
        <v>-49826575</v>
      </c>
    </row>
    <row r="39" spans="3:9">
      <c r="D39" t="s">
        <v>0</v>
      </c>
      <c r="E39" t="s">
        <v>1</v>
      </c>
      <c r="F39" t="s">
        <v>103</v>
      </c>
    </row>
    <row r="40" spans="3:9">
      <c r="C40" s="68" t="s">
        <v>104</v>
      </c>
      <c r="D40" s="64">
        <v>-7345500.0000000149</v>
      </c>
      <c r="E40" s="64">
        <v>875584.9300000011</v>
      </c>
      <c r="F40">
        <v>10500</v>
      </c>
      <c r="H40" s="117"/>
    </row>
    <row r="41" spans="3:9">
      <c r="C41" s="68" t="s">
        <v>54</v>
      </c>
      <c r="D41" s="64">
        <v>-10033675.329999985</v>
      </c>
      <c r="E41" s="64">
        <v>757178.02</v>
      </c>
      <c r="F41">
        <v>8500</v>
      </c>
      <c r="H41" s="117"/>
    </row>
    <row r="42" spans="3:9">
      <c r="C42" s="68" t="s">
        <v>56</v>
      </c>
      <c r="D42" s="64">
        <v>-8351138.230000006</v>
      </c>
      <c r="E42" s="64">
        <v>656704.1799999997</v>
      </c>
      <c r="F42">
        <v>10000</v>
      </c>
      <c r="H42" s="117"/>
    </row>
    <row r="43" spans="3:9">
      <c r="C43" s="68" t="s">
        <v>105</v>
      </c>
      <c r="D43" s="64">
        <v>6307902.0400000066</v>
      </c>
      <c r="E43" s="64">
        <v>708236.99000000022</v>
      </c>
      <c r="F43">
        <v>10000</v>
      </c>
      <c r="H43" s="117"/>
    </row>
    <row r="44" spans="3:9">
      <c r="C44" s="68" t="s">
        <v>64</v>
      </c>
      <c r="D44" s="64">
        <v>3876591.0300000049</v>
      </c>
      <c r="E44" s="64">
        <v>472923.08000000054</v>
      </c>
      <c r="F44">
        <v>6500</v>
      </c>
      <c r="H44" s="117"/>
    </row>
    <row r="45" spans="3:9">
      <c r="C45" s="68" t="s">
        <v>106</v>
      </c>
      <c r="D45" s="64">
        <v>7150030</v>
      </c>
      <c r="E45" s="64">
        <v>634842.87000000011</v>
      </c>
      <c r="F45">
        <v>8500</v>
      </c>
      <c r="H45" s="117"/>
    </row>
    <row r="46" spans="3:9">
      <c r="C46" t="s">
        <v>41</v>
      </c>
      <c r="D46" s="64">
        <v>-1241989.9999999991</v>
      </c>
      <c r="E46" s="64">
        <v>64382.599999999569</v>
      </c>
      <c r="F46">
        <v>1000</v>
      </c>
      <c r="H46" s="117"/>
    </row>
    <row r="47" spans="3:9">
      <c r="C47" t="s">
        <v>46</v>
      </c>
      <c r="D47" s="64">
        <v>-12415399.999999998</v>
      </c>
      <c r="E47" s="64">
        <v>656689.04000000656</v>
      </c>
      <c r="F47">
        <v>10000</v>
      </c>
      <c r="H47" s="117"/>
    </row>
    <row r="48" spans="3:9">
      <c r="C48" t="s">
        <v>50</v>
      </c>
      <c r="D48" s="64">
        <v>-24426200.000000022</v>
      </c>
      <c r="E48" s="64">
        <v>1349400</v>
      </c>
      <c r="F48">
        <v>20000</v>
      </c>
      <c r="H48" s="117"/>
    </row>
    <row r="49" spans="3:6">
      <c r="C49" t="s">
        <v>107</v>
      </c>
      <c r="D49" s="64">
        <v>-11579130.999999989</v>
      </c>
      <c r="E49" s="64">
        <v>1114672.299999997</v>
      </c>
      <c r="F49">
        <v>15740</v>
      </c>
    </row>
    <row r="50" spans="3:6">
      <c r="C50" s="61" t="s">
        <v>93</v>
      </c>
      <c r="D50" s="67">
        <f>SUM(D40:D49)</f>
        <v>-58058511.489999995</v>
      </c>
      <c r="E50" s="67">
        <f>SUM(E40:E49)</f>
        <v>7290614.0100000054</v>
      </c>
      <c r="F50" s="67">
        <f>SUM(F40:F49)</f>
        <v>100740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54"/>
  <sheetViews>
    <sheetView workbookViewId="0">
      <selection activeCell="B44" sqref="B44"/>
    </sheetView>
  </sheetViews>
  <sheetFormatPr defaultRowHeight="13.5"/>
  <cols>
    <col min="1" max="1" width="11.625" style="112" bestFit="1" customWidth="1"/>
    <col min="2" max="2" width="19.875" style="111" customWidth="1"/>
  </cols>
  <sheetData>
    <row r="1" spans="1:2">
      <c r="A1" s="108" t="s">
        <v>176</v>
      </c>
      <c r="B1" s="109" t="s">
        <v>177</v>
      </c>
    </row>
    <row r="2" spans="1:2">
      <c r="A2" s="110">
        <v>44562</v>
      </c>
      <c r="B2" s="111">
        <v>0</v>
      </c>
    </row>
    <row r="3" spans="1:2">
      <c r="A3" s="110">
        <v>44563</v>
      </c>
      <c r="B3" s="111">
        <v>0</v>
      </c>
    </row>
    <row r="4" spans="1:2">
      <c r="A4" s="110">
        <v>44564</v>
      </c>
      <c r="B4" s="111">
        <v>0</v>
      </c>
    </row>
    <row r="5" spans="1:2">
      <c r="A5" s="110">
        <v>44565</v>
      </c>
      <c r="B5" s="111">
        <v>2206168.7412176556</v>
      </c>
    </row>
    <row r="6" spans="1:2">
      <c r="A6" s="110">
        <v>44566</v>
      </c>
      <c r="B6" s="111">
        <v>-495310.95549238991</v>
      </c>
    </row>
    <row r="7" spans="1:2">
      <c r="A7" s="110">
        <v>44567</v>
      </c>
      <c r="B7" s="111">
        <v>-3309689.1548384731</v>
      </c>
    </row>
    <row r="8" spans="1:2">
      <c r="A8" s="110">
        <v>44568</v>
      </c>
      <c r="B8" s="111">
        <v>-8212518.160956501</v>
      </c>
    </row>
    <row r="9" spans="1:2">
      <c r="A9" s="110">
        <v>44571</v>
      </c>
      <c r="B9" s="111">
        <v>-10934523.507092847</v>
      </c>
    </row>
    <row r="10" spans="1:2">
      <c r="A10" s="110">
        <v>44572</v>
      </c>
      <c r="B10" s="111">
        <v>-15477729.869999999</v>
      </c>
    </row>
    <row r="11" spans="1:2">
      <c r="A11" s="110">
        <v>44573</v>
      </c>
      <c r="B11" s="111">
        <v>-13339007.982277313</v>
      </c>
    </row>
    <row r="12" spans="1:2">
      <c r="A12" s="110">
        <v>44574</v>
      </c>
      <c r="B12" s="111">
        <v>-13524555.235676438</v>
      </c>
    </row>
    <row r="13" spans="1:2">
      <c r="A13" s="110">
        <v>44575</v>
      </c>
      <c r="B13" s="111">
        <v>-18432099.004445709</v>
      </c>
    </row>
    <row r="14" spans="1:2">
      <c r="A14" s="110">
        <v>44578</v>
      </c>
      <c r="B14" s="111">
        <v>-21765905.094389543</v>
      </c>
    </row>
    <row r="15" spans="1:2">
      <c r="A15" s="110">
        <v>44579</v>
      </c>
      <c r="B15" s="111">
        <v>-23068147.695699573</v>
      </c>
    </row>
    <row r="16" spans="1:2">
      <c r="A16" s="110">
        <v>44580</v>
      </c>
      <c r="B16" s="111">
        <v>-27943015.07962165</v>
      </c>
    </row>
    <row r="17" spans="1:2">
      <c r="A17" s="110">
        <v>44581</v>
      </c>
      <c r="B17" s="111">
        <v>-29987971.794646695</v>
      </c>
    </row>
    <row r="18" spans="1:2">
      <c r="A18" s="110">
        <v>44582</v>
      </c>
      <c r="B18" s="111">
        <v>-32800040.415392518</v>
      </c>
    </row>
    <row r="19" spans="1:2">
      <c r="A19" s="110">
        <v>44585</v>
      </c>
      <c r="B19" s="111">
        <v>-32569957.25004736</v>
      </c>
    </row>
    <row r="20" spans="1:2">
      <c r="A20" s="110">
        <v>44586</v>
      </c>
      <c r="B20" s="111">
        <v>-35865239.628723942</v>
      </c>
    </row>
    <row r="21" spans="1:2">
      <c r="A21" s="110">
        <v>44587</v>
      </c>
      <c r="B21" s="111">
        <v>-40542718.877861708</v>
      </c>
    </row>
    <row r="22" spans="1:2">
      <c r="A22" s="110">
        <v>44588</v>
      </c>
      <c r="B22" s="111">
        <v>-42720172.983540729</v>
      </c>
    </row>
    <row r="23" spans="1:2">
      <c r="A23" s="110">
        <v>44589</v>
      </c>
    </row>
    <row r="24" spans="1:2">
      <c r="A24" s="110"/>
    </row>
    <row r="25" spans="1:2">
      <c r="A25" s="110"/>
    </row>
    <row r="26" spans="1:2">
      <c r="A26" s="110"/>
    </row>
    <row r="27" spans="1:2">
      <c r="A27" s="110"/>
    </row>
    <row r="28" spans="1:2">
      <c r="A28" s="110"/>
    </row>
    <row r="29" spans="1:2">
      <c r="A29" s="110"/>
    </row>
    <row r="30" spans="1:2">
      <c r="A30" s="110"/>
    </row>
    <row r="31" spans="1:2">
      <c r="A31" s="110"/>
    </row>
    <row r="32" spans="1:2">
      <c r="A32" s="110"/>
    </row>
    <row r="33" spans="1:1">
      <c r="A33" s="110"/>
    </row>
    <row r="34" spans="1:1">
      <c r="A34" s="110"/>
    </row>
    <row r="35" spans="1:1">
      <c r="A35" s="110"/>
    </row>
    <row r="36" spans="1:1">
      <c r="A36" s="110"/>
    </row>
    <row r="37" spans="1:1">
      <c r="A37" s="110"/>
    </row>
    <row r="38" spans="1:1">
      <c r="A38" s="110"/>
    </row>
    <row r="39" spans="1:1">
      <c r="A39" s="110"/>
    </row>
    <row r="40" spans="1:1">
      <c r="A40" s="110"/>
    </row>
    <row r="41" spans="1:1">
      <c r="A41" s="110"/>
    </row>
    <row r="42" spans="1:1">
      <c r="A42" s="110"/>
    </row>
    <row r="43" spans="1:1">
      <c r="A43" s="110"/>
    </row>
    <row r="44" spans="1:1">
      <c r="A44" s="110"/>
    </row>
    <row r="45" spans="1:1">
      <c r="A45" s="110"/>
    </row>
    <row r="46" spans="1:1">
      <c r="A46" s="110"/>
    </row>
    <row r="47" spans="1:1">
      <c r="A47" s="110"/>
    </row>
    <row r="48" spans="1:1">
      <c r="A48" s="110"/>
    </row>
    <row r="49" spans="1:1">
      <c r="A49" s="110"/>
    </row>
    <row r="50" spans="1:1">
      <c r="A50" s="110"/>
    </row>
    <row r="51" spans="1:1">
      <c r="A51" s="110"/>
    </row>
    <row r="52" spans="1:1">
      <c r="A52" s="110"/>
    </row>
    <row r="53" spans="1:1">
      <c r="A53" s="110"/>
    </row>
    <row r="54" spans="1:1">
      <c r="A54" s="1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成本法</vt:lpstr>
      <vt:lpstr>市值法</vt:lpstr>
      <vt:lpstr>差异</vt:lpstr>
      <vt:lpstr>账户收益合计更正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2022-02-17T01:48:15Z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318ce7f0</vt:lpwstr>
  </property>
</Properties>
</file>