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2" autoFilterDateGrouping="1"/>
  </bookViews>
  <sheets>
    <sheet xmlns:r="http://schemas.openxmlformats.org/officeDocument/2006/relationships" name="成本法" sheetId="1" state="visible" r:id="rId1"/>
    <sheet xmlns:r="http://schemas.openxmlformats.org/officeDocument/2006/relationships" name="市值法" sheetId="2" state="visible" r:id="rId2"/>
    <sheet xmlns:r="http://schemas.openxmlformats.org/officeDocument/2006/relationships" name="差异" sheetId="3" state="visible" r:id="rId3"/>
    <sheet xmlns:r="http://schemas.openxmlformats.org/officeDocument/2006/relationships" name="账户收益合计更正" sheetId="4" state="visible" r:id="rId4"/>
  </sheets>
  <externalReferences>
    <externalReference xmlns:r="http://schemas.openxmlformats.org/officeDocument/2006/relationships" r:id="rId5"/>
  </externalReferences>
  <definedNames/>
  <calcPr calcId="152511" fullCalcOnLoad="1"/>
</workbook>
</file>

<file path=xl/styles.xml><?xml version="1.0" encoding="utf-8"?>
<styleSheet xmlns="http://schemas.openxmlformats.org/spreadsheetml/2006/main">
  <numFmts count="14">
    <numFmt numFmtId="164" formatCode="#,##0.00_);[Red]\(#,##0.00\)"/>
    <numFmt numFmtId="165" formatCode="#,##0.0000_ "/>
    <numFmt numFmtId="166" formatCode="#,##0.0000_);[Red]\(#,##0.0000\)"/>
    <numFmt numFmtId="167" formatCode="0.0000_ "/>
    <numFmt numFmtId="168" formatCode="0.00_ "/>
    <numFmt numFmtId="169" formatCode="0.0000_);[Red]\(0.0000\)"/>
    <numFmt numFmtId="170" formatCode="#,##0.00_ "/>
    <numFmt numFmtId="171" formatCode="###,###,##0.0000"/>
    <numFmt numFmtId="172" formatCode="#,##0.000000000_ "/>
    <numFmt numFmtId="173" formatCode="#,##0.000000_ "/>
    <numFmt numFmtId="174" formatCode="0.00_);[Red]\(0.00\)"/>
    <numFmt numFmtId="175" formatCode="0_);[Red]\(0\)"/>
    <numFmt numFmtId="176" formatCode="_ * #,##0.00_ ;_ * \-#,##0.00_ ;_ * &quot;-&quot;??_ ;_ @_ "/>
    <numFmt numFmtId="177" formatCode="0.0000"/>
  </numFmts>
  <fonts count="30">
    <font>
      <name val="宋体"/>
      <family val="2"/>
      <color theme="1"/>
      <sz val="11"/>
      <scheme val="minor"/>
    </font>
    <font>
      <name val="宋体"/>
      <family val="2"/>
      <color rgb="FFFF0000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b val="1"/>
      <color rgb="FFFF0000"/>
      <sz val="11"/>
      <scheme val="minor"/>
    </font>
    <font>
      <name val="宋体"/>
      <charset val="134"/>
      <family val="3"/>
      <b val="1"/>
      <color rgb="FFFF0000"/>
      <sz val="11"/>
      <scheme val="minor"/>
    </font>
    <font>
      <name val="宋体"/>
      <charset val="134"/>
      <family val="3"/>
      <color rgb="FFFF0000"/>
      <sz val="11"/>
      <scheme val="minor"/>
    </font>
    <font>
      <name val="宋体"/>
      <charset val="134"/>
      <family val="3"/>
      <color theme="1"/>
      <sz val="10"/>
      <scheme val="minor"/>
    </font>
    <font>
      <name val="宋体"/>
      <family val="2"/>
      <sz val="10"/>
      <scheme val="minor"/>
    </font>
    <font>
      <name val="宋体"/>
      <charset val="134"/>
      <family val="3"/>
      <sz val="10"/>
      <scheme val="minor"/>
    </font>
    <font>
      <name val="宋体"/>
      <charset val="134"/>
      <family val="3"/>
      <b val="1"/>
      <sz val="10"/>
      <scheme val="minor"/>
    </font>
    <font>
      <name val="宋体"/>
      <family val="2"/>
      <color theme="1"/>
      <sz val="10"/>
      <scheme val="minor"/>
    </font>
    <font>
      <name val="宋体"/>
      <charset val="134"/>
      <family val="3"/>
      <color rgb="FF000000"/>
      <sz val="9"/>
    </font>
    <font>
      <name val="宋体"/>
      <charset val="134"/>
      <family val="3"/>
      <sz val="9"/>
    </font>
    <font>
      <name val="宋体"/>
      <charset val="134"/>
      <family val="3"/>
      <b val="1"/>
      <color rgb="FFFF0000"/>
      <sz val="10"/>
      <scheme val="minor"/>
    </font>
    <font>
      <name val="宋体"/>
      <charset val="134"/>
      <family val="3"/>
      <color rgb="FFFF0000"/>
      <sz val="10"/>
      <scheme val="minor"/>
    </font>
    <font>
      <name val="宋体"/>
      <charset val="134"/>
      <family val="3"/>
      <b val="1"/>
      <color theme="1"/>
      <sz val="10"/>
      <scheme val="minor"/>
    </font>
    <font>
      <name val="宋体"/>
      <family val="2"/>
      <color rgb="FFFF0000"/>
      <sz val="10"/>
      <scheme val="minor"/>
    </font>
    <font>
      <name val="宋体"/>
      <charset val="134"/>
      <family val="3"/>
      <b val="1"/>
      <color indexed="81"/>
      <sz val="9"/>
    </font>
    <font>
      <name val="宋体"/>
      <charset val="134"/>
      <family val="3"/>
      <color indexed="81"/>
      <sz val="9"/>
    </font>
    <font>
      <name val="宋体"/>
      <charset val="134"/>
      <family val="3"/>
      <color theme="1"/>
      <sz val="11"/>
    </font>
    <font>
      <name val="宋体"/>
      <charset val="134"/>
      <family val="3"/>
      <sz val="11"/>
    </font>
    <font>
      <name val="宋体"/>
      <charset val="134"/>
      <family val="3"/>
      <color rgb="FFFF0000"/>
      <sz val="11"/>
    </font>
    <font>
      <name val="宋体"/>
      <charset val="134"/>
      <family val="3"/>
      <b val="1"/>
      <color theme="1"/>
      <sz val="11"/>
      <scheme val="minor"/>
    </font>
    <font>
      <name val="宋体"/>
      <charset val="134"/>
      <family val="3"/>
      <color rgb="FF000000"/>
      <sz val="10"/>
    </font>
    <font>
      <name val="宋体"/>
      <charset val="134"/>
      <family val="3"/>
      <sz val="10"/>
    </font>
    <font>
      <name val="宋体"/>
      <charset val="134"/>
      <family val="3"/>
      <b val="1"/>
      <color rgb="FF000000"/>
      <sz val="10"/>
    </font>
    <font>
      <name val="宋体"/>
      <family val="2"/>
      <color theme="1"/>
      <sz val="11"/>
      <scheme val="minor"/>
    </font>
    <font>
      <name val="宋体"/>
      <sz val="10"/>
    </font>
    <font>
      <name val="宋体"/>
      <sz val="9"/>
    </font>
    <font>
      <name val="宋体"/>
      <b val="1"/>
      <color rgb="FFFF0000"/>
    </font>
  </fonts>
  <fills count="12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7999816888943144"/>
      </patternFill>
    </fill>
    <fill>
      <patternFill patternType="solid">
        <fgColor rgb="FFFFFF00"/>
      </patternFill>
    </fill>
    <fill>
      <patternFill patternType="solid">
        <fgColor rgb="00e6e6fa"/>
      </patternFill>
    </fill>
    <fill>
      <patternFill patternType="solid">
        <fgColor rgb="00EEEEEE"/>
      </patternFill>
    </fill>
    <fill>
      <patternFill patternType="solid">
        <fgColor rgb="00FFFFD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26" fillId="0" borderId="0"/>
    <xf numFmtId="43" fontId="26" fillId="0" borderId="0" applyAlignment="1">
      <alignment vertical="center"/>
    </xf>
  </cellStyleXfs>
  <cellXfs count="254">
    <xf numFmtId="0" fontId="0" fillId="0" borderId="0" pivotButton="0" quotePrefix="0" xfId="0"/>
    <xf numFmtId="14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164" fontId="3" fillId="3" borderId="0" applyAlignment="1" pivotButton="0" quotePrefix="0" xfId="0">
      <alignment horizontal="center"/>
    </xf>
    <xf numFmtId="165" fontId="4" fillId="3" borderId="0" applyAlignment="1" pivotButton="0" quotePrefix="0" xfId="0">
      <alignment horizontal="center"/>
    </xf>
    <xf numFmtId="0" fontId="3" fillId="3" borderId="0" applyAlignment="1" pivotButton="0" quotePrefix="0" xfId="0">
      <alignment horizontal="center"/>
    </xf>
    <xf numFmtId="0" fontId="3" fillId="4" borderId="0" applyAlignment="1" pivotButton="0" quotePrefix="0" xfId="0">
      <alignment horizontal="center"/>
    </xf>
    <xf numFmtId="166" fontId="4" fillId="4" borderId="0" applyAlignment="1" pivotButton="0" quotePrefix="0" xfId="0">
      <alignment horizontal="center"/>
    </xf>
    <xf numFmtId="167" fontId="4" fillId="4" borderId="0" applyAlignment="1" pivotButton="0" quotePrefix="0" xfId="0">
      <alignment horizontal="center"/>
    </xf>
    <xf numFmtId="0" fontId="4" fillId="4" borderId="0" applyAlignment="1" pivotButton="0" quotePrefix="0" xfId="0">
      <alignment horizontal="center"/>
    </xf>
    <xf numFmtId="168" fontId="4" fillId="4" borderId="0" applyAlignment="1" pivotButton="0" quotePrefix="0" xfId="0">
      <alignment horizontal="center"/>
    </xf>
    <xf numFmtId="10" fontId="4" fillId="4" borderId="0" applyAlignment="1" pivotButton="0" quotePrefix="0" xfId="0">
      <alignment horizontal="center"/>
    </xf>
    <xf numFmtId="10" fontId="5" fillId="4" borderId="0" applyAlignment="1" pivotButton="0" quotePrefix="0" xfId="0">
      <alignment horizontal="center"/>
    </xf>
    <xf numFmtId="14" fontId="6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 vertical="center"/>
    </xf>
    <xf numFmtId="169" fontId="7" fillId="5" borderId="0" applyAlignment="1" pivotButton="0" quotePrefix="0" xfId="0">
      <alignment horizontal="center" vertical="center"/>
    </xf>
    <xf numFmtId="170" fontId="8" fillId="5" borderId="0" applyAlignment="1" pivotButton="0" quotePrefix="0" xfId="0">
      <alignment horizontal="center" vertical="center"/>
    </xf>
    <xf numFmtId="0" fontId="8" fillId="2" borderId="0" applyAlignment="1" pivotButton="0" quotePrefix="0" xfId="0">
      <alignment horizontal="center"/>
    </xf>
    <xf numFmtId="168" fontId="8" fillId="2" borderId="0" applyAlignment="1" pivotButton="0" quotePrefix="0" xfId="0">
      <alignment horizontal="center"/>
    </xf>
    <xf numFmtId="0" fontId="9" fillId="2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8" fillId="5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4" fontId="11" fillId="0" borderId="0" applyAlignment="1" pivotButton="0" quotePrefix="0" xfId="0">
      <alignment horizontal="center" vertical="center"/>
    </xf>
    <xf numFmtId="164" fontId="13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9" fontId="8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49" fontId="6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center" vertical="center"/>
    </xf>
    <xf numFmtId="171" fontId="8" fillId="0" borderId="0" applyAlignment="1" pivotButton="0" quotePrefix="0" xfId="0">
      <alignment horizontal="center"/>
    </xf>
    <xf numFmtId="170" fontId="8" fillId="0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64" fontId="1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164" fontId="13" fillId="0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 vertical="center"/>
    </xf>
    <xf numFmtId="171" fontId="6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6" fillId="0" borderId="0" applyAlignment="1" pivotButton="0" quotePrefix="0" xfId="0">
      <alignment horizontal="center"/>
    </xf>
    <xf numFmtId="170" fontId="14" fillId="0" borderId="0" applyAlignment="1" pivotButton="0" quotePrefix="0" xfId="0">
      <alignment horizontal="center"/>
    </xf>
    <xf numFmtId="164" fontId="10" fillId="0" borderId="0" applyAlignment="1" pivotButton="0" quotePrefix="0" xfId="0">
      <alignment horizontal="center"/>
    </xf>
    <xf numFmtId="167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/>
    </xf>
    <xf numFmtId="167" fontId="6" fillId="0" borderId="0" applyAlignment="1" pivotButton="0" quotePrefix="0" xfId="0">
      <alignment horizontal="center" vertical="center"/>
    </xf>
    <xf numFmtId="164" fontId="14" fillId="0" borderId="0" applyAlignment="1" pivotButton="0" quotePrefix="0" xfId="0">
      <alignment horizontal="center" vertical="center"/>
    </xf>
    <xf numFmtId="168" fontId="14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4" fontId="10" fillId="0" borderId="0" applyAlignment="1" pivotButton="0" quotePrefix="0" xfId="0">
      <alignment horizontal="center"/>
    </xf>
    <xf numFmtId="166" fontId="16" fillId="0" borderId="0" applyAlignment="1" pivotButton="0" quotePrefix="0" xfId="0">
      <alignment horizontal="center"/>
    </xf>
    <xf numFmtId="165" fontId="14" fillId="0" borderId="0" applyAlignment="1" pivotButton="0" quotePrefix="0" xfId="0">
      <alignment horizontal="center"/>
    </xf>
    <xf numFmtId="0" fontId="1" fillId="0" borderId="0" pivotButton="0" quotePrefix="0" xfId="0"/>
    <xf numFmtId="0" fontId="5" fillId="0" borderId="0" pivotButton="0" quotePrefix="0" xfId="0"/>
    <xf numFmtId="4" fontId="0" fillId="0" borderId="0" pivotButton="0" quotePrefix="0" xfId="0"/>
    <xf numFmtId="170" fontId="0" fillId="0" borderId="0" pivotButton="0" quotePrefix="0" xfId="0"/>
    <xf numFmtId="172" fontId="0" fillId="0" borderId="0" pivotButton="0" quotePrefix="0" xfId="0"/>
    <xf numFmtId="170" fontId="21" fillId="0" borderId="0" applyAlignment="1" pivotButton="0" quotePrefix="0" xfId="0">
      <alignment vertical="center"/>
    </xf>
    <xf numFmtId="170" fontId="5" fillId="0" borderId="0" pivotButton="0" quotePrefix="0" xfId="0"/>
    <xf numFmtId="0" fontId="22" fillId="0" borderId="0" pivotButton="0" quotePrefix="0" xfId="0"/>
    <xf numFmtId="173" fontId="0" fillId="0" borderId="0" pivotButton="0" quotePrefix="0" xfId="0"/>
    <xf numFmtId="174" fontId="19" fillId="0" borderId="0" applyAlignment="1" pivotButton="0" quotePrefix="0" xfId="0">
      <alignment horizontal="center" vertical="center"/>
    </xf>
    <xf numFmtId="174" fontId="20" fillId="0" borderId="0" applyAlignment="1" pivotButton="0" quotePrefix="0" xfId="0">
      <alignment horizontal="center" vertical="center"/>
    </xf>
    <xf numFmtId="4" fontId="0" fillId="2" borderId="0" pivotButton="0" quotePrefix="0" xfId="0"/>
    <xf numFmtId="170" fontId="21" fillId="2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23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49" fontId="23" fillId="0" borderId="0" applyAlignment="1" pivotButton="0" quotePrefix="0" xfId="0">
      <alignment horizontal="center" vertical="center"/>
    </xf>
    <xf numFmtId="175" fontId="23" fillId="0" borderId="0" applyAlignment="1" pivotButton="0" quotePrefix="0" xfId="0">
      <alignment horizontal="center" vertical="center"/>
    </xf>
    <xf numFmtId="169" fontId="24" fillId="0" borderId="0" applyAlignment="1" pivotButton="0" quotePrefix="0" xfId="0">
      <alignment horizontal="center" vertical="center"/>
    </xf>
    <xf numFmtId="164" fontId="24" fillId="0" borderId="0" applyAlignment="1" pivotButton="0" quotePrefix="0" xfId="0">
      <alignment horizontal="center"/>
    </xf>
    <xf numFmtId="49" fontId="23" fillId="6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164" fontId="23" fillId="0" borderId="0" applyAlignment="1" pivotButton="0" quotePrefix="0" xfId="0">
      <alignment horizontal="center" vertical="center"/>
    </xf>
    <xf numFmtId="164" fontId="24" fillId="0" borderId="0" applyAlignment="1" pivotButton="0" quotePrefix="0" xfId="0">
      <alignment horizontal="center" vertical="center"/>
    </xf>
    <xf numFmtId="14" fontId="24" fillId="0" borderId="0" applyAlignment="1" pivotButton="0" quotePrefix="0" xfId="0">
      <alignment horizontal="center" vertical="center"/>
    </xf>
    <xf numFmtId="49" fontId="24" fillId="0" borderId="0" applyAlignment="1" pivotButton="0" quotePrefix="0" xfId="0">
      <alignment horizontal="center" vertical="center"/>
    </xf>
    <xf numFmtId="170" fontId="24" fillId="0" borderId="0" applyAlignment="1" pivotButton="0" quotePrefix="0" xfId="0">
      <alignment horizontal="center" vertical="center"/>
    </xf>
    <xf numFmtId="170" fontId="6" fillId="0" borderId="0" applyAlignment="1" pivotButton="0" quotePrefix="0" xfId="0">
      <alignment horizontal="center"/>
    </xf>
    <xf numFmtId="171" fontId="13" fillId="0" borderId="0" applyAlignment="1" pivotButton="0" quotePrefix="0" xfId="0">
      <alignment horizontal="center"/>
    </xf>
    <xf numFmtId="14" fontId="24" fillId="5" borderId="0" applyAlignment="1" pivotButton="0" quotePrefix="0" xfId="0">
      <alignment horizontal="center" vertical="center"/>
    </xf>
    <xf numFmtId="170" fontId="13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center" vertical="center"/>
    </xf>
    <xf numFmtId="0" fontId="14" fillId="5" borderId="0" applyAlignment="1" pivotButton="0" quotePrefix="0" xfId="0">
      <alignment vertical="center"/>
    </xf>
    <xf numFmtId="0" fontId="8" fillId="0" borderId="0" applyAlignment="1" pivotButton="0" quotePrefix="0" xfId="0">
      <alignment horizontal="center"/>
    </xf>
    <xf numFmtId="164" fontId="8" fillId="5" borderId="0" applyAlignment="1" pivotButton="0" quotePrefix="0" xfId="0">
      <alignment horizontal="center"/>
    </xf>
    <xf numFmtId="171" fontId="9" fillId="5" borderId="0" applyAlignment="1" pivotButton="0" quotePrefix="0" xfId="0">
      <alignment horizontal="center"/>
    </xf>
    <xf numFmtId="171" fontId="8" fillId="5" borderId="0" applyAlignment="1" pivotButton="0" quotePrefix="0" xfId="0">
      <alignment horizontal="center"/>
    </xf>
    <xf numFmtId="170" fontId="8" fillId="5" borderId="0" applyAlignment="1" pivotButton="0" quotePrefix="0" xfId="0">
      <alignment horizontal="center"/>
    </xf>
    <xf numFmtId="0" fontId="15" fillId="5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64" fontId="23" fillId="0" borderId="0" applyAlignment="1" pivotButton="0" quotePrefix="0" xfId="0">
      <alignment vertical="center"/>
    </xf>
    <xf numFmtId="0" fontId="23" fillId="0" borderId="0" applyAlignment="1" pivotButton="0" quotePrefix="0" xfId="0">
      <alignment horizontal="left" vertical="center"/>
    </xf>
    <xf numFmtId="0" fontId="23" fillId="0" borderId="0" applyAlignment="1" pivotButton="0" quotePrefix="0" xfId="0">
      <alignment vertical="center"/>
    </xf>
    <xf numFmtId="0" fontId="25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center"/>
    </xf>
    <xf numFmtId="167" fontId="6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170" fontId="19" fillId="0" borderId="0" applyAlignment="1" pivotButton="0" quotePrefix="0" xfId="0">
      <alignment horizontal="center" vertical="center"/>
    </xf>
    <xf numFmtId="14" fontId="19" fillId="0" borderId="0" applyAlignment="1" pivotButton="0" quotePrefix="0" xfId="0">
      <alignment vertical="center"/>
    </xf>
    <xf numFmtId="170" fontId="19" fillId="0" borderId="0" applyAlignment="1" pivotButton="0" quotePrefix="0" xfId="0">
      <alignment vertical="center"/>
    </xf>
    <xf numFmtId="0" fontId="19" fillId="0" borderId="0" applyAlignment="1" pivotButton="0" quotePrefix="0" xfId="0">
      <alignment vertical="center"/>
    </xf>
    <xf numFmtId="0" fontId="0" fillId="0" borderId="0" pivotButton="0" quotePrefix="0" xfId="0"/>
    <xf numFmtId="0" fontId="6" fillId="5" borderId="0" applyAlignment="1" pivotButton="0" quotePrefix="0" xfId="0">
      <alignment horizontal="center"/>
    </xf>
    <xf numFmtId="164" fontId="23" fillId="0" borderId="1" pivotButton="0" quotePrefix="0" xfId="0"/>
    <xf numFmtId="176" fontId="23" fillId="0" borderId="1" pivotButton="0" quotePrefix="0" xfId="1"/>
    <xf numFmtId="176" fontId="0" fillId="0" borderId="0" pivotButton="0" quotePrefix="0" xfId="0"/>
    <xf numFmtId="164" fontId="10" fillId="0" borderId="0" applyAlignment="1" pivotButton="0" quotePrefix="0" xfId="0">
      <alignment horizontal="center"/>
    </xf>
    <xf numFmtId="168" fontId="14" fillId="0" borderId="0" applyAlignment="1" pivotButton="0" quotePrefix="0" xfId="0">
      <alignment horizontal="center"/>
    </xf>
    <xf numFmtId="164" fontId="3" fillId="3" borderId="0" applyAlignment="1" pivotButton="0" quotePrefix="0" xfId="0">
      <alignment horizontal="center"/>
    </xf>
    <xf numFmtId="165" fontId="4" fillId="3" borderId="0" applyAlignment="1" pivotButton="0" quotePrefix="0" xfId="0">
      <alignment horizontal="center"/>
    </xf>
    <xf numFmtId="166" fontId="4" fillId="4" borderId="0" applyAlignment="1" pivotButton="0" quotePrefix="0" xfId="0">
      <alignment horizontal="center"/>
    </xf>
    <xf numFmtId="167" fontId="4" fillId="4" borderId="0" applyAlignment="1" pivotButton="0" quotePrefix="0" xfId="0">
      <alignment horizontal="center"/>
    </xf>
    <xf numFmtId="168" fontId="4" fillId="4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9" fontId="7" fillId="5" borderId="0" applyAlignment="1" pivotButton="0" quotePrefix="0" xfId="0">
      <alignment horizontal="center" vertical="center"/>
    </xf>
    <xf numFmtId="170" fontId="8" fillId="5" borderId="0" applyAlignment="1" pivotButton="0" quotePrefix="0" xfId="0">
      <alignment horizontal="center" vertical="center"/>
    </xf>
    <xf numFmtId="168" fontId="8" fillId="2" borderId="0" applyAlignment="1" pivotButton="0" quotePrefix="0" xfId="0">
      <alignment horizontal="center"/>
    </xf>
    <xf numFmtId="175" fontId="23" fillId="0" borderId="0" applyAlignment="1" pivotButton="0" quotePrefix="0" xfId="0">
      <alignment horizontal="center" vertical="center"/>
    </xf>
    <xf numFmtId="169" fontId="24" fillId="0" borderId="0" applyAlignment="1" pivotButton="0" quotePrefix="0" xfId="0">
      <alignment horizontal="center" vertical="center"/>
    </xf>
    <xf numFmtId="164" fontId="24" fillId="0" borderId="0" applyAlignment="1" pivotButton="0" quotePrefix="0" xfId="0">
      <alignment horizontal="center"/>
    </xf>
    <xf numFmtId="171" fontId="8" fillId="0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/>
    </xf>
    <xf numFmtId="170" fontId="8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/>
    </xf>
    <xf numFmtId="164" fontId="23" fillId="0" borderId="0" applyAlignment="1" pivotButton="0" quotePrefix="0" xfId="0">
      <alignment horizontal="center" vertical="center"/>
    </xf>
    <xf numFmtId="164" fontId="24" fillId="0" borderId="0" applyAlignment="1" pivotButton="0" quotePrefix="0" xfId="0">
      <alignment horizontal="center" vertical="center"/>
    </xf>
    <xf numFmtId="170" fontId="24" fillId="0" borderId="0" applyAlignment="1" pivotButton="0" quotePrefix="0" xfId="0">
      <alignment horizontal="center" vertical="center"/>
    </xf>
    <xf numFmtId="171" fontId="6" fillId="0" borderId="0" applyAlignment="1" pivotButton="0" quotePrefix="0" xfId="0">
      <alignment horizontal="center"/>
    </xf>
    <xf numFmtId="170" fontId="6" fillId="0" borderId="0" applyAlignment="1" pivotButton="0" quotePrefix="0" xfId="0">
      <alignment horizontal="center"/>
    </xf>
    <xf numFmtId="164" fontId="8" fillId="0" borderId="0" applyAlignment="1" pivotButton="0" quotePrefix="0" xfId="0">
      <alignment horizontal="center" vertical="center"/>
    </xf>
    <xf numFmtId="169" fontId="8" fillId="0" borderId="0" applyAlignment="1" pivotButton="0" quotePrefix="0" xfId="0">
      <alignment horizontal="center" vertical="center"/>
    </xf>
    <xf numFmtId="164" fontId="13" fillId="0" borderId="0" applyAlignment="1" pivotButton="0" quotePrefix="0" xfId="0">
      <alignment horizontal="center" vertical="center"/>
    </xf>
    <xf numFmtId="171" fontId="13" fillId="0" borderId="0" applyAlignment="1" pivotButton="0" quotePrefix="0" xfId="0">
      <alignment horizontal="center"/>
    </xf>
    <xf numFmtId="170" fontId="13" fillId="0" borderId="0" applyAlignment="1" pivotButton="0" quotePrefix="0" xfId="0">
      <alignment horizontal="center"/>
    </xf>
    <xf numFmtId="164" fontId="13" fillId="0" borderId="0" applyAlignment="1" pivotButton="0" quotePrefix="0" xfId="0">
      <alignment horizontal="center"/>
    </xf>
    <xf numFmtId="164" fontId="8" fillId="5" borderId="0" applyAlignment="1" pivotButton="0" quotePrefix="0" xfId="0">
      <alignment horizontal="center"/>
    </xf>
    <xf numFmtId="171" fontId="9" fillId="5" borderId="0" applyAlignment="1" pivotButton="0" quotePrefix="0" xfId="0">
      <alignment horizontal="center"/>
    </xf>
    <xf numFmtId="171" fontId="8" fillId="5" borderId="0" applyAlignment="1" pivotButton="0" quotePrefix="0" xfId="0">
      <alignment horizontal="center"/>
    </xf>
    <xf numFmtId="170" fontId="8" fillId="5" borderId="0" applyAlignment="1" pivotButton="0" quotePrefix="0" xfId="0">
      <alignment horizontal="center"/>
    </xf>
    <xf numFmtId="164" fontId="23" fillId="0" borderId="0" applyAlignment="1" pivotButton="0" quotePrefix="0" xfId="0">
      <alignment vertical="center"/>
    </xf>
    <xf numFmtId="167" fontId="8" fillId="0" borderId="0" applyAlignment="1" pivotButton="0" quotePrefix="0" xfId="0">
      <alignment horizontal="center"/>
    </xf>
    <xf numFmtId="167" fontId="6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/>
    </xf>
    <xf numFmtId="167" fontId="6" fillId="0" borderId="0" applyAlignment="1" pivotButton="0" quotePrefix="0" xfId="0">
      <alignment horizontal="center" vertical="center"/>
    </xf>
    <xf numFmtId="170" fontId="14" fillId="0" borderId="0" applyAlignment="1" pivotButton="0" quotePrefix="0" xfId="0">
      <alignment horizontal="center"/>
    </xf>
    <xf numFmtId="164" fontId="14" fillId="0" borderId="0" applyAlignment="1" pivotButton="0" quotePrefix="0" xfId="0">
      <alignment horizontal="center" vertical="center"/>
    </xf>
    <xf numFmtId="164" fontId="14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166" fontId="16" fillId="0" borderId="0" applyAlignment="1" pivotButton="0" quotePrefix="0" xfId="0">
      <alignment horizontal="center"/>
    </xf>
    <xf numFmtId="165" fontId="14" fillId="0" borderId="0" applyAlignment="1" pivotButton="0" quotePrefix="0" xfId="0">
      <alignment horizontal="center"/>
    </xf>
    <xf numFmtId="14" fontId="1" fillId="2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3" fillId="3" borderId="0" applyAlignment="1" pivotButton="0" quotePrefix="0" xfId="0">
      <alignment horizontal="right"/>
    </xf>
    <xf numFmtId="165" fontId="4" fillId="3" borderId="0" applyAlignment="1" pivotButton="0" quotePrefix="0" xfId="0">
      <alignment horizontal="right"/>
    </xf>
    <xf numFmtId="0" fontId="3" fillId="3" borderId="0" applyAlignment="1" pivotButton="0" quotePrefix="0" xfId="0">
      <alignment horizontal="right"/>
    </xf>
    <xf numFmtId="0" fontId="3" fillId="4" borderId="0" applyAlignment="1" pivotButton="0" quotePrefix="0" xfId="0">
      <alignment horizontal="right"/>
    </xf>
    <xf numFmtId="166" fontId="4" fillId="4" borderId="0" applyAlignment="1" pivotButton="0" quotePrefix="0" xfId="0">
      <alignment horizontal="right"/>
    </xf>
    <xf numFmtId="167" fontId="4" fillId="4" borderId="0" applyAlignment="1" pivotButton="0" quotePrefix="0" xfId="0">
      <alignment horizontal="right"/>
    </xf>
    <xf numFmtId="0" fontId="0" fillId="7" borderId="0" applyAlignment="1" pivotButton="0" quotePrefix="0" xfId="0">
      <alignment horizontal="right"/>
    </xf>
    <xf numFmtId="177" fontId="29" fillId="7" borderId="0" applyAlignment="1" pivotButton="0" quotePrefix="0" xfId="0">
      <alignment horizontal="right"/>
    </xf>
    <xf numFmtId="0" fontId="4" fillId="4" borderId="0" applyAlignment="1" pivotButton="0" quotePrefix="0" xfId="0">
      <alignment horizontal="right"/>
    </xf>
    <xf numFmtId="168" fontId="4" fillId="4" borderId="0" applyAlignment="1" pivotButton="0" quotePrefix="0" xfId="0">
      <alignment horizontal="right"/>
    </xf>
    <xf numFmtId="10" fontId="4" fillId="4" borderId="0" applyAlignment="1" pivotButton="0" quotePrefix="0" xfId="0">
      <alignment horizontal="right"/>
    </xf>
    <xf numFmtId="10" fontId="5" fillId="4" borderId="0" applyAlignment="1" pivotButton="0" quotePrefix="0" xfId="0">
      <alignment horizontal="right"/>
    </xf>
    <xf numFmtId="14" fontId="6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49" fontId="6" fillId="0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169" fontId="7" fillId="5" borderId="0" applyAlignment="1" pivotButton="0" quotePrefix="0" xfId="0">
      <alignment horizontal="right"/>
    </xf>
    <xf numFmtId="170" fontId="8" fillId="5" borderId="0" applyAlignment="1" pivotButton="0" quotePrefix="0" xfId="0">
      <alignment horizontal="right"/>
    </xf>
    <xf numFmtId="0" fontId="8" fillId="2" borderId="0" applyAlignment="1" pivotButton="0" quotePrefix="0" xfId="0">
      <alignment horizontal="right"/>
    </xf>
    <xf numFmtId="168" fontId="8" fillId="2" borderId="0" applyAlignment="1" pivotButton="0" quotePrefix="0" xfId="0">
      <alignment horizontal="right"/>
    </xf>
    <xf numFmtId="0" fontId="27" fillId="8" borderId="0" applyAlignment="1" pivotButton="0" quotePrefix="0" xfId="0">
      <alignment horizontal="right"/>
    </xf>
    <xf numFmtId="0" fontId="9" fillId="2" borderId="0" applyAlignment="1" pivotButton="0" quotePrefix="0" xfId="0">
      <alignment horizontal="right"/>
    </xf>
    <xf numFmtId="0" fontId="8" fillId="0" borderId="0" applyAlignment="1" pivotButton="0" quotePrefix="0" xfId="0">
      <alignment horizontal="right"/>
    </xf>
    <xf numFmtId="14" fontId="23" fillId="0" borderId="0" applyAlignment="1" pivotButton="0" quotePrefix="0" xfId="0">
      <alignment horizontal="left"/>
    </xf>
    <xf numFmtId="0" fontId="23" fillId="0" borderId="0" applyAlignment="1" pivotButton="0" quotePrefix="0" xfId="0">
      <alignment horizontal="left"/>
    </xf>
    <xf numFmtId="49" fontId="23" fillId="0" borderId="0" applyAlignment="1" pivotButton="0" quotePrefix="0" xfId="0">
      <alignment horizontal="right"/>
    </xf>
    <xf numFmtId="175" fontId="23" fillId="0" borderId="0" applyAlignment="1" pivotButton="0" quotePrefix="0" xfId="0">
      <alignment horizontal="right"/>
    </xf>
    <xf numFmtId="169" fontId="24" fillId="0" borderId="0" applyAlignment="1" pivotButton="0" quotePrefix="0" xfId="0">
      <alignment horizontal="right"/>
    </xf>
    <xf numFmtId="164" fontId="24" fillId="0" borderId="0" applyAlignment="1" pivotButton="0" quotePrefix="0" xfId="0">
      <alignment horizontal="right"/>
    </xf>
    <xf numFmtId="171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71" fontId="28" fillId="0" borderId="0" applyAlignment="1" pivotButton="0" quotePrefix="0" xfId="0">
      <alignment horizontal="right"/>
    </xf>
    <xf numFmtId="164" fontId="28" fillId="0" borderId="0" applyAlignment="1" pivotButton="0" quotePrefix="0" xfId="0">
      <alignment horizontal="right"/>
    </xf>
    <xf numFmtId="1" fontId="28" fillId="0" borderId="0" applyAlignment="1" pivotButton="0" quotePrefix="0" xfId="0">
      <alignment horizontal="right"/>
    </xf>
    <xf numFmtId="170" fontId="8" fillId="0" borderId="0" applyAlignment="1" pivotButton="0" quotePrefix="0" xfId="0">
      <alignment horizontal="right"/>
    </xf>
    <xf numFmtId="49" fontId="23" fillId="6" borderId="0" applyAlignment="1" pivotButton="0" quotePrefix="0" xfId="0">
      <alignment horizontal="right"/>
    </xf>
    <xf numFmtId="0" fontId="24" fillId="0" borderId="0" applyAlignment="1" pivotButton="0" quotePrefix="0" xfId="0">
      <alignment horizontal="left"/>
    </xf>
    <xf numFmtId="164" fontId="23" fillId="0" borderId="0" applyAlignment="1" pivotButton="0" quotePrefix="0" xfId="0">
      <alignment horizontal="right"/>
    </xf>
    <xf numFmtId="14" fontId="24" fillId="0" borderId="0" applyAlignment="1" pivotButton="0" quotePrefix="0" xfId="0">
      <alignment horizontal="left"/>
    </xf>
    <xf numFmtId="49" fontId="24" fillId="0" borderId="0" applyAlignment="1" pivotButton="0" quotePrefix="0" xfId="0">
      <alignment horizontal="right"/>
    </xf>
    <xf numFmtId="170" fontId="24" fillId="0" borderId="0" applyAlignment="1" pivotButton="0" quotePrefix="0" xfId="0">
      <alignment horizontal="right"/>
    </xf>
    <xf numFmtId="171" fontId="6" fillId="0" borderId="0" applyAlignment="1" pivotButton="0" quotePrefix="0" xfId="0">
      <alignment horizontal="right"/>
    </xf>
    <xf numFmtId="170" fontId="6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left"/>
    </xf>
    <xf numFmtId="169" fontId="8" fillId="0" borderId="0" applyAlignment="1" pivotButton="0" quotePrefix="0" xfId="0">
      <alignment horizontal="right"/>
    </xf>
    <xf numFmtId="171" fontId="28" fillId="10" borderId="0" applyAlignment="1" pivotButton="0" quotePrefix="0" xfId="0">
      <alignment horizontal="right"/>
    </xf>
    <xf numFmtId="171" fontId="28" fillId="11" borderId="0" applyAlignment="1" pivotButton="0" quotePrefix="0" xfId="0">
      <alignment horizontal="right"/>
    </xf>
    <xf numFmtId="164" fontId="13" fillId="0" borderId="0" applyAlignment="1" pivotButton="0" quotePrefix="0" xfId="0">
      <alignment horizontal="left"/>
    </xf>
    <xf numFmtId="171" fontId="13" fillId="0" borderId="0" applyAlignment="1" pivotButton="0" quotePrefix="0" xfId="0">
      <alignment horizontal="right"/>
    </xf>
    <xf numFmtId="14" fontId="24" fillId="5" borderId="0" applyAlignment="1" pivotButton="0" quotePrefix="0" xfId="0">
      <alignment horizontal="left"/>
    </xf>
    <xf numFmtId="49" fontId="1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right"/>
    </xf>
    <xf numFmtId="49" fontId="8" fillId="0" borderId="0" applyAlignment="1" pivotButton="0" quotePrefix="0" xfId="0">
      <alignment horizontal="left"/>
    </xf>
    <xf numFmtId="164" fontId="8" fillId="5" borderId="0" applyAlignment="1" pivotButton="0" quotePrefix="0" xfId="0">
      <alignment horizontal="right"/>
    </xf>
    <xf numFmtId="171" fontId="9" fillId="5" borderId="0" applyAlignment="1" pivotButton="0" quotePrefix="0" xfId="0">
      <alignment horizontal="right"/>
    </xf>
    <xf numFmtId="171" fontId="8" fillId="5" borderId="0" applyAlignment="1" pivotButton="0" quotePrefix="0" xfId="0">
      <alignment horizontal="right"/>
    </xf>
    <xf numFmtId="0" fontId="23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167" fontId="8" fillId="0" borderId="0" applyAlignment="1" pivotButton="0" quotePrefix="0" xfId="0">
      <alignment horizontal="right"/>
    </xf>
    <xf numFmtId="167" fontId="6" fillId="0" borderId="0" applyAlignment="1" pivotButton="0" quotePrefix="0" xfId="0">
      <alignment horizontal="right"/>
    </xf>
    <xf numFmtId="166" fontId="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6" fillId="0" borderId="0" applyAlignment="1" pivotButton="0" quotePrefix="0" xfId="0">
      <alignment horizontal="right"/>
    </xf>
    <xf numFmtId="170" fontId="14" fillId="0" borderId="0" applyAlignment="1" pivotButton="0" quotePrefix="0" xfId="0">
      <alignment horizontal="right"/>
    </xf>
    <xf numFmtId="164" fontId="27" fillId="0" borderId="0" applyAlignment="1" pivotButton="0" quotePrefix="0" xfId="0">
      <alignment horizontal="right"/>
    </xf>
    <xf numFmtId="164" fontId="14" fillId="0" borderId="0" applyAlignment="1" pivotButton="0" quotePrefix="0" xfId="0">
      <alignment horizontal="right"/>
    </xf>
    <xf numFmtId="0" fontId="27" fillId="0" borderId="0" applyAlignment="1" pivotButton="0" quotePrefix="0" xfId="0">
      <alignment horizontal="right"/>
    </xf>
    <xf numFmtId="14" fontId="11" fillId="0" borderId="0" applyAlignment="1" pivotButton="0" quotePrefix="0" xfId="0">
      <alignment horizontal="left"/>
    </xf>
    <xf numFmtId="2" fontId="27" fillId="0" borderId="0" applyAlignment="1" pivotButton="0" quotePrefix="0" xfId="0">
      <alignment horizontal="right"/>
    </xf>
    <xf numFmtId="164" fontId="27" fillId="9" borderId="0" applyAlignment="1" pivotButton="0" quotePrefix="0" xfId="0">
      <alignment horizontal="right"/>
    </xf>
    <xf numFmtId="2" fontId="27" fillId="9" borderId="0" applyAlignment="1" pivotButton="0" quotePrefix="0" xfId="0">
      <alignment horizontal="right"/>
    </xf>
    <xf numFmtId="0" fontId="16" fillId="0" borderId="0" applyAlignment="1" pivotButton="0" quotePrefix="0" xfId="0">
      <alignment horizontal="left"/>
    </xf>
    <xf numFmtId="166" fontId="16" fillId="0" borderId="0" applyAlignment="1" pivotButton="0" quotePrefix="0" xfId="0">
      <alignment horizontal="right"/>
    </xf>
    <xf numFmtId="165" fontId="1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left"/>
    </xf>
    <xf numFmtId="164" fontId="10" fillId="0" borderId="0" applyAlignment="1" pivotButton="0" quotePrefix="0" xfId="0">
      <alignment horizontal="right"/>
    </xf>
    <xf numFmtId="170" fontId="0" fillId="0" borderId="0" pivotButton="0" quotePrefix="0" xfId="0"/>
    <xf numFmtId="173" fontId="0" fillId="0" borderId="0" pivotButton="0" quotePrefix="0" xfId="0"/>
    <xf numFmtId="172" fontId="0" fillId="0" borderId="0" pivotButton="0" quotePrefix="0" xfId="0"/>
    <xf numFmtId="174" fontId="19" fillId="0" borderId="0" applyAlignment="1" pivotButton="0" quotePrefix="0" xfId="0">
      <alignment horizontal="center" vertical="center"/>
    </xf>
    <xf numFmtId="174" fontId="20" fillId="0" borderId="0" applyAlignment="1" pivotButton="0" quotePrefix="0" xfId="0">
      <alignment horizontal="center" vertical="center"/>
    </xf>
    <xf numFmtId="164" fontId="23" fillId="0" borderId="1" pivotButton="0" quotePrefix="0" xfId="0"/>
    <xf numFmtId="176" fontId="23" fillId="0" borderId="1" pivotButton="0" quotePrefix="0" xfId="1"/>
    <xf numFmtId="170" fontId="21" fillId="2" borderId="0" applyAlignment="1" pivotButton="0" quotePrefix="0" xfId="0">
      <alignment vertical="center"/>
    </xf>
    <xf numFmtId="170" fontId="21" fillId="0" borderId="0" applyAlignment="1" pivotButton="0" quotePrefix="0" xfId="0">
      <alignment vertical="center"/>
    </xf>
    <xf numFmtId="176" fontId="0" fillId="0" borderId="0" pivotButton="0" quotePrefix="0" xfId="0"/>
    <xf numFmtId="170" fontId="5" fillId="0" borderId="0" pivotButton="0" quotePrefix="0" xfId="0"/>
    <xf numFmtId="170" fontId="19" fillId="0" borderId="0" applyAlignment="1" pivotButton="0" quotePrefix="0" xfId="0">
      <alignment vertical="center"/>
    </xf>
    <xf numFmtId="170" fontId="19" fillId="0" borderId="0" applyAlignment="1" pivotButton="0" quotePrefix="0" xfId="0">
      <alignment horizontal="center" vertical="center"/>
    </xf>
  </cellXfs>
  <cellStyles count="2">
    <cellStyle name="常规" xfId="0" builtinId="0"/>
    <cellStyle name="千位分隔" xfId="1" builtinId="3"/>
  </cellStyles>
  <dxfs count="1">
    <dxf>
      <fill>
        <patternFill patternType="solid">
          <fgColor rgb="FFFF0000"/>
          <bgColor rgb="FFFFFFFF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作者</author>
  </authors>
  <commentList>
    <comment ref="I23" authorId="0" shapeId="0">
      <text>
        <t xml:space="preserve">作者:
成本法
</t>
      </text>
    </comment>
    <comment ref="I35" authorId="0" shapeId="0">
      <text>
        <t xml:space="preserve">作者:
中证估值
</t>
      </text>
    </comment>
    <comment ref="I38" authorId="0" shapeId="0">
      <text>
        <t xml:space="preserve">作者:
不复权的收盘价
</t>
      </text>
    </comment>
    <comment ref="I39" authorId="0" shapeId="0">
      <text>
        <t xml:space="preserve">作者:
不复权的收盘价
</t>
      </text>
    </comment>
    <comment ref="I40" authorId="0" shapeId="0">
      <text>
        <t xml:space="preserve">作者:
不复权的收盘价
</t>
      </text>
    </comment>
    <comment ref="I41" authorId="0" shapeId="0">
      <text>
        <t xml:space="preserve">作者:
不复权的收盘价
</t>
      </text>
    </comment>
    <comment ref="I42" authorId="0" shapeId="0">
      <text>
        <t xml:space="preserve">作者:
不复权的收盘价
</t>
      </text>
    </comment>
    <comment ref="I47" authorId="0" shapeId="0">
      <text>
        <t xml:space="preserve">作者:
日间估价全价
</t>
      </text>
    </comment>
  </commentList>
</comments>
</file>

<file path=xl/comments/comment2.xml><?xml version="1.0" encoding="utf-8"?>
<comments xmlns="http://schemas.openxmlformats.org/spreadsheetml/2006/main">
  <authors>
    <author>作者</author>
  </authors>
  <commentList>
    <comment ref="I35" authorId="0" shapeId="0">
      <text>
        <t xml:space="preserve">作者:
中证估值
</t>
      </text>
    </comment>
    <comment ref="I38" authorId="0" shapeId="0">
      <text>
        <t xml:space="preserve">作者:
不赋权的前收盘价
</t>
      </text>
    </comment>
    <comment ref="I39" authorId="0" shapeId="0">
      <text>
        <t xml:space="preserve">作者:
不赋权的前收盘价
</t>
      </text>
    </comment>
    <comment ref="I40" authorId="0" shapeId="0">
      <text>
        <t xml:space="preserve">作者:
不赋权的前收盘价
</t>
      </text>
    </comment>
    <comment ref="I41" authorId="0" shapeId="0">
      <text>
        <t xml:space="preserve">作者:
不复权的收盘价
</t>
      </text>
    </comment>
    <comment ref="I42" authorId="0" shapeId="0">
      <text>
        <t xml:space="preserve">作者:
不赋权的前收盘价
</t>
      </text>
    </comment>
    <comment ref="I47" authorId="0" shapeId="0">
      <text>
        <t xml:space="preserve">作者:
日间估价全价
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file:///C:\Wind\Wind.NET.Client\WindNET\DataBrowse\XLA\WindFunc.xla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Sheet2"/>
      <sheetName val="Sheet3"/>
    </sheetNames>
    <definedNames>
      <definedName name="accrint_dayend_cnbd"/>
      <definedName name="b_anal_modidura_cnbd"/>
      <definedName name="b_anal_net_cnbd"/>
      <definedName name="b_anal_net_csi1"/>
      <definedName name="b_anal_vobp_cnbd"/>
      <definedName name="b_dq_close"/>
      <definedName name="b_info_couponrate"/>
      <definedName name="b_info_latestissurercreditrating"/>
      <definedName name="b_info_repurchasedate"/>
      <definedName name="b_rate_latestcredit"/>
      <definedName name="s_dq_close"/>
    </defined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/><Relationship Type="http://schemas.openxmlformats.org/officeDocument/2006/relationships/vmlDrawing" Target="/xl/drawings/commentsDrawing2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3"/>
  <sheetViews>
    <sheetView workbookViewId="0">
      <selection activeCell="D1" sqref="D1:G1"/>
    </sheetView>
  </sheetViews>
  <sheetFormatPr baseColWidth="8" defaultColWidth="9" defaultRowHeight="12"/>
  <cols>
    <col width="12.875" customWidth="1" style="24" min="1" max="1"/>
    <col width="16.625" customWidth="1" style="24" min="2" max="2"/>
    <col width="11" customWidth="1" style="24" min="3" max="3"/>
    <col width="12.125" customWidth="1" style="118" min="4" max="4"/>
    <col width="22.125" customWidth="1" style="48" min="5" max="5"/>
    <col width="14.25" customWidth="1" style="24" min="6" max="6"/>
    <col width="21.875" customWidth="1" style="24" min="7" max="7"/>
    <col width="18.625" customWidth="1" style="24" min="8" max="8"/>
    <col width="15.75" customWidth="1" style="40" min="9" max="9"/>
    <col width="19.125" customWidth="1" style="40" min="10" max="10"/>
    <col width="21" customWidth="1" style="119" min="11" max="11"/>
    <col width="18.25" customWidth="1" style="40" min="12" max="12"/>
    <col width="16.25" customWidth="1" style="40" min="13" max="13"/>
    <col width="20.125" customWidth="1" style="47" min="14" max="14"/>
    <col width="16.25" customWidth="1" style="40" min="15" max="15"/>
    <col width="12.75" customWidth="1" style="40" min="16" max="16"/>
    <col width="13.625" customWidth="1" style="40" min="17" max="17"/>
    <col width="10.5" customWidth="1" style="40" min="18" max="18"/>
    <col width="6.875" customWidth="1" style="24" min="19" max="19"/>
    <col width="9.75" customWidth="1" style="24" min="20" max="20"/>
    <col width="9" customWidth="1" style="24" min="21" max="16384"/>
  </cols>
  <sheetData>
    <row r="1" ht="13.5" customFormat="1" customHeight="1" s="2">
      <c r="A1" s="1" t="n">
        <v>44608</v>
      </c>
      <c r="B1" s="1" t="n">
        <v>44561</v>
      </c>
      <c r="D1" s="120" t="inlineStr">
        <is>
          <t>浮动净价收益</t>
        </is>
      </c>
      <c r="E1" s="121">
        <f>SUM(K3:K62)</f>
        <v/>
      </c>
      <c r="F1" s="5" t="inlineStr">
        <is>
          <t>浮动利息收益</t>
        </is>
      </c>
      <c r="G1" s="121">
        <f>SUM(L3:L52)</f>
        <v/>
      </c>
      <c r="H1" s="6" t="inlineStr">
        <is>
          <t>规模</t>
        </is>
      </c>
      <c r="I1" s="122">
        <f>SUM(O3:O52)/10000</f>
        <v/>
      </c>
      <c r="J1" s="6" t="inlineStr">
        <is>
          <t>久期</t>
        </is>
      </c>
      <c r="K1" s="123">
        <f>SUMPRODUCT(N3:N49,R3:R49)/SUM(N3:N49)</f>
        <v/>
      </c>
      <c r="L1" s="6" t="inlineStr">
        <is>
          <t>DV01</t>
        </is>
      </c>
      <c r="M1" s="123">
        <f>SUMPRODUCT(D3:D52,Q3:Q52)/100</f>
        <v/>
      </c>
      <c r="N1" s="9" t="inlineStr">
        <is>
          <t>平均票面</t>
        </is>
      </c>
      <c r="O1" s="124">
        <f>SUMPRODUCT(N3:N52,P3:P52)/SUM(N3:N52)</f>
        <v/>
      </c>
      <c r="P1" s="6" t="n"/>
      <c r="Q1" s="11" t="n"/>
      <c r="R1" s="12" t="n"/>
    </row>
    <row r="2" ht="12.95" customHeight="1" s="113">
      <c r="A2" s="13" t="inlineStr">
        <is>
          <t>日期</t>
        </is>
      </c>
      <c r="B2" s="42" t="inlineStr">
        <is>
          <t>债券名称</t>
        </is>
      </c>
      <c r="C2" s="34" t="inlineStr">
        <is>
          <t>债券代码</t>
        </is>
      </c>
      <c r="D2" s="125" t="inlineStr">
        <is>
          <t>面值(万）</t>
        </is>
      </c>
      <c r="E2" s="126" t="inlineStr">
        <is>
          <t>买入时交易净价</t>
        </is>
      </c>
      <c r="F2" s="127" t="inlineStr">
        <is>
          <t>买入时应计利息</t>
        </is>
      </c>
      <c r="G2" s="125" t="inlineStr">
        <is>
          <t>买入时结算净价/份额</t>
        </is>
      </c>
      <c r="H2" s="125" t="inlineStr">
        <is>
          <t>买入时结算全价</t>
        </is>
      </c>
      <c r="I2" s="19" t="inlineStr">
        <is>
          <t>当日估价净价</t>
        </is>
      </c>
      <c r="J2" s="19" t="inlineStr">
        <is>
          <t>当日日终应计利息</t>
        </is>
      </c>
      <c r="K2" s="128" t="inlineStr">
        <is>
          <t>浮动净价收益</t>
        </is>
      </c>
      <c r="L2" s="19" t="inlineStr">
        <is>
          <t>浮动利息收益</t>
        </is>
      </c>
      <c r="M2" s="19" t="inlineStr">
        <is>
          <t>当日日终估价全价</t>
        </is>
      </c>
      <c r="N2" s="21" t="inlineStr">
        <is>
          <t>当日结算净价</t>
        </is>
      </c>
      <c r="O2" s="19" t="inlineStr">
        <is>
          <t>当日结算全价</t>
        </is>
      </c>
      <c r="P2" s="94" t="inlineStr">
        <is>
          <t>票面利率</t>
        </is>
      </c>
      <c r="Q2" s="19" t="inlineStr">
        <is>
          <t>估价基点价值</t>
        </is>
      </c>
      <c r="R2" s="19" t="inlineStr">
        <is>
          <t>估价修正久期</t>
        </is>
      </c>
      <c r="S2" s="23" t="inlineStr">
        <is>
          <t>交易类别</t>
        </is>
      </c>
      <c r="T2" s="23" t="inlineStr">
        <is>
          <t>资产类别</t>
        </is>
      </c>
      <c r="U2" s="24" t="inlineStr">
        <is>
          <t>债项评级</t>
        </is>
      </c>
      <c r="V2" s="24" t="inlineStr">
        <is>
          <t>主体评级</t>
        </is>
      </c>
    </row>
    <row r="3" ht="12.95" customFormat="1" customHeight="1" s="33">
      <c r="A3" s="75" t="n">
        <v>44561</v>
      </c>
      <c r="B3" s="76" t="inlineStr">
        <is>
          <t>17黔南债02</t>
        </is>
      </c>
      <c r="C3" s="77" t="inlineStr">
        <is>
          <t>1780108</t>
        </is>
      </c>
      <c r="D3" s="129" t="n">
        <v>8000</v>
      </c>
      <c r="E3" s="130" t="n">
        <v>55.1254</v>
      </c>
      <c r="F3" s="131" t="n">
        <v>1643072.880000003</v>
      </c>
      <c r="G3" s="131" t="n">
        <v>44100320</v>
      </c>
      <c r="H3" s="131" t="n">
        <v>45743392.88</v>
      </c>
      <c r="I3" s="132">
        <f>[1]!b_anal_net_cnbd(C3,$A$1,1)</f>
        <v/>
      </c>
      <c r="J3" s="132">
        <f>[1]!accrint_dayend_cnbd(C3,$A$1,1)</f>
        <v/>
      </c>
      <c r="K3" s="133">
        <f>(I3-E3)*D3*100</f>
        <v/>
      </c>
      <c r="L3" s="133">
        <f>J3*D3*100-F3</f>
        <v/>
      </c>
      <c r="M3" s="132">
        <f>I3+J3</f>
        <v/>
      </c>
      <c r="N3" s="134">
        <f>D3*I3*100</f>
        <v/>
      </c>
      <c r="O3" s="133">
        <f>D3*M3*100</f>
        <v/>
      </c>
      <c r="P3" s="133">
        <f>[1]!b_info_couponrate(C3)</f>
        <v/>
      </c>
      <c r="Q3" s="133">
        <f>[1]!b_anal_vobp_cnbd(C3,$A$1,1)</f>
        <v/>
      </c>
      <c r="R3" s="133">
        <f>[1]!b_anal_modidura_cnbd(C3,$A$1,1)</f>
        <v/>
      </c>
      <c r="S3" s="33" t="inlineStr">
        <is>
          <t>自营</t>
        </is>
      </c>
      <c r="T3" s="135" t="inlineStr">
        <is>
          <t>可供</t>
        </is>
      </c>
      <c r="U3" s="33">
        <f>[1]!b_rate_latestcredit(C3)</f>
        <v/>
      </c>
      <c r="V3" s="33">
        <f>[1]!b_info_latestissurercreditrating(C3)</f>
        <v/>
      </c>
    </row>
    <row r="4" ht="12.95" customFormat="1" customHeight="1" s="33">
      <c r="A4" s="75" t="n">
        <v>44561</v>
      </c>
      <c r="B4" s="76" t="inlineStr">
        <is>
          <t>17川金财债</t>
        </is>
      </c>
      <c r="C4" s="81" t="inlineStr">
        <is>
          <t>1780177</t>
        </is>
      </c>
      <c r="D4" s="129" t="n">
        <v>8000</v>
      </c>
      <c r="E4" s="130" t="n">
        <v>59.44479999999999</v>
      </c>
      <c r="F4" s="131" t="n">
        <v>1433845.479999997</v>
      </c>
      <c r="G4" s="131" t="n">
        <v>47555840</v>
      </c>
      <c r="H4" s="131" t="n">
        <v>48989685.48</v>
      </c>
      <c r="I4" s="132">
        <f>[1]!b_anal_net_cnbd(C4,$A$1,1)</f>
        <v/>
      </c>
      <c r="J4" s="132">
        <f>[1]!accrint_dayend_cnbd(C4,$A$1,1)</f>
        <v/>
      </c>
      <c r="K4" s="133">
        <f>(I4-E4)*D4*100</f>
        <v/>
      </c>
      <c r="L4" s="133">
        <f>J4*D4*100-F4</f>
        <v/>
      </c>
      <c r="M4" s="132">
        <f>I4+J4</f>
        <v/>
      </c>
      <c r="N4" s="134">
        <f>D4*I4*100</f>
        <v/>
      </c>
      <c r="O4" s="133">
        <f>D4*M4*100</f>
        <v/>
      </c>
      <c r="P4" s="133">
        <f>[1]!b_info_couponrate(C4)</f>
        <v/>
      </c>
      <c r="Q4" s="133">
        <f>[1]!b_anal_vobp_cnbd(C4,$A$1,1)</f>
        <v/>
      </c>
      <c r="R4" s="133">
        <f>[1]!b_anal_modidura_cnbd(C4,$A$1,1)</f>
        <v/>
      </c>
      <c r="S4" s="33" t="inlineStr">
        <is>
          <t>自营</t>
        </is>
      </c>
      <c r="T4" s="135" t="inlineStr">
        <is>
          <t>可供</t>
        </is>
      </c>
      <c r="U4" s="33">
        <f>[1]!b_rate_latestcredit(C4)</f>
        <v/>
      </c>
      <c r="V4" s="33">
        <f>[1]!b_info_latestissurercreditrating(C4)</f>
        <v/>
      </c>
    </row>
    <row r="5" ht="12.95" customFormat="1" customHeight="1" s="33">
      <c r="A5" s="75" t="n">
        <v>44561</v>
      </c>
      <c r="B5" s="76" t="inlineStr">
        <is>
          <t>17毕节信泰债</t>
        </is>
      </c>
      <c r="C5" s="81" t="inlineStr">
        <is>
          <t>1780349</t>
        </is>
      </c>
      <c r="D5" s="129" t="n">
        <v>9000</v>
      </c>
      <c r="E5" s="130" t="n">
        <v>57.5903</v>
      </c>
      <c r="F5" s="131" t="n">
        <v>703923.2899999991</v>
      </c>
      <c r="G5" s="131" t="n">
        <v>51831270</v>
      </c>
      <c r="H5" s="131" t="n">
        <v>52535193.29</v>
      </c>
      <c r="I5" s="132">
        <f>[1]!b_anal_net_cnbd(C5,$A$1,1)</f>
        <v/>
      </c>
      <c r="J5" s="132">
        <f>[1]!accrint_dayend_cnbd(C5,$A$1,1)</f>
        <v/>
      </c>
      <c r="K5" s="133">
        <f>(I5-E5)*D5*100</f>
        <v/>
      </c>
      <c r="L5" s="133">
        <f>J5*D5*100-F5</f>
        <v/>
      </c>
      <c r="M5" s="132">
        <f>I5+J5</f>
        <v/>
      </c>
      <c r="N5" s="134">
        <f>D5*I5*100</f>
        <v/>
      </c>
      <c r="O5" s="133">
        <f>D5*M5*100</f>
        <v/>
      </c>
      <c r="P5" s="133">
        <f>[1]!b_info_couponrate(C5)</f>
        <v/>
      </c>
      <c r="Q5" s="133">
        <f>[1]!b_anal_vobp_cnbd(C5,$A$1,1)</f>
        <v/>
      </c>
      <c r="R5" s="133">
        <f>[1]!b_anal_modidura_cnbd(C5,$A$1,1)</f>
        <v/>
      </c>
      <c r="S5" s="33" t="inlineStr">
        <is>
          <t>自营</t>
        </is>
      </c>
      <c r="T5" s="135" t="inlineStr">
        <is>
          <t>可供</t>
        </is>
      </c>
      <c r="U5" s="33">
        <f>[1]!b_rate_latestcredit(C5)</f>
        <v/>
      </c>
      <c r="V5" s="33">
        <f>[1]!b_info_latestissurercreditrating(C5)</f>
        <v/>
      </c>
    </row>
    <row r="6" ht="12.95" customFormat="1" customHeight="1" s="33">
      <c r="A6" s="75" t="n">
        <v>44561</v>
      </c>
      <c r="B6" s="76" t="inlineStr">
        <is>
          <t>17白云债01</t>
        </is>
      </c>
      <c r="C6" s="77" t="inlineStr">
        <is>
          <t>1780125</t>
        </is>
      </c>
      <c r="D6" s="129" t="n">
        <v>5000</v>
      </c>
      <c r="E6" s="130" t="n">
        <v>57.5491</v>
      </c>
      <c r="F6" s="131" t="n">
        <v>894772.6000000015</v>
      </c>
      <c r="G6" s="131" t="n">
        <v>28774550</v>
      </c>
      <c r="H6" s="131" t="n">
        <v>29669322.6</v>
      </c>
      <c r="I6" s="132">
        <f>[1]!b_anal_net_cnbd(C6,$A$1,1)</f>
        <v/>
      </c>
      <c r="J6" s="132">
        <f>[1]!accrint_dayend_cnbd(C6,$A$1,1)</f>
        <v/>
      </c>
      <c r="K6" s="133">
        <f>(I6-E6)*D6*100</f>
        <v/>
      </c>
      <c r="L6" s="133">
        <f>J6*D6*100-F6</f>
        <v/>
      </c>
      <c r="M6" s="132">
        <f>I6+J6</f>
        <v/>
      </c>
      <c r="N6" s="134">
        <f>D6*I6*100</f>
        <v/>
      </c>
      <c r="O6" s="133">
        <f>D6*M6*100</f>
        <v/>
      </c>
      <c r="P6" s="133">
        <f>[1]!b_info_couponrate(C6)</f>
        <v/>
      </c>
      <c r="Q6" s="133">
        <f>[1]!b_anal_vobp_cnbd(C6,$A$1,1)</f>
        <v/>
      </c>
      <c r="R6" s="133">
        <f>[1]!b_anal_modidura_cnbd(C6,$A$1,1)</f>
        <v/>
      </c>
      <c r="S6" s="33" t="inlineStr">
        <is>
          <t>自营</t>
        </is>
      </c>
      <c r="U6" s="33">
        <f>[1]!b_rate_latestcredit(C6)</f>
        <v/>
      </c>
      <c r="V6" s="33">
        <f>[1]!b_info_latestissurercreditrating(C6)</f>
        <v/>
      </c>
    </row>
    <row r="7" ht="12.95" customFormat="1" customHeight="1" s="33">
      <c r="A7" s="75" t="n">
        <v>44561</v>
      </c>
      <c r="B7" s="76" t="inlineStr">
        <is>
          <t>17青州建投债01</t>
        </is>
      </c>
      <c r="C7" s="77" t="inlineStr">
        <is>
          <t>1780135</t>
        </is>
      </c>
      <c r="D7" s="129" t="n">
        <v>5000</v>
      </c>
      <c r="E7" s="130" t="n">
        <v>58.68060000000001</v>
      </c>
      <c r="F7" s="131" t="n">
        <v>920547.9499999993</v>
      </c>
      <c r="G7" s="131" t="n">
        <v>29340300</v>
      </c>
      <c r="H7" s="131" t="n">
        <v>30260847.95</v>
      </c>
      <c r="I7" s="132">
        <f>[1]!b_anal_net_cnbd(C7,$A$1,1)</f>
        <v/>
      </c>
      <c r="J7" s="132">
        <f>[1]!accrint_dayend_cnbd(C7,$A$1,1)</f>
        <v/>
      </c>
      <c r="K7" s="133">
        <f>(I7-E7)*D7*100</f>
        <v/>
      </c>
      <c r="L7" s="133">
        <f>J7*D7*100-F7</f>
        <v/>
      </c>
      <c r="M7" s="132">
        <f>I7+J7</f>
        <v/>
      </c>
      <c r="N7" s="134">
        <f>D7*I7*100</f>
        <v/>
      </c>
      <c r="O7" s="133">
        <f>D7*M7*100</f>
        <v/>
      </c>
      <c r="P7" s="133">
        <f>[1]!b_info_couponrate(C7)</f>
        <v/>
      </c>
      <c r="Q7" s="133">
        <f>[1]!b_anal_vobp_cnbd(C7,$A$1,1)</f>
        <v/>
      </c>
      <c r="R7" s="133">
        <f>[1]!b_anal_modidura_cnbd(C7,$A$1,1)</f>
        <v/>
      </c>
      <c r="S7" s="33" t="inlineStr">
        <is>
          <t>自营</t>
        </is>
      </c>
      <c r="U7" s="33">
        <f>[1]!b_rate_latestcredit(C7)</f>
        <v/>
      </c>
      <c r="V7" s="33">
        <f>[1]!b_info_latestissurercreditrating(C7)</f>
        <v/>
      </c>
    </row>
    <row r="8" ht="12.95" customFormat="1" customHeight="1" s="33">
      <c r="A8" s="75" t="n">
        <v>44561</v>
      </c>
      <c r="B8" s="76" t="inlineStr">
        <is>
          <t>17张家界专项债</t>
        </is>
      </c>
      <c r="C8" s="77" t="inlineStr">
        <is>
          <t>1780170</t>
        </is>
      </c>
      <c r="D8" s="129" t="n">
        <v>10000</v>
      </c>
      <c r="E8" s="130" t="n">
        <v>73.982</v>
      </c>
      <c r="F8" s="131" t="n">
        <v>2283112.329999998</v>
      </c>
      <c r="G8" s="131" t="n">
        <v>73982000</v>
      </c>
      <c r="H8" s="131" t="n">
        <v>76265112.33</v>
      </c>
      <c r="I8" s="132">
        <f>[1]!b_anal_net_cnbd(C8,$A$1,1)</f>
        <v/>
      </c>
      <c r="J8" s="132">
        <f>[1]!accrint_dayend_cnbd(C8,$A$1,1)</f>
        <v/>
      </c>
      <c r="K8" s="133">
        <f>(I8-E8)*D8*100</f>
        <v/>
      </c>
      <c r="L8" s="133">
        <f>J8*D8*100-F8</f>
        <v/>
      </c>
      <c r="M8" s="132">
        <f>I8+J8</f>
        <v/>
      </c>
      <c r="N8" s="134">
        <f>D8*I8*100</f>
        <v/>
      </c>
      <c r="O8" s="133">
        <f>D8*M8*100</f>
        <v/>
      </c>
      <c r="P8" s="133">
        <f>[1]!b_info_couponrate(C8)</f>
        <v/>
      </c>
      <c r="Q8" s="133">
        <f>[1]!b_anal_vobp_cnbd(C8,$A$1,1)</f>
        <v/>
      </c>
      <c r="R8" s="133">
        <f>[1]!b_anal_modidura_cnbd(C8,$A$1,1)</f>
        <v/>
      </c>
      <c r="S8" s="33" t="inlineStr">
        <is>
          <t>自营</t>
        </is>
      </c>
      <c r="U8" s="33">
        <f>[1]!b_rate_latestcredit(C8)</f>
        <v/>
      </c>
      <c r="V8" s="33">
        <f>[1]!b_info_latestissurercreditrating(C8)</f>
        <v/>
      </c>
    </row>
    <row r="9" ht="12.95" customFormat="1" customHeight="1" s="33">
      <c r="A9" s="75" t="n">
        <v>44561</v>
      </c>
      <c r="B9" s="76" t="inlineStr">
        <is>
          <t>17红花岗停车场债01</t>
        </is>
      </c>
      <c r="C9" s="77" t="inlineStr">
        <is>
          <t>1780173</t>
        </is>
      </c>
      <c r="D9" s="129" t="n">
        <v>8000</v>
      </c>
      <c r="E9" s="130" t="n">
        <v>56.404</v>
      </c>
      <c r="F9" s="131" t="n">
        <v>1468668.490000002</v>
      </c>
      <c r="G9" s="131" t="n">
        <v>45123200</v>
      </c>
      <c r="H9" s="131" t="n">
        <v>46591868.49</v>
      </c>
      <c r="I9" s="132">
        <f>[1]!b_anal_net_cnbd(C9,$A$1,1)</f>
        <v/>
      </c>
      <c r="J9" s="132">
        <f>[1]!accrint_dayend_cnbd(C9,$A$1,1)</f>
        <v/>
      </c>
      <c r="K9" s="133">
        <f>(I9-E9)*D9*100</f>
        <v/>
      </c>
      <c r="L9" s="133">
        <f>J9*D9*100-F9</f>
        <v/>
      </c>
      <c r="M9" s="132">
        <f>I9+J9</f>
        <v/>
      </c>
      <c r="N9" s="134">
        <f>D9*I9*100</f>
        <v/>
      </c>
      <c r="O9" s="133">
        <f>D9*M9*100</f>
        <v/>
      </c>
      <c r="P9" s="133">
        <f>[1]!b_info_couponrate(C9)</f>
        <v/>
      </c>
      <c r="Q9" s="133">
        <f>[1]!b_anal_vobp_cnbd(C9,$A$1,1)</f>
        <v/>
      </c>
      <c r="R9" s="133">
        <f>[1]!b_anal_modidura_cnbd(C9,$A$1,1)</f>
        <v/>
      </c>
      <c r="S9" s="33" t="inlineStr">
        <is>
          <t>自营</t>
        </is>
      </c>
      <c r="U9" s="33">
        <f>[1]!b_rate_latestcredit(C9)</f>
        <v/>
      </c>
      <c r="V9" s="33">
        <f>[1]!b_info_latestissurercreditrating(C9)</f>
        <v/>
      </c>
    </row>
    <row r="10" ht="12.95" customFormat="1" customHeight="1" s="33">
      <c r="A10" s="75" t="n">
        <v>44561</v>
      </c>
      <c r="B10" s="82" t="inlineStr">
        <is>
          <t>17金潼债01</t>
        </is>
      </c>
      <c r="C10" s="77" t="inlineStr">
        <is>
          <t>1780183</t>
        </is>
      </c>
      <c r="D10" s="129" t="n">
        <v>10000</v>
      </c>
      <c r="E10" s="130" t="n">
        <v>55.6344</v>
      </c>
      <c r="F10" s="131" t="n">
        <v>1634794.520000003</v>
      </c>
      <c r="G10" s="131" t="n">
        <v>55634400</v>
      </c>
      <c r="H10" s="131" t="n">
        <v>57269194.52</v>
      </c>
      <c r="I10" s="132">
        <f>[1]!b_anal_net_cnbd(C10,$A$1,1)</f>
        <v/>
      </c>
      <c r="J10" s="132">
        <f>[1]!accrint_dayend_cnbd(C10,$A$1,1)</f>
        <v/>
      </c>
      <c r="K10" s="133">
        <f>(I10-E10)*D10*100</f>
        <v/>
      </c>
      <c r="L10" s="133">
        <f>J10*D10*100-F10</f>
        <v/>
      </c>
      <c r="M10" s="132">
        <f>I10+J10</f>
        <v/>
      </c>
      <c r="N10" s="134">
        <f>D10*I10*100</f>
        <v/>
      </c>
      <c r="O10" s="133">
        <f>D10*M10*100</f>
        <v/>
      </c>
      <c r="P10" s="133">
        <f>[1]!b_info_couponrate(C10)</f>
        <v/>
      </c>
      <c r="Q10" s="133">
        <f>[1]!b_anal_vobp_cnbd(C10,$A$1,1)</f>
        <v/>
      </c>
      <c r="R10" s="133">
        <f>[1]!b_anal_modidura_cnbd(C10,$A$1,1)</f>
        <v/>
      </c>
      <c r="S10" s="33" t="inlineStr">
        <is>
          <t>自营</t>
        </is>
      </c>
      <c r="U10" s="33">
        <f>[1]!b_rate_latestcredit(C10)</f>
        <v/>
      </c>
      <c r="V10" s="33">
        <f>[1]!b_info_latestissurercreditrating(C10)</f>
        <v/>
      </c>
    </row>
    <row r="11" ht="12.95" customFormat="1" customHeight="1" s="33">
      <c r="A11" s="75" t="n">
        <v>44561</v>
      </c>
      <c r="B11" s="82" t="inlineStr">
        <is>
          <t>17白云债02</t>
        </is>
      </c>
      <c r="C11" s="77" t="inlineStr">
        <is>
          <t>1780307</t>
        </is>
      </c>
      <c r="D11" s="129" t="n">
        <v>1000</v>
      </c>
      <c r="E11" s="130" t="n">
        <v>57.9548</v>
      </c>
      <c r="F11" s="131" t="n">
        <v>117277.8099999996</v>
      </c>
      <c r="G11" s="131" t="n">
        <v>5795480</v>
      </c>
      <c r="H11" s="131" t="n">
        <v>5912757.81</v>
      </c>
      <c r="I11" s="132">
        <f>[1]!b_anal_net_cnbd(C11,$A$1,1)</f>
        <v/>
      </c>
      <c r="J11" s="132">
        <f>[1]!accrint_dayend_cnbd(C11,$A$1,1)</f>
        <v/>
      </c>
      <c r="K11" s="133">
        <f>(I11-E11)*D11*100</f>
        <v/>
      </c>
      <c r="L11" s="133">
        <f>J11*D11*100-F11</f>
        <v/>
      </c>
      <c r="M11" s="132">
        <f>I11+J11</f>
        <v/>
      </c>
      <c r="N11" s="134">
        <f>D11*I11*100</f>
        <v/>
      </c>
      <c r="O11" s="133">
        <f>D11*M11*100</f>
        <v/>
      </c>
      <c r="P11" s="133">
        <f>[1]!b_info_couponrate(C11)</f>
        <v/>
      </c>
      <c r="Q11" s="133">
        <f>[1]!b_anal_vobp_cnbd(C11,$A$1,1)</f>
        <v/>
      </c>
      <c r="R11" s="133">
        <f>[1]!b_anal_modidura_cnbd(C11,$A$1,1)</f>
        <v/>
      </c>
      <c r="S11" s="33" t="inlineStr">
        <is>
          <t>自营</t>
        </is>
      </c>
      <c r="U11" s="33">
        <f>[1]!b_rate_latestcredit(C11)</f>
        <v/>
      </c>
      <c r="V11" s="33">
        <f>[1]!b_info_latestissurercreditrating(C11)</f>
        <v/>
      </c>
    </row>
    <row r="12" ht="12.95" customFormat="1" customHeight="1" s="33">
      <c r="A12" s="75" t="n">
        <v>44561</v>
      </c>
      <c r="B12" s="76" t="inlineStr">
        <is>
          <t>17遵义旅投债</t>
        </is>
      </c>
      <c r="C12" s="77" t="inlineStr">
        <is>
          <t>1780311</t>
        </is>
      </c>
      <c r="D12" s="129" t="n">
        <v>5000</v>
      </c>
      <c r="E12" s="130" t="n">
        <v>74.1849</v>
      </c>
      <c r="F12" s="131" t="n">
        <v>810082.1899999976</v>
      </c>
      <c r="G12" s="131" t="n">
        <v>37092450</v>
      </c>
      <c r="H12" s="131" t="n">
        <v>37902532.19</v>
      </c>
      <c r="I12" s="132">
        <f>[1]!b_anal_net_cnbd(C12,$A$1,1)</f>
        <v/>
      </c>
      <c r="J12" s="132">
        <f>[1]!accrint_dayend_cnbd(C12,$A$1,1)</f>
        <v/>
      </c>
      <c r="K12" s="133">
        <f>(I12-E12)*D12*100</f>
        <v/>
      </c>
      <c r="L12" s="133">
        <f>J12*D12*100-F12</f>
        <v/>
      </c>
      <c r="M12" s="132">
        <f>I12+J12</f>
        <v/>
      </c>
      <c r="N12" s="134">
        <f>D12*I12*100</f>
        <v/>
      </c>
      <c r="O12" s="133">
        <f>D12*M12*100</f>
        <v/>
      </c>
      <c r="P12" s="133">
        <f>[1]!b_info_couponrate(C12)</f>
        <v/>
      </c>
      <c r="Q12" s="133">
        <f>[1]!b_anal_vobp_cnbd(C12,$A$1,1)</f>
        <v/>
      </c>
      <c r="R12" s="133">
        <f>[1]!b_anal_modidura_cnbd(C12,$A$1,1)</f>
        <v/>
      </c>
      <c r="S12" s="33" t="inlineStr">
        <is>
          <t>自营</t>
        </is>
      </c>
      <c r="U12" s="33">
        <f>[1]!b_rate_latestcredit(C12)</f>
        <v/>
      </c>
      <c r="V12" s="33">
        <f>[1]!b_info_latestissurercreditrating(C12)</f>
        <v/>
      </c>
    </row>
    <row r="13" ht="12.75" customFormat="1" customHeight="1" s="33">
      <c r="A13" s="75" t="n">
        <v>44561</v>
      </c>
      <c r="B13" s="76" t="inlineStr">
        <is>
          <t>17青州建投债02</t>
        </is>
      </c>
      <c r="C13" s="77" t="inlineStr">
        <is>
          <t>1780258</t>
        </is>
      </c>
      <c r="D13" s="136" t="n">
        <v>8000</v>
      </c>
      <c r="E13" s="130" t="n">
        <v>58.7108</v>
      </c>
      <c r="F13" s="137" t="n">
        <v>1153578.079999998</v>
      </c>
      <c r="G13" s="137" t="n">
        <v>46968640</v>
      </c>
      <c r="H13" s="131" t="n">
        <v>48122218.08</v>
      </c>
      <c r="I13" s="132">
        <f>[1]!b_anal_net_cnbd(C13,$A$1,1)</f>
        <v/>
      </c>
      <c r="J13" s="132">
        <f>[1]!accrint_dayend_cnbd(C13,$A$1,1)</f>
        <v/>
      </c>
      <c r="K13" s="133">
        <f>(I13-E13)*D13*100</f>
        <v/>
      </c>
      <c r="L13" s="133">
        <f>J13*D13*100-F13</f>
        <v/>
      </c>
      <c r="M13" s="132">
        <f>I13+J13</f>
        <v/>
      </c>
      <c r="N13" s="134">
        <f>D13*I13*100</f>
        <v/>
      </c>
      <c r="O13" s="133">
        <f>D13*M13*100</f>
        <v/>
      </c>
      <c r="P13" s="133">
        <f>[1]!b_info_couponrate(C13)</f>
        <v/>
      </c>
      <c r="Q13" s="133">
        <f>[1]!b_anal_vobp_cnbd(C13,$A$1,1)</f>
        <v/>
      </c>
      <c r="R13" s="133">
        <f>[1]!b_anal_modidura_cnbd(C13,$A$1,1)</f>
        <v/>
      </c>
      <c r="S13" s="33" t="inlineStr">
        <is>
          <t>自营</t>
        </is>
      </c>
      <c r="U13" s="33">
        <f>[1]!b_rate_latestcredit(C13)</f>
        <v/>
      </c>
      <c r="V13" s="33">
        <f>[1]!b_info_latestissurercreditrating(C13)</f>
        <v/>
      </c>
    </row>
    <row r="14" ht="12.95" customFormat="1" customHeight="1" s="33">
      <c r="A14" s="85" t="n">
        <v>44561</v>
      </c>
      <c r="B14" s="82" t="inlineStr">
        <is>
          <t>19鄂供01</t>
        </is>
      </c>
      <c r="C14" s="86" t="inlineStr">
        <is>
          <t>162818</t>
        </is>
      </c>
      <c r="D14" s="137" t="n">
        <v>4500</v>
      </c>
      <c r="E14" s="130" t="n">
        <v>96.4499</v>
      </c>
      <c r="F14" s="138" t="n">
        <v>45123.28999999911</v>
      </c>
      <c r="G14" s="137" t="n">
        <v>43402455</v>
      </c>
      <c r="H14" s="137" t="n">
        <v>43447578.29</v>
      </c>
      <c r="I14" s="132">
        <f>[1]!b_anal_net_cnbd(C14,$A$1,1)</f>
        <v/>
      </c>
      <c r="J14" s="132">
        <f>[1]!accrint_dayend_cnbd(C14,$A$1,1)</f>
        <v/>
      </c>
      <c r="K14" s="133">
        <f>(I14-E14)*D14*100</f>
        <v/>
      </c>
      <c r="L14" s="133">
        <f>J14*D14*100-F14</f>
        <v/>
      </c>
      <c r="M14" s="132">
        <f>I14+J14</f>
        <v/>
      </c>
      <c r="N14" s="134">
        <f>D14*I14*100</f>
        <v/>
      </c>
      <c r="O14" s="133">
        <f>D14*M14*100</f>
        <v/>
      </c>
      <c r="P14" s="133">
        <f>[1]!b_info_couponrate(C14)</f>
        <v/>
      </c>
      <c r="Q14" s="133">
        <f>[1]!b_anal_vobp_cnbd(C14,$A$1,1)</f>
        <v/>
      </c>
      <c r="R14" s="133">
        <f>[1]!b_anal_modidura_cnbd(C14,$A$1,1)</f>
        <v/>
      </c>
      <c r="S14" s="33" t="inlineStr">
        <is>
          <t>自营</t>
        </is>
      </c>
      <c r="U14" s="33">
        <f>[1]!b_rate_latestcredit(C14)</f>
        <v/>
      </c>
      <c r="V14" s="33">
        <f>[1]!b_info_latestissurercreditrating(C14)</f>
        <v/>
      </c>
    </row>
    <row r="15" ht="12.95" customFormat="1" customHeight="1" s="33">
      <c r="A15" s="85" t="n">
        <v>44561</v>
      </c>
      <c r="B15" s="82" t="inlineStr">
        <is>
          <t>20新开元PPN001</t>
        </is>
      </c>
      <c r="C15" s="86" t="inlineStr">
        <is>
          <t>032000264</t>
        </is>
      </c>
      <c r="D15" s="137" t="n">
        <v>8000</v>
      </c>
      <c r="E15" s="130" t="n">
        <v>100.5218</v>
      </c>
      <c r="F15" s="138" t="n">
        <v>4635616.439999998</v>
      </c>
      <c r="G15" s="137" t="n">
        <v>80417440</v>
      </c>
      <c r="H15" s="137" t="n">
        <v>85053056.44</v>
      </c>
      <c r="I15" s="132">
        <f>[1]!b_anal_net_cnbd(C15,$A$1,1)</f>
        <v/>
      </c>
      <c r="J15" s="132">
        <f>[1]!accrint_dayend_cnbd(C15,$A$1,1)</f>
        <v/>
      </c>
      <c r="K15" s="133">
        <f>(I15-E15)*D15*100</f>
        <v/>
      </c>
      <c r="L15" s="133">
        <f>J15*D15*100-F15</f>
        <v/>
      </c>
      <c r="M15" s="132">
        <f>I15+J15</f>
        <v/>
      </c>
      <c r="N15" s="134">
        <f>D15*I15*100</f>
        <v/>
      </c>
      <c r="O15" s="133">
        <f>D15*M15*100</f>
        <v/>
      </c>
      <c r="P15" s="133">
        <f>[1]!b_info_couponrate(C15)</f>
        <v/>
      </c>
      <c r="Q15" s="133">
        <f>[1]!b_anal_vobp_cnbd(C15,$A$1,1)</f>
        <v/>
      </c>
      <c r="R15" s="133">
        <f>[1]!b_anal_modidura_cnbd(C15,$A$1,1)</f>
        <v/>
      </c>
      <c r="S15" s="33" t="inlineStr">
        <is>
          <t>自营</t>
        </is>
      </c>
      <c r="U15" s="33">
        <f>[1]!b_rate_latestcredit(C15)</f>
        <v/>
      </c>
      <c r="V15" s="33">
        <f>[1]!b_info_latestissurercreditrating(C15)</f>
        <v/>
      </c>
    </row>
    <row r="16" ht="12.95" customFormat="1" customHeight="1" s="33">
      <c r="A16" s="85" t="n">
        <v>44561</v>
      </c>
      <c r="B16" s="82" t="inlineStr">
        <is>
          <t>19磁湖高新MTN002</t>
        </is>
      </c>
      <c r="C16" s="86" t="inlineStr">
        <is>
          <t>101901758</t>
        </is>
      </c>
      <c r="D16" s="137" t="n">
        <v>9000</v>
      </c>
      <c r="E16" s="130" t="n">
        <v>99.215</v>
      </c>
      <c r="F16" s="138" t="n">
        <v>96164.37999999523</v>
      </c>
      <c r="G16" s="137" t="n">
        <v>89293500</v>
      </c>
      <c r="H16" s="137" t="n">
        <v>89389664.38</v>
      </c>
      <c r="I16" s="139">
        <f>[1]!b_anal_net_cnbd(C16,$A$1,1)</f>
        <v/>
      </c>
      <c r="J16" s="139">
        <f>[1]!accrint_dayend_cnbd(C16,$A$1,1)</f>
        <v/>
      </c>
      <c r="K16" s="133">
        <f>(I16-E16)*D16*100</f>
        <v/>
      </c>
      <c r="L16" s="133">
        <f>J16*D16*100-F16</f>
        <v/>
      </c>
      <c r="M16" s="139">
        <f>I16+J16</f>
        <v/>
      </c>
      <c r="N16" s="140">
        <f>D16*I16*100</f>
        <v/>
      </c>
      <c r="O16" s="135">
        <f>D16*M16*100</f>
        <v/>
      </c>
      <c r="P16" s="135">
        <f>[1]!b_info_couponrate(C16)</f>
        <v/>
      </c>
      <c r="Q16" s="135">
        <f>[1]!b_anal_vobp_cnbd(C16,$A$1,1)</f>
        <v/>
      </c>
      <c r="R16" s="135">
        <f>[1]!b_anal_modidura_cnbd(C16,$A$1,1)</f>
        <v/>
      </c>
      <c r="S16" s="33" t="inlineStr">
        <is>
          <t>自营</t>
        </is>
      </c>
      <c r="U16" s="33">
        <f>[1]!b_rate_latestcredit(C16)</f>
        <v/>
      </c>
      <c r="V16" s="33">
        <f>[1]!b_info_latestissurercreditrating(C16)</f>
        <v/>
      </c>
    </row>
    <row r="17" ht="12.95" customFormat="1" customHeight="1" s="33">
      <c r="A17" s="85" t="n">
        <v>44561</v>
      </c>
      <c r="B17" s="82" t="inlineStr">
        <is>
          <t>15冀广网络债01</t>
        </is>
      </c>
      <c r="C17" s="86" t="inlineStr">
        <is>
          <t>1580170</t>
        </is>
      </c>
      <c r="D17" s="137" t="n">
        <v>4000</v>
      </c>
      <c r="E17" s="130" t="n">
        <v>99.8203</v>
      </c>
      <c r="F17" s="138" t="n">
        <v>1067835.619999997</v>
      </c>
      <c r="G17" s="137" t="n">
        <v>39928120</v>
      </c>
      <c r="H17" s="137" t="n">
        <v>40995955.62</v>
      </c>
      <c r="I17" s="132">
        <f>[1]!b_anal_net_cnbd(C17,$A$1,1)</f>
        <v/>
      </c>
      <c r="J17" s="132">
        <f>[1]!accrint_dayend_cnbd(C17,$A$1,1)</f>
        <v/>
      </c>
      <c r="K17" s="133">
        <f>(I17-E17)*D17*100</f>
        <v/>
      </c>
      <c r="L17" s="133">
        <f>J17*D17*100-F17</f>
        <v/>
      </c>
      <c r="M17" s="132">
        <f>I17+J17</f>
        <v/>
      </c>
      <c r="N17" s="134">
        <f>D17*I17*100</f>
        <v/>
      </c>
      <c r="O17" s="133">
        <f>D17*M17*100</f>
        <v/>
      </c>
      <c r="P17" s="133">
        <f>[1]!b_info_couponrate(C17)</f>
        <v/>
      </c>
      <c r="Q17" s="133">
        <f>[1]!b_anal_vobp_cnbd(C17,$A$1,1)</f>
        <v/>
      </c>
      <c r="R17" s="133">
        <f>[1]!b_anal_modidura_cnbd(C17,$A$1,1)</f>
        <v/>
      </c>
      <c r="S17" s="33" t="inlineStr">
        <is>
          <t>自营</t>
        </is>
      </c>
      <c r="U17" s="33">
        <f>[1]!b_rate_latestcredit(C17)</f>
        <v/>
      </c>
      <c r="V17" s="33">
        <f>[1]!b_info_latestissurercreditrating(C17)</f>
        <v/>
      </c>
    </row>
    <row r="18" ht="12.95" customFormat="1" customHeight="1" s="33">
      <c r="A18" s="85" t="n">
        <v>44561</v>
      </c>
      <c r="B18" s="82" t="inlineStr">
        <is>
          <t>21太新06</t>
        </is>
      </c>
      <c r="C18" s="86" t="inlineStr">
        <is>
          <t>188692</t>
        </is>
      </c>
      <c r="D18" s="137" t="n">
        <v>3000</v>
      </c>
      <c r="E18" s="130" t="n">
        <v>101.3339</v>
      </c>
      <c r="F18" s="138" t="n">
        <v>436191.7800000012</v>
      </c>
      <c r="G18" s="137" t="n">
        <v>30400170</v>
      </c>
      <c r="H18" s="137" t="n">
        <v>30836361.78</v>
      </c>
      <c r="I18" s="132">
        <f>[1]!b_anal_net_cnbd(C18,$A$1,1)</f>
        <v/>
      </c>
      <c r="J18" s="132">
        <f>[1]!accrint_dayend_cnbd(C18,$A$1,1)</f>
        <v/>
      </c>
      <c r="K18" s="133">
        <f>(I18-E18)*D18*100</f>
        <v/>
      </c>
      <c r="L18" s="133">
        <f>J18*D18*100-F18</f>
        <v/>
      </c>
      <c r="M18" s="132">
        <f>I18+J18</f>
        <v/>
      </c>
      <c r="N18" s="134">
        <f>D18*I18*100</f>
        <v/>
      </c>
      <c r="O18" s="133">
        <f>D18*M18*100</f>
        <v/>
      </c>
      <c r="P18" s="133">
        <f>[1]!b_info_couponrate(C18)</f>
        <v/>
      </c>
      <c r="Q18" s="133">
        <f>[1]!b_anal_vobp_cnbd(C18,$A$1,1)</f>
        <v/>
      </c>
      <c r="R18" s="133">
        <f>[1]!b_anal_modidura_cnbd(C18,$A$1,1)</f>
        <v/>
      </c>
      <c r="S18" s="33" t="inlineStr">
        <is>
          <t>自营</t>
        </is>
      </c>
      <c r="T18" s="94" t="n"/>
      <c r="U18" s="33">
        <f>[1]!b_rate_latestcredit(C18)</f>
        <v/>
      </c>
      <c r="V18" s="33">
        <f>[1]!b_info_latestissurercreditrating(C18)</f>
        <v/>
      </c>
    </row>
    <row r="19" ht="12.95" customFormat="1" customHeight="1" s="94">
      <c r="A19" s="85" t="n">
        <v>44561</v>
      </c>
      <c r="B19" s="82" t="inlineStr">
        <is>
          <t>16山东经投债</t>
        </is>
      </c>
      <c r="C19" s="86" t="inlineStr">
        <is>
          <t>1680368</t>
        </is>
      </c>
      <c r="D19" s="137" t="n">
        <v>9000</v>
      </c>
      <c r="E19" s="130" t="n">
        <v>99.9747</v>
      </c>
      <c r="F19" s="137" t="n">
        <v>1003808.217857135</v>
      </c>
      <c r="G19" s="138" t="n">
        <v>89977230</v>
      </c>
      <c r="H19" s="137" t="n">
        <v>90981038.21785714</v>
      </c>
      <c r="I19" s="132">
        <f>[1]!b_anal_net_cnbd(C19,$A$1,1)</f>
        <v/>
      </c>
      <c r="J19" s="132">
        <f>[1]!accrint_dayend_cnbd(C19,$A$1,1)</f>
        <v/>
      </c>
      <c r="K19" s="133">
        <f>(I19-E19)*D19*100</f>
        <v/>
      </c>
      <c r="L19" s="133">
        <f>J19*D19*100-F19</f>
        <v/>
      </c>
      <c r="M19" s="132">
        <f>I19+J19</f>
        <v/>
      </c>
      <c r="N19" s="134">
        <f>D19*I19*100</f>
        <v/>
      </c>
      <c r="O19" s="133">
        <f>D19*M19*100</f>
        <v/>
      </c>
      <c r="P19" s="133">
        <f>[1]!b_info_couponrate(C19)</f>
        <v/>
      </c>
      <c r="Q19" s="133">
        <f>[1]!b_anal_vobp_cnbd(C19,$A$1,1)</f>
        <v/>
      </c>
      <c r="R19" s="133">
        <f>[1]!b_anal_modidura_cnbd(C19,$A$1,1)</f>
        <v/>
      </c>
      <c r="S19" s="94" t="inlineStr">
        <is>
          <t>自营</t>
        </is>
      </c>
      <c r="U19" s="94">
        <f>[1]!b_rate_latestcredit(C19)</f>
        <v/>
      </c>
      <c r="V19" s="94">
        <f>[1]!b_info_latestissurercreditrating(C19)</f>
        <v/>
      </c>
    </row>
    <row r="20" ht="12.95" customFormat="1" customHeight="1" s="33">
      <c r="A20" s="85" t="n">
        <v>44561</v>
      </c>
      <c r="B20" s="141" t="inlineStr">
        <is>
          <t>20金科01</t>
        </is>
      </c>
      <c r="C20" s="86" t="inlineStr">
        <is>
          <t>149037.SZ</t>
        </is>
      </c>
      <c r="D20" s="141" t="n">
        <v>1000</v>
      </c>
      <c r="E20" s="142" t="n">
        <v>82.8339</v>
      </c>
      <c r="F20" s="141" t="n">
        <v>517808.2200000007</v>
      </c>
      <c r="G20" s="133" t="n">
        <v>8283390</v>
      </c>
      <c r="H20" s="133" t="n">
        <v>8801198.220000001</v>
      </c>
      <c r="I20" s="132">
        <f>[1]!b_anal_net_cnbd(C20,$A$1,1)</f>
        <v/>
      </c>
      <c r="J20" s="132">
        <f>[1]!accrint_dayend_cnbd(C20,$A$1,1)</f>
        <v/>
      </c>
      <c r="K20" s="133">
        <f>(I20-E20)*D20*100</f>
        <v/>
      </c>
      <c r="L20" s="133">
        <f>J20*D20*100-F20</f>
        <v/>
      </c>
      <c r="M20" s="132">
        <f>I20+J20</f>
        <v/>
      </c>
      <c r="N20" s="134">
        <f>D20*I20*100</f>
        <v/>
      </c>
      <c r="O20" s="133">
        <f>D20*M20*100</f>
        <v/>
      </c>
      <c r="P20" s="133">
        <f>[1]!b_info_couponrate(C20)</f>
        <v/>
      </c>
      <c r="Q20" s="133">
        <f>[1]!b_anal_vobp_cnbd(C20,$A$1,1)</f>
        <v/>
      </c>
      <c r="R20" s="133">
        <f>[1]!b_anal_modidura_cnbd(C20,$A$1,1)</f>
        <v/>
      </c>
      <c r="S20" s="94" t="inlineStr">
        <is>
          <t>自营</t>
        </is>
      </c>
      <c r="T20" s="94" t="n"/>
      <c r="U20" s="94">
        <f>[1]!b_rate_latestcredit(C20)</f>
        <v/>
      </c>
      <c r="V20" s="94">
        <f>[1]!b_info_latestissurercreditrating(C20)</f>
        <v/>
      </c>
    </row>
    <row r="21" ht="12.95" customFormat="1" customHeight="1" s="33">
      <c r="A21" s="85" t="n">
        <v>44561</v>
      </c>
      <c r="B21" s="141" t="inlineStr">
        <is>
          <t>20时代02</t>
        </is>
      </c>
      <c r="C21" s="86" t="inlineStr">
        <is>
          <t>163142</t>
        </is>
      </c>
      <c r="D21" s="141" t="n">
        <v>1000</v>
      </c>
      <c r="E21" s="142" t="n">
        <v>69.83409999999999</v>
      </c>
      <c r="F21" s="141" t="n">
        <v>426027.4000000004</v>
      </c>
      <c r="G21" s="133" t="n">
        <v>6983410</v>
      </c>
      <c r="H21" s="133" t="n">
        <v>7409437.4</v>
      </c>
      <c r="I21" s="132">
        <f>[1]!b_anal_net_cnbd(C21,$A$1,1)</f>
        <v/>
      </c>
      <c r="J21" s="132">
        <f>[1]!accrint_dayend_cnbd(C21,$A$1,1)</f>
        <v/>
      </c>
      <c r="K21" s="133">
        <f>(I21-E21)*D21*100</f>
        <v/>
      </c>
      <c r="L21" s="133">
        <f>J21*D21*100-F21</f>
        <v/>
      </c>
      <c r="M21" s="132">
        <f>I21+J21</f>
        <v/>
      </c>
      <c r="N21" s="134">
        <f>D21*I21*100</f>
        <v/>
      </c>
      <c r="O21" s="133">
        <f>D21*M21*100</f>
        <v/>
      </c>
      <c r="P21" s="133">
        <f>[1]!b_info_couponrate(C21)</f>
        <v/>
      </c>
      <c r="Q21" s="133">
        <f>[1]!b_anal_vobp_cnbd(C21,$A$1,1)</f>
        <v/>
      </c>
      <c r="R21" s="133">
        <f>[1]!b_anal_modidura_cnbd(C21,$A$1,1)</f>
        <v/>
      </c>
      <c r="S21" s="94" t="inlineStr">
        <is>
          <t>自营</t>
        </is>
      </c>
      <c r="T21" s="94" t="n"/>
      <c r="U21" s="94">
        <f>[1]!b_rate_latestcredit(C21)</f>
        <v/>
      </c>
      <c r="V21" s="94">
        <f>[1]!b_info_latestissurercreditrating(C21)</f>
        <v/>
      </c>
    </row>
    <row r="22" ht="12.95" customFormat="1" customHeight="1" s="33">
      <c r="A22" s="85" t="n">
        <v>44561</v>
      </c>
      <c r="B22" s="141" t="inlineStr">
        <is>
          <t>20奥园01</t>
        </is>
      </c>
      <c r="C22" s="86" t="inlineStr">
        <is>
          <t>163188</t>
        </is>
      </c>
      <c r="D22" s="141" t="n">
        <v>15740</v>
      </c>
      <c r="E22" s="142" t="n">
        <v>31.18549999999999</v>
      </c>
      <c r="F22" s="141" t="n">
        <v>7210213.700000003</v>
      </c>
      <c r="G22" s="133" t="n">
        <v>49085976.99999999</v>
      </c>
      <c r="H22" s="133" t="n">
        <v>56296190.69999999</v>
      </c>
      <c r="I22" s="132">
        <f>[1]!b_anal_net_cnbd(C22,$A$1,1)</f>
        <v/>
      </c>
      <c r="J22" s="132">
        <f>[1]!accrint_dayend_cnbd(C22,$A$1,1)</f>
        <v/>
      </c>
      <c r="K22" s="133">
        <f>(I22-E22)*D22*100</f>
        <v/>
      </c>
      <c r="L22" s="133">
        <f>J22*D22*100-F22</f>
        <v/>
      </c>
      <c r="M22" s="132">
        <f>I22+J22</f>
        <v/>
      </c>
      <c r="N22" s="134">
        <f>D22*I22*100</f>
        <v/>
      </c>
      <c r="O22" s="133">
        <f>D22*M22*100</f>
        <v/>
      </c>
      <c r="P22" s="133">
        <f>[1]!b_info_couponrate(C22)</f>
        <v/>
      </c>
      <c r="Q22" s="133">
        <f>[1]!b_anal_vobp_cnbd(C22,$A$1,1)</f>
        <v/>
      </c>
      <c r="R22" s="133">
        <f>[1]!b_anal_modidura_cnbd(C22,$A$1,1)</f>
        <v/>
      </c>
      <c r="S22" s="94" t="inlineStr">
        <is>
          <t>自营</t>
        </is>
      </c>
      <c r="T22" s="94" t="n"/>
      <c r="U22" s="94">
        <f>[1]!b_rate_latestcredit(C22)</f>
        <v/>
      </c>
      <c r="V22" s="94">
        <f>[1]!b_info_latestissurercreditrating(C22)</f>
        <v/>
      </c>
    </row>
    <row r="23" ht="12.95" customFormat="1" customHeight="1" s="33">
      <c r="A23" s="85" t="n">
        <v>44561</v>
      </c>
      <c r="B23" s="143" t="inlineStr">
        <is>
          <t>21奥园债</t>
        </is>
      </c>
      <c r="C23" s="86" t="inlineStr">
        <is>
          <t>188326.SH</t>
        </is>
      </c>
      <c r="D23" s="141" t="n">
        <v>10000</v>
      </c>
      <c r="E23" s="142" t="n">
        <v>100</v>
      </c>
      <c r="F23" s="141" t="n">
        <v>3409315.07</v>
      </c>
      <c r="G23" s="133" t="n">
        <v>100000000</v>
      </c>
      <c r="H23" s="133" t="n">
        <v>103409315.07</v>
      </c>
      <c r="I23" s="144" t="n">
        <v>100</v>
      </c>
      <c r="J23" s="132">
        <f>[1]!accrint_dayend_cnbd(C23,$A$1,1)</f>
        <v/>
      </c>
      <c r="K23" s="133">
        <f>(I23-E23)*D23*100</f>
        <v/>
      </c>
      <c r="L23" s="133">
        <f>J23*D23*100-F23</f>
        <v/>
      </c>
      <c r="M23" s="132">
        <f>I23+J23</f>
        <v/>
      </c>
      <c r="N23" s="134">
        <f>D23*I23*100</f>
        <v/>
      </c>
      <c r="O23" s="133">
        <f>D23*M23*100</f>
        <v/>
      </c>
      <c r="P23" s="133">
        <f>[1]!b_info_couponrate(C23)</f>
        <v/>
      </c>
      <c r="Q23" s="133">
        <f>[1]!b_anal_vobp_cnbd(C23,$A$1,1)</f>
        <v/>
      </c>
      <c r="R23" s="133">
        <f>[1]!b_anal_modidura_cnbd(C23,$A$1,1)</f>
        <v/>
      </c>
      <c r="S23" s="94" t="inlineStr">
        <is>
          <t>自营</t>
        </is>
      </c>
      <c r="T23" s="94" t="n"/>
      <c r="U23" s="94">
        <f>[1]!b_rate_latestcredit(C23)</f>
        <v/>
      </c>
      <c r="V23" s="94">
        <f>[1]!b_info_latestissurercreditrating(C23)</f>
        <v/>
      </c>
    </row>
    <row r="24" ht="12.95" customFormat="1" customHeight="1" s="33">
      <c r="A24" s="85" t="n">
        <v>44561</v>
      </c>
      <c r="B24" s="141" t="inlineStr">
        <is>
          <t>20时代05</t>
        </is>
      </c>
      <c r="C24" s="86" t="inlineStr">
        <is>
          <t>163316</t>
        </is>
      </c>
      <c r="D24" s="141" t="n">
        <v>10000</v>
      </c>
      <c r="E24" s="142" t="n">
        <v>69.6169</v>
      </c>
      <c r="F24" s="141" t="n">
        <v>3870410.959999993</v>
      </c>
      <c r="G24" s="133" t="n">
        <v>69616900</v>
      </c>
      <c r="H24" s="133" t="n">
        <v>73487310.95999999</v>
      </c>
      <c r="I24" s="132">
        <f>[1]!b_anal_net_cnbd(C24,$A$1,1)</f>
        <v/>
      </c>
      <c r="J24" s="132">
        <f>[1]!accrint_dayend_cnbd(C24,$A$1,1)</f>
        <v/>
      </c>
      <c r="K24" s="133">
        <f>(I24-E24)*D24*100</f>
        <v/>
      </c>
      <c r="L24" s="133">
        <f>J24*D24*100-F24</f>
        <v/>
      </c>
      <c r="M24" s="132">
        <f>I24+J24</f>
        <v/>
      </c>
      <c r="N24" s="134">
        <f>D24*I24*100</f>
        <v/>
      </c>
      <c r="O24" s="133">
        <f>D24*M24*100</f>
        <v/>
      </c>
      <c r="P24" s="133">
        <f>[1]!b_info_couponrate(C24)</f>
        <v/>
      </c>
      <c r="Q24" s="133">
        <f>[1]!b_anal_vobp_cnbd(C24,$A$1,1)</f>
        <v/>
      </c>
      <c r="R24" s="133">
        <f>[1]!b_anal_modidura_cnbd(C24,$A$1,1)</f>
        <v/>
      </c>
      <c r="S24" s="94" t="inlineStr">
        <is>
          <t>自营</t>
        </is>
      </c>
      <c r="T24" s="94" t="n"/>
      <c r="U24" s="94">
        <f>[1]!b_rate_latestcredit(C24)</f>
        <v/>
      </c>
      <c r="V24" s="94">
        <f>[1]!b_info_latestissurercreditrating(C24)</f>
        <v/>
      </c>
    </row>
    <row r="25" ht="12.95" customFormat="1" customHeight="1" s="33">
      <c r="A25" s="85" t="n">
        <v>44561</v>
      </c>
      <c r="B25" s="141" t="inlineStr">
        <is>
          <t>20时代07</t>
        </is>
      </c>
      <c r="C25" s="86" t="inlineStr">
        <is>
          <t>163571</t>
        </is>
      </c>
      <c r="D25" s="141" t="n">
        <v>20000</v>
      </c>
      <c r="E25" s="94" t="n">
        <v>69.24770000000001</v>
      </c>
      <c r="F25" s="142" t="n">
        <v>6288000</v>
      </c>
      <c r="G25" s="133" t="n">
        <v>138495400</v>
      </c>
      <c r="H25" s="133" t="n">
        <v>144783400</v>
      </c>
      <c r="I25" s="132">
        <f>[1]!b_anal_net_cnbd(C25,$A$1,1)</f>
        <v/>
      </c>
      <c r="J25" s="132">
        <f>[1]!accrint_dayend_cnbd(C25,$A$1,1)</f>
        <v/>
      </c>
      <c r="K25" s="133">
        <f>(I25-E25)*D25*100</f>
        <v/>
      </c>
      <c r="L25" s="133">
        <f>J25*D25*100-F25</f>
        <v/>
      </c>
      <c r="M25" s="132">
        <f>I25+J25</f>
        <v/>
      </c>
      <c r="N25" s="134">
        <f>D25*I25*100</f>
        <v/>
      </c>
      <c r="O25" s="133">
        <f>D25*M25*100</f>
        <v/>
      </c>
      <c r="P25" s="133">
        <f>[1]!b_info_couponrate(C25)</f>
        <v/>
      </c>
      <c r="Q25" s="133">
        <f>[1]!b_anal_vobp_cnbd(C25,$A$1,1)</f>
        <v/>
      </c>
      <c r="R25" s="133">
        <f>[1]!b_anal_modidura_cnbd(C25,$A$1,1)</f>
        <v/>
      </c>
      <c r="S25" s="94" t="inlineStr">
        <is>
          <t>自营</t>
        </is>
      </c>
      <c r="T25" s="94" t="n"/>
      <c r="U25" s="94">
        <f>[1]!b_rate_latestcredit(C25)</f>
        <v/>
      </c>
      <c r="V25" s="94">
        <f>[1]!b_info_latestissurercreditrating(C25)</f>
        <v/>
      </c>
    </row>
    <row r="26" ht="12.95" customFormat="1" customHeight="1" s="33">
      <c r="A26" s="85" t="n">
        <v>44561</v>
      </c>
      <c r="B26" s="141" t="inlineStr">
        <is>
          <t>21中骏1B</t>
        </is>
      </c>
      <c r="C26" s="86" t="inlineStr">
        <is>
          <t>179511</t>
        </is>
      </c>
      <c r="D26" s="141" t="n">
        <v>4500</v>
      </c>
      <c r="E26" s="142" t="n">
        <v>97.61669999999999</v>
      </c>
      <c r="F26" s="141" t="n">
        <v>100602.7400000021</v>
      </c>
      <c r="G26" s="133" t="n">
        <v>43927515</v>
      </c>
      <c r="H26" s="133" t="n">
        <v>44028117.74</v>
      </c>
      <c r="I26" s="132">
        <f>[1]!b_anal_net_cnbd(C26,$A$1,1)</f>
        <v/>
      </c>
      <c r="J26" s="132">
        <f>[1]!accrint_dayend_cnbd(C26,$A$1,1)</f>
        <v/>
      </c>
      <c r="K26" s="133">
        <f>(I26-E26)*D26*100</f>
        <v/>
      </c>
      <c r="L26" s="133">
        <f>J26*D26*100-F26</f>
        <v/>
      </c>
      <c r="M26" s="132">
        <f>I26+J26</f>
        <v/>
      </c>
      <c r="N26" s="134">
        <f>D26*I26*100</f>
        <v/>
      </c>
      <c r="O26" s="133">
        <f>D26*M26*100</f>
        <v/>
      </c>
      <c r="P26" s="133">
        <f>[1]!b_info_couponrate(C26)</f>
        <v/>
      </c>
      <c r="Q26" s="133">
        <f>[1]!b_anal_vobp_cnbd(C26,$A$1,1)</f>
        <v/>
      </c>
      <c r="R26" s="133">
        <f>[1]!b_anal_modidura_cnbd(C26,$A$1,1)</f>
        <v/>
      </c>
      <c r="S26" s="94" t="inlineStr">
        <is>
          <t>自营</t>
        </is>
      </c>
      <c r="T26" s="94" t="n"/>
      <c r="U26" s="94">
        <f>[1]!b_rate_latestcredit(C26)</f>
        <v/>
      </c>
      <c r="V26" s="94">
        <f>[1]!b_info_latestissurercreditrating(C26)</f>
        <v/>
      </c>
    </row>
    <row r="27" ht="12.95" customFormat="1" customHeight="1" s="33">
      <c r="A27" s="85" t="n">
        <v>44561</v>
      </c>
      <c r="B27" s="143" t="inlineStr">
        <is>
          <t>20合景04</t>
        </is>
      </c>
      <c r="C27" s="86" t="inlineStr">
        <is>
          <t>175068</t>
        </is>
      </c>
      <c r="D27" s="141" t="n">
        <v>10500</v>
      </c>
      <c r="E27" s="142" t="n">
        <v>97.03399999999999</v>
      </c>
      <c r="F27" s="141" t="n">
        <v>2078136.98</v>
      </c>
      <c r="G27" s="133" t="n">
        <v>101885700</v>
      </c>
      <c r="H27" s="133" t="n">
        <v>103963836.98</v>
      </c>
      <c r="I27" s="144" t="n">
        <v>97.03399999999999</v>
      </c>
      <c r="J27" s="132">
        <f>[1]!accrint_dayend_cnbd(C27,$A$1,1)</f>
        <v/>
      </c>
      <c r="K27" s="133">
        <f>(I27-E27)*D27*100</f>
        <v/>
      </c>
      <c r="L27" s="133">
        <f>J27*D27*100-F27</f>
        <v/>
      </c>
      <c r="M27" s="132">
        <f>I27+J27</f>
        <v/>
      </c>
      <c r="N27" s="134">
        <f>D27*I27*100</f>
        <v/>
      </c>
      <c r="O27" s="133">
        <f>D27*M27*100</f>
        <v/>
      </c>
      <c r="P27" s="133">
        <f>[1]!b_info_couponrate(C27)</f>
        <v/>
      </c>
      <c r="Q27" s="133">
        <f>[1]!b_anal_vobp_cnbd(C27,$A$1,1)</f>
        <v/>
      </c>
      <c r="R27" s="133">
        <f>[1]!b_anal_modidura_cnbd(C27,$A$1,1)</f>
        <v/>
      </c>
      <c r="S27" s="94" t="inlineStr">
        <is>
          <t>自营</t>
        </is>
      </c>
      <c r="T27" s="94" t="n"/>
      <c r="U27" s="94">
        <f>[1]!b_rate_latestcredit(C27)</f>
        <v/>
      </c>
      <c r="V27" s="94">
        <f>[1]!b_info_latestissurercreditrating(C27)</f>
        <v/>
      </c>
    </row>
    <row r="28" ht="12.95" customFormat="1" customHeight="1" s="33">
      <c r="A28" s="85" t="n">
        <v>44561</v>
      </c>
      <c r="B28" s="143" t="inlineStr">
        <is>
          <t>20合景06</t>
        </is>
      </c>
      <c r="C28" s="86" t="inlineStr">
        <is>
          <t>175201</t>
        </is>
      </c>
      <c r="D28" s="141" t="n">
        <v>8500</v>
      </c>
      <c r="E28" s="142" t="n">
        <v>97.16858823529412</v>
      </c>
      <c r="F28" s="141" t="n">
        <v>1131780.82</v>
      </c>
      <c r="G28" s="133" t="n">
        <v>82593300</v>
      </c>
      <c r="H28" s="133" t="n">
        <v>83725080.81999999</v>
      </c>
      <c r="I28" s="144" t="n">
        <v>97.16858823529412</v>
      </c>
      <c r="J28" s="132">
        <f>[1]!accrint_dayend_cnbd(C28,$A$1,1)</f>
        <v/>
      </c>
      <c r="K28" s="133">
        <f>(I28-E28)*D28*100</f>
        <v/>
      </c>
      <c r="L28" s="133">
        <f>J28*D28*100-F28</f>
        <v/>
      </c>
      <c r="M28" s="132">
        <f>I28+J28</f>
        <v/>
      </c>
      <c r="N28" s="134">
        <f>D28*I28*100</f>
        <v/>
      </c>
      <c r="O28" s="133">
        <f>D28*M28*100</f>
        <v/>
      </c>
      <c r="P28" s="133">
        <f>[1]!b_info_couponrate(C28)</f>
        <v/>
      </c>
      <c r="Q28" s="133">
        <f>[1]!b_anal_vobp_cnbd(C28,$A$1,1)</f>
        <v/>
      </c>
      <c r="R28" s="133">
        <f>[1]!b_anal_modidura_cnbd(C28,$A$1,1)</f>
        <v/>
      </c>
      <c r="S28" s="94" t="inlineStr">
        <is>
          <t>自营</t>
        </is>
      </c>
      <c r="T28" s="94" t="n"/>
      <c r="U28" s="94">
        <f>[1]!b_rate_latestcredit(C28)</f>
        <v/>
      </c>
      <c r="V28" s="94">
        <f>[1]!b_info_latestissurercreditrating(C28)</f>
        <v/>
      </c>
    </row>
    <row r="29" ht="12.95" customFormat="1" customHeight="1" s="33">
      <c r="A29" s="75" t="n">
        <v>44561</v>
      </c>
      <c r="B29" s="143" t="inlineStr">
        <is>
          <t>21尚隽保理ABN001优先</t>
        </is>
      </c>
      <c r="C29" s="86" t="inlineStr">
        <is>
          <t>082100184</t>
        </is>
      </c>
      <c r="D29" s="141" t="n">
        <v>10000</v>
      </c>
      <c r="E29" s="142" t="n">
        <v>100</v>
      </c>
      <c r="F29" s="141" t="n">
        <v>4369863.01</v>
      </c>
      <c r="G29" s="133" t="n">
        <v>100000000</v>
      </c>
      <c r="H29" s="133" t="n">
        <v>104369863.01</v>
      </c>
      <c r="I29" s="144" t="n">
        <v>100</v>
      </c>
      <c r="J29" s="132">
        <f>[1]!accrint_dayend_cnbd(C29,$A$1,1)</f>
        <v/>
      </c>
      <c r="K29" s="133">
        <f>(I29-E29)*D29*100</f>
        <v/>
      </c>
      <c r="L29" s="133">
        <f>J29*D29*100-F29</f>
        <v/>
      </c>
      <c r="M29" s="132">
        <f>I29+J29</f>
        <v/>
      </c>
      <c r="N29" s="134">
        <f>D29*I29*100</f>
        <v/>
      </c>
      <c r="O29" s="133">
        <f>D29*M29*100</f>
        <v/>
      </c>
      <c r="P29" s="133">
        <f>[1]!b_info_couponrate(C29)</f>
        <v/>
      </c>
      <c r="Q29" s="133">
        <f>[1]!b_anal_vobp_cnbd(C29,$A$1,1)</f>
        <v/>
      </c>
      <c r="R29" s="133">
        <f>[1]!b_anal_modidura_cnbd(C29,$A$1,1)</f>
        <v/>
      </c>
      <c r="S29" s="94" t="inlineStr">
        <is>
          <t>自营</t>
        </is>
      </c>
      <c r="T29" s="94" t="n"/>
      <c r="U29" s="94">
        <f>[1]!b_rate_latestcredit(C29)</f>
        <v/>
      </c>
      <c r="V29" s="94">
        <f>[1]!b_info_latestissurercreditrating(C29)</f>
        <v/>
      </c>
    </row>
    <row r="30" ht="12.95" customFormat="1" customHeight="1" s="33">
      <c r="A30" s="90" t="n">
        <v>44561</v>
      </c>
      <c r="B30" s="141" t="inlineStr">
        <is>
          <t>21番雅01</t>
        </is>
      </c>
      <c r="C30" s="86" t="inlineStr">
        <is>
          <t>175934.SH</t>
        </is>
      </c>
      <c r="D30" s="141" t="n">
        <v>8000</v>
      </c>
      <c r="E30" s="142" t="n">
        <v>98.6374</v>
      </c>
      <c r="F30" s="141" t="n">
        <v>3452712.329999998</v>
      </c>
      <c r="G30" s="133" t="n">
        <v>78909920</v>
      </c>
      <c r="H30" s="133" t="n">
        <v>82362632.33</v>
      </c>
      <c r="I30" s="132">
        <f>[1]!b_anal_net_cnbd(C30,$A$1,1)</f>
        <v/>
      </c>
      <c r="J30" s="132">
        <f>[1]!accrint_dayend_cnbd(C30,$A$1,1)</f>
        <v/>
      </c>
      <c r="K30" s="133">
        <f>(I30-E30)*D30*100</f>
        <v/>
      </c>
      <c r="L30" s="133">
        <f>J30*D30*100-F30</f>
        <v/>
      </c>
      <c r="M30" s="132" t="n"/>
      <c r="N30" s="145" t="n"/>
      <c r="O30" s="146" t="n"/>
      <c r="P30" s="133" t="n"/>
      <c r="Q30" s="133" t="n"/>
      <c r="R30" s="133" t="n"/>
      <c r="S30" s="94" t="n"/>
      <c r="T30" s="94" t="n"/>
      <c r="U30" s="94" t="n"/>
      <c r="V30" s="94" t="n"/>
    </row>
    <row r="31" ht="12.95" customFormat="1" customHeight="1" s="33">
      <c r="A31" s="75" t="n">
        <v>44561</v>
      </c>
      <c r="B31" s="92" t="inlineStr">
        <is>
          <t>平裕6优</t>
        </is>
      </c>
      <c r="C31" s="86" t="n">
        <v>179965</v>
      </c>
      <c r="D31" s="125" t="n">
        <v>6500</v>
      </c>
      <c r="E31" s="142" t="n">
        <v>99.51600000000001</v>
      </c>
      <c r="F31" s="36" t="n">
        <v>2827321.92</v>
      </c>
      <c r="G31" s="133" t="n">
        <v>64685400</v>
      </c>
      <c r="H31" s="133" t="n">
        <v>67512721.92</v>
      </c>
      <c r="I31" s="144" t="n">
        <v>99.51600000000001</v>
      </c>
      <c r="J31" s="132">
        <f>[1]!accrint_dayend_cnbd(C31,$A$1,1)</f>
        <v/>
      </c>
      <c r="K31" s="133">
        <f>(I31-E31)*D31*100</f>
        <v/>
      </c>
      <c r="L31" s="133">
        <f>J31*D31*100-F31</f>
        <v/>
      </c>
      <c r="M31" s="132">
        <f>I31+J31</f>
        <v/>
      </c>
      <c r="N31" s="134">
        <f>D31*I31*100</f>
        <v/>
      </c>
      <c r="O31" s="133">
        <f>D31*M31*100</f>
        <v/>
      </c>
      <c r="P31" s="133">
        <f>[1]!b_info_couponrate(C31)</f>
        <v/>
      </c>
      <c r="Q31" s="133">
        <f>[1]!b_anal_vobp_cnbd(C31,$A$1,1)</f>
        <v/>
      </c>
      <c r="R31" s="133" t="n">
        <v>0.8</v>
      </c>
      <c r="S31" s="34" t="inlineStr">
        <is>
          <t>自营</t>
        </is>
      </c>
      <c r="T31" s="34" t="n"/>
      <c r="U31" s="33">
        <f>[1]!b_rate_latestcredit(C31)</f>
        <v/>
      </c>
      <c r="V31" s="33">
        <f>[1]!b_info_latestissurercreditrating(C31)</f>
        <v/>
      </c>
    </row>
    <row r="32" ht="12.95" customFormat="1" customHeight="1" s="93">
      <c r="A32" s="75" t="n">
        <v>44561</v>
      </c>
      <c r="B32" s="92" t="inlineStr">
        <is>
          <t>鹏举8号</t>
        </is>
      </c>
      <c r="C32" s="86" t="inlineStr">
        <is>
          <t>136209.SZ</t>
        </is>
      </c>
      <c r="D32" s="125" t="n">
        <v>8500</v>
      </c>
      <c r="E32" s="142" t="n">
        <v>100</v>
      </c>
      <c r="F32" s="36" t="n">
        <v>2498767.13</v>
      </c>
      <c r="G32" s="133" t="n">
        <v>85000000</v>
      </c>
      <c r="H32" s="133" t="n">
        <v>87498767.13</v>
      </c>
      <c r="I32" s="144" t="n">
        <v>100</v>
      </c>
      <c r="J32" s="132">
        <f>[1]!accrint_dayend_cnbd(C32,$A$1,1)</f>
        <v/>
      </c>
      <c r="K32" s="133">
        <f>(I32-E32)*D32*100</f>
        <v/>
      </c>
      <c r="L32" s="133">
        <f>J32*D32*100-F32</f>
        <v/>
      </c>
      <c r="M32" s="132">
        <f>I32+J32</f>
        <v/>
      </c>
      <c r="N32" s="134">
        <f>D32*I32*100</f>
        <v/>
      </c>
      <c r="O32" s="133">
        <f>D32*M32*100</f>
        <v/>
      </c>
      <c r="P32" s="133">
        <f>[1]!b_info_couponrate(C32)</f>
        <v/>
      </c>
      <c r="Q32" s="133">
        <f>[1]!b_anal_vobp_cnbd(C32,$A$1,1)</f>
        <v/>
      </c>
      <c r="R32" s="133">
        <f>[1]!b_anal_modidura_cnbd(C32,$A$1,1)</f>
        <v/>
      </c>
      <c r="S32" s="33" t="inlineStr">
        <is>
          <t>自营</t>
        </is>
      </c>
      <c r="T32" s="34" t="n"/>
      <c r="U32" s="33">
        <f>[1]!b_rate_latestcredit(C32)</f>
        <v/>
      </c>
      <c r="V32" s="33">
        <f>[1]!b_info_latestissurercreditrating(C32)</f>
        <v/>
      </c>
    </row>
    <row r="33" ht="12.95" customFormat="1" customHeight="1" s="33">
      <c r="A33" s="85" t="n">
        <v>44561</v>
      </c>
      <c r="B33" s="36" t="inlineStr">
        <is>
          <t>正荣03优</t>
        </is>
      </c>
      <c r="C33" s="86" t="inlineStr">
        <is>
          <t>169687</t>
        </is>
      </c>
      <c r="D33" s="141" t="n">
        <v>10000</v>
      </c>
      <c r="E33" s="142" t="n">
        <v>96.5579</v>
      </c>
      <c r="F33" s="36" t="n">
        <v>707671.2300000042</v>
      </c>
      <c r="G33" s="133" t="n">
        <v>96557900</v>
      </c>
      <c r="H33" s="133" t="n">
        <v>97265571.23</v>
      </c>
      <c r="I33" s="132">
        <f>[1]!b_anal_net_cnbd(C33,$A$1,1)</f>
        <v/>
      </c>
      <c r="J33" s="132">
        <f>[1]!accrint_dayend_cnbd(C33,$A$1,1)</f>
        <v/>
      </c>
      <c r="K33" s="133">
        <f>(I33-E33)*D33*100</f>
        <v/>
      </c>
      <c r="L33" s="133">
        <f>J33*D33*100-F33</f>
        <v/>
      </c>
      <c r="M33" s="94" t="n"/>
      <c r="N33" s="134" t="n"/>
      <c r="O33" s="133" t="n"/>
      <c r="P33" s="133" t="n"/>
      <c r="Q33" s="133" t="n"/>
      <c r="R33" s="133" t="n"/>
      <c r="T33" s="34" t="n"/>
    </row>
    <row r="34" ht="12.95" customFormat="1" customHeight="1" s="33">
      <c r="A34" s="85" t="n">
        <v>44561</v>
      </c>
      <c r="B34" s="141" t="inlineStr">
        <is>
          <t>20宝龙A</t>
        </is>
      </c>
      <c r="C34" s="86" t="inlineStr">
        <is>
          <t>168764</t>
        </is>
      </c>
      <c r="D34" s="141" t="n">
        <v>3000</v>
      </c>
      <c r="E34" s="27" t="n">
        <v>95.65780000000001</v>
      </c>
      <c r="F34" s="141" t="n">
        <v>315616.4400000013</v>
      </c>
      <c r="G34" s="138" t="n">
        <v>28697340</v>
      </c>
      <c r="H34" s="137" t="n">
        <v>29012956.44</v>
      </c>
      <c r="I34" s="132">
        <f>[1]!b_anal_net_cnbd(C34,$A$1,1)</f>
        <v/>
      </c>
      <c r="J34" s="132">
        <f>[1]!accrint_dayend_cnbd(C34,$A$1,1)</f>
        <v/>
      </c>
      <c r="K34" s="133">
        <f>(I34-E34)*D34*100+25893000</f>
        <v/>
      </c>
      <c r="L34" s="133">
        <f>J34*D34*100-F34+419190</f>
        <v/>
      </c>
      <c r="M34" s="94">
        <f>I34+J34</f>
        <v/>
      </c>
      <c r="N34" s="134">
        <f>D34*I34*100</f>
        <v/>
      </c>
      <c r="O34" s="133">
        <f>D34*M34*100</f>
        <v/>
      </c>
      <c r="P34" s="133">
        <f>[1]!b_info_couponrate(C34)</f>
        <v/>
      </c>
      <c r="Q34" s="133">
        <f>[1]!b_anal_vobp_cnbd(C34,$A$1,1)</f>
        <v/>
      </c>
      <c r="R34" s="133">
        <f>[1]!b_anal_modidura_cnbd(C34,$A$1,1)</f>
        <v/>
      </c>
      <c r="S34" s="33" t="inlineStr">
        <is>
          <t>自营</t>
        </is>
      </c>
      <c r="T34" s="94" t="n"/>
    </row>
    <row r="35" ht="12.95" customFormat="1" customHeight="1" s="33">
      <c r="A35" s="85" t="n">
        <v>44561</v>
      </c>
      <c r="B35" s="141" t="inlineStr">
        <is>
          <t>18泛海1B</t>
        </is>
      </c>
      <c r="C35" s="86" t="inlineStr">
        <is>
          <t>149771</t>
        </is>
      </c>
      <c r="D35" s="141" t="n">
        <v>28000</v>
      </c>
      <c r="E35" s="27" t="n">
        <v>60.0603</v>
      </c>
      <c r="F35" s="141" t="n">
        <v>2999452.060000002</v>
      </c>
      <c r="G35" s="133" t="n">
        <v>168168840</v>
      </c>
      <c r="H35" s="133" t="n">
        <v>171168292.06</v>
      </c>
      <c r="I35" s="132">
        <f>[1]!b_anal_net_csi1(C35,$A$1,1)</f>
        <v/>
      </c>
      <c r="J35" s="132">
        <f>[1]!accrint_dayend_cnbd(C35,$A$1,1)</f>
        <v/>
      </c>
      <c r="K35" s="133">
        <f>(I35-E35)*D35*100</f>
        <v/>
      </c>
      <c r="L35" s="147">
        <f>(A1-A35)/365*D35*P35*100</f>
        <v/>
      </c>
      <c r="M35" s="132">
        <f>I35+J35</f>
        <v/>
      </c>
      <c r="N35" s="134">
        <f>D35*I35*100</f>
        <v/>
      </c>
      <c r="O35" s="133">
        <f>D35*M35*100</f>
        <v/>
      </c>
      <c r="P35" s="133">
        <f>[1]!b_info_couponrate(C35)</f>
        <v/>
      </c>
      <c r="Q35" s="133">
        <f>[1]!b_anal_vobp_cnbd(C35,$A$1,1)</f>
        <v/>
      </c>
      <c r="R35" s="133">
        <f>[1]!b_anal_modidura_cnbd(C35,$A$1,1)</f>
        <v/>
      </c>
      <c r="S35" s="94" t="inlineStr">
        <is>
          <t>自营</t>
        </is>
      </c>
      <c r="T35" s="94" t="n"/>
      <c r="U35" s="94">
        <f>[1]!b_rate_latestcredit(C35)</f>
        <v/>
      </c>
      <c r="V35" s="94">
        <f>[1]!b_info_latestissurercreditrating(C35)</f>
        <v/>
      </c>
    </row>
    <row r="36" ht="12.95" customFormat="1" customHeight="1" s="33">
      <c r="A36" s="85" t="n"/>
      <c r="B36" s="141" t="n"/>
      <c r="C36" s="86" t="n"/>
      <c r="D36" s="141" t="n"/>
      <c r="E36" s="27" t="n"/>
      <c r="F36" s="141" t="n"/>
      <c r="G36" s="133" t="n"/>
      <c r="H36" s="133" t="n"/>
      <c r="I36" s="132" t="n"/>
      <c r="J36" s="132" t="n"/>
      <c r="K36" s="133" t="n"/>
      <c r="L36" s="147" t="n"/>
      <c r="M36" s="132" t="n"/>
      <c r="N36" s="134" t="n"/>
      <c r="O36" s="133" t="n"/>
      <c r="P36" s="133" t="n"/>
      <c r="Q36" s="133" t="n"/>
      <c r="R36" s="133" t="n"/>
      <c r="S36" s="94" t="n"/>
      <c r="T36" s="94" t="n"/>
      <c r="U36" s="94" t="n"/>
      <c r="V36" s="94" t="n"/>
    </row>
    <row r="37" ht="12.95" customFormat="1" customHeight="1" s="33">
      <c r="A37" s="85" t="n"/>
      <c r="B37" s="141" t="n"/>
      <c r="C37" s="86" t="n"/>
      <c r="D37" s="141" t="n"/>
      <c r="E37" s="27" t="n"/>
      <c r="F37" s="141" t="n"/>
      <c r="G37" s="133" t="n"/>
      <c r="H37" s="133" t="n"/>
      <c r="I37" s="132" t="n"/>
      <c r="J37" s="132" t="n"/>
      <c r="K37" s="133" t="n"/>
      <c r="L37" s="147" t="n"/>
      <c r="M37" s="132" t="n"/>
      <c r="N37" s="134" t="n"/>
      <c r="O37" s="133" t="n"/>
      <c r="P37" s="133" t="n"/>
      <c r="Q37" s="133" t="n"/>
      <c r="R37" s="133" t="n"/>
      <c r="S37" s="94" t="n"/>
      <c r="T37" s="94" t="n"/>
      <c r="U37" s="94" t="n"/>
      <c r="V37" s="94" t="n"/>
    </row>
    <row r="38" ht="12.95" customFormat="1" customHeight="1" s="99">
      <c r="A38" s="85" t="n">
        <v>44561</v>
      </c>
      <c r="B38" s="141" t="inlineStr">
        <is>
          <t>21方大EB</t>
        </is>
      </c>
      <c r="C38" s="86" t="inlineStr">
        <is>
          <t>137129.SH</t>
        </is>
      </c>
      <c r="D38" s="141" t="n">
        <v>5000</v>
      </c>
      <c r="E38" s="142" t="n">
        <v>100</v>
      </c>
      <c r="F38" s="141" t="n">
        <v>273287.6700000018</v>
      </c>
      <c r="G38" s="133" t="n">
        <v>50000000</v>
      </c>
      <c r="H38" s="133" t="n">
        <v>50273287.67</v>
      </c>
      <c r="I38" s="132">
        <f>[1]!b_dq_close(C38,$A$1,1)</f>
        <v/>
      </c>
      <c r="J38" s="148" t="n"/>
      <c r="K38" s="147">
        <f>(I38-E38)*D38*100</f>
        <v/>
      </c>
      <c r="L38" s="147">
        <f>(A1-A38)/365*D38*P38*100</f>
        <v/>
      </c>
      <c r="M38" s="149">
        <f>I38+J38</f>
        <v/>
      </c>
      <c r="N38" s="150">
        <f>D38*I38*100</f>
        <v/>
      </c>
      <c r="O38" s="147">
        <f>D38*M38*100</f>
        <v/>
      </c>
      <c r="P38" s="147">
        <f>[1]!b_info_couponrate(C38)</f>
        <v/>
      </c>
      <c r="Q38" s="147">
        <f>[1]!b_anal_vobp_cnbd(C38,$A$1,1)</f>
        <v/>
      </c>
      <c r="R38" s="147">
        <f>[1]!b_anal_modidura_cnbd(C38,$A$1,1)</f>
        <v/>
      </c>
      <c r="S38" s="23" t="inlineStr">
        <is>
          <t>自营</t>
        </is>
      </c>
      <c r="T38" s="23" t="n"/>
      <c r="U38" s="23">
        <f>[1]!b_rate_latestcredit(C38)</f>
        <v/>
      </c>
      <c r="V38" s="23">
        <f>[1]!b_info_latestissurercreditrating(C38)</f>
        <v/>
      </c>
    </row>
    <row r="39" ht="12.95" customFormat="1" customHeight="1" s="99">
      <c r="A39" s="85" t="n">
        <v>44561</v>
      </c>
      <c r="B39" s="141" t="inlineStr">
        <is>
          <t>21甘电E1</t>
        </is>
      </c>
      <c r="C39" s="86" t="inlineStr">
        <is>
          <t>117192.SZ</t>
        </is>
      </c>
      <c r="D39" s="141" t="n">
        <v>2000</v>
      </c>
      <c r="E39" s="142" t="n">
        <v>108.999</v>
      </c>
      <c r="F39" s="141" t="n">
        <v>208.2199999988079</v>
      </c>
      <c r="G39" s="133" t="n">
        <v>21799800</v>
      </c>
      <c r="H39" s="133" t="n">
        <v>21800008.22</v>
      </c>
      <c r="I39" s="132">
        <f>[1]!b_dq_close(C39,$A$1,1)</f>
        <v/>
      </c>
      <c r="J39" s="148" t="n"/>
      <c r="K39" s="147">
        <f>(I39-E39)*D39*100</f>
        <v/>
      </c>
      <c r="L39" s="147">
        <f>(A1-A39)/365*D39*P39*100</f>
        <v/>
      </c>
      <c r="M39" s="149">
        <f>I39+J39</f>
        <v/>
      </c>
      <c r="N39" s="150">
        <f>D39*I39*100</f>
        <v/>
      </c>
      <c r="O39" s="147">
        <f>D39*M39*100</f>
        <v/>
      </c>
      <c r="P39" s="147">
        <f>[1]!b_info_couponrate(C39)</f>
        <v/>
      </c>
      <c r="Q39" s="147">
        <f>[1]!b_anal_vobp_cnbd(C39,$A$1,1)</f>
        <v/>
      </c>
      <c r="R39" s="147">
        <f>[1]!b_anal_modidura_cnbd(C39,$A$1,1)</f>
        <v/>
      </c>
      <c r="S39" s="23" t="inlineStr">
        <is>
          <t>自营</t>
        </is>
      </c>
      <c r="T39" s="23" t="n"/>
      <c r="U39" s="23">
        <f>[1]!b_rate_latestcredit(C39)</f>
        <v/>
      </c>
      <c r="V39" s="23">
        <f>[1]!b_info_latestissurercreditrating(C39)</f>
        <v/>
      </c>
    </row>
    <row r="40" ht="12.95" customFormat="1" customHeight="1" s="99">
      <c r="A40" s="85" t="n">
        <v>44561</v>
      </c>
      <c r="B40" s="141" t="inlineStr">
        <is>
          <t>20市北EB</t>
        </is>
      </c>
      <c r="C40" s="86" t="inlineStr">
        <is>
          <t>137114</t>
        </is>
      </c>
      <c r="D40" s="141" t="n">
        <v>3000</v>
      </c>
      <c r="E40" s="142" t="n">
        <v>100</v>
      </c>
      <c r="F40" s="141" t="n">
        <v>69041.10000000149</v>
      </c>
      <c r="G40" s="133" t="n">
        <v>30000000</v>
      </c>
      <c r="H40" s="133" t="n">
        <v>30069041.1</v>
      </c>
      <c r="I40" s="132">
        <f>[1]!b_dq_close(C40,$A$1,1)</f>
        <v/>
      </c>
      <c r="J40" s="148" t="n"/>
      <c r="K40" s="147">
        <f>(I40-E40)*D40*100</f>
        <v/>
      </c>
      <c r="L40" s="147">
        <f>(A1-A40)/365*D40*P40*100</f>
        <v/>
      </c>
      <c r="M40" s="149">
        <f>I40+J40</f>
        <v/>
      </c>
      <c r="N40" s="150">
        <f>D40*I40*100</f>
        <v/>
      </c>
      <c r="O40" s="147">
        <f>D40*M40*100</f>
        <v/>
      </c>
      <c r="P40" s="147">
        <f>[1]!b_info_couponrate(C40)</f>
        <v/>
      </c>
      <c r="Q40" s="147">
        <f>[1]!b_anal_vobp_cnbd(C40,$A$1,1)</f>
        <v/>
      </c>
      <c r="R40" s="147">
        <f>[1]!b_anal_modidura_cnbd(C40,$A$1,1)</f>
        <v/>
      </c>
      <c r="S40" s="23" t="inlineStr">
        <is>
          <t>自营</t>
        </is>
      </c>
      <c r="T40" s="23" t="n"/>
      <c r="U40" s="23">
        <f>[1]!b_rate_latestcredit(C40)</f>
        <v/>
      </c>
      <c r="V40" s="23">
        <f>[1]!b_info_latestissurercreditrating(C40)</f>
        <v/>
      </c>
    </row>
    <row r="41" ht="12.95" customFormat="1" customHeight="1" s="114">
      <c r="A41" s="85" t="n">
        <v>44561</v>
      </c>
      <c r="B41" s="141" t="inlineStr">
        <is>
          <t>21鲁银EB</t>
        </is>
      </c>
      <c r="C41" s="86" t="inlineStr">
        <is>
          <t>117181</t>
        </is>
      </c>
      <c r="D41" s="141" t="n">
        <v>1000</v>
      </c>
      <c r="E41" s="142" t="n">
        <v>99.91</v>
      </c>
      <c r="F41" s="141" t="n">
        <v>9041.099999999627</v>
      </c>
      <c r="G41" s="133" t="n">
        <v>9991000</v>
      </c>
      <c r="H41" s="133" t="n">
        <v>10000041.1</v>
      </c>
      <c r="I41" s="132">
        <f>[1]!b_dq_close(C41,$A$1,1)</f>
        <v/>
      </c>
      <c r="J41" s="149" t="n"/>
      <c r="K41" s="147">
        <f>(I41-E41)*D41*100</f>
        <v/>
      </c>
      <c r="L41" s="147">
        <f>(A1-DATE(2022,2,4))/365*D41*P41*100+958.9041</f>
        <v/>
      </c>
      <c r="M41" s="149">
        <f>I41+J41</f>
        <v/>
      </c>
      <c r="N41" s="150">
        <f>D41*I41*100</f>
        <v/>
      </c>
      <c r="O41" s="147">
        <f>D41*M41*100</f>
        <v/>
      </c>
      <c r="P41" s="147" t="n">
        <v>0.5</v>
      </c>
      <c r="Q41" s="147">
        <f>[1]!b_anal_vobp_cnbd(C41,$A$1,1)</f>
        <v/>
      </c>
      <c r="R41" s="147">
        <f>[1]!b_anal_modidura_cnbd(C41,$A$1,1)</f>
        <v/>
      </c>
      <c r="S41" s="23" t="inlineStr">
        <is>
          <t>自营</t>
        </is>
      </c>
      <c r="T41" s="33">
        <f>[1]!b_info_repurchasedate(C41)</f>
        <v/>
      </c>
      <c r="U41" s="23">
        <f>[1]!b_rate_latestcredit(C41)</f>
        <v/>
      </c>
      <c r="V41" s="23">
        <f>[1]!b_info_latestissurercreditrating(C41)</f>
        <v/>
      </c>
    </row>
    <row r="42" ht="12.95" customFormat="1" customHeight="1" s="100">
      <c r="A42" s="85" t="n">
        <v>44561</v>
      </c>
      <c r="B42" s="141" t="inlineStr">
        <is>
          <t>21恒力EB</t>
        </is>
      </c>
      <c r="C42" s="86" t="inlineStr">
        <is>
          <t>137000.SH</t>
        </is>
      </c>
      <c r="D42" s="141" t="n">
        <v>11200</v>
      </c>
      <c r="E42" s="142" t="n">
        <v>100</v>
      </c>
      <c r="F42" s="141" t="n">
        <v>316054.7900000066</v>
      </c>
      <c r="G42" s="133" t="n">
        <v>112000000</v>
      </c>
      <c r="H42" s="133" t="n">
        <v>112316054.79</v>
      </c>
      <c r="I42" s="132">
        <f>[1]!b_dq_close(C42,$A$1,1)</f>
        <v/>
      </c>
      <c r="J42" s="132">
        <f>[1]!accrint_dayend_cnbd(C42,$A$1,1)</f>
        <v/>
      </c>
      <c r="K42" s="133">
        <f>(I42-E42)*D42*100</f>
        <v/>
      </c>
      <c r="L42" s="147">
        <f>(A1-A42)/365*D42*P42*100</f>
        <v/>
      </c>
      <c r="M42" s="132">
        <f>I42+J42</f>
        <v/>
      </c>
      <c r="N42" s="134">
        <f>D42*I42*100</f>
        <v/>
      </c>
      <c r="O42" s="133">
        <f>D42*M42*100</f>
        <v/>
      </c>
      <c r="P42" s="133">
        <f>[1]!b_info_couponrate(C42)</f>
        <v/>
      </c>
      <c r="Q42" s="133">
        <f>[1]!b_anal_vobp_cnbd(C42,$A$1,1)</f>
        <v/>
      </c>
      <c r="R42" s="133">
        <f>[1]!b_anal_modidura_cnbd(C42,$A$1,1)</f>
        <v/>
      </c>
      <c r="S42" s="94" t="inlineStr">
        <is>
          <t>自营</t>
        </is>
      </c>
      <c r="T42" s="94" t="n"/>
      <c r="U42" s="94">
        <f>[1]!b_rate_latestcredit(C42)</f>
        <v/>
      </c>
      <c r="V42" s="94">
        <f>[1]!b_info_latestissurercreditrating(C42)</f>
        <v/>
      </c>
    </row>
    <row r="43" ht="12.95" customFormat="1" customHeight="1" s="99">
      <c r="A43" s="85" t="n">
        <v>44561</v>
      </c>
      <c r="B43" s="141" t="inlineStr">
        <is>
          <t>三一重工</t>
        </is>
      </c>
      <c r="C43" s="86" t="inlineStr">
        <is>
          <t>600031</t>
        </is>
      </c>
      <c r="D43" s="141" t="n">
        <v>142.8571</v>
      </c>
      <c r="E43" s="142" t="n">
        <v>22.8</v>
      </c>
      <c r="F43" s="141" t="n">
        <v>0</v>
      </c>
      <c r="G43" s="133" t="n">
        <v>32571418.8</v>
      </c>
      <c r="H43" s="133" t="n">
        <v>32571418.8</v>
      </c>
      <c r="I43" s="132">
        <f>[1]!s_dq_close(C43,$A$1,1)</f>
        <v/>
      </c>
      <c r="J43" s="149">
        <f>[1]!accrint_dayend_cnbd(C43,$A$1,1)</f>
        <v/>
      </c>
      <c r="K43" s="147">
        <f>(I43-E43)*D43*10000</f>
        <v/>
      </c>
      <c r="L43" s="147">
        <f>J43*D43*100-F43</f>
        <v/>
      </c>
      <c r="M43" s="149">
        <f>I43+J43</f>
        <v/>
      </c>
      <c r="N43" s="150">
        <f>D43*I43*100</f>
        <v/>
      </c>
      <c r="O43" s="147">
        <f>D43*M43*100</f>
        <v/>
      </c>
      <c r="P43" s="147">
        <f>[1]!b_info_couponrate(C43)</f>
        <v/>
      </c>
      <c r="Q43" s="147">
        <f>[1]!b_anal_vobp_cnbd(C43,$A$1,1)</f>
        <v/>
      </c>
      <c r="R43" s="147">
        <f>[1]!b_anal_modidura_cnbd(C43,$A$1,1)</f>
        <v/>
      </c>
      <c r="S43" s="23" t="inlineStr">
        <is>
          <t>自营</t>
        </is>
      </c>
      <c r="T43" s="23" t="n"/>
      <c r="U43" s="23">
        <f>[1]!b_rate_latestcredit(C43)</f>
        <v/>
      </c>
      <c r="V43" s="23">
        <f>[1]!b_info_latestissurercreditrating(C43)</f>
        <v/>
      </c>
    </row>
    <row r="44" ht="12.95" customFormat="1" customHeight="1" s="33">
      <c r="A44" s="85" t="n">
        <v>44561</v>
      </c>
      <c r="B44" s="141" t="inlineStr">
        <is>
          <t>金贵银业</t>
        </is>
      </c>
      <c r="C44" s="86" t="inlineStr">
        <is>
          <t>002716</t>
        </is>
      </c>
      <c r="D44" s="141" t="n">
        <v>352.949</v>
      </c>
      <c r="E44" s="142" t="n">
        <v>3.21</v>
      </c>
      <c r="F44" s="141" t="n">
        <v>0</v>
      </c>
      <c r="G44" s="133" t="n">
        <v>11329662.9</v>
      </c>
      <c r="H44" s="133" t="n">
        <v>11329662.9</v>
      </c>
      <c r="I44" s="132">
        <f>[1]!s_dq_close(C44,$A$1,1)</f>
        <v/>
      </c>
      <c r="J44" s="132">
        <f>[1]!accrint_dayend_cnbd(C44,$A$1,1)</f>
        <v/>
      </c>
      <c r="K44" s="147">
        <f>(I44-E44)*D44*10000</f>
        <v/>
      </c>
      <c r="L44" s="133">
        <f>J44*D44*100-F44</f>
        <v/>
      </c>
      <c r="M44" s="132">
        <f>I44+J44</f>
        <v/>
      </c>
      <c r="N44" s="134">
        <f>D44*I44*100</f>
        <v/>
      </c>
      <c r="O44" s="133">
        <f>D44*M44*100</f>
        <v/>
      </c>
      <c r="P44" s="133">
        <f>[1]!b_info_couponrate(C44)</f>
        <v/>
      </c>
      <c r="Q44" s="133">
        <f>[1]!b_anal_vobp_cnbd(C44,$A$1,1)</f>
        <v/>
      </c>
      <c r="R44" s="133">
        <f>[1]!b_anal_modidura_cnbd(C44,$A$1,1)</f>
        <v/>
      </c>
      <c r="S44" s="94" t="inlineStr">
        <is>
          <t>自营</t>
        </is>
      </c>
      <c r="T44" s="94" t="n"/>
      <c r="U44" s="94">
        <f>[1]!b_rate_latestcredit(C44)</f>
        <v/>
      </c>
      <c r="V44" s="94">
        <f>[1]!b_info_latestissurercreditrating(C44)</f>
        <v/>
      </c>
    </row>
    <row r="45" ht="12.95" customFormat="1" customHeight="1" s="33">
      <c r="A45" s="85" t="n"/>
      <c r="B45" s="141" t="n"/>
      <c r="C45" s="86" t="n"/>
      <c r="D45" s="141" t="n"/>
      <c r="E45" s="27" t="n"/>
      <c r="F45" s="141" t="n"/>
      <c r="G45" s="133" t="n"/>
      <c r="H45" s="133" t="n"/>
      <c r="I45" s="132" t="n"/>
      <c r="J45" s="132" t="n"/>
      <c r="K45" s="133" t="n"/>
      <c r="L45" s="147" t="n"/>
      <c r="M45" s="132" t="n"/>
      <c r="N45" s="134" t="n"/>
      <c r="O45" s="133" t="n"/>
      <c r="P45" s="133" t="n"/>
      <c r="Q45" s="133" t="n"/>
      <c r="R45" s="133" t="n"/>
      <c r="S45" s="94" t="n"/>
      <c r="T45" s="94" t="n"/>
      <c r="U45" s="94" t="n"/>
      <c r="V45" s="94" t="n"/>
    </row>
    <row r="46" ht="12.95" customFormat="1" customHeight="1" s="33">
      <c r="A46" s="85" t="n"/>
      <c r="B46" s="141" t="n"/>
      <c r="C46" s="86" t="n"/>
      <c r="D46" s="141" t="n"/>
      <c r="E46" s="27" t="n"/>
      <c r="F46" s="141" t="n"/>
      <c r="G46" s="133" t="n"/>
      <c r="H46" s="133" t="n"/>
      <c r="I46" s="132" t="n"/>
      <c r="J46" s="132" t="n"/>
      <c r="K46" s="133" t="n"/>
      <c r="L46" s="147" t="n"/>
      <c r="M46" s="132" t="n"/>
      <c r="N46" s="134" t="n"/>
      <c r="O46" s="133" t="n"/>
      <c r="P46" s="133" t="n"/>
      <c r="Q46" s="133" t="n"/>
      <c r="R46" s="133" t="n"/>
      <c r="S46" s="94" t="n"/>
      <c r="T46" s="94" t="n"/>
      <c r="U46" s="94" t="n"/>
      <c r="V46" s="94" t="n"/>
    </row>
    <row r="47" ht="12.95" customFormat="1" customHeight="1" s="104">
      <c r="A47" s="85" t="n">
        <v>44561</v>
      </c>
      <c r="B47" s="141" t="inlineStr">
        <is>
          <t>15宜华02</t>
        </is>
      </c>
      <c r="C47" s="86" t="inlineStr">
        <is>
          <t>122405</t>
        </is>
      </c>
      <c r="D47" s="141" t="n">
        <v>800</v>
      </c>
      <c r="E47" s="27" t="n">
        <v>45.8481</v>
      </c>
      <c r="F47" s="141" t="n"/>
      <c r="G47" s="133" t="n">
        <v>3667848</v>
      </c>
      <c r="H47" s="133" t="n">
        <v>3667848</v>
      </c>
      <c r="I47" s="132" t="n">
        <v>45.8481</v>
      </c>
      <c r="J47" s="151" t="n"/>
      <c r="K47" s="102">
        <f>(I47-E47)*D47*100</f>
        <v/>
      </c>
      <c r="L47" s="103" t="n"/>
      <c r="O47" s="133">
        <f>I47*D47*100</f>
        <v/>
      </c>
    </row>
    <row r="48" ht="12.95" customFormat="1" customHeight="1" s="104">
      <c r="A48" s="85" t="n">
        <v>44561</v>
      </c>
      <c r="B48" s="141" t="inlineStr">
        <is>
          <t>17宜华企业MTN002</t>
        </is>
      </c>
      <c r="C48" s="86" t="inlineStr">
        <is>
          <t>101761030</t>
        </is>
      </c>
      <c r="D48" s="141" t="n">
        <v>4000</v>
      </c>
      <c r="E48" s="27" t="n">
        <v>27.2141</v>
      </c>
      <c r="F48" s="141" t="n"/>
      <c r="G48" s="133" t="n">
        <v>10885640</v>
      </c>
      <c r="H48" s="133" t="n">
        <v>10885640</v>
      </c>
      <c r="I48" s="132" t="n">
        <v>27.2141</v>
      </c>
      <c r="J48" s="151" t="n"/>
      <c r="K48" s="102">
        <f>(I48-E48)*D48*100</f>
        <v/>
      </c>
      <c r="L48" s="103" t="n"/>
      <c r="O48" s="133">
        <f>I48*D48*100</f>
        <v/>
      </c>
    </row>
    <row r="49" ht="12.95" customFormat="1" customHeight="1" s="104">
      <c r="A49" s="85" t="n">
        <v>44561</v>
      </c>
      <c r="B49" s="141" t="inlineStr">
        <is>
          <t>20蓝光02</t>
        </is>
      </c>
      <c r="C49" s="86" t="inlineStr">
        <is>
          <t>163275</t>
        </is>
      </c>
      <c r="D49" s="141" t="n">
        <v>6500</v>
      </c>
      <c r="E49" s="27" t="n">
        <v>24.9186</v>
      </c>
      <c r="F49" s="141" t="n"/>
      <c r="G49" s="133" t="n">
        <v>16197090</v>
      </c>
      <c r="H49" s="133" t="n">
        <v>16197090</v>
      </c>
      <c r="I49" s="132" t="n">
        <v>24.9186</v>
      </c>
      <c r="J49" s="151" t="n"/>
      <c r="K49" s="102">
        <f>(I49-E49)*D49*100</f>
        <v/>
      </c>
      <c r="L49" s="103" t="n"/>
      <c r="O49" s="133">
        <f>I49*D49*100</f>
        <v/>
      </c>
    </row>
    <row r="50" ht="12.95" customFormat="1" customHeight="1" s="103">
      <c r="A50" s="85" t="n">
        <v>44561</v>
      </c>
      <c r="B50" s="141" t="inlineStr">
        <is>
          <t>16金立债</t>
        </is>
      </c>
      <c r="C50" s="86" t="inlineStr">
        <is>
          <t>114036</t>
        </is>
      </c>
      <c r="D50" s="141" t="n">
        <v>10000</v>
      </c>
      <c r="E50" s="27" t="n">
        <v>0</v>
      </c>
      <c r="F50" s="141" t="n"/>
      <c r="G50" s="133" t="n"/>
      <c r="H50" s="133" t="n">
        <v>23749700</v>
      </c>
      <c r="I50" s="132" t="n"/>
      <c r="J50" s="151" t="n"/>
      <c r="K50" s="102" t="n"/>
    </row>
    <row r="51" ht="12.95" customFormat="1" customHeight="1" s="103">
      <c r="A51" s="85" t="n">
        <v>44561</v>
      </c>
      <c r="B51" s="141" t="inlineStr">
        <is>
          <t>16铁牛01</t>
        </is>
      </c>
      <c r="C51" s="86" t="inlineStr">
        <is>
          <t>145204</t>
        </is>
      </c>
      <c r="D51" s="141" t="n">
        <v>8000</v>
      </c>
      <c r="E51" s="27" t="n">
        <v>0</v>
      </c>
      <c r="F51" s="141" t="n"/>
      <c r="G51" s="133" t="n"/>
      <c r="H51" s="133" t="n">
        <v>24000000</v>
      </c>
      <c r="I51" s="132" t="n"/>
      <c r="J51" s="151" t="n"/>
      <c r="K51" s="102" t="n"/>
    </row>
    <row r="52" ht="12.95" customFormat="1" customHeight="1" s="103">
      <c r="A52" s="85" t="n">
        <v>44561</v>
      </c>
      <c r="B52" s="141" t="inlineStr">
        <is>
          <t>17泰禾MTN002</t>
        </is>
      </c>
      <c r="C52" s="86" t="inlineStr">
        <is>
          <t>101774003</t>
        </is>
      </c>
      <c r="D52" s="141" t="n">
        <v>7000</v>
      </c>
      <c r="E52" s="27" t="n">
        <v>0</v>
      </c>
      <c r="F52" s="141" t="n"/>
      <c r="G52" s="133" t="n"/>
      <c r="H52" s="133" t="n">
        <v>21000000</v>
      </c>
      <c r="I52" s="132" t="n"/>
      <c r="J52" s="151" t="n"/>
      <c r="K52" s="102" t="n"/>
    </row>
    <row r="53" ht="12.95" customFormat="1" customHeight="1" s="33">
      <c r="A53" s="75" t="n"/>
      <c r="C53" s="105" t="n"/>
      <c r="D53" s="135" t="n"/>
      <c r="E53" s="152" t="n"/>
      <c r="F53" s="153" t="n"/>
      <c r="G53" s="132" t="n"/>
      <c r="H53" s="153" t="n"/>
      <c r="I53" s="154" t="n"/>
      <c r="J53" s="40" t="n"/>
      <c r="K53" s="133" t="n"/>
      <c r="L53" s="40" t="n"/>
      <c r="M53" s="40" t="n"/>
      <c r="N53" s="47" t="n"/>
      <c r="O53" s="40" t="n"/>
      <c r="P53" s="40" t="n"/>
      <c r="Q53" s="40" t="n"/>
      <c r="R53" s="40" t="n"/>
    </row>
    <row r="54" ht="12.95" customFormat="1" customHeight="1" s="33">
      <c r="A54" s="75" t="n"/>
      <c r="B54" s="42" t="n"/>
      <c r="C54" s="135" t="n"/>
      <c r="D54" s="135" t="n"/>
      <c r="E54" s="155" t="n"/>
      <c r="F54" s="94" t="n"/>
      <c r="G54" s="152" t="n"/>
      <c r="J54" s="40" t="n"/>
      <c r="K54" s="133" t="n"/>
      <c r="L54" s="40" t="n"/>
      <c r="M54" s="40" t="n"/>
      <c r="N54" s="47" t="n"/>
      <c r="O54" s="40" t="n"/>
      <c r="P54" s="40" t="n"/>
      <c r="Q54" s="40" t="n"/>
      <c r="R54" s="40" t="n"/>
    </row>
    <row r="55" ht="12.95" customFormat="1" customHeight="1" s="33">
      <c r="A55" s="75" t="n">
        <v>44561</v>
      </c>
      <c r="B55" s="42" t="inlineStr">
        <is>
          <t>产品名称</t>
        </is>
      </c>
      <c r="C55" s="42" t="n"/>
      <c r="D55" s="125" t="inlineStr">
        <is>
          <t>基金规模</t>
        </is>
      </c>
      <c r="E55" s="42" t="inlineStr">
        <is>
          <t>自营名义份额（万份）</t>
        </is>
      </c>
      <c r="F55" s="94" t="inlineStr">
        <is>
          <t>20211231日净值</t>
        </is>
      </c>
      <c r="G55" s="40" t="inlineStr">
        <is>
          <t>最新单位净值</t>
        </is>
      </c>
      <c r="H55" s="33" t="inlineStr">
        <is>
          <t>20211231日自营名义市值</t>
        </is>
      </c>
      <c r="I55" s="33" t="inlineStr">
        <is>
          <t>最新自营名义市值</t>
        </is>
      </c>
      <c r="J55" s="156" t="inlineStr">
        <is>
          <t>期间分红</t>
        </is>
      </c>
      <c r="K55" s="133" t="inlineStr">
        <is>
          <t>浮动收益</t>
        </is>
      </c>
      <c r="L55" s="40" t="n"/>
      <c r="M55" s="40" t="n"/>
      <c r="N55" s="47" t="n"/>
      <c r="O55" s="40" t="n"/>
      <c r="P55" s="40" t="n"/>
      <c r="Q55" s="40" t="n"/>
      <c r="R55" s="40" t="n"/>
    </row>
    <row r="56" customFormat="1" s="40">
      <c r="A56" s="75" t="n">
        <v>44561</v>
      </c>
      <c r="B56" s="42" t="inlineStr">
        <is>
          <t>天慧1号</t>
        </is>
      </c>
      <c r="C56" s="42" t="n"/>
      <c r="D56" s="141" t="n"/>
      <c r="E56" s="125" t="n">
        <v>663.315113</v>
      </c>
      <c r="F56" s="94" t="n">
        <v>1.0287</v>
      </c>
      <c r="G56" s="132" t="n">
        <v>1.0365</v>
      </c>
      <c r="H56" s="154" t="n">
        <v>6823522.567431</v>
      </c>
      <c r="I56" s="154">
        <f>G56*E56*10000</f>
        <v/>
      </c>
      <c r="J56" s="156" t="n"/>
      <c r="K56" s="133">
        <f>I56-H56+J56</f>
        <v/>
      </c>
      <c r="N56" s="47" t="n"/>
    </row>
    <row r="57" customFormat="1" s="40">
      <c r="A57" s="75" t="n">
        <v>44561</v>
      </c>
      <c r="B57" s="42" t="inlineStr">
        <is>
          <t>天诚固利1号</t>
        </is>
      </c>
      <c r="C57" s="42" t="n"/>
      <c r="D57" s="157" t="n"/>
      <c r="E57" s="125" t="n">
        <v>1266.969658</v>
      </c>
      <c r="F57" s="152" t="n">
        <v>1.0189</v>
      </c>
      <c r="G57" s="132" t="n">
        <v>1.0265</v>
      </c>
      <c r="H57" s="154" t="n">
        <v>12909153.845362</v>
      </c>
      <c r="I57" s="154">
        <f>G57*E57*10000</f>
        <v/>
      </c>
      <c r="J57" s="156" t="n"/>
      <c r="K57" s="133">
        <f>I57-H57+J57</f>
        <v/>
      </c>
      <c r="N57" s="47" t="n"/>
    </row>
    <row r="58" customFormat="1" s="40">
      <c r="A58" s="75" t="n">
        <v>44561</v>
      </c>
      <c r="B58" s="42" t="inlineStr">
        <is>
          <t>天诚固利2号</t>
        </is>
      </c>
      <c r="C58" s="42" t="n"/>
      <c r="D58" s="157" t="n"/>
      <c r="E58" s="125" t="n">
        <v>1889.502828</v>
      </c>
      <c r="F58" s="94" t="n">
        <v>1.0258</v>
      </c>
      <c r="G58" s="132" t="n">
        <v>1.0339</v>
      </c>
      <c r="H58" s="154" t="n">
        <v>19382520.009624</v>
      </c>
      <c r="I58" s="154">
        <f>G58*E58*10000</f>
        <v/>
      </c>
      <c r="J58" s="156" t="n"/>
      <c r="K58" s="133">
        <f>I58-H58+J58</f>
        <v/>
      </c>
      <c r="N58" s="47" t="n"/>
    </row>
    <row r="59" customFormat="1" s="40">
      <c r="A59" s="75" t="n">
        <v>44561</v>
      </c>
      <c r="B59" s="42" t="inlineStr">
        <is>
          <t>天诚固利3号</t>
        </is>
      </c>
      <c r="C59" s="42" t="n"/>
      <c r="D59" s="157" t="n"/>
      <c r="E59" s="125" t="n">
        <v>1862.687479</v>
      </c>
      <c r="F59" s="94" t="n">
        <v>1.0295</v>
      </c>
      <c r="G59" s="132" t="n">
        <v>1.0373</v>
      </c>
      <c r="H59" s="154" t="n">
        <v>19176367.596305</v>
      </c>
      <c r="I59" s="154">
        <f>G59*E59*10000</f>
        <v/>
      </c>
      <c r="J59" s="156" t="n"/>
      <c r="K59" s="133">
        <f>I59-H59+J59</f>
        <v/>
      </c>
      <c r="N59" s="47" t="n"/>
    </row>
    <row r="61" customFormat="1" s="40">
      <c r="A61" s="25" t="n"/>
      <c r="B61" s="33" t="n"/>
      <c r="C61" s="33" t="n"/>
      <c r="D61" s="158" t="n"/>
      <c r="E61" s="135" t="n"/>
      <c r="F61" s="94" t="n"/>
      <c r="G61" s="152" t="n"/>
      <c r="H61" s="154" t="n"/>
      <c r="I61" s="154" t="n"/>
      <c r="J61" s="156" t="n"/>
      <c r="K61" s="133" t="n"/>
      <c r="N61" s="47" t="n"/>
    </row>
    <row r="62">
      <c r="A62" s="25" t="n"/>
    </row>
    <row r="63">
      <c r="A63" s="25" t="n"/>
    </row>
    <row r="64">
      <c r="A64" s="25" t="n"/>
      <c r="E64" s="159" t="n"/>
    </row>
    <row r="65">
      <c r="A65" s="25" t="n"/>
      <c r="E65" s="159" t="n"/>
      <c r="F65" s="58" t="n"/>
    </row>
    <row r="66">
      <c r="A66" s="25" t="n"/>
      <c r="B66" s="49" t="n"/>
      <c r="D66" s="160" t="n"/>
      <c r="J66" s="161" t="n"/>
    </row>
    <row r="67">
      <c r="A67" s="25" t="n"/>
      <c r="B67" s="40" t="n"/>
      <c r="D67" s="160" t="n"/>
      <c r="J67" s="156" t="n"/>
    </row>
    <row r="69">
      <c r="J69" s="161" t="n"/>
    </row>
    <row r="72">
      <c r="F72" s="118" t="n"/>
    </row>
    <row r="73">
      <c r="F73" s="118" t="n"/>
    </row>
  </sheetData>
  <pageMargins left="0.7" right="0.7" top="0.75" bottom="0.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3"/>
  <sheetViews>
    <sheetView topLeftCell="A1" workbookViewId="0">
      <pane xSplit="3" topLeftCell="D1" activePane="topRight" state="frozen"/>
      <selection pane="topRight" activeCell="K22" sqref="K22:L22"/>
    </sheetView>
  </sheetViews>
  <sheetFormatPr baseColWidth="8" defaultColWidth="9" defaultRowHeight="12"/>
  <cols>
    <col width="11" customWidth="1" style="24" min="1" max="1"/>
    <col width="15" customWidth="1" style="24" min="2" max="2"/>
    <col width="9" customWidth="1" style="24" min="3" max="3"/>
    <col width="13" customWidth="1" style="118" min="4" max="4"/>
    <col width="22" customWidth="1" style="48" min="5" max="5"/>
    <col width="14" customWidth="1" style="24" min="6" max="6"/>
    <col width="21" customWidth="1" style="24" min="7" max="7"/>
    <col width="19" customWidth="1" style="24" min="8" max="8"/>
    <col width="16" customWidth="1" style="40" min="9" max="9"/>
    <col width="14" customWidth="1" style="40" min="10" max="10"/>
    <col width="15" customWidth="1" style="119" min="11" max="11"/>
    <col width="9" customWidth="1" style="40" min="12" max="12"/>
    <col width="10" customWidth="1" style="40" min="13" max="13"/>
    <col width="10" customWidth="1" style="47" min="14" max="14"/>
    <col width="18" customWidth="1" style="40" min="15" max="15"/>
    <col width="14" customWidth="1" style="40" min="16" max="16"/>
    <col width="14" customWidth="1" style="40" min="17" max="17"/>
    <col width="14" customWidth="1" style="40" min="18" max="18"/>
    <col width="14" customWidth="1" style="24" min="19" max="19"/>
    <col width="7" customWidth="1" style="24" min="20" max="20"/>
    <col width="10" customWidth="1" style="24" min="21" max="16384"/>
    <col width="10" customWidth="1" style="113" min="22" max="22"/>
    <col width="7" customWidth="1" style="113" min="23" max="23"/>
    <col width="7" customWidth="1" style="113" min="24" max="24"/>
    <col width="7" customWidth="1" style="113" min="25" max="25"/>
    <col width="7" customWidth="1" style="113" min="26" max="26"/>
  </cols>
  <sheetData>
    <row r="1" ht="13.5" customFormat="1" customHeight="1" s="2">
      <c r="A1" s="162" t="n">
        <v>44608</v>
      </c>
      <c r="B1" s="162" t="n">
        <v>44561</v>
      </c>
      <c r="C1" s="163" t="n"/>
      <c r="D1" s="164" t="inlineStr">
        <is>
          <t>浮动净价收益</t>
        </is>
      </c>
      <c r="E1" s="165">
        <f>SUM(K3:K62)+282448364.51</f>
        <v/>
      </c>
      <c r="F1" s="166" t="inlineStr">
        <is>
          <t>浮动利息收益</t>
        </is>
      </c>
      <c r="G1" s="165">
        <f>SUM(P3:P52)</f>
        <v/>
      </c>
      <c r="H1" s="167" t="inlineStr">
        <is>
          <t>规模</t>
        </is>
      </c>
      <c r="I1" s="168">
        <f>SUM(S3:S52)/10000</f>
        <v/>
      </c>
      <c r="J1" s="167" t="inlineStr">
        <is>
          <t>久期</t>
        </is>
      </c>
      <c r="K1" s="169">
        <f>SUMPRODUCT(R3:R49,V3:V49)/SUM(R3:R49)</f>
        <v/>
      </c>
      <c r="L1" s="170" t="n"/>
      <c r="M1" s="170" t="n"/>
      <c r="N1" s="170" t="n"/>
      <c r="O1" s="171">
        <f>SUM(O3:O62)+282448364.51</f>
        <v/>
      </c>
      <c r="P1" s="167" t="inlineStr">
        <is>
          <t>DV01</t>
        </is>
      </c>
      <c r="Q1" s="169">
        <f>SUMPRODUCT(D3:D52,U3:U52)/100</f>
        <v/>
      </c>
      <c r="R1" s="172" t="inlineStr">
        <is>
          <t>平均票面</t>
        </is>
      </c>
      <c r="S1" s="173">
        <f>SUMPRODUCT(R3:R52,T3:T52)/SUM(R3:R52)</f>
        <v/>
      </c>
      <c r="T1" s="167" t="n"/>
      <c r="U1" s="174" t="n"/>
      <c r="V1" s="175" t="n"/>
      <c r="X1" s="24" t="n"/>
    </row>
    <row r="2" ht="12.95" customHeight="1" s="113">
      <c r="A2" s="176" t="inlineStr">
        <is>
          <t>日期</t>
        </is>
      </c>
      <c r="B2" s="177" t="inlineStr">
        <is>
          <t>债券名称</t>
        </is>
      </c>
      <c r="C2" s="178" t="inlineStr">
        <is>
          <t>债券代码</t>
        </is>
      </c>
      <c r="D2" s="179" t="inlineStr">
        <is>
          <t>面值(万）</t>
        </is>
      </c>
      <c r="E2" s="180" t="inlineStr">
        <is>
          <t>买入时交易净价</t>
        </is>
      </c>
      <c r="F2" s="181" t="inlineStr">
        <is>
          <t>买入时应计利息</t>
        </is>
      </c>
      <c r="G2" s="179" t="inlineStr">
        <is>
          <t>买入时结算净价/份额</t>
        </is>
      </c>
      <c r="H2" s="179" t="inlineStr">
        <is>
          <t>买入时结算全价</t>
        </is>
      </c>
      <c r="I2" s="182" t="inlineStr">
        <is>
          <t>当日估价净价</t>
        </is>
      </c>
      <c r="J2" s="182" t="inlineStr">
        <is>
          <t>当日日终应计利息</t>
        </is>
      </c>
      <c r="K2" s="183" t="inlineStr">
        <is>
          <t>浮动净价收益</t>
        </is>
      </c>
      <c r="L2" s="184" t="inlineStr">
        <is>
          <t>当日成交价</t>
        </is>
      </c>
      <c r="M2" s="184" t="inlineStr">
        <is>
          <t>成交价-净价</t>
        </is>
      </c>
      <c r="N2" s="184" t="inlineStr">
        <is>
          <t>市场成交笔数</t>
        </is>
      </c>
      <c r="O2" s="184" t="inlineStr">
        <is>
          <t>收益情况</t>
        </is>
      </c>
      <c r="P2" s="182" t="inlineStr">
        <is>
          <t>浮动利息收益</t>
        </is>
      </c>
      <c r="Q2" s="182" t="inlineStr">
        <is>
          <t>当日日终估价全价</t>
        </is>
      </c>
      <c r="R2" s="185" t="inlineStr">
        <is>
          <t>当日结算净价</t>
        </is>
      </c>
      <c r="S2" s="182" t="inlineStr">
        <is>
          <t>当日结算全价</t>
        </is>
      </c>
      <c r="T2" s="186" t="inlineStr">
        <is>
          <t>票面利率</t>
        </is>
      </c>
      <c r="U2" s="182" t="inlineStr">
        <is>
          <t>估价基点价值</t>
        </is>
      </c>
      <c r="V2" s="182" t="inlineStr">
        <is>
          <t>估价修正久期</t>
        </is>
      </c>
      <c r="W2" s="23" t="inlineStr">
        <is>
          <t>交易类别</t>
        </is>
      </c>
      <c r="X2" s="24" t="inlineStr">
        <is>
          <t>回售日</t>
        </is>
      </c>
      <c r="Y2" s="24" t="inlineStr">
        <is>
          <t>债项评级</t>
        </is>
      </c>
      <c r="Z2" s="24" t="inlineStr">
        <is>
          <t>主体评级</t>
        </is>
      </c>
    </row>
    <row r="3" ht="12.95" customFormat="1" customHeight="1" s="33">
      <c r="A3" s="187" t="n">
        <v>44561</v>
      </c>
      <c r="B3" s="188" t="inlineStr">
        <is>
          <t>17黔南债02</t>
        </is>
      </c>
      <c r="C3" s="189" t="inlineStr">
        <is>
          <t>1780108</t>
        </is>
      </c>
      <c r="D3" s="190" t="n">
        <v>8000</v>
      </c>
      <c r="E3" s="191" t="n">
        <v>55.1254</v>
      </c>
      <c r="F3" s="192" t="n">
        <v>1643072.880000003</v>
      </c>
      <c r="G3" s="192" t="n">
        <v>44100320</v>
      </c>
      <c r="H3" s="192" t="n">
        <v>45743392.88</v>
      </c>
      <c r="I3" s="193">
        <f>[1]!b_anal_net_cnbd(C3,$A$1,1)</f>
        <v/>
      </c>
      <c r="J3" s="193">
        <f>[1]!accrint_dayend_cnbd(C3,$A$1,1)</f>
        <v/>
      </c>
      <c r="K3" s="194">
        <f>(I3-E3)*D3*100</f>
        <v/>
      </c>
      <c r="L3" s="195">
        <f>f_dq_close(C3,"2022/02/16",1)</f>
        <v/>
      </c>
      <c r="M3" s="196">
        <f>L3-I3</f>
        <v/>
      </c>
      <c r="N3" s="197">
        <f>s_dq_dealnum(C3,"2022/02/16")</f>
        <v/>
      </c>
      <c r="O3" s="196">
        <f>(L3-E3)*D3*100</f>
        <v/>
      </c>
      <c r="P3" s="194">
        <f>J3*D3*100-F3</f>
        <v/>
      </c>
      <c r="Q3" s="193">
        <f>I3+J3</f>
        <v/>
      </c>
      <c r="R3" s="198">
        <f>D3*I3*100</f>
        <v/>
      </c>
      <c r="S3" s="194">
        <f>D3*Q3*100</f>
        <v/>
      </c>
      <c r="T3" s="194">
        <f>[1]!b_info_couponrate(C3)</f>
        <v/>
      </c>
      <c r="U3" s="194">
        <f>[1]!b_anal_vobp_cnbd(C3,$A$1,1)</f>
        <v/>
      </c>
      <c r="V3" s="194">
        <f>[1]!b_anal_modidura_cnbd(C3,$A$1,1)</f>
        <v/>
      </c>
      <c r="W3" s="33" t="inlineStr">
        <is>
          <t>自营</t>
        </is>
      </c>
      <c r="X3" s="24">
        <f>[1]!b_info_repurchasedate(C3)</f>
        <v/>
      </c>
      <c r="Y3" s="33">
        <f>[1]!b_rate_latestcredit(C3)</f>
        <v/>
      </c>
      <c r="Z3" s="33">
        <f>[1]!b_info_latestissurercreditrating(C3)</f>
        <v/>
      </c>
    </row>
    <row r="4" ht="12.95" customFormat="1" customHeight="1" s="33">
      <c r="A4" s="187" t="n">
        <v>44561</v>
      </c>
      <c r="B4" s="188" t="inlineStr">
        <is>
          <t>17川金财债</t>
        </is>
      </c>
      <c r="C4" s="199" t="inlineStr">
        <is>
          <t>1780177</t>
        </is>
      </c>
      <c r="D4" s="190" t="n">
        <v>8000</v>
      </c>
      <c r="E4" s="191" t="n">
        <v>59.44479999999999</v>
      </c>
      <c r="F4" s="192" t="n">
        <v>1433845.479999997</v>
      </c>
      <c r="G4" s="192" t="n">
        <v>47555840</v>
      </c>
      <c r="H4" s="192" t="n">
        <v>48989685.48</v>
      </c>
      <c r="I4" s="193">
        <f>[1]!b_anal_net_cnbd(C4,$A$1,1)</f>
        <v/>
      </c>
      <c r="J4" s="193">
        <f>[1]!accrint_dayend_cnbd(C4,$A$1,1)</f>
        <v/>
      </c>
      <c r="K4" s="194">
        <f>(I4-E4)*D4*100</f>
        <v/>
      </c>
      <c r="L4" s="195">
        <f>f_dq_close(C4,"2022/02/16",1)</f>
        <v/>
      </c>
      <c r="M4" s="196">
        <f>L4-I4</f>
        <v/>
      </c>
      <c r="N4" s="197">
        <f>s_dq_dealnum(C4,"2022/02/16")</f>
        <v/>
      </c>
      <c r="O4" s="196">
        <f>(L4-E4)*D4*100</f>
        <v/>
      </c>
      <c r="P4" s="194">
        <f>J4*D4*100-F4</f>
        <v/>
      </c>
      <c r="Q4" s="193">
        <f>I4+J4</f>
        <v/>
      </c>
      <c r="R4" s="198">
        <f>D4*I4*100</f>
        <v/>
      </c>
      <c r="S4" s="194">
        <f>D4*Q4*100</f>
        <v/>
      </c>
      <c r="T4" s="194">
        <f>[1]!b_info_couponrate(C4)</f>
        <v/>
      </c>
      <c r="U4" s="194">
        <f>[1]!b_anal_vobp_cnbd(C4,$A$1,1)</f>
        <v/>
      </c>
      <c r="V4" s="194">
        <f>[1]!b_anal_modidura_cnbd(C4,$A$1,1)</f>
        <v/>
      </c>
      <c r="W4" s="33" t="inlineStr">
        <is>
          <t>自营</t>
        </is>
      </c>
      <c r="X4" s="24">
        <f>[1]!b_info_repurchasedate(C4)</f>
        <v/>
      </c>
      <c r="Y4" s="33">
        <f>[1]!b_rate_latestcredit(C4)</f>
        <v/>
      </c>
      <c r="Z4" s="33">
        <f>[1]!b_info_latestissurercreditrating(C4)</f>
        <v/>
      </c>
    </row>
    <row r="5" ht="12.95" customFormat="1" customHeight="1" s="33">
      <c r="A5" s="187" t="n">
        <v>44561</v>
      </c>
      <c r="B5" s="188" t="inlineStr">
        <is>
          <t>17毕节信泰债</t>
        </is>
      </c>
      <c r="C5" s="199" t="inlineStr">
        <is>
          <t>1780349</t>
        </is>
      </c>
      <c r="D5" s="190" t="n">
        <v>9000</v>
      </c>
      <c r="E5" s="191" t="n">
        <v>57.5903</v>
      </c>
      <c r="F5" s="192" t="n">
        <v>703923.2899999991</v>
      </c>
      <c r="G5" s="192" t="n">
        <v>51831270</v>
      </c>
      <c r="H5" s="192" t="n">
        <v>52535193.29</v>
      </c>
      <c r="I5" s="193">
        <f>[1]!b_anal_net_cnbd(C5,$A$1,1)</f>
        <v/>
      </c>
      <c r="J5" s="193">
        <f>[1]!accrint_dayend_cnbd(C5,$A$1,1)</f>
        <v/>
      </c>
      <c r="K5" s="194">
        <f>(I5-E5)*D5*100</f>
        <v/>
      </c>
      <c r="L5" s="195">
        <f>f_dq_close(C5,"2022/02/16",1)</f>
        <v/>
      </c>
      <c r="M5" s="196">
        <f>L5-I5</f>
        <v/>
      </c>
      <c r="N5" s="197">
        <f>s_dq_dealnum(C5,"2022/02/16")</f>
        <v/>
      </c>
      <c r="O5" s="196">
        <f>(L5-E5)*D5*100</f>
        <v/>
      </c>
      <c r="P5" s="194">
        <f>J5*D5*100-F5</f>
        <v/>
      </c>
      <c r="Q5" s="193">
        <f>I5+J5</f>
        <v/>
      </c>
      <c r="R5" s="198">
        <f>D5*I5*100</f>
        <v/>
      </c>
      <c r="S5" s="194">
        <f>D5*Q5*100</f>
        <v/>
      </c>
      <c r="T5" s="194">
        <f>[1]!b_info_couponrate(C5)</f>
        <v/>
      </c>
      <c r="U5" s="194">
        <f>[1]!b_anal_vobp_cnbd(C5,$A$1,1)</f>
        <v/>
      </c>
      <c r="V5" s="194">
        <f>[1]!b_anal_modidura_cnbd(C5,$A$1,1)</f>
        <v/>
      </c>
      <c r="W5" s="33" t="inlineStr">
        <is>
          <t>自营</t>
        </is>
      </c>
      <c r="X5" s="24">
        <f>[1]!b_info_repurchasedate(C5)</f>
        <v/>
      </c>
      <c r="Y5" s="33">
        <f>[1]!b_rate_latestcredit(C5)</f>
        <v/>
      </c>
      <c r="Z5" s="33">
        <f>[1]!b_info_latestissurercreditrating(C5)</f>
        <v/>
      </c>
    </row>
    <row r="6" ht="12.95" customFormat="1" customHeight="1" s="33">
      <c r="A6" s="187" t="n">
        <v>44561</v>
      </c>
      <c r="B6" s="188" t="inlineStr">
        <is>
          <t>17白云债01</t>
        </is>
      </c>
      <c r="C6" s="189" t="inlineStr">
        <is>
          <t>1780125</t>
        </is>
      </c>
      <c r="D6" s="190" t="n">
        <v>5000</v>
      </c>
      <c r="E6" s="191" t="n">
        <v>57.5491</v>
      </c>
      <c r="F6" s="192" t="n">
        <v>894772.6000000015</v>
      </c>
      <c r="G6" s="192" t="n">
        <v>28774550</v>
      </c>
      <c r="H6" s="192" t="n">
        <v>29669322.6</v>
      </c>
      <c r="I6" s="193">
        <f>[1]!b_anal_net_cnbd(C6,$A$1,1)</f>
        <v/>
      </c>
      <c r="J6" s="193">
        <f>[1]!accrint_dayend_cnbd(C6,$A$1,1)</f>
        <v/>
      </c>
      <c r="K6" s="194">
        <f>(I6-E6)*D6*100</f>
        <v/>
      </c>
      <c r="L6" s="195">
        <f>f_dq_close(C6,"2022/02/16",1)</f>
        <v/>
      </c>
      <c r="M6" s="196">
        <f>L6-I6</f>
        <v/>
      </c>
      <c r="N6" s="197">
        <f>s_dq_dealnum(C6,"2022/02/16")</f>
        <v/>
      </c>
      <c r="O6" s="196">
        <f>(L6-E6)*D6*100</f>
        <v/>
      </c>
      <c r="P6" s="194">
        <f>J6*D6*100-F6</f>
        <v/>
      </c>
      <c r="Q6" s="193">
        <f>I6+J6</f>
        <v/>
      </c>
      <c r="R6" s="198">
        <f>D6*I6*100</f>
        <v/>
      </c>
      <c r="S6" s="194">
        <f>D6*Q6*100</f>
        <v/>
      </c>
      <c r="T6" s="194">
        <f>[1]!b_info_couponrate(C6)</f>
        <v/>
      </c>
      <c r="U6" s="194">
        <f>[1]!b_anal_vobp_cnbd(C6,$A$1,1)</f>
        <v/>
      </c>
      <c r="V6" s="194">
        <f>[1]!b_anal_modidura_cnbd(C6,$A$1,1)</f>
        <v/>
      </c>
      <c r="W6" s="33" t="inlineStr">
        <is>
          <t>自营</t>
        </is>
      </c>
      <c r="X6" s="24">
        <f>[1]!b_info_repurchasedate(C6)</f>
        <v/>
      </c>
      <c r="Y6" s="33">
        <f>[1]!b_rate_latestcredit(C6)</f>
        <v/>
      </c>
      <c r="Z6" s="33">
        <f>[1]!b_info_latestissurercreditrating(C6)</f>
        <v/>
      </c>
    </row>
    <row r="7" ht="12.95" customFormat="1" customHeight="1" s="33">
      <c r="A7" s="187" t="n">
        <v>44561</v>
      </c>
      <c r="B7" s="188" t="inlineStr">
        <is>
          <t>17青州建投债01</t>
        </is>
      </c>
      <c r="C7" s="189" t="inlineStr">
        <is>
          <t>1780135</t>
        </is>
      </c>
      <c r="D7" s="190" t="n">
        <v>5000</v>
      </c>
      <c r="E7" s="191" t="n">
        <v>58.68060000000001</v>
      </c>
      <c r="F7" s="192" t="n">
        <v>920547.9499999993</v>
      </c>
      <c r="G7" s="192" t="n">
        <v>29340300</v>
      </c>
      <c r="H7" s="192" t="n">
        <v>30260847.95</v>
      </c>
      <c r="I7" s="193">
        <f>[1]!b_anal_net_cnbd(C7,$A$1,1)</f>
        <v/>
      </c>
      <c r="J7" s="193">
        <f>[1]!accrint_dayend_cnbd(C7,$A$1,1)</f>
        <v/>
      </c>
      <c r="K7" s="194">
        <f>(I7-E7)*D7*100</f>
        <v/>
      </c>
      <c r="L7" s="195">
        <f>f_dq_close(C7,"2022/02/16",1)</f>
        <v/>
      </c>
      <c r="M7" s="196">
        <f>L7-I7</f>
        <v/>
      </c>
      <c r="N7" s="197">
        <f>s_dq_dealnum(C7,"2022/02/16")</f>
        <v/>
      </c>
      <c r="O7" s="196">
        <f>(L7-E7)*D7*100</f>
        <v/>
      </c>
      <c r="P7" s="194">
        <f>J7*D7*100-F7</f>
        <v/>
      </c>
      <c r="Q7" s="193">
        <f>I7+J7</f>
        <v/>
      </c>
      <c r="R7" s="198">
        <f>D7*I7*100</f>
        <v/>
      </c>
      <c r="S7" s="194">
        <f>D7*Q7*100</f>
        <v/>
      </c>
      <c r="T7" s="194">
        <f>[1]!b_info_couponrate(C7)</f>
        <v/>
      </c>
      <c r="U7" s="194">
        <f>[1]!b_anal_vobp_cnbd(C7,$A$1,1)</f>
        <v/>
      </c>
      <c r="V7" s="194">
        <f>[1]!b_anal_modidura_cnbd(C7,$A$1,1)</f>
        <v/>
      </c>
      <c r="W7" s="33" t="inlineStr">
        <is>
          <t>自营</t>
        </is>
      </c>
      <c r="X7" s="24">
        <f>[1]!b_info_repurchasedate(C7)</f>
        <v/>
      </c>
      <c r="Y7" s="33">
        <f>[1]!b_rate_latestcredit(C7)</f>
        <v/>
      </c>
      <c r="Z7" s="33">
        <f>[1]!b_info_latestissurercreditrating(C7)</f>
        <v/>
      </c>
    </row>
    <row r="8" ht="12.95" customFormat="1" customHeight="1" s="33">
      <c r="A8" s="187" t="n">
        <v>44561</v>
      </c>
      <c r="B8" s="188" t="inlineStr">
        <is>
          <t>17张家界专项债</t>
        </is>
      </c>
      <c r="C8" s="189" t="inlineStr">
        <is>
          <t>1780170</t>
        </is>
      </c>
      <c r="D8" s="190" t="n">
        <v>10000</v>
      </c>
      <c r="E8" s="191" t="n">
        <v>73.982</v>
      </c>
      <c r="F8" s="192" t="n">
        <v>2283112.329999998</v>
      </c>
      <c r="G8" s="192" t="n">
        <v>73982000</v>
      </c>
      <c r="H8" s="192" t="n">
        <v>76265112.33</v>
      </c>
      <c r="I8" s="193">
        <f>[1]!b_anal_net_cnbd(C8,$A$1,1)</f>
        <v/>
      </c>
      <c r="J8" s="193">
        <f>[1]!accrint_dayend_cnbd(C8,$A$1,1)</f>
        <v/>
      </c>
      <c r="K8" s="194">
        <f>(I8-E8)*D8*100</f>
        <v/>
      </c>
      <c r="L8" s="195">
        <f>f_dq_close(C8,"2022/02/16",1)</f>
        <v/>
      </c>
      <c r="M8" s="196">
        <f>L8-I8</f>
        <v/>
      </c>
      <c r="N8" s="197">
        <f>s_dq_dealnum(C8,"2022/02/16")</f>
        <v/>
      </c>
      <c r="O8" s="196">
        <f>(L8-E8)*D8*100</f>
        <v/>
      </c>
      <c r="P8" s="194">
        <f>J8*D8*100-F8</f>
        <v/>
      </c>
      <c r="Q8" s="193">
        <f>I8+J8</f>
        <v/>
      </c>
      <c r="R8" s="198">
        <f>D8*I8*100</f>
        <v/>
      </c>
      <c r="S8" s="194">
        <f>D8*Q8*100</f>
        <v/>
      </c>
      <c r="T8" s="194">
        <f>[1]!b_info_couponrate(C8)</f>
        <v/>
      </c>
      <c r="U8" s="194">
        <f>[1]!b_anal_vobp_cnbd(C8,$A$1,1)</f>
        <v/>
      </c>
      <c r="V8" s="194">
        <f>[1]!b_anal_modidura_cnbd(C8,$A$1,1)</f>
        <v/>
      </c>
      <c r="W8" s="33" t="inlineStr">
        <is>
          <t>自营</t>
        </is>
      </c>
      <c r="X8" s="24">
        <f>[1]!b_info_repurchasedate(C8)</f>
        <v/>
      </c>
      <c r="Y8" s="33">
        <f>[1]!b_rate_latestcredit(C8)</f>
        <v/>
      </c>
      <c r="Z8" s="33">
        <f>[1]!b_info_latestissurercreditrating(C8)</f>
        <v/>
      </c>
    </row>
    <row r="9" ht="12.95" customFormat="1" customHeight="1" s="33">
      <c r="A9" s="187" t="n">
        <v>44561</v>
      </c>
      <c r="B9" s="188" t="inlineStr">
        <is>
          <t>17红花岗停车场债01</t>
        </is>
      </c>
      <c r="C9" s="189" t="inlineStr">
        <is>
          <t>1780173</t>
        </is>
      </c>
      <c r="D9" s="190" t="n">
        <v>8000</v>
      </c>
      <c r="E9" s="191" t="n">
        <v>56.404</v>
      </c>
      <c r="F9" s="192" t="n">
        <v>1468668.490000002</v>
      </c>
      <c r="G9" s="192" t="n">
        <v>45123200</v>
      </c>
      <c r="H9" s="192" t="n">
        <v>46591868.49</v>
      </c>
      <c r="I9" s="193">
        <f>[1]!b_anal_net_cnbd(C9,$A$1,1)</f>
        <v/>
      </c>
      <c r="J9" s="193">
        <f>[1]!accrint_dayend_cnbd(C9,$A$1,1)</f>
        <v/>
      </c>
      <c r="K9" s="194">
        <f>(I9-E9)*D9*100</f>
        <v/>
      </c>
      <c r="L9" s="195">
        <f>f_dq_close(C9,"2022/02/16",1)</f>
        <v/>
      </c>
      <c r="M9" s="196">
        <f>L9-I9</f>
        <v/>
      </c>
      <c r="N9" s="197">
        <f>s_dq_dealnum(C9,"2022/02/16")</f>
        <v/>
      </c>
      <c r="O9" s="196">
        <f>(L9-E9)*D9*100</f>
        <v/>
      </c>
      <c r="P9" s="194">
        <f>J9*D9*100-F9</f>
        <v/>
      </c>
      <c r="Q9" s="193">
        <f>I9+J9</f>
        <v/>
      </c>
      <c r="R9" s="198">
        <f>D9*I9*100</f>
        <v/>
      </c>
      <c r="S9" s="194">
        <f>D9*Q9*100</f>
        <v/>
      </c>
      <c r="T9" s="194">
        <f>[1]!b_info_couponrate(C9)</f>
        <v/>
      </c>
      <c r="U9" s="194">
        <f>[1]!b_anal_vobp_cnbd(C9,$A$1,1)</f>
        <v/>
      </c>
      <c r="V9" s="194">
        <f>[1]!b_anal_modidura_cnbd(C9,$A$1,1)</f>
        <v/>
      </c>
      <c r="W9" s="33" t="inlineStr">
        <is>
          <t>自营</t>
        </is>
      </c>
      <c r="X9" s="24">
        <f>[1]!b_info_repurchasedate(C9)</f>
        <v/>
      </c>
      <c r="Y9" s="33">
        <f>[1]!b_rate_latestcredit(C9)</f>
        <v/>
      </c>
      <c r="Z9" s="33">
        <f>[1]!b_info_latestissurercreditrating(C9)</f>
        <v/>
      </c>
    </row>
    <row r="10" ht="12.95" customFormat="1" customHeight="1" s="33">
      <c r="A10" s="187" t="n">
        <v>44561</v>
      </c>
      <c r="B10" s="200" t="inlineStr">
        <is>
          <t>17金潼债01</t>
        </is>
      </c>
      <c r="C10" s="189" t="inlineStr">
        <is>
          <t>1780183</t>
        </is>
      </c>
      <c r="D10" s="190" t="n">
        <v>10000</v>
      </c>
      <c r="E10" s="191" t="n">
        <v>55.6344</v>
      </c>
      <c r="F10" s="192" t="n">
        <v>1634794.520000003</v>
      </c>
      <c r="G10" s="192" t="n">
        <v>55634400</v>
      </c>
      <c r="H10" s="192" t="n">
        <v>57269194.52</v>
      </c>
      <c r="I10" s="193">
        <f>[1]!b_anal_net_cnbd(C10,$A$1,1)</f>
        <v/>
      </c>
      <c r="J10" s="193">
        <f>[1]!accrint_dayend_cnbd(C10,$A$1,1)</f>
        <v/>
      </c>
      <c r="K10" s="194">
        <f>(I10-E10)*D10*100</f>
        <v/>
      </c>
      <c r="L10" s="195">
        <f>f_dq_close(C10,"2022/02/16",1)</f>
        <v/>
      </c>
      <c r="M10" s="196">
        <f>L10-I10</f>
        <v/>
      </c>
      <c r="N10" s="197">
        <f>s_dq_dealnum(C10,"2022/02/16")</f>
        <v/>
      </c>
      <c r="O10" s="196">
        <f>(L10-E10)*D10*100</f>
        <v/>
      </c>
      <c r="P10" s="194">
        <f>J10*D10*100-F10</f>
        <v/>
      </c>
      <c r="Q10" s="193">
        <f>I10+J10</f>
        <v/>
      </c>
      <c r="R10" s="198">
        <f>D10*I10*100</f>
        <v/>
      </c>
      <c r="S10" s="194">
        <f>D10*Q10*100</f>
        <v/>
      </c>
      <c r="T10" s="194">
        <f>[1]!b_info_couponrate(C10)</f>
        <v/>
      </c>
      <c r="U10" s="194">
        <f>[1]!b_anal_vobp_cnbd(C10,$A$1,1)</f>
        <v/>
      </c>
      <c r="V10" s="194">
        <f>[1]!b_anal_modidura_cnbd(C10,$A$1,1)</f>
        <v/>
      </c>
      <c r="W10" s="33" t="inlineStr">
        <is>
          <t>自营</t>
        </is>
      </c>
      <c r="X10" s="24">
        <f>[1]!b_info_repurchasedate(C10)</f>
        <v/>
      </c>
      <c r="Y10" s="33">
        <f>[1]!b_rate_latestcredit(C10)</f>
        <v/>
      </c>
      <c r="Z10" s="33">
        <f>[1]!b_info_latestissurercreditrating(C10)</f>
        <v/>
      </c>
    </row>
    <row r="11" ht="12.95" customFormat="1" customHeight="1" s="33">
      <c r="A11" s="187" t="n">
        <v>44561</v>
      </c>
      <c r="B11" s="200" t="inlineStr">
        <is>
          <t>17白云债02</t>
        </is>
      </c>
      <c r="C11" s="189" t="inlineStr">
        <is>
          <t>1780307</t>
        </is>
      </c>
      <c r="D11" s="190" t="n">
        <v>1000</v>
      </c>
      <c r="E11" s="191" t="n">
        <v>57.9548</v>
      </c>
      <c r="F11" s="192" t="n">
        <v>117277.8099999996</v>
      </c>
      <c r="G11" s="192" t="n">
        <v>5795480</v>
      </c>
      <c r="H11" s="192" t="n">
        <v>5912757.81</v>
      </c>
      <c r="I11" s="193">
        <f>[1]!b_anal_net_cnbd(C11,$A$1,1)</f>
        <v/>
      </c>
      <c r="J11" s="193">
        <f>[1]!accrint_dayend_cnbd(C11,$A$1,1)</f>
        <v/>
      </c>
      <c r="K11" s="194">
        <f>(I11-E11)*D11*100</f>
        <v/>
      </c>
      <c r="L11" s="195">
        <f>f_dq_close(C11,"2022/02/16",1)</f>
        <v/>
      </c>
      <c r="M11" s="196">
        <f>L11-I11</f>
        <v/>
      </c>
      <c r="N11" s="197">
        <f>s_dq_dealnum(C11,"2022/02/16")</f>
        <v/>
      </c>
      <c r="O11" s="196">
        <f>(L11-E11)*D11*100</f>
        <v/>
      </c>
      <c r="P11" s="194">
        <f>J11*D11*100-F11</f>
        <v/>
      </c>
      <c r="Q11" s="193">
        <f>I11+J11</f>
        <v/>
      </c>
      <c r="R11" s="198">
        <f>D11*I11*100</f>
        <v/>
      </c>
      <c r="S11" s="194">
        <f>D11*Q11*100</f>
        <v/>
      </c>
      <c r="T11" s="194">
        <f>[1]!b_info_couponrate(C11)</f>
        <v/>
      </c>
      <c r="U11" s="194">
        <f>[1]!b_anal_vobp_cnbd(C11,$A$1,1)</f>
        <v/>
      </c>
      <c r="V11" s="194">
        <f>[1]!b_anal_modidura_cnbd(C11,$A$1,1)</f>
        <v/>
      </c>
      <c r="W11" s="33" t="inlineStr">
        <is>
          <t>自营</t>
        </is>
      </c>
      <c r="X11" s="24">
        <f>[1]!b_info_repurchasedate(C11)</f>
        <v/>
      </c>
      <c r="Y11" s="33">
        <f>[1]!b_rate_latestcredit(C11)</f>
        <v/>
      </c>
      <c r="Z11" s="33">
        <f>[1]!b_info_latestissurercreditrating(C11)</f>
        <v/>
      </c>
    </row>
    <row r="12" ht="12.95" customFormat="1" customHeight="1" s="33">
      <c r="A12" s="187" t="n">
        <v>44561</v>
      </c>
      <c r="B12" s="188" t="inlineStr">
        <is>
          <t>17遵义旅投债</t>
        </is>
      </c>
      <c r="C12" s="189" t="inlineStr">
        <is>
          <t>1780311</t>
        </is>
      </c>
      <c r="D12" s="190" t="n">
        <v>5000</v>
      </c>
      <c r="E12" s="191" t="n">
        <v>74.1849</v>
      </c>
      <c r="F12" s="192" t="n">
        <v>810082.1899999976</v>
      </c>
      <c r="G12" s="192" t="n">
        <v>37092450</v>
      </c>
      <c r="H12" s="192" t="n">
        <v>37902532.19</v>
      </c>
      <c r="I12" s="193">
        <f>[1]!b_anal_net_cnbd(C12,$A$1,1)</f>
        <v/>
      </c>
      <c r="J12" s="193">
        <f>[1]!accrint_dayend_cnbd(C12,$A$1,1)</f>
        <v/>
      </c>
      <c r="K12" s="194">
        <f>(I12-E12)*D12*100</f>
        <v/>
      </c>
      <c r="L12" s="195">
        <f>f_dq_close(C12,"2022/02/16",1)</f>
        <v/>
      </c>
      <c r="M12" s="196">
        <f>L12-I12</f>
        <v/>
      </c>
      <c r="N12" s="197">
        <f>s_dq_dealnum(C12,"2022/02/16")</f>
        <v/>
      </c>
      <c r="O12" s="196">
        <f>(L12-E12)*D12*100</f>
        <v/>
      </c>
      <c r="P12" s="194">
        <f>J12*D12*100-F12</f>
        <v/>
      </c>
      <c r="Q12" s="193">
        <f>I12+J12</f>
        <v/>
      </c>
      <c r="R12" s="198">
        <f>D12*I12*100</f>
        <v/>
      </c>
      <c r="S12" s="194">
        <f>D12*Q12*100</f>
        <v/>
      </c>
      <c r="T12" s="194">
        <f>[1]!b_info_couponrate(C12)</f>
        <v/>
      </c>
      <c r="U12" s="194">
        <f>[1]!b_anal_vobp_cnbd(C12,$A$1,1)</f>
        <v/>
      </c>
      <c r="V12" s="194">
        <f>[1]!b_anal_modidura_cnbd(C12,$A$1,1)</f>
        <v/>
      </c>
      <c r="W12" s="33" t="inlineStr">
        <is>
          <t>自营</t>
        </is>
      </c>
      <c r="X12" s="24">
        <f>[1]!b_info_repurchasedate(C12)</f>
        <v/>
      </c>
      <c r="Y12" s="33">
        <f>[1]!b_rate_latestcredit(C12)</f>
        <v/>
      </c>
      <c r="Z12" s="33">
        <f>[1]!b_info_latestissurercreditrating(C12)</f>
        <v/>
      </c>
    </row>
    <row r="13" ht="12.95" customFormat="1" customHeight="1" s="33">
      <c r="A13" s="187" t="n">
        <v>44561</v>
      </c>
      <c r="B13" s="188" t="inlineStr">
        <is>
          <t>17青州建投债02</t>
        </is>
      </c>
      <c r="C13" s="189" t="inlineStr">
        <is>
          <t>1780258</t>
        </is>
      </c>
      <c r="D13" s="201" t="n">
        <v>8000</v>
      </c>
      <c r="E13" s="191" t="n">
        <v>58.7108</v>
      </c>
      <c r="F13" s="192" t="n">
        <v>1153578.079999998</v>
      </c>
      <c r="G13" s="192" t="n">
        <v>46968640</v>
      </c>
      <c r="H13" s="192" t="n">
        <v>48122218.08</v>
      </c>
      <c r="I13" s="193">
        <f>[1]!b_anal_net_cnbd(C13,$A$1,1)</f>
        <v/>
      </c>
      <c r="J13" s="193">
        <f>[1]!accrint_dayend_cnbd(C13,$A$1,1)</f>
        <v/>
      </c>
      <c r="K13" s="194">
        <f>(I13-E13)*D13*100</f>
        <v/>
      </c>
      <c r="L13" s="195">
        <f>f_dq_close(C13,"2022/02/16",1)</f>
        <v/>
      </c>
      <c r="M13" s="196">
        <f>L13-I13</f>
        <v/>
      </c>
      <c r="N13" s="197">
        <f>s_dq_dealnum(C13,"2022/02/16")</f>
        <v/>
      </c>
      <c r="O13" s="196">
        <f>(L13-E13)*D13*100</f>
        <v/>
      </c>
      <c r="P13" s="194">
        <f>J13*D13*100-F13</f>
        <v/>
      </c>
      <c r="Q13" s="193">
        <f>I13+J13</f>
        <v/>
      </c>
      <c r="R13" s="198">
        <f>D13*I13*100</f>
        <v/>
      </c>
      <c r="S13" s="194">
        <f>D13*Q13*100</f>
        <v/>
      </c>
      <c r="T13" s="194">
        <f>[1]!b_info_couponrate(C13)</f>
        <v/>
      </c>
      <c r="U13" s="194">
        <f>[1]!b_anal_vobp_cnbd(C13,$A$1,1)</f>
        <v/>
      </c>
      <c r="V13" s="194">
        <f>[1]!b_anal_modidura_cnbd(C13,$A$1,1)</f>
        <v/>
      </c>
      <c r="W13" s="33" t="inlineStr">
        <is>
          <t>自营</t>
        </is>
      </c>
      <c r="X13" s="24">
        <f>[1]!b_info_repurchasedate(C13)</f>
        <v/>
      </c>
      <c r="Y13" s="33">
        <f>[1]!b_rate_latestcredit(C13)</f>
        <v/>
      </c>
      <c r="Z13" s="33">
        <f>[1]!b_info_latestissurercreditrating(C13)</f>
        <v/>
      </c>
    </row>
    <row r="14" ht="12.95" customFormat="1" customHeight="1" s="33">
      <c r="A14" s="202" t="n">
        <v>44561</v>
      </c>
      <c r="B14" s="200" t="inlineStr">
        <is>
          <t>19鄂供01</t>
        </is>
      </c>
      <c r="C14" s="203" t="inlineStr">
        <is>
          <t>162818</t>
        </is>
      </c>
      <c r="D14" s="192" t="n">
        <v>4500</v>
      </c>
      <c r="E14" s="191" t="n">
        <v>96.4499</v>
      </c>
      <c r="F14" s="204" t="n">
        <v>45123.28999999911</v>
      </c>
      <c r="G14" s="192" t="n">
        <v>43402455</v>
      </c>
      <c r="H14" s="192" t="n">
        <v>43447578.29</v>
      </c>
      <c r="I14" s="193">
        <f>[1]!b_anal_net_cnbd(C14,$A$1,1)</f>
        <v/>
      </c>
      <c r="J14" s="193">
        <f>[1]!accrint_dayend_cnbd(C14,$A$1,1)</f>
        <v/>
      </c>
      <c r="K14" s="194">
        <f>(I14-E14)*D14*100</f>
        <v/>
      </c>
      <c r="L14" s="195">
        <f>f_dq_close(C14,"2022/02/16",1)</f>
        <v/>
      </c>
      <c r="M14" s="196">
        <f>L14-I14</f>
        <v/>
      </c>
      <c r="N14" s="197">
        <f>s_dq_dealnum(C14,"2022/02/16")</f>
        <v/>
      </c>
      <c r="O14" s="196">
        <f>(L14-E14)*D14*100</f>
        <v/>
      </c>
      <c r="P14" s="194">
        <f>J14*D14*100-F14</f>
        <v/>
      </c>
      <c r="Q14" s="193">
        <f>I14+J14</f>
        <v/>
      </c>
      <c r="R14" s="198">
        <f>D14*I14*100</f>
        <v/>
      </c>
      <c r="S14" s="194">
        <f>D14*Q14*100</f>
        <v/>
      </c>
      <c r="T14" s="194">
        <f>[1]!b_info_couponrate(C14)</f>
        <v/>
      </c>
      <c r="U14" s="194">
        <f>[1]!b_anal_vobp_cnbd(C14,$A$1,1)</f>
        <v/>
      </c>
      <c r="V14" s="194">
        <f>[1]!b_anal_modidura_cnbd(C14,$A$1,1)</f>
        <v/>
      </c>
      <c r="W14" s="33" t="inlineStr">
        <is>
          <t>自营</t>
        </is>
      </c>
      <c r="X14" s="24">
        <f>[1]!b_info_repurchasedate(C14)</f>
        <v/>
      </c>
      <c r="Y14" s="33">
        <f>[1]!b_rate_latestcredit(C14)</f>
        <v/>
      </c>
      <c r="Z14" s="33">
        <f>[1]!b_info_latestissurercreditrating(C14)</f>
        <v/>
      </c>
    </row>
    <row r="15" ht="12.95" customFormat="1" customHeight="1" s="33">
      <c r="A15" s="202" t="n">
        <v>44561</v>
      </c>
      <c r="B15" s="200" t="inlineStr">
        <is>
          <t>20新开元PPN001</t>
        </is>
      </c>
      <c r="C15" s="203" t="inlineStr">
        <is>
          <t>032000264</t>
        </is>
      </c>
      <c r="D15" s="192" t="n">
        <v>8000</v>
      </c>
      <c r="E15" s="191" t="n">
        <v>100.5218</v>
      </c>
      <c r="F15" s="204" t="n">
        <v>4635616.439999998</v>
      </c>
      <c r="G15" s="192" t="n">
        <v>80417440</v>
      </c>
      <c r="H15" s="192" t="n">
        <v>85053056.44</v>
      </c>
      <c r="I15" s="193">
        <f>[1]!b_anal_net_cnbd(C15,$A$1,1)</f>
        <v/>
      </c>
      <c r="J15" s="193">
        <f>[1]!accrint_dayend_cnbd(C15,$A$1,1)</f>
        <v/>
      </c>
      <c r="K15" s="194">
        <f>(I15-E15)*D15*100</f>
        <v/>
      </c>
      <c r="L15" s="195">
        <f>f_dq_close(C15,"2022/02/16",1)</f>
        <v/>
      </c>
      <c r="M15" s="196">
        <f>L15-I15</f>
        <v/>
      </c>
      <c r="N15" s="197">
        <f>s_dq_dealnum(C15,"2022/02/16")</f>
        <v/>
      </c>
      <c r="O15" s="196">
        <f>(L15-E15)*D15*100</f>
        <v/>
      </c>
      <c r="P15" s="194">
        <f>J15*D15*100-F15</f>
        <v/>
      </c>
      <c r="Q15" s="193">
        <f>I15+J15</f>
        <v/>
      </c>
      <c r="R15" s="198">
        <f>D15*I15*100</f>
        <v/>
      </c>
      <c r="S15" s="194">
        <f>D15*Q15*100</f>
        <v/>
      </c>
      <c r="T15" s="194">
        <f>[1]!b_info_couponrate(C15)</f>
        <v/>
      </c>
      <c r="U15" s="194">
        <f>[1]!b_anal_vobp_cnbd(C15,$A$1,1)</f>
        <v/>
      </c>
      <c r="V15" s="194">
        <f>[1]!b_anal_modidura_cnbd(C15,$A$1,1)</f>
        <v/>
      </c>
      <c r="W15" s="33" t="inlineStr">
        <is>
          <t>自营</t>
        </is>
      </c>
      <c r="X15" s="24">
        <f>[1]!b_info_repurchasedate(C15)</f>
        <v/>
      </c>
      <c r="Y15" s="33">
        <f>[1]!b_rate_latestcredit(C15)</f>
        <v/>
      </c>
      <c r="Z15" s="33">
        <f>[1]!b_info_latestissurercreditrating(C15)</f>
        <v/>
      </c>
    </row>
    <row r="16" ht="12.95" customFormat="1" customHeight="1" s="33">
      <c r="A16" s="202" t="n">
        <v>44561</v>
      </c>
      <c r="B16" s="200" t="inlineStr">
        <is>
          <t>19磁湖高新MTN002</t>
        </is>
      </c>
      <c r="C16" s="203" t="inlineStr">
        <is>
          <t>101901758</t>
        </is>
      </c>
      <c r="D16" s="192" t="n">
        <v>9000</v>
      </c>
      <c r="E16" s="191" t="n">
        <v>99.215</v>
      </c>
      <c r="F16" s="204" t="n">
        <v>96164.37999999523</v>
      </c>
      <c r="G16" s="192" t="n">
        <v>89293500</v>
      </c>
      <c r="H16" s="192" t="n">
        <v>89389664.38</v>
      </c>
      <c r="I16" s="205">
        <f>[1]!b_anal_net_cnbd(C16,$A$1,1)</f>
        <v/>
      </c>
      <c r="J16" s="205">
        <f>[1]!accrint_dayend_cnbd(C16,$A$1,1)</f>
        <v/>
      </c>
      <c r="K16" s="194">
        <f>(I16-E16)*D16*100</f>
        <v/>
      </c>
      <c r="L16" s="195">
        <f>f_dq_close(C16,"2022/02/16",1)</f>
        <v/>
      </c>
      <c r="M16" s="196">
        <f>L16-I16</f>
        <v/>
      </c>
      <c r="N16" s="197">
        <f>s_dq_dealnum(C16,"2022/02/16")</f>
        <v/>
      </c>
      <c r="O16" s="196">
        <f>(L16-E16)*D16*100</f>
        <v/>
      </c>
      <c r="P16" s="194">
        <f>J16*D16*100-F16</f>
        <v/>
      </c>
      <c r="Q16" s="205">
        <f>I16+J16</f>
        <v/>
      </c>
      <c r="R16" s="206">
        <f>D16*I16*100</f>
        <v/>
      </c>
      <c r="S16" s="179">
        <f>D16*Q16*100</f>
        <v/>
      </c>
      <c r="T16" s="179">
        <f>[1]!b_info_couponrate(C16)</f>
        <v/>
      </c>
      <c r="U16" s="179">
        <f>[1]!b_anal_vobp_cnbd(C16,$A$1,1)</f>
        <v/>
      </c>
      <c r="V16" s="179">
        <f>[1]!b_anal_modidura_cnbd(C16,$A$1,1)</f>
        <v/>
      </c>
      <c r="W16" s="33" t="inlineStr">
        <is>
          <t>自营</t>
        </is>
      </c>
      <c r="X16" s="24">
        <f>[1]!b_info_repurchasedate(C16)</f>
        <v/>
      </c>
      <c r="Y16" s="33">
        <f>[1]!b_rate_latestcredit(C16)</f>
        <v/>
      </c>
      <c r="Z16" s="33">
        <f>[1]!b_info_latestissurercreditrating(C16)</f>
        <v/>
      </c>
    </row>
    <row r="17" ht="12.95" customFormat="1" customHeight="1" s="33">
      <c r="A17" s="202" t="n">
        <v>44561</v>
      </c>
      <c r="B17" s="200" t="inlineStr">
        <is>
          <t>15冀广网络债01</t>
        </is>
      </c>
      <c r="C17" s="203" t="inlineStr">
        <is>
          <t>1580170</t>
        </is>
      </c>
      <c r="D17" s="192" t="n">
        <v>4000</v>
      </c>
      <c r="E17" s="191" t="n">
        <v>99.8203</v>
      </c>
      <c r="F17" s="204" t="n">
        <v>1067835.619999997</v>
      </c>
      <c r="G17" s="192" t="n">
        <v>39928120</v>
      </c>
      <c r="H17" s="192" t="n">
        <v>40995955.62</v>
      </c>
      <c r="I17" s="193">
        <f>[1]!b_anal_net_cnbd(C17,$A$1,1)</f>
        <v/>
      </c>
      <c r="J17" s="193">
        <f>[1]!accrint_dayend_cnbd(C17,$A$1,1)</f>
        <v/>
      </c>
      <c r="K17" s="194">
        <f>(I17-E17)*D17*100</f>
        <v/>
      </c>
      <c r="L17" s="195">
        <f>f_dq_close(C17,"2022/02/16",1)</f>
        <v/>
      </c>
      <c r="M17" s="196">
        <f>L17-I17</f>
        <v/>
      </c>
      <c r="N17" s="197">
        <f>s_dq_dealnum(C17,"2022/02/16")</f>
        <v/>
      </c>
      <c r="O17" s="196">
        <f>(L17-E17)*D17*100</f>
        <v/>
      </c>
      <c r="P17" s="194">
        <f>J17*D17*100-F17</f>
        <v/>
      </c>
      <c r="Q17" s="193">
        <f>I17+J17</f>
        <v/>
      </c>
      <c r="R17" s="198">
        <f>D17*I17*100</f>
        <v/>
      </c>
      <c r="S17" s="194">
        <f>D17*Q17*100</f>
        <v/>
      </c>
      <c r="T17" s="194">
        <f>[1]!b_info_couponrate(C17)</f>
        <v/>
      </c>
      <c r="U17" s="194">
        <f>[1]!b_anal_vobp_cnbd(C17,$A$1,1)</f>
        <v/>
      </c>
      <c r="V17" s="194">
        <f>[1]!b_anal_modidura_cnbd(C17,$A$1,1)</f>
        <v/>
      </c>
      <c r="W17" s="33" t="inlineStr">
        <is>
          <t>自营</t>
        </is>
      </c>
      <c r="X17" s="24">
        <f>[1]!b_info_repurchasedate(C17)</f>
        <v/>
      </c>
      <c r="Y17" s="33">
        <f>[1]!b_rate_latestcredit(C17)</f>
        <v/>
      </c>
      <c r="Z17" s="33">
        <f>[1]!b_info_latestissurercreditrating(C17)</f>
        <v/>
      </c>
    </row>
    <row r="18" ht="12.95" customFormat="1" customHeight="1" s="33">
      <c r="A18" s="202" t="n">
        <v>44561</v>
      </c>
      <c r="B18" s="200" t="inlineStr">
        <is>
          <t>21太新06</t>
        </is>
      </c>
      <c r="C18" s="203" t="inlineStr">
        <is>
          <t>188692</t>
        </is>
      </c>
      <c r="D18" s="192" t="n">
        <v>3000</v>
      </c>
      <c r="E18" s="191" t="n">
        <v>101.3339</v>
      </c>
      <c r="F18" s="204" t="n">
        <v>436191.7800000012</v>
      </c>
      <c r="G18" s="192" t="n">
        <v>30400170</v>
      </c>
      <c r="H18" s="192" t="n">
        <v>30836361.78</v>
      </c>
      <c r="I18" s="193">
        <f>[1]!b_anal_net_cnbd(C18,$A$1,1)</f>
        <v/>
      </c>
      <c r="J18" s="193">
        <f>[1]!accrint_dayend_cnbd(C18,$A$1,1)</f>
        <v/>
      </c>
      <c r="K18" s="194">
        <f>(I18-E18)*D18*100</f>
        <v/>
      </c>
      <c r="L18" s="195">
        <f>f_dq_close(C18,"2022/02/16",1)</f>
        <v/>
      </c>
      <c r="M18" s="196">
        <f>L18-I18</f>
        <v/>
      </c>
      <c r="N18" s="197">
        <f>s_dq_dealnum(C18,"2022/02/16")</f>
        <v/>
      </c>
      <c r="O18" s="196">
        <f>(L18-E18)*D18*100</f>
        <v/>
      </c>
      <c r="P18" s="194">
        <f>J18*D18*100-F18</f>
        <v/>
      </c>
      <c r="Q18" s="193">
        <f>I18+J18</f>
        <v/>
      </c>
      <c r="R18" s="198">
        <f>D18*I18*100</f>
        <v/>
      </c>
      <c r="S18" s="194">
        <f>D18*Q18*100</f>
        <v/>
      </c>
      <c r="T18" s="194">
        <f>[1]!b_info_couponrate(C18)</f>
        <v/>
      </c>
      <c r="U18" s="194">
        <f>[1]!b_anal_vobp_cnbd(C18,$A$1,1)</f>
        <v/>
      </c>
      <c r="V18" s="194">
        <f>[1]!b_anal_modidura_cnbd(C18,$A$1,1)</f>
        <v/>
      </c>
      <c r="W18" s="33" t="inlineStr">
        <is>
          <t>自营</t>
        </is>
      </c>
      <c r="X18" s="24">
        <f>[1]!b_info_repurchasedate(C18)</f>
        <v/>
      </c>
      <c r="Y18" s="33">
        <f>[1]!b_rate_latestcredit(C18)</f>
        <v/>
      </c>
      <c r="Z18" s="33">
        <f>[1]!b_info_latestissurercreditrating(C18)</f>
        <v/>
      </c>
    </row>
    <row r="19" ht="12.95" customFormat="1" customHeight="1" s="94">
      <c r="A19" s="202" t="n">
        <v>44561</v>
      </c>
      <c r="B19" s="200" t="inlineStr">
        <is>
          <t>16山东经投债</t>
        </is>
      </c>
      <c r="C19" s="203" t="inlineStr">
        <is>
          <t>1680368</t>
        </is>
      </c>
      <c r="D19" s="192" t="n">
        <v>9000</v>
      </c>
      <c r="E19" s="191" t="n">
        <v>99.9747</v>
      </c>
      <c r="F19" s="192" t="n">
        <v>1003808.217857135</v>
      </c>
      <c r="G19" s="204" t="n">
        <v>89977230</v>
      </c>
      <c r="H19" s="192" t="n">
        <v>90981038.21785714</v>
      </c>
      <c r="I19" s="193">
        <f>[1]!b_anal_net_cnbd(C19,$A$1,1)</f>
        <v/>
      </c>
      <c r="J19" s="193">
        <f>[1]!accrint_dayend_cnbd(C19,$A$1,1)</f>
        <v/>
      </c>
      <c r="K19" s="194">
        <f>(I19-E19)*D19*100</f>
        <v/>
      </c>
      <c r="L19" s="195">
        <f>f_dq_close(C19,"2022/02/16",1)</f>
        <v/>
      </c>
      <c r="M19" s="196">
        <f>L19-I19</f>
        <v/>
      </c>
      <c r="N19" s="197">
        <f>s_dq_dealnum(C19,"2022/02/16")</f>
        <v/>
      </c>
      <c r="O19" s="196">
        <f>(L19-E19)*D19*100</f>
        <v/>
      </c>
      <c r="P19" s="194">
        <f>J19*D19*100-F19</f>
        <v/>
      </c>
      <c r="Q19" s="193">
        <f>I19+J19</f>
        <v/>
      </c>
      <c r="R19" s="198">
        <f>D19*I19*100</f>
        <v/>
      </c>
      <c r="S19" s="194">
        <f>D19*Q19*100</f>
        <v/>
      </c>
      <c r="T19" s="194">
        <f>[1]!b_info_couponrate(C19)</f>
        <v/>
      </c>
      <c r="U19" s="194">
        <f>[1]!b_anal_vobp_cnbd(C19,$A$1,1)</f>
        <v/>
      </c>
      <c r="V19" s="194">
        <f>[1]!b_anal_modidura_cnbd(C19,$A$1,1)</f>
        <v/>
      </c>
      <c r="W19" s="94" t="inlineStr">
        <is>
          <t>自营</t>
        </is>
      </c>
      <c r="X19" s="24">
        <f>[1]!b_info_repurchasedate(C19)</f>
        <v/>
      </c>
      <c r="Y19" s="94">
        <f>[1]!b_rate_latestcredit(C19)</f>
        <v/>
      </c>
      <c r="Z19" s="94">
        <f>[1]!b_info_latestissurercreditrating(C19)</f>
        <v/>
      </c>
    </row>
    <row r="20" ht="12.95" customFormat="1" customHeight="1" s="33">
      <c r="A20" s="202" t="n">
        <v>44561</v>
      </c>
      <c r="B20" s="207" t="inlineStr">
        <is>
          <t>20金科01</t>
        </is>
      </c>
      <c r="C20" s="203" t="inlineStr">
        <is>
          <t>149037.SZ</t>
        </is>
      </c>
      <c r="D20" s="194" t="n">
        <v>1000</v>
      </c>
      <c r="E20" s="208" t="n">
        <v>82.8339</v>
      </c>
      <c r="F20" s="194" t="n">
        <v>517808.2200000007</v>
      </c>
      <c r="G20" s="194" t="n">
        <v>8283390</v>
      </c>
      <c r="H20" s="194" t="n">
        <v>8801198.220000001</v>
      </c>
      <c r="I20" s="193">
        <f>[1]!b_anal_net_cnbd(C20,$A$1,1)</f>
        <v/>
      </c>
      <c r="J20" s="193">
        <f>[1]!accrint_dayend_cnbd(C20,$A$1,1)</f>
        <v/>
      </c>
      <c r="K20" s="194">
        <f>(I20-E20)*D20*100</f>
        <v/>
      </c>
      <c r="L20" s="209" t="inlineStr">
        <is>
          <t>95.0</t>
        </is>
      </c>
      <c r="M20" s="196">
        <f>L20-I20</f>
        <v/>
      </c>
      <c r="N20" s="197">
        <f>s_dq_dealnum(C20,"2022/02/16")</f>
        <v/>
      </c>
      <c r="O20" s="196">
        <f>(L20-E20)*D20*100</f>
        <v/>
      </c>
      <c r="P20" s="194">
        <f>J20*D20*100-F20</f>
        <v/>
      </c>
      <c r="Q20" s="193">
        <f>I20+J20</f>
        <v/>
      </c>
      <c r="R20" s="198">
        <f>D20*I20*100</f>
        <v/>
      </c>
      <c r="S20" s="194">
        <f>D20*Q20*100</f>
        <v/>
      </c>
      <c r="T20" s="194">
        <f>[1]!b_info_couponrate(C20)</f>
        <v/>
      </c>
      <c r="U20" s="194">
        <f>[1]!b_anal_vobp_cnbd(C20,$A$1,1)</f>
        <v/>
      </c>
      <c r="V20" s="194">
        <f>[1]!b_anal_modidura_cnbd(C20,$A$1,1)</f>
        <v/>
      </c>
      <c r="W20" s="94" t="inlineStr">
        <is>
          <t>自营</t>
        </is>
      </c>
      <c r="X20" s="24">
        <f>[1]!b_info_repurchasedate(C20)</f>
        <v/>
      </c>
      <c r="Y20" s="94">
        <f>[1]!b_rate_latestcredit(C20)</f>
        <v/>
      </c>
      <c r="Z20" s="94">
        <f>[1]!b_info_latestissurercreditrating(C20)</f>
        <v/>
      </c>
    </row>
    <row r="21" ht="12.95" customFormat="1" customHeight="1" s="33">
      <c r="A21" s="202" t="n">
        <v>44561</v>
      </c>
      <c r="B21" s="207" t="inlineStr">
        <is>
          <t>20时代02</t>
        </is>
      </c>
      <c r="C21" s="203" t="inlineStr">
        <is>
          <t>163142</t>
        </is>
      </c>
      <c r="D21" s="194" t="n">
        <v>1000</v>
      </c>
      <c r="E21" s="208" t="n">
        <v>69.83409999999999</v>
      </c>
      <c r="F21" s="194" t="n">
        <v>426027.4000000004</v>
      </c>
      <c r="G21" s="194" t="n">
        <v>6983410</v>
      </c>
      <c r="H21" s="194" t="n">
        <v>7409437.4</v>
      </c>
      <c r="I21" s="193">
        <f>[1]!b_anal_net_cnbd(C21,$A$1,1)</f>
        <v/>
      </c>
      <c r="J21" s="193">
        <f>[1]!accrint_dayend_cnbd(C21,$A$1,1)</f>
        <v/>
      </c>
      <c r="K21" s="194">
        <f>(I21-E21)*D21*100</f>
        <v/>
      </c>
      <c r="L21" s="210">
        <f>f_dq_close(C21,"2022/02/16",1)</f>
        <v/>
      </c>
      <c r="M21" s="196">
        <f>L21-I21</f>
        <v/>
      </c>
      <c r="N21" s="197">
        <f>s_dq_dealnum(C21,"2022/02/16")</f>
        <v/>
      </c>
      <c r="O21" s="196">
        <f>(L21-E21)*D21*100</f>
        <v/>
      </c>
      <c r="P21" s="194">
        <f>J21*D21*100-F21</f>
        <v/>
      </c>
      <c r="Q21" s="193">
        <f>I21+J21</f>
        <v/>
      </c>
      <c r="R21" s="198">
        <f>D21*I21*100</f>
        <v/>
      </c>
      <c r="S21" s="194">
        <f>D21*Q21*100</f>
        <v/>
      </c>
      <c r="T21" s="194">
        <f>[1]!b_info_couponrate(C21)</f>
        <v/>
      </c>
      <c r="U21" s="194">
        <f>[1]!b_anal_vobp_cnbd(C21,$A$1,1)</f>
        <v/>
      </c>
      <c r="V21" s="194">
        <f>[1]!b_anal_modidura_cnbd(C21,$A$1,1)</f>
        <v/>
      </c>
      <c r="W21" s="94" t="inlineStr">
        <is>
          <t>自营</t>
        </is>
      </c>
      <c r="X21" s="24">
        <f>[1]!b_info_repurchasedate(C21)</f>
        <v/>
      </c>
      <c r="Y21" s="94">
        <f>[1]!b_rate_latestcredit(C21)</f>
        <v/>
      </c>
      <c r="Z21" s="94">
        <f>[1]!b_info_latestissurercreditrating(C21)</f>
        <v/>
      </c>
    </row>
    <row r="22" ht="12.95" customFormat="1" customHeight="1" s="33">
      <c r="A22" s="202" t="n">
        <v>44561</v>
      </c>
      <c r="B22" s="207" t="inlineStr">
        <is>
          <t>20奥园01</t>
        </is>
      </c>
      <c r="C22" s="203" t="inlineStr">
        <is>
          <t>163188</t>
        </is>
      </c>
      <c r="D22" s="194" t="n">
        <v>15740</v>
      </c>
      <c r="E22" s="208" t="n">
        <v>31.18549999999999</v>
      </c>
      <c r="F22" s="194" t="n">
        <v>7210213.700000003</v>
      </c>
      <c r="G22" s="194" t="n">
        <v>49085976.99999999</v>
      </c>
      <c r="H22" s="194" t="n">
        <v>56296190.69999999</v>
      </c>
      <c r="I22" s="193">
        <f>[1]!b_anal_net_cnbd(C22,$A$1,1)</f>
        <v/>
      </c>
      <c r="J22" s="193">
        <f>[1]!accrint_dayend_cnbd(C22,$A$1,1)</f>
        <v/>
      </c>
      <c r="K22" s="194">
        <f>(I22-E22)*D22*100</f>
        <v/>
      </c>
      <c r="L22" s="209" t="inlineStr">
        <is>
          <t>21.0</t>
        </is>
      </c>
      <c r="M22" s="196">
        <f>L22-I22</f>
        <v/>
      </c>
      <c r="N22" s="197">
        <f>s_dq_dealnum(C22,"2022/02/16")</f>
        <v/>
      </c>
      <c r="O22" s="196">
        <f>(L22-E22)*D22*100</f>
        <v/>
      </c>
      <c r="P22" s="194">
        <f>J22*D22*100-F22</f>
        <v/>
      </c>
      <c r="Q22" s="193">
        <f>I22+J22</f>
        <v/>
      </c>
      <c r="R22" s="198">
        <f>D22*I22*100</f>
        <v/>
      </c>
      <c r="S22" s="194">
        <f>D22*Q22*100</f>
        <v/>
      </c>
      <c r="T22" s="194">
        <f>[1]!b_info_couponrate(C22)</f>
        <v/>
      </c>
      <c r="U22" s="194">
        <f>[1]!b_anal_vobp_cnbd(C22,$A$1,1)</f>
        <v/>
      </c>
      <c r="V22" s="194">
        <f>[1]!b_anal_modidura_cnbd(C22,$A$1,1)</f>
        <v/>
      </c>
      <c r="W22" s="94" t="inlineStr">
        <is>
          <t>自营</t>
        </is>
      </c>
      <c r="X22" s="24">
        <f>[1]!b_info_repurchasedate(C22)</f>
        <v/>
      </c>
      <c r="Y22" s="94">
        <f>[1]!b_rate_latestcredit(C22)</f>
        <v/>
      </c>
      <c r="Z22" s="94">
        <f>[1]!b_info_latestissurercreditrating(C22)</f>
        <v/>
      </c>
    </row>
    <row r="23" ht="12.95" customFormat="1" customHeight="1" s="33">
      <c r="A23" s="202" t="n">
        <v>44561</v>
      </c>
      <c r="B23" s="211" t="inlineStr">
        <is>
          <t>21奥园债</t>
        </is>
      </c>
      <c r="C23" s="203" t="inlineStr">
        <is>
          <t>188326.SH</t>
        </is>
      </c>
      <c r="D23" s="194" t="n">
        <v>10000</v>
      </c>
      <c r="E23" s="208" t="n">
        <v>100</v>
      </c>
      <c r="F23" s="194" t="n">
        <v>3409315.07</v>
      </c>
      <c r="G23" s="194" t="n">
        <v>100000000</v>
      </c>
      <c r="H23" s="194" t="n">
        <v>103409315.07</v>
      </c>
      <c r="I23" s="212">
        <f>[1]!b_anal_net_cnbd(C23,$A$1,1)</f>
        <v/>
      </c>
      <c r="J23" s="193">
        <f>[1]!accrint_dayend_cnbd(C23,$A$1,1)</f>
        <v/>
      </c>
      <c r="K23" s="194">
        <f>(I23-E23)*D23*100</f>
        <v/>
      </c>
      <c r="L23" s="210" t="inlineStr">
        <is>
          <t>21.0</t>
        </is>
      </c>
      <c r="M23" s="196">
        <f>L23-I23</f>
        <v/>
      </c>
      <c r="N23" s="197">
        <f>s_dq_dealnum(C23,"2022/02/16")</f>
        <v/>
      </c>
      <c r="O23" s="196">
        <f>(L23-E23)*D23*100</f>
        <v/>
      </c>
      <c r="P23" s="194">
        <f>J23*D23*100-F23</f>
        <v/>
      </c>
      <c r="Q23" s="193">
        <f>I23+J23</f>
        <v/>
      </c>
      <c r="R23" s="198">
        <f>D23*I23*100</f>
        <v/>
      </c>
      <c r="S23" s="194">
        <f>D23*Q23*100</f>
        <v/>
      </c>
      <c r="T23" s="194">
        <f>[1]!b_info_couponrate(C23)</f>
        <v/>
      </c>
      <c r="U23" s="194">
        <f>[1]!b_anal_vobp_cnbd(C23,$A$1,1)</f>
        <v/>
      </c>
      <c r="V23" s="194">
        <f>[1]!b_anal_modidura_cnbd(C23,$A$1,1)</f>
        <v/>
      </c>
      <c r="W23" s="94" t="inlineStr">
        <is>
          <t>自营</t>
        </is>
      </c>
      <c r="X23" s="24">
        <f>[1]!b_info_repurchasedate(C23)</f>
        <v/>
      </c>
      <c r="Y23" s="94">
        <f>[1]!b_rate_latestcredit(C23)</f>
        <v/>
      </c>
      <c r="Z23" s="94">
        <f>[1]!b_info_latestissurercreditrating(C23)</f>
        <v/>
      </c>
    </row>
    <row r="24" ht="12.95" customFormat="1" customHeight="1" s="33">
      <c r="A24" s="202" t="n">
        <v>44561</v>
      </c>
      <c r="B24" s="207" t="inlineStr">
        <is>
          <t>20时代05</t>
        </is>
      </c>
      <c r="C24" s="203" t="inlineStr">
        <is>
          <t>163316</t>
        </is>
      </c>
      <c r="D24" s="194" t="n">
        <v>10000</v>
      </c>
      <c r="E24" s="208" t="n">
        <v>69.6169</v>
      </c>
      <c r="F24" s="194" t="n">
        <v>3870410.959999993</v>
      </c>
      <c r="G24" s="194" t="n">
        <v>69616900</v>
      </c>
      <c r="H24" s="194" t="n">
        <v>73487310.95999999</v>
      </c>
      <c r="I24" s="193">
        <f>[1]!b_anal_net_cnbd(C24,$A$1,1)</f>
        <v/>
      </c>
      <c r="J24" s="193">
        <f>[1]!accrint_dayend_cnbd(C24,$A$1,1)</f>
        <v/>
      </c>
      <c r="K24" s="194">
        <f>(I24-E24)*D24*100</f>
        <v/>
      </c>
      <c r="L24" s="209" t="inlineStr">
        <is>
          <t>58.199</t>
        </is>
      </c>
      <c r="M24" s="196">
        <f>L24-I24</f>
        <v/>
      </c>
      <c r="N24" s="197">
        <f>s_dq_dealnum(C24,"2022/02/16")</f>
        <v/>
      </c>
      <c r="O24" s="196">
        <f>(L24-E24)*D24*100</f>
        <v/>
      </c>
      <c r="P24" s="194">
        <f>J24*D24*100-F24</f>
        <v/>
      </c>
      <c r="Q24" s="193">
        <f>I24+J24</f>
        <v/>
      </c>
      <c r="R24" s="198">
        <f>D24*I24*100</f>
        <v/>
      </c>
      <c r="S24" s="194">
        <f>D24*Q24*100</f>
        <v/>
      </c>
      <c r="T24" s="194">
        <f>[1]!b_info_couponrate(C24)</f>
        <v/>
      </c>
      <c r="U24" s="194">
        <f>[1]!b_anal_vobp_cnbd(C24,$A$1,1)</f>
        <v/>
      </c>
      <c r="V24" s="194">
        <f>[1]!b_anal_modidura_cnbd(C24,$A$1,1)</f>
        <v/>
      </c>
      <c r="W24" s="94" t="inlineStr">
        <is>
          <t>自营</t>
        </is>
      </c>
      <c r="X24" s="24">
        <f>[1]!b_info_repurchasedate(C24)</f>
        <v/>
      </c>
      <c r="Y24" s="94">
        <f>[1]!b_rate_latestcredit(C24)</f>
        <v/>
      </c>
      <c r="Z24" s="94">
        <f>[1]!b_info_latestissurercreditrating(C24)</f>
        <v/>
      </c>
    </row>
    <row r="25" ht="12.95" customFormat="1" customHeight="1" s="33">
      <c r="A25" s="202" t="n">
        <v>44561</v>
      </c>
      <c r="B25" s="207" t="inlineStr">
        <is>
          <t>20时代07</t>
        </is>
      </c>
      <c r="C25" s="203" t="inlineStr">
        <is>
          <t>163571</t>
        </is>
      </c>
      <c r="D25" s="194" t="n">
        <v>20000</v>
      </c>
      <c r="E25" s="186" t="n">
        <v>69.24770000000001</v>
      </c>
      <c r="F25" s="208" t="n">
        <v>6288000</v>
      </c>
      <c r="G25" s="194" t="n">
        <v>138495400</v>
      </c>
      <c r="H25" s="194" t="n">
        <v>144783400</v>
      </c>
      <c r="I25" s="193">
        <f>[1]!b_anal_net_cnbd(C25,$A$1,1)</f>
        <v/>
      </c>
      <c r="J25" s="193">
        <f>[1]!accrint_dayend_cnbd(C25,$A$1,1)</f>
        <v/>
      </c>
      <c r="K25" s="194">
        <f>(I25-E25)*D25*100</f>
        <v/>
      </c>
      <c r="L25" s="210">
        <f>f_dq_close(C25,"2022/02/16",1)</f>
        <v/>
      </c>
      <c r="M25" s="196">
        <f>L25-I25</f>
        <v/>
      </c>
      <c r="N25" s="197">
        <f>s_dq_dealnum(C25,"2022/02/16")</f>
        <v/>
      </c>
      <c r="O25" s="196">
        <f>(L25-E25)*D25*100</f>
        <v/>
      </c>
      <c r="P25" s="194">
        <f>J25*D25*100-F25</f>
        <v/>
      </c>
      <c r="Q25" s="193">
        <f>I25+J25</f>
        <v/>
      </c>
      <c r="R25" s="198">
        <f>D25*I25*100</f>
        <v/>
      </c>
      <c r="S25" s="194">
        <f>D25*Q25*100</f>
        <v/>
      </c>
      <c r="T25" s="194">
        <f>[1]!b_info_couponrate(C25)</f>
        <v/>
      </c>
      <c r="U25" s="194">
        <f>[1]!b_anal_vobp_cnbd(C25,$A$1,1)</f>
        <v/>
      </c>
      <c r="V25" s="194">
        <f>[1]!b_anal_modidura_cnbd(C25,$A$1,1)</f>
        <v/>
      </c>
      <c r="W25" s="94" t="inlineStr">
        <is>
          <t>自营</t>
        </is>
      </c>
      <c r="X25" s="24">
        <f>[1]!b_info_repurchasedate(C25)</f>
        <v/>
      </c>
      <c r="Y25" s="94">
        <f>[1]!b_rate_latestcredit(C25)</f>
        <v/>
      </c>
      <c r="Z25" s="94">
        <f>[1]!b_info_latestissurercreditrating(C25)</f>
        <v/>
      </c>
    </row>
    <row r="26" ht="12.95" customFormat="1" customHeight="1" s="33">
      <c r="A26" s="202" t="n">
        <v>44561</v>
      </c>
      <c r="B26" s="207" t="inlineStr">
        <is>
          <t>21中骏1B</t>
        </is>
      </c>
      <c r="C26" s="203" t="inlineStr">
        <is>
          <t>179511</t>
        </is>
      </c>
      <c r="D26" s="194" t="n">
        <v>4500</v>
      </c>
      <c r="E26" s="208" t="n">
        <v>97.61669999999999</v>
      </c>
      <c r="F26" s="194" t="n">
        <v>100602.7400000021</v>
      </c>
      <c r="G26" s="194" t="n">
        <v>43927515</v>
      </c>
      <c r="H26" s="194" t="n">
        <v>44028117.74</v>
      </c>
      <c r="I26" s="193">
        <f>[1]!b_anal_net_cnbd(C26,$A$1,1)</f>
        <v/>
      </c>
      <c r="J26" s="193">
        <f>[1]!accrint_dayend_cnbd(C26,$A$1,1)</f>
        <v/>
      </c>
      <c r="K26" s="194">
        <f>(I26-E26)*D26*100</f>
        <v/>
      </c>
      <c r="L26" s="209" t="inlineStr">
        <is>
          <t>70.0</t>
        </is>
      </c>
      <c r="M26" s="196">
        <f>L26-I26</f>
        <v/>
      </c>
      <c r="N26" s="197">
        <f>s_dq_dealnum(C26,"2022/02/16")</f>
        <v/>
      </c>
      <c r="O26" s="196">
        <f>(L26-E26)*D26*100</f>
        <v/>
      </c>
      <c r="P26" s="194">
        <f>J26*D26*100-F26</f>
        <v/>
      </c>
      <c r="Q26" s="193">
        <f>I26+J26</f>
        <v/>
      </c>
      <c r="R26" s="198">
        <f>D26*I26*100</f>
        <v/>
      </c>
      <c r="S26" s="194">
        <f>D26*Q26*100</f>
        <v/>
      </c>
      <c r="T26" s="194">
        <f>[1]!b_info_couponrate(C26)</f>
        <v/>
      </c>
      <c r="U26" s="194">
        <f>[1]!b_anal_vobp_cnbd(C26,$A$1,1)</f>
        <v/>
      </c>
      <c r="V26" s="194">
        <f>[1]!b_anal_modidura_cnbd(C26,$A$1,1)</f>
        <v/>
      </c>
      <c r="W26" s="94" t="inlineStr">
        <is>
          <t>自营</t>
        </is>
      </c>
      <c r="X26" s="24">
        <f>[1]!b_info_repurchasedate(C26)</f>
        <v/>
      </c>
      <c r="Y26" s="94">
        <f>[1]!b_rate_latestcredit(C26)</f>
        <v/>
      </c>
      <c r="Z26" s="94">
        <f>[1]!b_info_latestissurercreditrating(C26)</f>
        <v/>
      </c>
    </row>
    <row r="27" ht="12.95" customFormat="1" customHeight="1" s="33">
      <c r="A27" s="202" t="n">
        <v>44561</v>
      </c>
      <c r="B27" s="211" t="inlineStr">
        <is>
          <t>20合景04</t>
        </is>
      </c>
      <c r="C27" s="203" t="inlineStr">
        <is>
          <t>175068</t>
        </is>
      </c>
      <c r="D27" s="194" t="n">
        <v>10500</v>
      </c>
      <c r="E27" s="208" t="n">
        <v>97.03399999999999</v>
      </c>
      <c r="F27" s="194" t="n">
        <v>2078136.98</v>
      </c>
      <c r="G27" s="194" t="n">
        <v>101885700</v>
      </c>
      <c r="H27" s="194" t="n">
        <v>103963836.98</v>
      </c>
      <c r="I27" s="212">
        <f>[1]!b_anal_net_cnbd(C27,$A$1,1)</f>
        <v/>
      </c>
      <c r="J27" s="193">
        <f>[1]!accrint_dayend_cnbd(C27,$A$1,1)</f>
        <v/>
      </c>
      <c r="K27" s="194">
        <f>(I27-E27)*D27*100</f>
        <v/>
      </c>
      <c r="L27" s="209" t="inlineStr">
        <is>
          <t>75.0</t>
        </is>
      </c>
      <c r="M27" s="196">
        <f>L27-I27</f>
        <v/>
      </c>
      <c r="N27" s="197">
        <f>s_dq_dealnum(C27,"2022/02/16")</f>
        <v/>
      </c>
      <c r="O27" s="196">
        <f>(L27-E27)*D27*100</f>
        <v/>
      </c>
      <c r="P27" s="194">
        <f>J27*D27*100-F27</f>
        <v/>
      </c>
      <c r="Q27" s="193">
        <f>I27+J27</f>
        <v/>
      </c>
      <c r="R27" s="198">
        <f>D27*I27*100</f>
        <v/>
      </c>
      <c r="S27" s="194">
        <f>D27*Q27*100</f>
        <v/>
      </c>
      <c r="T27" s="194">
        <f>[1]!b_info_couponrate(C27)</f>
        <v/>
      </c>
      <c r="U27" s="194">
        <f>[1]!b_anal_vobp_cnbd(C27,$A$1,1)</f>
        <v/>
      </c>
      <c r="V27" s="194">
        <f>[1]!b_anal_modidura_cnbd(C27,$A$1,1)</f>
        <v/>
      </c>
      <c r="W27" s="94" t="inlineStr">
        <is>
          <t>自营</t>
        </is>
      </c>
      <c r="X27" s="24">
        <f>[1]!b_info_repurchasedate(C27)</f>
        <v/>
      </c>
      <c r="Y27" s="94">
        <f>[1]!b_rate_latestcredit(C27)</f>
        <v/>
      </c>
      <c r="Z27" s="94">
        <f>[1]!b_info_latestissurercreditrating(C27)</f>
        <v/>
      </c>
    </row>
    <row r="28" ht="12.95" customFormat="1" customHeight="1" s="33">
      <c r="A28" s="202" t="n">
        <v>44561</v>
      </c>
      <c r="B28" s="211" t="inlineStr">
        <is>
          <t>20合景06</t>
        </is>
      </c>
      <c r="C28" s="203" t="inlineStr">
        <is>
          <t>175201</t>
        </is>
      </c>
      <c r="D28" s="194" t="n">
        <v>8500</v>
      </c>
      <c r="E28" s="208" t="n">
        <v>97.16858823529412</v>
      </c>
      <c r="F28" s="194" t="n">
        <v>1131780.82</v>
      </c>
      <c r="G28" s="194" t="n">
        <v>82593300</v>
      </c>
      <c r="H28" s="194" t="n">
        <v>83725080.81999999</v>
      </c>
      <c r="I28" s="212">
        <f>[1]!b_anal_net_cnbd(C28,$A$1,1)</f>
        <v/>
      </c>
      <c r="J28" s="193">
        <f>[1]!accrint_dayend_cnbd(C28,$A$1,1)</f>
        <v/>
      </c>
      <c r="K28" s="194">
        <f>(I28-E28)*D28*100</f>
        <v/>
      </c>
      <c r="L28" s="210" t="inlineStr">
        <is>
          <t>75.0</t>
        </is>
      </c>
      <c r="M28" s="196">
        <f>L28-I28</f>
        <v/>
      </c>
      <c r="N28" s="197">
        <f>s_dq_dealnum(C28,"2022/02/16")</f>
        <v/>
      </c>
      <c r="O28" s="196">
        <f>(L28-E28)*D28*100</f>
        <v/>
      </c>
      <c r="P28" s="194">
        <f>J28*D28*100-F28</f>
        <v/>
      </c>
      <c r="Q28" s="193">
        <f>I28+J28</f>
        <v/>
      </c>
      <c r="R28" s="198">
        <f>D28*I28*100</f>
        <v/>
      </c>
      <c r="S28" s="194">
        <f>D28*Q28*100</f>
        <v/>
      </c>
      <c r="T28" s="194">
        <f>[1]!b_info_couponrate(C28)</f>
        <v/>
      </c>
      <c r="U28" s="194">
        <f>[1]!b_anal_vobp_cnbd(C28,$A$1,1)</f>
        <v/>
      </c>
      <c r="V28" s="194">
        <f>[1]!b_anal_modidura_cnbd(C28,$A$1,1)</f>
        <v/>
      </c>
      <c r="W28" s="94" t="inlineStr">
        <is>
          <t>自营</t>
        </is>
      </c>
      <c r="X28" s="24">
        <f>[1]!b_info_repurchasedate(C28)</f>
        <v/>
      </c>
      <c r="Y28" s="94">
        <f>[1]!b_rate_latestcredit(C28)</f>
        <v/>
      </c>
      <c r="Z28" s="94">
        <f>[1]!b_info_latestissurercreditrating(C28)</f>
        <v/>
      </c>
    </row>
    <row r="29" ht="12.95" customFormat="1" customHeight="1" s="33">
      <c r="A29" s="187" t="n">
        <v>44561</v>
      </c>
      <c r="B29" s="211" t="inlineStr">
        <is>
          <t>21尚隽保理ABN001优先</t>
        </is>
      </c>
      <c r="C29" s="203" t="inlineStr">
        <is>
          <t>082100184</t>
        </is>
      </c>
      <c r="D29" s="194" t="n">
        <v>10000</v>
      </c>
      <c r="E29" s="208" t="n">
        <v>100</v>
      </c>
      <c r="F29" s="194" t="n">
        <v>4369863.01</v>
      </c>
      <c r="G29" s="194" t="n">
        <v>100000000</v>
      </c>
      <c r="H29" s="194" t="n">
        <v>104369863.01</v>
      </c>
      <c r="I29" s="212">
        <f>[1]!b_anal_net_cnbd(C29,$A$1,1)</f>
        <v/>
      </c>
      <c r="J29" s="193">
        <f>[1]!accrint_dayend_cnbd(C29,$A$1,1)</f>
        <v/>
      </c>
      <c r="K29" s="194">
        <f>(I29-E29)*D29*100</f>
        <v/>
      </c>
      <c r="L29" s="210">
        <f>f_dq_close(C29,"2022/02/16",1)</f>
        <v/>
      </c>
      <c r="M29" s="196">
        <f>L29-I29</f>
        <v/>
      </c>
      <c r="N29" s="197">
        <f>s_dq_dealnum(C29,"2022/02/16")</f>
        <v/>
      </c>
      <c r="O29" s="196">
        <f>(L29-E29)*D29*100</f>
        <v/>
      </c>
      <c r="P29" s="194">
        <f>J29*D29*100-F29</f>
        <v/>
      </c>
      <c r="Q29" s="193">
        <f>I29+J29</f>
        <v/>
      </c>
      <c r="R29" s="198">
        <f>D29*I29*100</f>
        <v/>
      </c>
      <c r="S29" s="194">
        <f>D29*Q29*100</f>
        <v/>
      </c>
      <c r="T29" s="194">
        <f>[1]!b_info_couponrate(C29)</f>
        <v/>
      </c>
      <c r="U29" s="194">
        <f>[1]!b_anal_vobp_cnbd(C29,$A$1,1)</f>
        <v/>
      </c>
      <c r="V29" s="194">
        <f>[1]!b_anal_modidura_cnbd(C29,$A$1,1)</f>
        <v/>
      </c>
      <c r="W29" s="94" t="inlineStr">
        <is>
          <t>自营</t>
        </is>
      </c>
      <c r="X29" s="24">
        <f>[1]!b_info_repurchasedate(C29)</f>
        <v/>
      </c>
      <c r="Y29" s="94">
        <f>[1]!b_rate_latestcredit(C29)</f>
        <v/>
      </c>
      <c r="Z29" s="94">
        <f>[1]!b_info_latestissurercreditrating(C29)</f>
        <v/>
      </c>
    </row>
    <row r="30" ht="12.95" customFormat="1" customHeight="1" s="33">
      <c r="A30" s="213" t="n">
        <v>44561</v>
      </c>
      <c r="B30" s="207" t="inlineStr">
        <is>
          <t>21番雅01</t>
        </is>
      </c>
      <c r="C30" s="203" t="inlineStr">
        <is>
          <t>175934.SH</t>
        </is>
      </c>
      <c r="D30" s="194" t="n">
        <v>8000</v>
      </c>
      <c r="E30" s="208" t="n">
        <v>98.6374</v>
      </c>
      <c r="F30" s="194" t="n">
        <v>3452712.329999998</v>
      </c>
      <c r="G30" s="194" t="n">
        <v>78909920</v>
      </c>
      <c r="H30" s="194" t="n">
        <v>82362632.33</v>
      </c>
      <c r="I30" s="193">
        <f>[1]!b_anal_net_cnbd(C30,$A$1,1)</f>
        <v/>
      </c>
      <c r="J30" s="193">
        <f>[1]!accrint_dayend_cnbd(C30,$A$1,1)</f>
        <v/>
      </c>
      <c r="K30" s="194">
        <f>(I30-E30)*D30*100</f>
        <v/>
      </c>
      <c r="L30" s="210">
        <f>f_dq_close(C30,"2022/02/16",1)</f>
        <v/>
      </c>
      <c r="M30" s="196">
        <f>L30-I30</f>
        <v/>
      </c>
      <c r="N30" s="197">
        <f>s_dq_dealnum(C30,"2022/02/16")</f>
        <v/>
      </c>
      <c r="O30" s="196">
        <f>(L30-E30)*D30*100</f>
        <v/>
      </c>
      <c r="P30" s="194">
        <f>J30*D30*100-F30</f>
        <v/>
      </c>
      <c r="Q30" s="193">
        <f>I30+J30</f>
        <v/>
      </c>
      <c r="R30" s="198">
        <f>D30*I30*100</f>
        <v/>
      </c>
      <c r="S30" s="194">
        <f>D30*Q30*100</f>
        <v/>
      </c>
      <c r="T30" s="194">
        <f>[1]!b_info_couponrate(C30)</f>
        <v/>
      </c>
      <c r="U30" s="194">
        <f>[1]!b_anal_vobp_cnbd(C30,$A$1,1)</f>
        <v/>
      </c>
      <c r="V30" s="194">
        <f>[1]!b_anal_modidura_cnbd(C30,$A$1,1)</f>
        <v/>
      </c>
      <c r="W30" s="94" t="inlineStr">
        <is>
          <t>自营</t>
        </is>
      </c>
      <c r="X30" s="24">
        <f>[1]!b_info_repurchasedate(C30)</f>
        <v/>
      </c>
      <c r="Y30" s="94" t="n"/>
      <c r="Z30" s="94" t="n"/>
    </row>
    <row r="31" ht="12.95" customFormat="1" customHeight="1" s="33">
      <c r="A31" s="187" t="n">
        <v>44561</v>
      </c>
      <c r="B31" s="214" t="inlineStr">
        <is>
          <t>平裕6优</t>
        </is>
      </c>
      <c r="C31" s="203" t="n">
        <v>179965</v>
      </c>
      <c r="D31" s="179" t="n">
        <v>6500</v>
      </c>
      <c r="E31" s="208" t="n">
        <v>99.51600000000001</v>
      </c>
      <c r="F31" s="215" t="n">
        <v>2827321.92</v>
      </c>
      <c r="G31" s="194" t="n">
        <v>64685400</v>
      </c>
      <c r="H31" s="194" t="n">
        <v>67512721.92</v>
      </c>
      <c r="I31" s="212">
        <f>[1]!b_anal_net_cnbd(C31,$A$1,1)</f>
        <v/>
      </c>
      <c r="J31" s="193">
        <f>[1]!accrint_dayend_cnbd(C31,$A$1,1)</f>
        <v/>
      </c>
      <c r="K31" s="194">
        <f>(I31-E31)*D31*100</f>
        <v/>
      </c>
      <c r="L31" s="209" t="inlineStr">
        <is>
          <t>90.0</t>
        </is>
      </c>
      <c r="M31" s="196">
        <f>L31-I31</f>
        <v/>
      </c>
      <c r="N31" s="197">
        <f>s_dq_dealnum(C31,"2022/02/16")</f>
        <v/>
      </c>
      <c r="O31" s="196">
        <f>(L31-E31)*D31*100</f>
        <v/>
      </c>
      <c r="P31" s="194">
        <f>J31*D31*100-F31</f>
        <v/>
      </c>
      <c r="Q31" s="193">
        <f>I31+J31</f>
        <v/>
      </c>
      <c r="R31" s="198">
        <f>D31*I31*100</f>
        <v/>
      </c>
      <c r="S31" s="194">
        <f>D31*Q31*100</f>
        <v/>
      </c>
      <c r="T31" s="194">
        <f>[1]!b_info_couponrate(C31)</f>
        <v/>
      </c>
      <c r="U31" s="194">
        <f>[1]!b_anal_vobp_cnbd(C31,$A$1,1)</f>
        <v/>
      </c>
      <c r="V31" s="194">
        <f>[1]!b_anal_modidura_cnbd(C31,$A$1,1)</f>
        <v/>
      </c>
      <c r="W31" s="94" t="inlineStr">
        <is>
          <t>自营</t>
        </is>
      </c>
      <c r="X31" s="24">
        <f>[1]!b_info_repurchasedate(C31)</f>
        <v/>
      </c>
      <c r="Y31" s="33">
        <f>[1]!b_rate_latestcredit(C31)</f>
        <v/>
      </c>
      <c r="Z31" s="33">
        <f>[1]!b_info_latestissurercreditrating(C31)</f>
        <v/>
      </c>
    </row>
    <row r="32" ht="12.95" customFormat="1" customHeight="1" s="93">
      <c r="A32" s="187" t="n">
        <v>44561</v>
      </c>
      <c r="B32" s="214" t="inlineStr">
        <is>
          <t>鹏举8号</t>
        </is>
      </c>
      <c r="C32" s="203" t="inlineStr">
        <is>
          <t>136209.SZ</t>
        </is>
      </c>
      <c r="D32" s="179" t="n">
        <v>8500</v>
      </c>
      <c r="E32" s="208" t="n">
        <v>100</v>
      </c>
      <c r="F32" s="215" t="n">
        <v>2498767.13</v>
      </c>
      <c r="G32" s="194" t="n">
        <v>85000000</v>
      </c>
      <c r="H32" s="194" t="n">
        <v>87498767.13</v>
      </c>
      <c r="I32" s="212">
        <f>[1]!b_anal_net_cnbd(C32,$A$1,1)</f>
        <v/>
      </c>
      <c r="J32" s="193">
        <f>[1]!accrint_dayend_cnbd(C32,$A$1,1)</f>
        <v/>
      </c>
      <c r="K32" s="194">
        <f>(I32-E32)*D32*100</f>
        <v/>
      </c>
      <c r="L32" s="210">
        <f>f_dq_close(C32,"2022/02/16",1)</f>
        <v/>
      </c>
      <c r="M32" s="196">
        <f>L32-I32</f>
        <v/>
      </c>
      <c r="N32" s="197">
        <f>s_dq_dealnum(C32,"2022/02/16")</f>
        <v/>
      </c>
      <c r="O32" s="196">
        <f>(L32-E32)*D32*100</f>
        <v/>
      </c>
      <c r="P32" s="194">
        <f>J32*D32*100-F32</f>
        <v/>
      </c>
      <c r="Q32" s="193">
        <f>I32+J32</f>
        <v/>
      </c>
      <c r="R32" s="198">
        <f>D32*I32*100</f>
        <v/>
      </c>
      <c r="S32" s="194">
        <f>D32*Q32*100</f>
        <v/>
      </c>
      <c r="T32" s="194">
        <f>[1]!b_info_couponrate(C32)</f>
        <v/>
      </c>
      <c r="U32" s="194">
        <f>[1]!b_anal_vobp_cnbd(C32,$A$1,1)</f>
        <v/>
      </c>
      <c r="V32" s="194">
        <f>[1]!b_anal_modidura_cnbd(C32,$A$1,1)</f>
        <v/>
      </c>
      <c r="W32" s="94" t="inlineStr">
        <is>
          <t>自营</t>
        </is>
      </c>
      <c r="X32" s="24">
        <f>[1]!b_info_repurchasedate(C32)</f>
        <v/>
      </c>
      <c r="Y32" s="33">
        <f>[1]!b_rate_latestcredit(C32)</f>
        <v/>
      </c>
      <c r="Z32" s="33">
        <f>[1]!b_info_latestissurercreditrating(C32)</f>
        <v/>
      </c>
    </row>
    <row r="33" ht="12.95" customFormat="1" customHeight="1" s="33">
      <c r="A33" s="202" t="n">
        <v>44561</v>
      </c>
      <c r="B33" s="216" t="inlineStr">
        <is>
          <t>正荣03优</t>
        </is>
      </c>
      <c r="C33" s="203" t="inlineStr">
        <is>
          <t>169687</t>
        </is>
      </c>
      <c r="D33" s="194" t="n">
        <v>10000</v>
      </c>
      <c r="E33" s="208" t="n">
        <v>96.5579</v>
      </c>
      <c r="F33" s="215" t="n">
        <v>707671.2300000042</v>
      </c>
      <c r="G33" s="194" t="n">
        <v>96557900</v>
      </c>
      <c r="H33" s="194" t="n">
        <v>97265571.23</v>
      </c>
      <c r="I33" s="193">
        <f>[1]!b_anal_net_cnbd(C33,$A$1,1)</f>
        <v/>
      </c>
      <c r="J33" s="193">
        <f>[1]!accrint_dayend_cnbd(C33,$A$1,1)</f>
        <v/>
      </c>
      <c r="K33" s="194">
        <f>(I33-E33)*D33*100</f>
        <v/>
      </c>
      <c r="L33" s="209" t="inlineStr">
        <is>
          <t>38.5</t>
        </is>
      </c>
      <c r="M33" s="196">
        <f>L33-I33</f>
        <v/>
      </c>
      <c r="N33" s="197">
        <f>s_dq_dealnum(C33,"2022/02/16")</f>
        <v/>
      </c>
      <c r="O33" s="196">
        <f>(L33-E33)*D33*100</f>
        <v/>
      </c>
      <c r="P33" s="194">
        <f>J33*D33*100-F33</f>
        <v/>
      </c>
      <c r="Q33" s="193">
        <f>I33+J33</f>
        <v/>
      </c>
      <c r="R33" s="198">
        <f>D33*I33*100</f>
        <v/>
      </c>
      <c r="S33" s="194">
        <f>D33*Q33*100</f>
        <v/>
      </c>
      <c r="T33" s="194">
        <f>[1]!b_info_couponrate(C33)</f>
        <v/>
      </c>
      <c r="U33" s="194">
        <f>[1]!b_anal_vobp_cnbd(C33,$A$1,1)</f>
        <v/>
      </c>
      <c r="V33" s="194">
        <f>[1]!b_anal_modidura_cnbd(C33,$A$1,1)</f>
        <v/>
      </c>
      <c r="W33" s="94" t="inlineStr">
        <is>
          <t>自营</t>
        </is>
      </c>
      <c r="X33" s="24">
        <f>[1]!b_info_repurchasedate(C33)</f>
        <v/>
      </c>
    </row>
    <row r="34" ht="12.95" customFormat="1" customHeight="1" s="33">
      <c r="A34" s="202" t="n">
        <v>44561</v>
      </c>
      <c r="B34" s="207" t="inlineStr">
        <is>
          <t>20宝龙A</t>
        </is>
      </c>
      <c r="C34" s="203" t="inlineStr">
        <is>
          <t>168764</t>
        </is>
      </c>
      <c r="D34" s="194" t="n">
        <v>3000</v>
      </c>
      <c r="E34" s="186" t="n">
        <v>95.65780000000001</v>
      </c>
      <c r="F34" s="194" t="n">
        <v>315616.4400000013</v>
      </c>
      <c r="G34" s="204" t="n">
        <v>28697340</v>
      </c>
      <c r="H34" s="192" t="n">
        <v>29012956.44</v>
      </c>
      <c r="I34" s="193">
        <f>[1]!b_anal_net_cnbd(C34,$A$1,1)</f>
        <v/>
      </c>
      <c r="J34" s="193">
        <f>[1]!accrint_dayend_cnbd(C34,$A$1,1)</f>
        <v/>
      </c>
      <c r="K34" s="194">
        <f>(I34-E34)*D34*100+25893000</f>
        <v/>
      </c>
      <c r="L34" s="209" t="inlineStr">
        <is>
          <t>12.0</t>
        </is>
      </c>
      <c r="M34" s="196">
        <f>L34-I34</f>
        <v/>
      </c>
      <c r="N34" s="197">
        <f>s_dq_dealnum(C34,"2022/02/16")</f>
        <v/>
      </c>
      <c r="O34" s="196">
        <f>(L34-E34)*D34*100+25893000</f>
        <v/>
      </c>
      <c r="P34" s="194">
        <f>J34*D34*100-F34+419190</f>
        <v/>
      </c>
      <c r="Q34" s="186">
        <f>I34+J34</f>
        <v/>
      </c>
      <c r="R34" s="198">
        <f>D34*I34*100</f>
        <v/>
      </c>
      <c r="S34" s="194">
        <f>D34*Q34*100</f>
        <v/>
      </c>
      <c r="T34" s="194">
        <f>[1]!b_info_couponrate(C34)</f>
        <v/>
      </c>
      <c r="U34" s="194">
        <f>[1]!b_anal_vobp_cnbd(C34,$A$1,1)</f>
        <v/>
      </c>
      <c r="V34" s="194">
        <f>[1]!b_anal_modidura_cnbd(C34,$A$1,1)</f>
        <v/>
      </c>
      <c r="W34" s="33" t="inlineStr">
        <is>
          <t>自营</t>
        </is>
      </c>
      <c r="X34" s="24">
        <f>[1]!b_info_repurchasedate(C34)</f>
        <v/>
      </c>
    </row>
    <row r="35" ht="12.95" customFormat="1" customHeight="1" s="33">
      <c r="A35" s="202" t="n">
        <v>44561</v>
      </c>
      <c r="B35" s="207" t="inlineStr">
        <is>
          <t>18泛海1B</t>
        </is>
      </c>
      <c r="C35" s="203" t="inlineStr">
        <is>
          <t>149771</t>
        </is>
      </c>
      <c r="D35" s="194" t="n">
        <v>28000</v>
      </c>
      <c r="E35" s="186" t="n">
        <v>60.0603</v>
      </c>
      <c r="F35" s="194" t="n">
        <v>2999452.060000002</v>
      </c>
      <c r="G35" s="194" t="n">
        <v>168168840</v>
      </c>
      <c r="H35" s="194" t="n">
        <v>171168292.06</v>
      </c>
      <c r="I35" s="193">
        <f>[1]!b_anal_net_csi1(C35,$A$1,1)</f>
        <v/>
      </c>
      <c r="J35" s="193">
        <f>[1]!accrint_dayend_cnbd(C35,$A$1,1)</f>
        <v/>
      </c>
      <c r="K35" s="194">
        <f>(I35-E35)*D35*100</f>
        <v/>
      </c>
      <c r="L35" s="195" t="n">
        <v>30</v>
      </c>
      <c r="M35" s="196">
        <f>L35-I35</f>
        <v/>
      </c>
      <c r="N35" s="197">
        <f>s_dq_dealnum(C35,"2022/02/16")</f>
        <v/>
      </c>
      <c r="O35" s="196">
        <f>(L35-E35)*D35*100</f>
        <v/>
      </c>
      <c r="P35" s="217">
        <f>(A1-A35)/365*D35*T35*100</f>
        <v/>
      </c>
      <c r="Q35" s="193">
        <f>I35+J35</f>
        <v/>
      </c>
      <c r="R35" s="198">
        <f>D35*I35*100</f>
        <v/>
      </c>
      <c r="S35" s="194">
        <f>D35*Q35*100</f>
        <v/>
      </c>
      <c r="T35" s="194">
        <f>[1]!b_info_couponrate(C35)</f>
        <v/>
      </c>
      <c r="U35" s="194">
        <f>[1]!b_anal_vobp_cnbd(C35,$A$1,1)</f>
        <v/>
      </c>
      <c r="V35" s="194">
        <f>[1]!b_anal_modidura_cnbd(C35,$A$1,1)</f>
        <v/>
      </c>
      <c r="W35" s="94" t="inlineStr">
        <is>
          <t>自营</t>
        </is>
      </c>
      <c r="X35" s="24">
        <f>[1]!b_info_repurchasedate(C35)</f>
        <v/>
      </c>
      <c r="Y35" s="94">
        <f>[1]!b_rate_latestcredit(C35)</f>
        <v/>
      </c>
      <c r="Z35" s="94">
        <f>[1]!b_info_latestissurercreditrating(C35)</f>
        <v/>
      </c>
    </row>
    <row r="36" ht="12.95" customFormat="1" customHeight="1" s="33">
      <c r="A36" s="202" t="n"/>
      <c r="B36" s="207" t="n"/>
      <c r="C36" s="203" t="n"/>
      <c r="D36" s="194" t="n"/>
      <c r="E36" s="186" t="n"/>
      <c r="F36" s="194" t="n"/>
      <c r="G36" s="194" t="n"/>
      <c r="H36" s="194" t="n"/>
      <c r="I36" s="193" t="n"/>
      <c r="J36" s="193" t="n"/>
      <c r="K36" s="194" t="n"/>
      <c r="L36" s="163" t="n"/>
      <c r="M36" s="163" t="n"/>
      <c r="N36" s="163" t="n"/>
      <c r="O36" s="163" t="n"/>
      <c r="P36" s="217" t="n"/>
      <c r="Q36" s="193" t="n"/>
      <c r="R36" s="198" t="n"/>
      <c r="S36" s="194" t="n"/>
      <c r="T36" s="194" t="n"/>
      <c r="U36" s="194" t="n"/>
      <c r="V36" s="194" t="n"/>
      <c r="W36" s="94" t="n"/>
      <c r="X36" s="94" t="n"/>
      <c r="Y36" s="94" t="n"/>
      <c r="Z36" s="94" t="n"/>
    </row>
    <row r="37" ht="12.95" customFormat="1" customHeight="1" s="33">
      <c r="A37" s="202" t="n"/>
      <c r="B37" s="207" t="n"/>
      <c r="C37" s="203" t="n"/>
      <c r="D37" s="194" t="n"/>
      <c r="E37" s="186" t="n"/>
      <c r="F37" s="194" t="n"/>
      <c r="G37" s="194" t="n"/>
      <c r="H37" s="194" t="n"/>
      <c r="I37" s="193" t="n"/>
      <c r="J37" s="193" t="n"/>
      <c r="K37" s="194" t="n"/>
      <c r="L37" s="163" t="n"/>
      <c r="M37" s="163" t="n"/>
      <c r="N37" s="163" t="n"/>
      <c r="O37" s="163" t="n"/>
      <c r="P37" s="217" t="n"/>
      <c r="Q37" s="193" t="n"/>
      <c r="R37" s="198" t="n"/>
      <c r="S37" s="194" t="n"/>
      <c r="T37" s="194" t="n"/>
      <c r="U37" s="194" t="n"/>
      <c r="V37" s="194" t="n"/>
      <c r="W37" s="94" t="n"/>
      <c r="X37" s="94" t="n"/>
      <c r="Y37" s="94" t="n"/>
      <c r="Z37" s="94" t="n"/>
    </row>
    <row r="38" ht="12.95" customFormat="1" customHeight="1" s="99">
      <c r="A38" s="202" t="n">
        <v>44561</v>
      </c>
      <c r="B38" s="207" t="inlineStr">
        <is>
          <t>21方大EB</t>
        </is>
      </c>
      <c r="C38" s="203" t="inlineStr">
        <is>
          <t>137129.SH</t>
        </is>
      </c>
      <c r="D38" s="194" t="n">
        <v>5000</v>
      </c>
      <c r="E38" s="208" t="n">
        <v>100</v>
      </c>
      <c r="F38" s="194" t="n">
        <v>273287.6700000018</v>
      </c>
      <c r="G38" s="194" t="n">
        <v>50000000</v>
      </c>
      <c r="H38" s="194" t="n">
        <v>50273287.67</v>
      </c>
      <c r="I38" s="193">
        <f>[1]!b_dq_close(C38,$A$1,1)</f>
        <v/>
      </c>
      <c r="J38" s="218" t="n"/>
      <c r="K38" s="217">
        <f>(I38-E38)*D38*100</f>
        <v/>
      </c>
      <c r="L38" s="195">
        <f>f_dq_close(C38,"2022/02/16",1)</f>
        <v/>
      </c>
      <c r="M38" s="196">
        <f>L38-I38</f>
        <v/>
      </c>
      <c r="N38" s="197">
        <f>s_dq_dealnum(C38,"2022/02/16")</f>
        <v/>
      </c>
      <c r="O38" s="196">
        <f>(L38-E38)*D38*100</f>
        <v/>
      </c>
      <c r="P38" s="217">
        <f>(A1-A38)/365*D38*T38*100</f>
        <v/>
      </c>
      <c r="Q38" s="219">
        <f>I38+J38</f>
        <v/>
      </c>
      <c r="R38" s="181">
        <f>D38*I38*100</f>
        <v/>
      </c>
      <c r="S38" s="217">
        <f>D38*Q38*100</f>
        <v/>
      </c>
      <c r="T38" s="217">
        <f>[1]!b_info_couponrate(C38)</f>
        <v/>
      </c>
      <c r="U38" s="217">
        <f>[1]!b_anal_vobp_cnbd(C38,$A$1,1)</f>
        <v/>
      </c>
      <c r="V38" s="217">
        <f>[1]!b_anal_modidura_cnbd(C38,$A$1,1)</f>
        <v/>
      </c>
      <c r="W38" s="23" t="inlineStr">
        <is>
          <t>自营</t>
        </is>
      </c>
      <c r="X38" s="23" t="n"/>
      <c r="Y38" s="23">
        <f>[1]!b_rate_latestcredit(C38)</f>
        <v/>
      </c>
      <c r="Z38" s="23">
        <f>[1]!b_info_latestissurercreditrating(C38)</f>
        <v/>
      </c>
    </row>
    <row r="39" ht="12.95" customFormat="1" customHeight="1" s="99">
      <c r="A39" s="202" t="n">
        <v>44561</v>
      </c>
      <c r="B39" s="207" t="inlineStr">
        <is>
          <t>21甘电E1</t>
        </is>
      </c>
      <c r="C39" s="203" t="inlineStr">
        <is>
          <t>117192.SZ</t>
        </is>
      </c>
      <c r="D39" s="194" t="n">
        <v>2000</v>
      </c>
      <c r="E39" s="208" t="n">
        <v>108.999</v>
      </c>
      <c r="F39" s="194" t="n">
        <v>208.2199999988079</v>
      </c>
      <c r="G39" s="194" t="n">
        <v>21799800</v>
      </c>
      <c r="H39" s="194" t="n">
        <v>21800008.22</v>
      </c>
      <c r="I39" s="193">
        <f>[1]!b_dq_close(C39,$A$1,1)</f>
        <v/>
      </c>
      <c r="J39" s="218" t="n"/>
      <c r="K39" s="217">
        <f>(I39-E39)*D39*100</f>
        <v/>
      </c>
      <c r="L39" s="195">
        <f>f_dq_close(C39,"2022/02/16",1)</f>
        <v/>
      </c>
      <c r="M39" s="196">
        <f>L39-I39</f>
        <v/>
      </c>
      <c r="N39" s="197">
        <f>s_dq_dealnum(C39,"2022/02/16")</f>
        <v/>
      </c>
      <c r="O39" s="196">
        <f>(L39-E39)*D39*100</f>
        <v/>
      </c>
      <c r="P39" s="217">
        <f>(A1-A39)/365*D39*T39*100</f>
        <v/>
      </c>
      <c r="Q39" s="219">
        <f>I39+J39</f>
        <v/>
      </c>
      <c r="R39" s="181">
        <f>D39*I39*100</f>
        <v/>
      </c>
      <c r="S39" s="217">
        <f>D39*Q39*100</f>
        <v/>
      </c>
      <c r="T39" s="217">
        <f>[1]!b_info_couponrate(C39)</f>
        <v/>
      </c>
      <c r="U39" s="217">
        <f>[1]!b_anal_vobp_cnbd(C39,$A$1,1)</f>
        <v/>
      </c>
      <c r="V39" s="217">
        <f>[1]!b_anal_modidura_cnbd(C39,$A$1,1)</f>
        <v/>
      </c>
      <c r="W39" s="23" t="inlineStr">
        <is>
          <t>自营</t>
        </is>
      </c>
      <c r="X39" s="23" t="n"/>
      <c r="Y39" s="23">
        <f>[1]!b_rate_latestcredit(C39)</f>
        <v/>
      </c>
      <c r="Z39" s="23">
        <f>[1]!b_info_latestissurercreditrating(C39)</f>
        <v/>
      </c>
    </row>
    <row r="40" ht="12.95" customFormat="1" customHeight="1" s="99">
      <c r="A40" s="202" t="n">
        <v>44561</v>
      </c>
      <c r="B40" s="207" t="inlineStr">
        <is>
          <t>20市北EB</t>
        </is>
      </c>
      <c r="C40" s="203" t="inlineStr">
        <is>
          <t>137114</t>
        </is>
      </c>
      <c r="D40" s="194" t="n">
        <v>3000</v>
      </c>
      <c r="E40" s="208" t="n">
        <v>100</v>
      </c>
      <c r="F40" s="194" t="n">
        <v>69041.10000000149</v>
      </c>
      <c r="G40" s="194" t="n">
        <v>30000000</v>
      </c>
      <c r="H40" s="194" t="n">
        <v>30069041.1</v>
      </c>
      <c r="I40" s="193">
        <f>[1]!b_dq_close(C40,$A$1,1)</f>
        <v/>
      </c>
      <c r="J40" s="218" t="n"/>
      <c r="K40" s="217">
        <f>(I40-E40)*D40*100</f>
        <v/>
      </c>
      <c r="L40" s="195">
        <f>f_dq_close(C40,"2022/02/16",1)</f>
        <v/>
      </c>
      <c r="M40" s="196">
        <f>L40-I40</f>
        <v/>
      </c>
      <c r="N40" s="197">
        <f>s_dq_dealnum(C40,"2022/02/16")</f>
        <v/>
      </c>
      <c r="O40" s="196">
        <f>(L40-E40)*D40*100</f>
        <v/>
      </c>
      <c r="P40" s="217">
        <f>(A1-A40)/365*D40*T40*100</f>
        <v/>
      </c>
      <c r="Q40" s="219">
        <f>I40+J40</f>
        <v/>
      </c>
      <c r="R40" s="181">
        <f>D40*I40*100</f>
        <v/>
      </c>
      <c r="S40" s="217">
        <f>D40*Q40*100</f>
        <v/>
      </c>
      <c r="T40" s="217">
        <f>[1]!b_info_couponrate(C40)</f>
        <v/>
      </c>
      <c r="U40" s="217">
        <f>[1]!b_anal_vobp_cnbd(C40,$A$1,1)</f>
        <v/>
      </c>
      <c r="V40" s="217">
        <f>[1]!b_anal_modidura_cnbd(C40,$A$1,1)</f>
        <v/>
      </c>
      <c r="W40" s="23" t="inlineStr">
        <is>
          <t>自营</t>
        </is>
      </c>
      <c r="X40" s="23" t="n"/>
      <c r="Y40" s="23">
        <f>[1]!b_rate_latestcredit(C40)</f>
        <v/>
      </c>
      <c r="Z40" s="23">
        <f>[1]!b_info_latestissurercreditrating(C40)</f>
        <v/>
      </c>
    </row>
    <row r="41" ht="12.95" customFormat="1" customHeight="1" s="114">
      <c r="A41" s="202" t="n">
        <v>44561</v>
      </c>
      <c r="B41" s="207" t="inlineStr">
        <is>
          <t>21鲁银EB</t>
        </is>
      </c>
      <c r="C41" s="203" t="inlineStr">
        <is>
          <t>117181</t>
        </is>
      </c>
      <c r="D41" s="194" t="n">
        <v>1000</v>
      </c>
      <c r="E41" s="208" t="n">
        <v>99.91</v>
      </c>
      <c r="F41" s="194" t="n">
        <v>9041.099999999627</v>
      </c>
      <c r="G41" s="194" t="n">
        <v>9991000</v>
      </c>
      <c r="H41" s="194" t="n">
        <v>10000041.1</v>
      </c>
      <c r="I41" s="193">
        <f>[1]!b_dq_close(C41,$A$1,1)</f>
        <v/>
      </c>
      <c r="J41" s="219" t="n"/>
      <c r="K41" s="217">
        <f>(I41-E41)*D41*100</f>
        <v/>
      </c>
      <c r="L41" s="195">
        <f>f_dq_close(C41,"2022/02/16",1)</f>
        <v/>
      </c>
      <c r="M41" s="196">
        <f>L41-I41</f>
        <v/>
      </c>
      <c r="N41" s="197">
        <f>s_dq_dealnum(C41,"2022/02/16")</f>
        <v/>
      </c>
      <c r="O41" s="196">
        <f>(L41-E41)*D41*100</f>
        <v/>
      </c>
      <c r="P41" s="217">
        <f>(A1-DATE(2022,2,4))/365*D41*T41*100+958.9041</f>
        <v/>
      </c>
      <c r="Q41" s="219">
        <f>I41+J41</f>
        <v/>
      </c>
      <c r="R41" s="181">
        <f>D41*I41*100</f>
        <v/>
      </c>
      <c r="S41" s="217">
        <f>D41*Q41*100</f>
        <v/>
      </c>
      <c r="T41" s="217" t="n">
        <v>0.5</v>
      </c>
      <c r="U41" s="217">
        <f>[1]!b_anal_vobp_cnbd(C41,$A$1,1)</f>
        <v/>
      </c>
      <c r="V41" s="217">
        <f>[1]!b_anal_modidura_cnbd(C41,$A$1,1)</f>
        <v/>
      </c>
      <c r="W41" s="23" t="inlineStr">
        <is>
          <t>自营</t>
        </is>
      </c>
      <c r="X41" s="33">
        <f>[1]!b_info_repurchasedate(C41)</f>
        <v/>
      </c>
      <c r="Y41" s="23">
        <f>[1]!b_rate_latestcredit(C41)</f>
        <v/>
      </c>
      <c r="Z41" s="23">
        <f>[1]!b_info_latestissurercreditrating(C41)</f>
        <v/>
      </c>
    </row>
    <row r="42" ht="12.95" customFormat="1" customHeight="1" s="100">
      <c r="A42" s="202" t="n">
        <v>44561</v>
      </c>
      <c r="B42" s="207" t="inlineStr">
        <is>
          <t>21恒力EB</t>
        </is>
      </c>
      <c r="C42" s="203" t="inlineStr">
        <is>
          <t>137000.SH</t>
        </is>
      </c>
      <c r="D42" s="194" t="n">
        <v>11200</v>
      </c>
      <c r="E42" s="208" t="n">
        <v>100</v>
      </c>
      <c r="F42" s="194" t="n">
        <v>316054.7900000066</v>
      </c>
      <c r="G42" s="194" t="n">
        <v>112000000</v>
      </c>
      <c r="H42" s="194" t="n">
        <v>112316054.79</v>
      </c>
      <c r="I42" s="193">
        <f>[1]!b_dq_close(C42,$A$1,1)</f>
        <v/>
      </c>
      <c r="J42" s="193">
        <f>[1]!accrint_dayend_cnbd(C42,$A$1,1)</f>
        <v/>
      </c>
      <c r="K42" s="194">
        <f>(I42-E42)*D42*100</f>
        <v/>
      </c>
      <c r="L42" s="195">
        <f>f_dq_close(C42,"2022/02/16",1)</f>
        <v/>
      </c>
      <c r="M42" s="196">
        <f>L42-I42</f>
        <v/>
      </c>
      <c r="N42" s="197">
        <f>s_dq_dealnum(C42,"2022/02/16")</f>
        <v/>
      </c>
      <c r="O42" s="196">
        <f>(L42-E42)*D42*100</f>
        <v/>
      </c>
      <c r="P42" s="217">
        <f>(A1-A42)/365*D42*T42*100</f>
        <v/>
      </c>
      <c r="Q42" s="193">
        <f>I42+J42</f>
        <v/>
      </c>
      <c r="R42" s="198">
        <f>D42*I42*100</f>
        <v/>
      </c>
      <c r="S42" s="194">
        <f>D42*Q42*100</f>
        <v/>
      </c>
      <c r="T42" s="194">
        <f>[1]!b_info_couponrate(C42)</f>
        <v/>
      </c>
      <c r="U42" s="194">
        <f>[1]!b_anal_vobp_cnbd(C42,$A$1,1)</f>
        <v/>
      </c>
      <c r="V42" s="194">
        <f>[1]!b_anal_modidura_cnbd(C42,$A$1,1)</f>
        <v/>
      </c>
      <c r="W42" s="94" t="inlineStr">
        <is>
          <t>自营</t>
        </is>
      </c>
      <c r="X42" s="94" t="n"/>
      <c r="Y42" s="94">
        <f>[1]!b_rate_latestcredit(C42)</f>
        <v/>
      </c>
      <c r="Z42" s="94">
        <f>[1]!b_info_latestissurercreditrating(C42)</f>
        <v/>
      </c>
    </row>
    <row r="43" ht="12.95" customFormat="1" customHeight="1" s="99">
      <c r="A43" s="202" t="n">
        <v>44561</v>
      </c>
      <c r="B43" s="207" t="inlineStr">
        <is>
          <t>三一重工</t>
        </is>
      </c>
      <c r="C43" s="203" t="inlineStr">
        <is>
          <t>600031</t>
        </is>
      </c>
      <c r="D43" s="194" t="n">
        <v>142.8571</v>
      </c>
      <c r="E43" s="208" t="n">
        <v>22.8</v>
      </c>
      <c r="F43" s="194" t="n">
        <v>0</v>
      </c>
      <c r="G43" s="194" t="n">
        <v>32571418.8</v>
      </c>
      <c r="H43" s="194" t="n">
        <v>32571418.8</v>
      </c>
      <c r="I43" s="193">
        <f>[1]!s_dq_close(C43,$A$1,1)</f>
        <v/>
      </c>
      <c r="J43" s="219">
        <f>[1]!accrint_dayend_cnbd(C43,$A$1,1)</f>
        <v/>
      </c>
      <c r="K43" s="217">
        <f>(I43-E43)*D43*10000</f>
        <v/>
      </c>
      <c r="L43" s="195">
        <f>f_dq_close(C43,"2022/02/16",1)</f>
        <v/>
      </c>
      <c r="M43" s="196">
        <f>L43-I43</f>
        <v/>
      </c>
      <c r="N43" s="197">
        <f>s_dq_dealnum(C43,"2022/02/16")</f>
        <v/>
      </c>
      <c r="O43" s="196">
        <f>(L43-E43)*D43*10000</f>
        <v/>
      </c>
      <c r="P43" s="217">
        <f>J43*D43*100-F43</f>
        <v/>
      </c>
      <c r="Q43" s="219">
        <f>I43+J43</f>
        <v/>
      </c>
      <c r="R43" s="181">
        <f>D43*I43*100</f>
        <v/>
      </c>
      <c r="S43" s="217">
        <f>D43*Q43*100</f>
        <v/>
      </c>
      <c r="T43" s="217">
        <f>[1]!b_info_couponrate(C43)</f>
        <v/>
      </c>
      <c r="U43" s="217">
        <f>[1]!b_anal_vobp_cnbd(C43,$A$1,1)</f>
        <v/>
      </c>
      <c r="V43" s="217">
        <f>[1]!b_anal_modidura_cnbd(C43,$A$1,1)</f>
        <v/>
      </c>
      <c r="W43" s="23" t="inlineStr">
        <is>
          <t>自营</t>
        </is>
      </c>
      <c r="X43" s="23" t="n"/>
      <c r="Y43" s="23">
        <f>[1]!b_rate_latestcredit(C43)</f>
        <v/>
      </c>
      <c r="Z43" s="23">
        <f>[1]!b_info_latestissurercreditrating(C43)</f>
        <v/>
      </c>
    </row>
    <row r="44" ht="12.95" customFormat="1" customHeight="1" s="33">
      <c r="A44" s="202" t="n">
        <v>44561</v>
      </c>
      <c r="B44" s="207" t="inlineStr">
        <is>
          <t>金贵银业</t>
        </is>
      </c>
      <c r="C44" s="203" t="inlineStr">
        <is>
          <t>002716.SZ</t>
        </is>
      </c>
      <c r="D44" s="194" t="n">
        <v>352.949</v>
      </c>
      <c r="E44" s="208" t="n">
        <v>3.21</v>
      </c>
      <c r="F44" s="194" t="n">
        <v>0</v>
      </c>
      <c r="G44" s="194" t="n">
        <v>11329662.9</v>
      </c>
      <c r="H44" s="194" t="n">
        <v>11329662.9</v>
      </c>
      <c r="I44" s="193">
        <f>[1]!s_dq_close(C44,$A$1,1)</f>
        <v/>
      </c>
      <c r="J44" s="193">
        <f>[1]!accrint_dayend_cnbd(C44,$A$1,1)</f>
        <v/>
      </c>
      <c r="K44" s="217">
        <f>(I44-E44)*D44*10000</f>
        <v/>
      </c>
      <c r="L44" s="195">
        <f>f_dq_close(C44,"2022/02/16",1)</f>
        <v/>
      </c>
      <c r="M44" s="196">
        <f>L44-I44</f>
        <v/>
      </c>
      <c r="N44" s="197">
        <f>s_dq_dealnum(C44,"2022/02/16")</f>
        <v/>
      </c>
      <c r="O44" s="196">
        <f>(L44-E44)*D44*10000</f>
        <v/>
      </c>
      <c r="P44" s="194">
        <f>J44*D44*100-F44</f>
        <v/>
      </c>
      <c r="Q44" s="193">
        <f>I44+J44</f>
        <v/>
      </c>
      <c r="R44" s="198">
        <f>D44*I44*100</f>
        <v/>
      </c>
      <c r="S44" s="194">
        <f>D44*Q44*100</f>
        <v/>
      </c>
      <c r="T44" s="194">
        <f>[1]!b_info_couponrate(C44)</f>
        <v/>
      </c>
      <c r="U44" s="194">
        <f>[1]!b_anal_vobp_cnbd(C44,$A$1,1)</f>
        <v/>
      </c>
      <c r="V44" s="194">
        <f>[1]!b_anal_modidura_cnbd(C44,$A$1,1)</f>
        <v/>
      </c>
      <c r="W44" s="94" t="inlineStr">
        <is>
          <t>自营</t>
        </is>
      </c>
      <c r="X44" s="94" t="n"/>
      <c r="Y44" s="94">
        <f>[1]!b_rate_latestcredit(C44)</f>
        <v/>
      </c>
      <c r="Z44" s="94">
        <f>[1]!b_info_latestissurercreditrating(C44)</f>
        <v/>
      </c>
    </row>
    <row r="45" ht="12.95" customFormat="1" customHeight="1" s="33">
      <c r="A45" s="202" t="n"/>
      <c r="B45" s="207" t="n"/>
      <c r="C45" s="203" t="n"/>
      <c r="D45" s="194" t="n"/>
      <c r="E45" s="186" t="n"/>
      <c r="F45" s="194" t="n"/>
      <c r="G45" s="194" t="n"/>
      <c r="H45" s="194" t="n"/>
      <c r="I45" s="193" t="n"/>
      <c r="J45" s="193" t="n"/>
      <c r="K45" s="194" t="n"/>
      <c r="L45" s="163" t="n"/>
      <c r="M45" s="163" t="n"/>
      <c r="N45" s="163" t="n"/>
      <c r="O45" s="163" t="n"/>
      <c r="P45" s="217" t="n"/>
      <c r="Q45" s="193" t="n"/>
      <c r="R45" s="198" t="n"/>
      <c r="S45" s="194" t="n"/>
      <c r="T45" s="194" t="n"/>
      <c r="U45" s="194" t="n"/>
      <c r="V45" s="194" t="n"/>
      <c r="W45" s="94" t="n"/>
      <c r="X45" s="94" t="n"/>
      <c r="Y45" s="94" t="n"/>
      <c r="Z45" s="94" t="n"/>
    </row>
    <row r="46" ht="12.95" customFormat="1" customHeight="1" s="33">
      <c r="A46" s="202" t="n"/>
      <c r="B46" s="207" t="n"/>
      <c r="C46" s="203" t="n"/>
      <c r="D46" s="194" t="n"/>
      <c r="E46" s="186" t="n"/>
      <c r="F46" s="194" t="n"/>
      <c r="G46" s="194" t="n"/>
      <c r="H46" s="194" t="n"/>
      <c r="I46" s="193" t="n"/>
      <c r="J46" s="193" t="n"/>
      <c r="K46" s="194" t="n"/>
      <c r="L46" s="163" t="n"/>
      <c r="M46" s="163" t="n"/>
      <c r="N46" s="163" t="n"/>
      <c r="O46" s="163" t="n"/>
      <c r="P46" s="217" t="n"/>
      <c r="Q46" s="193" t="n"/>
      <c r="R46" s="198" t="n"/>
      <c r="S46" s="194" t="n"/>
      <c r="T46" s="194" t="n"/>
      <c r="U46" s="194" t="n"/>
      <c r="V46" s="194" t="n"/>
      <c r="W46" s="94" t="n"/>
      <c r="X46" s="94" t="n"/>
      <c r="Y46" s="94" t="n"/>
      <c r="Z46" s="94" t="n"/>
    </row>
    <row r="47" ht="12.95" customFormat="1" customHeight="1" s="104">
      <c r="A47" s="202" t="n">
        <v>44561</v>
      </c>
      <c r="B47" s="207" t="inlineStr">
        <is>
          <t>15宜华02</t>
        </is>
      </c>
      <c r="C47" s="203" t="inlineStr">
        <is>
          <t>122405</t>
        </is>
      </c>
      <c r="D47" s="194" t="n">
        <v>800</v>
      </c>
      <c r="E47" s="186" t="n">
        <v>45.8481</v>
      </c>
      <c r="F47" s="194" t="n"/>
      <c r="G47" s="194" t="n">
        <v>3667848</v>
      </c>
      <c r="H47" s="194" t="n">
        <v>3667848</v>
      </c>
      <c r="I47" s="193" t="n">
        <v>45.8481</v>
      </c>
      <c r="J47" s="201" t="n"/>
      <c r="K47" s="220">
        <f>(I47-E47)*D47*100</f>
        <v/>
      </c>
      <c r="L47" s="195" t="n">
        <v>24.95</v>
      </c>
      <c r="M47" s="196">
        <f>L47-I47</f>
        <v/>
      </c>
      <c r="N47" s="197">
        <f>s_dq_dealnum(C47,"2022/02/16")</f>
        <v/>
      </c>
      <c r="O47" s="196">
        <f>(L47-E47)*D47*100</f>
        <v/>
      </c>
      <c r="P47" s="220" t="n"/>
      <c r="Q47" s="163" t="n"/>
      <c r="R47" s="163" t="n"/>
      <c r="S47" s="163" t="n"/>
      <c r="T47" s="163" t="n"/>
      <c r="U47" s="163" t="n"/>
      <c r="V47" s="163" t="n"/>
    </row>
    <row r="48" ht="12.95" customFormat="1" customHeight="1" s="104">
      <c r="A48" s="202" t="n">
        <v>44561</v>
      </c>
      <c r="B48" s="207" t="inlineStr">
        <is>
          <t>17宜华企业MTN002</t>
        </is>
      </c>
      <c r="C48" s="203" t="inlineStr">
        <is>
          <t>101761030</t>
        </is>
      </c>
      <c r="D48" s="194" t="n">
        <v>4000</v>
      </c>
      <c r="E48" s="186" t="n">
        <v>27.2141</v>
      </c>
      <c r="F48" s="194" t="n"/>
      <c r="G48" s="194" t="n">
        <v>10885640</v>
      </c>
      <c r="H48" s="194" t="n">
        <v>10885640</v>
      </c>
      <c r="I48" s="193" t="n">
        <v>27.2141</v>
      </c>
      <c r="J48" s="201" t="n"/>
      <c r="K48" s="220">
        <f>(I48-E48)*D48*100</f>
        <v/>
      </c>
      <c r="L48" s="195" t="n">
        <v>24.95</v>
      </c>
      <c r="M48" s="196">
        <f>L48-I48</f>
        <v/>
      </c>
      <c r="N48" s="197">
        <f>s_dq_dealnum(C48,"2022/02/16")</f>
        <v/>
      </c>
      <c r="O48" s="196">
        <f>(L48-E48)*D48*100</f>
        <v/>
      </c>
      <c r="P48" s="220" t="n"/>
      <c r="Q48" s="163" t="n"/>
      <c r="R48" s="163" t="n"/>
      <c r="S48" s="163" t="n"/>
      <c r="T48" s="163" t="n"/>
      <c r="U48" s="163" t="n"/>
      <c r="V48" s="163" t="n"/>
    </row>
    <row r="49" ht="12.95" customFormat="1" customHeight="1" s="104">
      <c r="A49" s="202" t="n">
        <v>44561</v>
      </c>
      <c r="B49" s="207" t="inlineStr">
        <is>
          <t>20蓝光02</t>
        </is>
      </c>
      <c r="C49" s="203" t="inlineStr">
        <is>
          <t>163275</t>
        </is>
      </c>
      <c r="D49" s="194" t="n">
        <v>6500</v>
      </c>
      <c r="E49" s="186" t="n">
        <v>24.9186</v>
      </c>
      <c r="F49" s="194" t="n"/>
      <c r="G49" s="194" t="n">
        <v>16197090</v>
      </c>
      <c r="H49" s="194" t="n">
        <v>16197090</v>
      </c>
      <c r="I49" s="193" t="n">
        <v>24.9186</v>
      </c>
      <c r="J49" s="201" t="n"/>
      <c r="K49" s="220">
        <f>(I49-E49)*D49*100</f>
        <v/>
      </c>
      <c r="L49" s="195">
        <f>f_dq_close(C49,"2022/02/16",1)</f>
        <v/>
      </c>
      <c r="M49" s="196">
        <f>L49-I49</f>
        <v/>
      </c>
      <c r="N49" s="197">
        <f>s_dq_dealnum(C49,"2022/02/16")</f>
        <v/>
      </c>
      <c r="O49" s="196">
        <f>(L49-E49)*D49*100</f>
        <v/>
      </c>
      <c r="P49" s="220" t="n"/>
      <c r="Q49" s="163" t="n"/>
      <c r="R49" s="163" t="n"/>
      <c r="S49" s="163" t="n"/>
      <c r="T49" s="163" t="n"/>
      <c r="U49" s="163" t="n"/>
      <c r="V49" s="163" t="n"/>
    </row>
    <row r="50" ht="12.95" customFormat="1" customHeight="1" s="103">
      <c r="A50" s="202" t="n">
        <v>44561</v>
      </c>
      <c r="B50" s="207" t="inlineStr">
        <is>
          <t>16金立债</t>
        </is>
      </c>
      <c r="C50" s="203" t="inlineStr">
        <is>
          <t>114036</t>
        </is>
      </c>
      <c r="D50" s="194" t="n">
        <v>10000</v>
      </c>
      <c r="E50" s="186" t="n">
        <v>0</v>
      </c>
      <c r="F50" s="194" t="n"/>
      <c r="G50" s="194" t="n"/>
      <c r="H50" s="194" t="n">
        <v>23749700</v>
      </c>
      <c r="I50" s="193" t="n"/>
      <c r="J50" s="201" t="n"/>
      <c r="K50" s="220" t="n"/>
      <c r="L50" s="195">
        <f>f_dq_close(C50,"2022/02/16",1)</f>
        <v/>
      </c>
      <c r="M50" s="196">
        <f>L50-I50</f>
        <v/>
      </c>
      <c r="N50" s="197">
        <f>s_dq_dealnum(C50,"2022/02/16")</f>
        <v/>
      </c>
      <c r="O50" s="196" t="n"/>
      <c r="P50" s="163" t="n"/>
      <c r="Q50" s="163" t="n"/>
      <c r="R50" s="163" t="n"/>
      <c r="S50" s="163" t="n"/>
      <c r="T50" s="163" t="n"/>
      <c r="U50" s="163" t="n"/>
      <c r="V50" s="163" t="n"/>
    </row>
    <row r="51" ht="12.95" customFormat="1" customHeight="1" s="103">
      <c r="A51" s="202" t="n">
        <v>44561</v>
      </c>
      <c r="B51" s="207" t="inlineStr">
        <is>
          <t>16铁牛01</t>
        </is>
      </c>
      <c r="C51" s="203" t="inlineStr">
        <is>
          <t>145204</t>
        </is>
      </c>
      <c r="D51" s="194" t="n">
        <v>8000</v>
      </c>
      <c r="E51" s="186" t="n">
        <v>0</v>
      </c>
      <c r="F51" s="194" t="n"/>
      <c r="G51" s="194" t="n"/>
      <c r="H51" s="194" t="n">
        <v>24000000</v>
      </c>
      <c r="I51" s="193" t="n"/>
      <c r="J51" s="201" t="n"/>
      <c r="K51" s="220" t="n"/>
      <c r="L51" s="195">
        <f>f_dq_close(C51,"2022/02/16",1)</f>
        <v/>
      </c>
      <c r="M51" s="196">
        <f>L51-I51</f>
        <v/>
      </c>
      <c r="N51" s="197">
        <f>s_dq_dealnum(C51,"2022/02/16")</f>
        <v/>
      </c>
      <c r="O51" s="196" t="n"/>
      <c r="P51" s="163" t="n"/>
      <c r="Q51" s="163" t="n"/>
      <c r="R51" s="163" t="n"/>
      <c r="S51" s="163" t="n"/>
      <c r="T51" s="163" t="n"/>
      <c r="U51" s="163" t="n"/>
      <c r="V51" s="163" t="n"/>
    </row>
    <row r="52" ht="12.95" customFormat="1" customHeight="1" s="103">
      <c r="A52" s="202" t="n">
        <v>44561</v>
      </c>
      <c r="B52" s="207" t="inlineStr">
        <is>
          <t>17泰禾MTN002</t>
        </is>
      </c>
      <c r="C52" s="203" t="inlineStr">
        <is>
          <t>101774003</t>
        </is>
      </c>
      <c r="D52" s="194" t="n">
        <v>7000</v>
      </c>
      <c r="E52" s="186" t="n">
        <v>0</v>
      </c>
      <c r="F52" s="194" t="n"/>
      <c r="G52" s="194" t="n"/>
      <c r="H52" s="194" t="n">
        <v>21000000</v>
      </c>
      <c r="I52" s="193" t="n"/>
      <c r="J52" s="201" t="n"/>
      <c r="K52" s="220" t="n"/>
      <c r="L52" s="195">
        <f>f_dq_close(C52,"2022/02/16",1)</f>
        <v/>
      </c>
      <c r="M52" s="196">
        <f>L52-I52</f>
        <v/>
      </c>
      <c r="N52" s="197">
        <f>s_dq_dealnum(C52,"2022/02/16")</f>
        <v/>
      </c>
      <c r="O52" s="196" t="n"/>
      <c r="P52" s="163" t="n"/>
      <c r="Q52" s="163" t="n"/>
      <c r="R52" s="163" t="n"/>
      <c r="S52" s="163" t="n"/>
      <c r="T52" s="163" t="n"/>
      <c r="U52" s="163" t="n"/>
      <c r="V52" s="163" t="n"/>
    </row>
    <row r="53" ht="12.95" customFormat="1" customHeight="1" s="33">
      <c r="A53" s="187" t="n"/>
      <c r="B53" s="221" t="n"/>
      <c r="C53" s="178" t="n"/>
      <c r="D53" s="179" t="n"/>
      <c r="E53" s="222" t="n"/>
      <c r="F53" s="223" t="n"/>
      <c r="G53" s="193" t="n"/>
      <c r="H53" s="223" t="n"/>
      <c r="I53" s="224" t="n"/>
      <c r="J53" s="225" t="n"/>
      <c r="K53" s="194" t="n"/>
      <c r="L53" s="163" t="n"/>
      <c r="M53" s="163" t="n"/>
      <c r="N53" s="163" t="n"/>
      <c r="O53" s="163" t="n"/>
      <c r="P53" s="225" t="n"/>
      <c r="Q53" s="225" t="n"/>
      <c r="R53" s="226" t="n"/>
      <c r="S53" s="225" t="n"/>
      <c r="T53" s="225" t="n"/>
      <c r="U53" s="225" t="n"/>
      <c r="V53" s="225" t="n"/>
    </row>
    <row r="54" ht="12.95" customFormat="1" customHeight="1" s="33">
      <c r="A54" s="187" t="n"/>
      <c r="B54" s="177" t="n"/>
      <c r="C54" s="179" t="n"/>
      <c r="D54" s="179" t="n"/>
      <c r="E54" s="223" t="n"/>
      <c r="F54" s="186" t="n"/>
      <c r="G54" s="222" t="n"/>
      <c r="H54" s="163" t="n"/>
      <c r="I54" s="163" t="n"/>
      <c r="J54" s="225" t="n"/>
      <c r="K54" s="194" t="n"/>
      <c r="L54" s="163" t="n"/>
      <c r="M54" s="163" t="n"/>
      <c r="N54" s="163" t="n"/>
      <c r="O54" s="163" t="n"/>
      <c r="P54" s="225" t="n"/>
      <c r="Q54" s="225" t="n"/>
      <c r="R54" s="226" t="n"/>
      <c r="S54" s="225" t="n"/>
      <c r="T54" s="225" t="n"/>
      <c r="U54" s="225" t="n"/>
      <c r="V54" s="225" t="n"/>
    </row>
    <row r="55" ht="12.95" customFormat="1" customHeight="1" s="33">
      <c r="A55" s="187" t="n">
        <v>44561</v>
      </c>
      <c r="B55" s="177" t="inlineStr">
        <is>
          <t>产品名称</t>
        </is>
      </c>
      <c r="C55" s="227" t="n"/>
      <c r="D55" s="179" t="inlineStr">
        <is>
          <t>基金规模</t>
        </is>
      </c>
      <c r="E55" s="227" t="inlineStr">
        <is>
          <t>自营名义份额（万份）</t>
        </is>
      </c>
      <c r="F55" s="186" t="inlineStr">
        <is>
          <t>20211231日净值</t>
        </is>
      </c>
      <c r="G55" s="225" t="inlineStr">
        <is>
          <t>最新单位净值</t>
        </is>
      </c>
      <c r="H55" s="227" t="inlineStr">
        <is>
          <t>20211231日自营名义市值</t>
        </is>
      </c>
      <c r="I55" s="227" t="inlineStr">
        <is>
          <t>最新自营名义市值</t>
        </is>
      </c>
      <c r="J55" s="228" t="inlineStr">
        <is>
          <t>期间分红</t>
        </is>
      </c>
      <c r="K55" s="194" t="inlineStr">
        <is>
          <t>浮动收益</t>
        </is>
      </c>
      <c r="L55" s="163" t="n"/>
      <c r="M55" s="163" t="n"/>
      <c r="N55" s="163" t="n"/>
      <c r="O55" s="229" t="inlineStr">
        <is>
          <t>浮动收益</t>
        </is>
      </c>
      <c r="P55" s="225" t="n"/>
      <c r="Q55" s="225" t="n"/>
      <c r="R55" s="226" t="n"/>
      <c r="S55" s="225" t="n"/>
      <c r="T55" s="225" t="n"/>
      <c r="U55" s="225" t="n"/>
      <c r="V55" s="225" t="n"/>
    </row>
    <row r="56" ht="12.95" customFormat="1" customHeight="1" s="40">
      <c r="A56" s="187" t="n">
        <v>44561</v>
      </c>
      <c r="B56" s="177" t="inlineStr">
        <is>
          <t>天慧1号</t>
        </is>
      </c>
      <c r="C56" s="227" t="n"/>
      <c r="D56" s="194" t="n"/>
      <c r="E56" s="179" t="n">
        <v>663.315113</v>
      </c>
      <c r="F56" s="186" t="n">
        <v>1.0287</v>
      </c>
      <c r="G56" s="193" t="n">
        <v>1.0365</v>
      </c>
      <c r="H56" s="224" t="n">
        <v>6823522.567431</v>
      </c>
      <c r="I56" s="224">
        <f>G56*E56*10000</f>
        <v/>
      </c>
      <c r="J56" s="228" t="n"/>
      <c r="K56" s="194">
        <f>I56-H56+J56</f>
        <v/>
      </c>
      <c r="L56" s="163" t="n"/>
      <c r="M56" s="163" t="n"/>
      <c r="N56" s="163" t="n"/>
      <c r="O56" s="229">
        <f>I56-H56+J56</f>
        <v/>
      </c>
      <c r="P56" s="163" t="n"/>
      <c r="Q56" s="163" t="n"/>
      <c r="R56" s="226" t="n"/>
      <c r="S56" s="163" t="n"/>
      <c r="T56" s="163" t="n"/>
      <c r="U56" s="163" t="n"/>
      <c r="V56" s="163" t="n"/>
    </row>
    <row r="57" ht="12.95" customFormat="1" customHeight="1" s="40">
      <c r="A57" s="187" t="n">
        <v>44561</v>
      </c>
      <c r="B57" s="177" t="inlineStr">
        <is>
          <t>天诚固利1号</t>
        </is>
      </c>
      <c r="C57" s="227" t="n"/>
      <c r="D57" s="230" t="n"/>
      <c r="E57" s="179" t="n">
        <v>1266.969658</v>
      </c>
      <c r="F57" s="222" t="n">
        <v>1.0189</v>
      </c>
      <c r="G57" s="193" t="n">
        <v>1.0265</v>
      </c>
      <c r="H57" s="224" t="n">
        <v>12909153.845362</v>
      </c>
      <c r="I57" s="224">
        <f>G57*E57*10000</f>
        <v/>
      </c>
      <c r="J57" s="228" t="n"/>
      <c r="K57" s="194">
        <f>I57-H57+J57</f>
        <v/>
      </c>
      <c r="L57" s="163" t="n"/>
      <c r="M57" s="163" t="n"/>
      <c r="N57" s="163" t="n"/>
      <c r="O57" s="229">
        <f>I57-H57+J57</f>
        <v/>
      </c>
      <c r="P57" s="163" t="n"/>
      <c r="Q57" s="163" t="n"/>
      <c r="R57" s="226" t="n"/>
      <c r="S57" s="163" t="n"/>
      <c r="T57" s="163" t="n"/>
      <c r="U57" s="163" t="n"/>
      <c r="V57" s="163" t="n"/>
    </row>
    <row r="58" ht="12.95" customFormat="1" customHeight="1" s="40">
      <c r="A58" s="187" t="n">
        <v>44561</v>
      </c>
      <c r="B58" s="177" t="inlineStr">
        <is>
          <t>天诚固利2号</t>
        </is>
      </c>
      <c r="C58" s="227" t="n"/>
      <c r="D58" s="230" t="n"/>
      <c r="E58" s="179" t="n">
        <v>1889.502828</v>
      </c>
      <c r="F58" s="186" t="n">
        <v>1.0258</v>
      </c>
      <c r="G58" s="193" t="n">
        <v>1.0339</v>
      </c>
      <c r="H58" s="224" t="n">
        <v>19382520.009624</v>
      </c>
      <c r="I58" s="224">
        <f>G58*E58*10000</f>
        <v/>
      </c>
      <c r="J58" s="228" t="n"/>
      <c r="K58" s="194">
        <f>I58-H58+J58</f>
        <v/>
      </c>
      <c r="L58" s="163" t="n"/>
      <c r="M58" s="163" t="n"/>
      <c r="N58" s="163" t="n"/>
      <c r="O58" s="229">
        <f>I58-H58+J58</f>
        <v/>
      </c>
      <c r="P58" s="163" t="n"/>
      <c r="Q58" s="163" t="n"/>
      <c r="R58" s="226" t="n"/>
      <c r="S58" s="163" t="n"/>
      <c r="T58" s="163" t="n"/>
      <c r="U58" s="163" t="n"/>
      <c r="V58" s="163" t="n"/>
    </row>
    <row r="59" ht="12.95" customFormat="1" customHeight="1" s="40">
      <c r="A59" s="187" t="n">
        <v>44561</v>
      </c>
      <c r="B59" s="177" t="inlineStr">
        <is>
          <t>天诚固利3号</t>
        </is>
      </c>
      <c r="C59" s="227" t="n"/>
      <c r="D59" s="230" t="n"/>
      <c r="E59" s="179" t="n">
        <v>1862.687479</v>
      </c>
      <c r="F59" s="186" t="n">
        <v>1.0295</v>
      </c>
      <c r="G59" s="193" t="n">
        <v>1.0373</v>
      </c>
      <c r="H59" s="224" t="n">
        <v>19176367.596305</v>
      </c>
      <c r="I59" s="224">
        <f>G59*E59*10000</f>
        <v/>
      </c>
      <c r="J59" s="228" t="n"/>
      <c r="K59" s="194">
        <f>I59-H59+J59</f>
        <v/>
      </c>
      <c r="L59" s="163" t="n"/>
      <c r="M59" s="163" t="n"/>
      <c r="N59" s="163" t="n"/>
      <c r="O59" s="229">
        <f>I59-H59+J59</f>
        <v/>
      </c>
      <c r="P59" s="163" t="n"/>
      <c r="Q59" s="163" t="n"/>
      <c r="R59" s="226" t="n"/>
      <c r="S59" s="163" t="n"/>
      <c r="T59" s="163" t="n"/>
      <c r="U59" s="163" t="n"/>
      <c r="V59" s="163" t="n"/>
    </row>
    <row r="60" ht="12.95" customHeight="1" s="113">
      <c r="A60" s="221" t="n"/>
      <c r="B60" s="221" t="n"/>
      <c r="C60" s="163" t="n"/>
      <c r="D60" s="163" t="n"/>
      <c r="E60" s="163" t="n"/>
      <c r="F60" s="163" t="n"/>
      <c r="G60" s="163" t="n"/>
      <c r="H60" s="163" t="n"/>
      <c r="I60" s="163" t="n"/>
      <c r="J60" s="163" t="n"/>
      <c r="K60" s="163" t="n"/>
      <c r="L60" s="163" t="n"/>
      <c r="M60" s="163" t="n"/>
      <c r="N60" s="163" t="n"/>
      <c r="O60" s="231" t="n"/>
      <c r="P60" s="163" t="n"/>
      <c r="Q60" s="163" t="n"/>
      <c r="R60" s="163" t="n"/>
      <c r="S60" s="163" t="n"/>
      <c r="T60" s="163" t="n"/>
      <c r="U60" s="163" t="n"/>
      <c r="V60" s="163" t="n"/>
    </row>
    <row r="61" ht="12.95" customFormat="1" customHeight="1" s="40">
      <c r="A61" s="232" t="n"/>
      <c r="B61" s="177" t="n"/>
      <c r="C61" s="227" t="n"/>
      <c r="D61" s="230" t="n"/>
      <c r="E61" s="179" t="n"/>
      <c r="F61" s="186" t="n"/>
      <c r="G61" s="222" t="n"/>
      <c r="H61" s="224" t="n"/>
      <c r="I61" s="224" t="n"/>
      <c r="J61" s="228" t="n"/>
      <c r="K61" s="194" t="n"/>
      <c r="L61" s="163" t="n"/>
      <c r="M61" s="163" t="n"/>
      <c r="N61" s="163" t="n"/>
      <c r="O61" s="229" t="n"/>
      <c r="P61" s="163" t="n"/>
      <c r="Q61" s="163" t="n"/>
      <c r="R61" s="226" t="n"/>
      <c r="S61" s="163" t="n"/>
      <c r="T61" s="163" t="n"/>
      <c r="U61" s="163" t="n"/>
      <c r="V61" s="163" t="n"/>
    </row>
    <row r="62" ht="12.95" customHeight="1" s="113">
      <c r="A62" s="232" t="n"/>
      <c r="B62" s="221" t="n"/>
      <c r="C62" s="163" t="n"/>
      <c r="D62" s="163" t="n"/>
      <c r="E62" s="163" t="n"/>
      <c r="F62" s="163" t="n"/>
      <c r="G62" s="163" t="n"/>
      <c r="H62" s="163" t="n"/>
      <c r="I62" s="163" t="n"/>
      <c r="J62" s="163" t="n"/>
      <c r="K62" s="163" t="n"/>
      <c r="L62" s="163" t="n"/>
      <c r="M62" s="163" t="n"/>
      <c r="N62" s="163" t="n"/>
      <c r="O62" s="231" t="n"/>
      <c r="P62" s="163" t="n"/>
      <c r="Q62" s="163" t="n"/>
      <c r="R62" s="163" t="n"/>
      <c r="S62" s="163" t="n"/>
      <c r="T62" s="163" t="n"/>
      <c r="U62" s="163" t="n"/>
      <c r="V62" s="163" t="n"/>
    </row>
    <row r="63" ht="12.95" customHeight="1" s="113">
      <c r="A63" s="232" t="n"/>
      <c r="B63" s="221" t="n"/>
      <c r="C63" s="163" t="n"/>
      <c r="D63" s="163" t="n"/>
      <c r="E63" s="231" t="inlineStr">
        <is>
          <t>浮动净价收益</t>
        </is>
      </c>
      <c r="F63" s="233">
        <f>SUM(K3:K62)+282448364.51</f>
        <v/>
      </c>
      <c r="G63" s="163" t="n"/>
      <c r="H63" s="163" t="n"/>
      <c r="I63" s="163" t="n"/>
      <c r="J63" s="163" t="n"/>
      <c r="K63" s="163" t="n"/>
      <c r="L63" s="163" t="n"/>
      <c r="M63" s="163" t="n"/>
      <c r="N63" s="163" t="n"/>
      <c r="O63" s="231" t="n"/>
      <c r="P63" s="163" t="n"/>
      <c r="Q63" s="163" t="n"/>
      <c r="R63" s="163" t="n"/>
      <c r="S63" s="163" t="n"/>
      <c r="T63" s="163" t="n"/>
      <c r="U63" s="163" t="n"/>
      <c r="V63" s="163" t="n"/>
    </row>
    <row r="64" ht="12.95" customHeight="1" s="113">
      <c r="A64" s="232" t="n"/>
      <c r="B64" s="221" t="n"/>
      <c r="C64" s="163" t="n"/>
      <c r="D64" s="163" t="n"/>
      <c r="E64" s="229" t="inlineStr">
        <is>
          <t>成交价的收益</t>
        </is>
      </c>
      <c r="F64" s="233">
        <f>SUM(O3:O62)+282448364.51</f>
        <v/>
      </c>
      <c r="G64" s="163" t="n"/>
      <c r="H64" s="163" t="n"/>
      <c r="I64" s="163" t="n"/>
      <c r="J64" s="163" t="n"/>
      <c r="K64" s="163" t="n"/>
      <c r="L64" s="163" t="n"/>
      <c r="M64" s="163" t="n"/>
      <c r="N64" s="163" t="n"/>
      <c r="O64" s="231" t="n"/>
      <c r="P64" s="163" t="n"/>
      <c r="Q64" s="163" t="n"/>
      <c r="R64" s="163" t="n"/>
      <c r="S64" s="163" t="n"/>
      <c r="T64" s="163" t="n"/>
      <c r="U64" s="163" t="n"/>
      <c r="V64" s="163" t="n"/>
    </row>
    <row r="65" ht="12.95" customHeight="1" s="113">
      <c r="A65" s="232" t="n"/>
      <c r="B65" s="221" t="n"/>
      <c r="C65" s="163" t="n"/>
      <c r="D65" s="163" t="n"/>
      <c r="E65" s="234" t="inlineStr">
        <is>
          <t>隐形风险</t>
        </is>
      </c>
      <c r="F65" s="235">
        <f>F64-F63</f>
        <v/>
      </c>
      <c r="G65" s="163" t="n"/>
      <c r="H65" s="163" t="n"/>
      <c r="I65" s="163" t="n"/>
      <c r="J65" s="163" t="n"/>
      <c r="K65" s="163" t="n"/>
      <c r="L65" s="163" t="n"/>
      <c r="M65" s="163" t="n"/>
      <c r="N65" s="163" t="n"/>
      <c r="O65" s="231" t="n"/>
      <c r="P65" s="163" t="n"/>
      <c r="Q65" s="163" t="n"/>
      <c r="R65" s="163" t="n"/>
      <c r="S65" s="163" t="n"/>
      <c r="T65" s="163" t="n"/>
      <c r="U65" s="163" t="n"/>
      <c r="V65" s="163" t="n"/>
    </row>
    <row r="66" ht="12.95" customHeight="1" s="113">
      <c r="A66" s="232" t="n"/>
      <c r="B66" s="236" t="n"/>
      <c r="C66" s="163" t="n"/>
      <c r="D66" s="237" t="n"/>
      <c r="E66" s="163" t="n"/>
      <c r="F66" s="163" t="n"/>
      <c r="G66" s="163" t="n"/>
      <c r="H66" s="163" t="n"/>
      <c r="I66" s="163" t="n"/>
      <c r="J66" s="238" t="n"/>
      <c r="K66" s="163" t="n"/>
      <c r="L66" s="163" t="n"/>
      <c r="M66" s="163" t="n"/>
      <c r="N66" s="163" t="n"/>
      <c r="O66" s="231" t="n"/>
      <c r="P66" s="163" t="n"/>
      <c r="Q66" s="163" t="n"/>
      <c r="R66" s="163" t="n"/>
      <c r="S66" s="163" t="n"/>
      <c r="T66" s="163" t="n"/>
      <c r="U66" s="163" t="n"/>
      <c r="V66" s="163" t="n"/>
    </row>
    <row r="67">
      <c r="A67" s="232" t="n"/>
      <c r="B67" s="239" t="n"/>
      <c r="C67" s="163" t="n"/>
      <c r="D67" s="237" t="n"/>
      <c r="E67" s="163" t="n"/>
      <c r="F67" s="163" t="n"/>
      <c r="G67" s="163" t="n"/>
      <c r="H67" s="163" t="n"/>
      <c r="I67" s="163" t="n"/>
      <c r="J67" s="228" t="n"/>
      <c r="K67" s="163" t="n"/>
      <c r="L67" s="163" t="n"/>
      <c r="M67" s="163" t="n"/>
      <c r="N67" s="163" t="n"/>
      <c r="O67" s="231" t="n"/>
      <c r="P67" s="163" t="n"/>
      <c r="Q67" s="163" t="n"/>
      <c r="R67" s="163" t="n"/>
      <c r="S67" s="163" t="n"/>
      <c r="T67" s="163" t="n"/>
      <c r="U67" s="163" t="n"/>
      <c r="V67" s="163" t="n"/>
    </row>
    <row r="68">
      <c r="A68" s="221" t="n"/>
      <c r="B68" s="221" t="n"/>
      <c r="C68" s="163" t="n"/>
      <c r="D68" s="163" t="n"/>
      <c r="E68" s="163" t="n"/>
      <c r="F68" s="163" t="n"/>
      <c r="G68" s="163" t="n"/>
      <c r="H68" s="163" t="n"/>
      <c r="I68" s="163" t="n"/>
      <c r="J68" s="163" t="n"/>
      <c r="K68" s="163" t="n"/>
      <c r="L68" s="163" t="n"/>
      <c r="M68" s="163" t="n"/>
      <c r="N68" s="163" t="n"/>
      <c r="O68" s="231" t="n"/>
      <c r="P68" s="163" t="n"/>
      <c r="Q68" s="163" t="n"/>
      <c r="R68" s="163" t="n"/>
      <c r="S68" s="163" t="n"/>
      <c r="T68" s="163" t="n"/>
      <c r="U68" s="163" t="n"/>
      <c r="V68" s="163" t="n"/>
    </row>
    <row r="69">
      <c r="A69" s="221" t="n"/>
      <c r="B69" s="221" t="n"/>
      <c r="C69" s="163" t="n"/>
      <c r="D69" s="163" t="n"/>
      <c r="E69" s="163" t="n"/>
      <c r="F69" s="163" t="n"/>
      <c r="G69" s="163" t="n"/>
      <c r="H69" s="163" t="n"/>
      <c r="I69" s="163" t="n"/>
      <c r="J69" s="238" t="n"/>
      <c r="K69" s="163" t="n"/>
      <c r="L69" s="163" t="n"/>
      <c r="M69" s="163" t="n"/>
      <c r="N69" s="163" t="n"/>
      <c r="O69" s="231" t="n"/>
      <c r="P69" s="163" t="n"/>
      <c r="Q69" s="163" t="n"/>
      <c r="R69" s="163" t="n"/>
      <c r="S69" s="163" t="n"/>
      <c r="T69" s="163" t="n"/>
      <c r="U69" s="163" t="n"/>
      <c r="V69" s="163" t="n"/>
    </row>
    <row r="70">
      <c r="A70" s="221" t="n"/>
      <c r="B70" s="221" t="n"/>
      <c r="C70" s="163" t="n"/>
      <c r="D70" s="163" t="n"/>
      <c r="E70" s="163" t="n"/>
      <c r="F70" s="163" t="n"/>
      <c r="G70" s="163" t="n"/>
      <c r="H70" s="163" t="n"/>
      <c r="I70" s="163" t="n"/>
      <c r="J70" s="163" t="n"/>
      <c r="K70" s="163" t="n"/>
      <c r="L70" s="163" t="n"/>
      <c r="M70" s="163" t="n"/>
      <c r="N70" s="163" t="n"/>
      <c r="O70" s="231" t="n"/>
      <c r="P70" s="163" t="n"/>
      <c r="Q70" s="163" t="n"/>
      <c r="R70" s="163" t="n"/>
      <c r="S70" s="163" t="n"/>
      <c r="T70" s="163" t="n"/>
      <c r="U70" s="163" t="n"/>
      <c r="V70" s="163" t="n"/>
    </row>
    <row r="71">
      <c r="A71" s="221" t="n"/>
      <c r="B71" s="221" t="n"/>
      <c r="C71" s="163" t="n"/>
      <c r="D71" s="163" t="n"/>
      <c r="E71" s="163" t="n"/>
      <c r="F71" s="163" t="n"/>
      <c r="G71" s="163" t="n"/>
      <c r="H71" s="163" t="n"/>
      <c r="I71" s="163" t="n"/>
      <c r="J71" s="163" t="n"/>
      <c r="K71" s="163" t="n"/>
      <c r="L71" s="163" t="n"/>
      <c r="M71" s="163" t="n"/>
      <c r="N71" s="163" t="n"/>
      <c r="O71" s="231" t="n"/>
      <c r="P71" s="163" t="n"/>
      <c r="Q71" s="163" t="n"/>
      <c r="R71" s="163" t="n"/>
      <c r="S71" s="163" t="n"/>
      <c r="T71" s="163" t="n"/>
      <c r="U71" s="163" t="n"/>
      <c r="V71" s="163" t="n"/>
    </row>
    <row r="72">
      <c r="A72" s="221" t="n"/>
      <c r="B72" s="221" t="n"/>
      <c r="C72" s="163" t="n"/>
      <c r="D72" s="163" t="n"/>
      <c r="E72" s="163" t="n"/>
      <c r="F72" s="240" t="n"/>
      <c r="G72" s="163" t="n"/>
      <c r="H72" s="163" t="n"/>
      <c r="I72" s="163" t="n"/>
      <c r="J72" s="163" t="n"/>
      <c r="K72" s="163" t="n"/>
      <c r="L72" s="163" t="n"/>
      <c r="M72" s="163" t="n"/>
      <c r="N72" s="163" t="n"/>
      <c r="O72" s="231" t="n"/>
      <c r="P72" s="163" t="n"/>
      <c r="Q72" s="163" t="n"/>
      <c r="R72" s="163" t="n"/>
      <c r="S72" s="163" t="n"/>
      <c r="T72" s="163" t="n"/>
      <c r="U72" s="163" t="n"/>
      <c r="V72" s="163" t="n"/>
    </row>
    <row r="73">
      <c r="A73" s="221" t="n"/>
      <c r="B73" s="221" t="n"/>
      <c r="C73" s="163" t="n"/>
      <c r="D73" s="163" t="n"/>
      <c r="E73" s="163" t="n"/>
      <c r="F73" s="240" t="n"/>
      <c r="G73" s="163" t="n"/>
      <c r="H73" s="163" t="n"/>
      <c r="I73" s="163" t="n"/>
      <c r="J73" s="163" t="n"/>
      <c r="K73" s="163" t="n"/>
      <c r="L73" s="163" t="n"/>
      <c r="M73" s="163" t="n"/>
      <c r="N73" s="163" t="n"/>
      <c r="O73" s="231" t="n"/>
      <c r="P73" s="163" t="n"/>
      <c r="Q73" s="163" t="n"/>
      <c r="R73" s="163" t="n"/>
      <c r="S73" s="163" t="n"/>
      <c r="T73" s="163" t="n"/>
      <c r="U73" s="163" t="n"/>
      <c r="V73" s="163" t="n"/>
    </row>
  </sheetData>
  <pageMargins left="0.7" right="0.7" top="0.75" bottom="0.75" header="0.3" footer="0.3"/>
  <pageSetup orientation="portrait" paperSize="9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0"/>
  <sheetViews>
    <sheetView tabSelected="1" workbookViewId="0">
      <selection activeCell="C12" sqref="C12:F14"/>
    </sheetView>
  </sheetViews>
  <sheetFormatPr baseColWidth="8" defaultRowHeight="13.5"/>
  <cols>
    <col width="24.375" customWidth="1" style="113" min="2" max="2"/>
    <col width="22.5" customWidth="1" style="113" min="3" max="3"/>
    <col width="21.25" customWidth="1" style="113" min="4" max="4"/>
    <col width="28.25" customWidth="1" style="113" min="5" max="5"/>
    <col width="17.25" customWidth="1" style="113" min="6" max="6"/>
    <col width="19.625" customWidth="1" style="113" min="8" max="8"/>
    <col width="15.875" customWidth="1" style="113" min="9" max="9"/>
    <col width="13.125" customWidth="1" style="113" min="10" max="10"/>
    <col width="15.75" customWidth="1" style="113" min="11" max="11"/>
  </cols>
  <sheetData>
    <row r="1">
      <c r="A1" t="inlineStr">
        <is>
          <t>成本法</t>
        </is>
      </c>
      <c r="B1" t="inlineStr">
        <is>
          <t>浮动净价收益</t>
        </is>
      </c>
      <c r="C1" t="n">
        <v>-90988096.95474799</v>
      </c>
      <c r="D1" t="inlineStr">
        <is>
          <t>浮动利息收益</t>
        </is>
      </c>
      <c r="E1" t="n">
        <v>19754142.63364013</v>
      </c>
    </row>
    <row r="2">
      <c r="A2" t="inlineStr">
        <is>
          <t>市值法</t>
        </is>
      </c>
      <c r="B2" t="inlineStr">
        <is>
          <t>浮动净价收益</t>
        </is>
      </c>
      <c r="C2" s="68" t="n">
        <v>-44167687.44474804</v>
      </c>
      <c r="D2" t="inlineStr">
        <is>
          <t>浮动利息收益</t>
        </is>
      </c>
      <c r="E2" t="n">
        <v>19754142.63364013</v>
      </c>
    </row>
    <row r="3">
      <c r="C3" s="68" t="n"/>
      <c r="D3" s="68" t="n"/>
    </row>
    <row r="4">
      <c r="D4" s="68" t="n"/>
    </row>
    <row r="5">
      <c r="B5" s="61" t="inlineStr">
        <is>
          <t>差异</t>
        </is>
      </c>
      <c r="C5" s="62">
        <f>C2-C1-C3</f>
        <v/>
      </c>
    </row>
    <row r="11">
      <c r="H11" s="63" t="inlineStr">
        <is>
          <t xml:space="preserve">2,959,732.56    </t>
        </is>
      </c>
    </row>
    <row r="12">
      <c r="D12" t="inlineStr">
        <is>
          <t>债投</t>
        </is>
      </c>
      <c r="E12" t="inlineStr">
        <is>
          <t>指数互换</t>
        </is>
      </c>
      <c r="F12" t="inlineStr">
        <is>
          <t>合计</t>
        </is>
      </c>
      <c r="H12" t="inlineStr">
        <is>
          <t>指数互换最新收益</t>
        </is>
      </c>
      <c r="I12" t="inlineStr">
        <is>
          <t>指数互换2021.12.31日收益</t>
        </is>
      </c>
    </row>
    <row r="13">
      <c r="C13" t="inlineStr">
        <is>
          <t>成本法</t>
        </is>
      </c>
      <c r="D13" s="63" t="n">
        <v>-72447960.11284302</v>
      </c>
      <c r="E13">
        <f>H13-I13</f>
        <v/>
      </c>
      <c r="F13">
        <f>D13+E13</f>
        <v/>
      </c>
      <c r="H13" s="63" t="n">
        <v>2959732.56</v>
      </c>
      <c r="I13" s="63" t="n">
        <v>1311554</v>
      </c>
    </row>
    <row r="14">
      <c r="C14" t="inlineStr">
        <is>
          <t>市值法</t>
        </is>
      </c>
      <c r="D14" s="72">
        <f>D13+C5</f>
        <v/>
      </c>
      <c r="E14" s="63">
        <f>H13-I13</f>
        <v/>
      </c>
      <c r="F14" s="241">
        <f>D14+E14</f>
        <v/>
      </c>
    </row>
    <row r="16">
      <c r="D16" s="242" t="n"/>
    </row>
    <row r="19">
      <c r="E19" s="243" t="n"/>
    </row>
    <row r="25">
      <c r="F25" s="63" t="n"/>
    </row>
    <row r="27">
      <c r="F27" s="241" t="n"/>
    </row>
    <row r="28">
      <c r="C28" t="inlineStr">
        <is>
          <t>国债期货</t>
        </is>
      </c>
      <c r="D28" s="244" t="n">
        <v>1332123.83</v>
      </c>
    </row>
    <row r="29">
      <c r="C29" t="inlineStr">
        <is>
          <t>银行间回购</t>
        </is>
      </c>
      <c r="D29" s="245" t="n">
        <v>-4385995.60070015</v>
      </c>
    </row>
    <row r="30">
      <c r="C30" t="inlineStr">
        <is>
          <t>交易所回购</t>
        </is>
      </c>
      <c r="D30" s="244" t="n">
        <v>-471620.96</v>
      </c>
    </row>
    <row r="31">
      <c r="C31" t="inlineStr">
        <is>
          <t>可转债</t>
        </is>
      </c>
      <c r="D31" s="74" t="n">
        <v>205038</v>
      </c>
      <c r="F31" s="243" t="n"/>
      <c r="H31" s="246" t="inlineStr">
        <is>
          <t>去年结转数</t>
        </is>
      </c>
      <c r="I31" s="246" t="inlineStr">
        <is>
          <t>公允</t>
        </is>
      </c>
    </row>
    <row r="32">
      <c r="C32" t="inlineStr">
        <is>
          <t>卖出债券已净价收益</t>
        </is>
      </c>
      <c r="D32" s="244" t="n">
        <v>750419.9999999999</v>
      </c>
      <c r="H32" s="247" t="inlineStr">
        <is>
          <t>21奥园债</t>
        </is>
      </c>
      <c r="I32" s="247" t="n">
        <v>-68826800</v>
      </c>
    </row>
    <row r="33">
      <c r="C33" t="inlineStr">
        <is>
          <t>卖出债券已实现利息</t>
        </is>
      </c>
      <c r="D33" s="244" t="n">
        <v>1356028.937857135</v>
      </c>
      <c r="H33" s="247" t="inlineStr">
        <is>
          <t>20合景04</t>
        </is>
      </c>
      <c r="I33" s="247" t="n">
        <v>-8346784.67</v>
      </c>
    </row>
    <row r="34">
      <c r="C34" t="inlineStr">
        <is>
          <t>未卖出债券浮动净价收益</t>
        </is>
      </c>
      <c r="D34" s="244" t="n">
        <v>-44167687.44474804</v>
      </c>
      <c r="H34" s="247" t="inlineStr">
        <is>
          <t>20合景06</t>
        </is>
      </c>
      <c r="I34" s="247" t="n">
        <v>-7226801.77</v>
      </c>
    </row>
    <row r="35">
      <c r="C35" t="inlineStr">
        <is>
          <t>未卖出债券浮动利息收益</t>
        </is>
      </c>
      <c r="D35" s="244" t="n">
        <v>19754142.63364013</v>
      </c>
      <c r="F35" s="243" t="n"/>
      <c r="H35" s="247" t="inlineStr">
        <is>
          <t>21尚隽保理ABN001优先</t>
        </is>
      </c>
      <c r="I35" s="247" t="n">
        <v>-56814902.04000001</v>
      </c>
    </row>
    <row r="36">
      <c r="C36" s="61" t="inlineStr">
        <is>
          <t>合计总收益</t>
        </is>
      </c>
      <c r="D36" s="248">
        <f>SUM(D28:D35)</f>
        <v/>
      </c>
      <c r="E36" s="243" t="n"/>
      <c r="H36" s="247" t="inlineStr">
        <is>
          <t>平裕6优</t>
        </is>
      </c>
      <c r="I36" s="247" t="n">
        <v>-36190301.03000001</v>
      </c>
    </row>
    <row r="37">
      <c r="C37" s="61" t="n"/>
      <c r="D37" s="249" t="n"/>
      <c r="H37" s="247" t="inlineStr">
        <is>
          <t>鹏举08优</t>
        </is>
      </c>
      <c r="I37" s="247" t="n">
        <v>-49826575</v>
      </c>
    </row>
    <row r="39">
      <c r="D39" t="inlineStr">
        <is>
          <t>浮动净价收益</t>
        </is>
      </c>
      <c r="E39" t="inlineStr">
        <is>
          <t>浮动利息收益</t>
        </is>
      </c>
      <c r="F39" t="inlineStr">
        <is>
          <t>持仓（万）</t>
        </is>
      </c>
    </row>
    <row r="40">
      <c r="C40" s="68" t="inlineStr">
        <is>
          <t>21奥园债</t>
        </is>
      </c>
      <c r="D40" s="241" t="n">
        <v>-7345500.000000015</v>
      </c>
      <c r="E40" s="241" t="n">
        <v>875584.9300000011</v>
      </c>
      <c r="F40" t="n">
        <v>10500</v>
      </c>
      <c r="H40" s="250" t="n"/>
    </row>
    <row r="41">
      <c r="C41" s="68" t="inlineStr">
        <is>
          <t>20合景04</t>
        </is>
      </c>
      <c r="D41" s="241" t="n">
        <v>-10033675.32999999</v>
      </c>
      <c r="E41" s="241" t="n">
        <v>757178.02</v>
      </c>
      <c r="F41" t="n">
        <v>8500</v>
      </c>
      <c r="H41" s="250" t="n"/>
    </row>
    <row r="42">
      <c r="C42" s="68" t="inlineStr">
        <is>
          <t>20合景06</t>
        </is>
      </c>
      <c r="D42" s="241" t="n">
        <v>-8351138.230000006</v>
      </c>
      <c r="E42" s="241" t="n">
        <v>656704.1799999997</v>
      </c>
      <c r="F42" t="n">
        <v>10000</v>
      </c>
      <c r="H42" s="250" t="n"/>
    </row>
    <row r="43">
      <c r="C43" s="68" t="inlineStr">
        <is>
          <t>21尚隽保理ABN001优先</t>
        </is>
      </c>
      <c r="D43" s="241" t="n">
        <v>6307902.040000007</v>
      </c>
      <c r="E43" s="241" t="n">
        <v>708236.9900000002</v>
      </c>
      <c r="F43" t="n">
        <v>10000</v>
      </c>
      <c r="H43" s="250" t="n"/>
    </row>
    <row r="44">
      <c r="C44" s="68" t="inlineStr">
        <is>
          <t>平裕6优</t>
        </is>
      </c>
      <c r="D44" s="241" t="n">
        <v>3876591.030000005</v>
      </c>
      <c r="E44" s="241" t="n">
        <v>472923.0800000005</v>
      </c>
      <c r="F44" t="n">
        <v>6500</v>
      </c>
      <c r="H44" s="250" t="n"/>
    </row>
    <row r="45">
      <c r="C45" s="68" t="inlineStr">
        <is>
          <t>鹏举8号</t>
        </is>
      </c>
      <c r="D45" s="241" t="n">
        <v>7150030</v>
      </c>
      <c r="E45" s="241" t="n">
        <v>634842.8700000001</v>
      </c>
      <c r="F45" t="n">
        <v>8500</v>
      </c>
      <c r="H45" s="250" t="n"/>
    </row>
    <row r="46">
      <c r="C46" t="inlineStr">
        <is>
          <t>20时代02</t>
        </is>
      </c>
      <c r="D46" s="241" t="n">
        <v>-1241989.999999999</v>
      </c>
      <c r="E46" s="241" t="n">
        <v>64382.59999999957</v>
      </c>
      <c r="F46" t="n">
        <v>1000</v>
      </c>
      <c r="H46" s="250" t="n"/>
    </row>
    <row r="47">
      <c r="C47" t="inlineStr">
        <is>
          <t>20时代05</t>
        </is>
      </c>
      <c r="D47" s="241" t="n">
        <v>-12415400</v>
      </c>
      <c r="E47" s="241" t="n">
        <v>656689.0400000066</v>
      </c>
      <c r="F47" t="n">
        <v>10000</v>
      </c>
      <c r="H47" s="250" t="n"/>
    </row>
    <row r="48">
      <c r="C48" t="inlineStr">
        <is>
          <t>20时代07</t>
        </is>
      </c>
      <c r="D48" s="241" t="n">
        <v>-24426200.00000002</v>
      </c>
      <c r="E48" s="241" t="n">
        <v>1349400</v>
      </c>
      <c r="F48" t="n">
        <v>20000</v>
      </c>
      <c r="H48" s="250" t="n"/>
    </row>
    <row r="49">
      <c r="C49" t="inlineStr">
        <is>
          <t>20奥园01</t>
        </is>
      </c>
      <c r="D49" s="241" t="n">
        <v>-11579130.99999999</v>
      </c>
      <c r="E49" s="241" t="n">
        <v>1114672.299999997</v>
      </c>
      <c r="F49" t="n">
        <v>15740</v>
      </c>
    </row>
    <row r="50">
      <c r="C50" s="61" t="inlineStr">
        <is>
          <t>合计</t>
        </is>
      </c>
      <c r="D50" s="251">
        <f>SUM(D40:D49)</f>
        <v/>
      </c>
      <c r="E50" s="251">
        <f>SUM(E40:E49)</f>
        <v/>
      </c>
      <c r="F50" s="251">
        <f>SUM(F40:F49)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FFC000"/>
    <outlinePr summaryBelow="1" summaryRight="1"/>
    <pageSetUpPr/>
  </sheetPr>
  <dimension ref="A1:B54"/>
  <sheetViews>
    <sheetView workbookViewId="0">
      <selection activeCell="B44" sqref="B44"/>
    </sheetView>
  </sheetViews>
  <sheetFormatPr baseColWidth="8" defaultRowHeight="13.5"/>
  <cols>
    <col width="11.625" bestFit="1" customWidth="1" style="112" min="1" max="1"/>
    <col width="19.875" customWidth="1" style="252" min="2" max="2"/>
  </cols>
  <sheetData>
    <row r="1">
      <c r="A1" s="108" t="inlineStr">
        <is>
          <t>日期</t>
        </is>
      </c>
      <c r="B1" s="253" t="inlineStr">
        <is>
          <t>交易账户收益合计</t>
        </is>
      </c>
    </row>
    <row r="2">
      <c r="A2" s="110" t="n">
        <v>44562</v>
      </c>
      <c r="B2" s="252" t="n">
        <v>0</v>
      </c>
    </row>
    <row r="3">
      <c r="A3" s="110" t="n">
        <v>44563</v>
      </c>
      <c r="B3" s="252" t="n">
        <v>0</v>
      </c>
    </row>
    <row r="4">
      <c r="A4" s="110" t="n">
        <v>44564</v>
      </c>
      <c r="B4" s="252" t="n">
        <v>0</v>
      </c>
    </row>
    <row r="5">
      <c r="A5" s="110" t="n">
        <v>44565</v>
      </c>
      <c r="B5" s="252" t="n">
        <v>2206168.741217656</v>
      </c>
    </row>
    <row r="6">
      <c r="A6" s="110" t="n">
        <v>44566</v>
      </c>
      <c r="B6" s="252" t="n">
        <v>-495310.9554923899</v>
      </c>
    </row>
    <row r="7">
      <c r="A7" s="110" t="n">
        <v>44567</v>
      </c>
      <c r="B7" s="252" t="n">
        <v>-3309689.154838473</v>
      </c>
    </row>
    <row r="8">
      <c r="A8" s="110" t="n">
        <v>44568</v>
      </c>
      <c r="B8" s="252" t="n">
        <v>-8212518.160956501</v>
      </c>
    </row>
    <row r="9">
      <c r="A9" s="110" t="n">
        <v>44571</v>
      </c>
      <c r="B9" s="252" t="n">
        <v>-10934523.50709285</v>
      </c>
    </row>
    <row r="10">
      <c r="A10" s="110" t="n">
        <v>44572</v>
      </c>
      <c r="B10" s="252" t="n">
        <v>-15477729.87</v>
      </c>
    </row>
    <row r="11">
      <c r="A11" s="110" t="n">
        <v>44573</v>
      </c>
      <c r="B11" s="252" t="n">
        <v>-13339007.98227731</v>
      </c>
    </row>
    <row r="12">
      <c r="A12" s="110" t="n">
        <v>44574</v>
      </c>
      <c r="B12" s="252" t="n">
        <v>-13524555.23567644</v>
      </c>
    </row>
    <row r="13">
      <c r="A13" s="110" t="n">
        <v>44575</v>
      </c>
      <c r="B13" s="252" t="n">
        <v>-18432099.00444571</v>
      </c>
    </row>
    <row r="14">
      <c r="A14" s="110" t="n">
        <v>44578</v>
      </c>
      <c r="B14" s="252" t="n">
        <v>-21765905.09438954</v>
      </c>
    </row>
    <row r="15">
      <c r="A15" s="110" t="n">
        <v>44579</v>
      </c>
      <c r="B15" s="252" t="n">
        <v>-23068147.69569957</v>
      </c>
    </row>
    <row r="16">
      <c r="A16" s="110" t="n">
        <v>44580</v>
      </c>
      <c r="B16" s="252" t="n">
        <v>-27943015.07962165</v>
      </c>
    </row>
    <row r="17">
      <c r="A17" s="110" t="n">
        <v>44581</v>
      </c>
      <c r="B17" s="252" t="n">
        <v>-29987971.7946467</v>
      </c>
    </row>
    <row r="18">
      <c r="A18" s="110" t="n">
        <v>44582</v>
      </c>
      <c r="B18" s="252" t="n">
        <v>-32800040.41539252</v>
      </c>
    </row>
    <row r="19">
      <c r="A19" s="110" t="n">
        <v>44585</v>
      </c>
      <c r="B19" s="252" t="n">
        <v>-32569957.25004736</v>
      </c>
    </row>
    <row r="20">
      <c r="A20" s="110" t="n">
        <v>44586</v>
      </c>
      <c r="B20" s="252" t="n">
        <v>-35865239.62872394</v>
      </c>
    </row>
    <row r="21">
      <c r="A21" s="110" t="n">
        <v>44587</v>
      </c>
      <c r="B21" s="252" t="n">
        <v>-40542718.87786171</v>
      </c>
    </row>
    <row r="22">
      <c r="A22" s="110" t="n">
        <v>44588</v>
      </c>
      <c r="B22" s="252" t="n">
        <v>-42720172.98354073</v>
      </c>
    </row>
    <row r="23">
      <c r="A23" s="110" t="n">
        <v>44589</v>
      </c>
    </row>
    <row r="24">
      <c r="A24" s="110" t="n"/>
    </row>
    <row r="25">
      <c r="A25" s="110" t="n"/>
    </row>
    <row r="26">
      <c r="A26" s="110" t="n"/>
    </row>
    <row r="27">
      <c r="A27" s="110" t="n"/>
    </row>
    <row r="28">
      <c r="A28" s="110" t="n"/>
    </row>
    <row r="29">
      <c r="A29" s="110" t="n"/>
    </row>
    <row r="30">
      <c r="A30" s="110" t="n"/>
    </row>
    <row r="31">
      <c r="A31" s="110" t="n"/>
    </row>
    <row r="32">
      <c r="A32" s="110" t="n"/>
    </row>
    <row r="33">
      <c r="A33" s="110" t="n"/>
    </row>
    <row r="34">
      <c r="A34" s="110" t="n"/>
    </row>
    <row r="35">
      <c r="A35" s="110" t="n"/>
    </row>
    <row r="36">
      <c r="A36" s="110" t="n"/>
    </row>
    <row r="37">
      <c r="A37" s="110" t="n"/>
    </row>
    <row r="38">
      <c r="A38" s="110" t="n"/>
    </row>
    <row r="39">
      <c r="A39" s="110" t="n"/>
    </row>
    <row r="40">
      <c r="A40" s="110" t="n"/>
    </row>
    <row r="41">
      <c r="A41" s="110" t="n"/>
    </row>
    <row r="42">
      <c r="A42" s="110" t="n"/>
    </row>
    <row r="43">
      <c r="A43" s="110" t="n"/>
    </row>
    <row r="44">
      <c r="A44" s="110" t="n"/>
    </row>
    <row r="45">
      <c r="A45" s="110" t="n"/>
    </row>
    <row r="46">
      <c r="A46" s="110" t="n"/>
    </row>
    <row r="47">
      <c r="A47" s="110" t="n"/>
    </row>
    <row r="48">
      <c r="A48" s="110" t="n"/>
    </row>
    <row r="49">
      <c r="A49" s="110" t="n"/>
    </row>
    <row r="50">
      <c r="A50" s="110" t="n"/>
    </row>
    <row r="51">
      <c r="A51" s="110" t="n"/>
    </row>
    <row r="52">
      <c r="A52" s="110" t="n"/>
    </row>
    <row r="53">
      <c r="A53" s="110" t="n"/>
    </row>
    <row r="54">
      <c r="A54" s="1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2022-02-17T01:48:15Z</dcterms:modified>
</cp:coreProperties>
</file>