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talin\Downloads\"/>
    </mc:Choice>
  </mc:AlternateContent>
  <xr:revisionPtr revIDLastSave="0" documentId="13_ncr:1_{DE4ECBBD-9189-4E88-94FD-5AEF4D738379}" xr6:coauthVersionLast="47" xr6:coauthVersionMax="47" xr10:uidLastSave="{00000000-0000-0000-0000-000000000000}"/>
  <bookViews>
    <workbookView showHorizontalScroll="0" showVerticalScroll="0" xWindow="-120" yWindow="-120" windowWidth="29040" windowHeight="15720" activeTab="1" xr2:uid="{00000000-000D-0000-FFFF-FFFF00000000}"/>
  </bookViews>
  <sheets>
    <sheet name="Seguimiento" sheetId="1" r:id="rId1"/>
    <sheet name="Hoja3" sheetId="8" r:id="rId2"/>
    <sheet name="kpi" sheetId="3" r:id="rId3"/>
    <sheet name="Hoja2" sheetId="6" r:id="rId4"/>
    <sheet name="Hoja1" sheetId="5" r:id="rId5"/>
    <sheet name="Tablas" sheetId="4" r:id="rId6"/>
    <sheet name="Placas" sheetId="2" r:id="rId7"/>
    <sheet name="STATUS" sheetId="7" r:id="rId8"/>
  </sheets>
  <definedNames>
    <definedName name="_xlnm._FilterDatabase" localSheetId="7" hidden="1">STATUS!$A$1:$F$10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E2" i="7" l="1"/>
  <c r="C2" i="7"/>
  <c r="E4" i="7"/>
  <c r="G205" i="1"/>
  <c r="G106" i="1"/>
  <c r="G19" i="1"/>
  <c r="H205" i="1"/>
  <c r="H106" i="1"/>
  <c r="H19" i="1"/>
  <c r="I205" i="1"/>
  <c r="I106" i="1"/>
  <c r="I19" i="1"/>
  <c r="J205" i="1"/>
  <c r="J106" i="1"/>
  <c r="J19" i="1"/>
  <c r="N205" i="1"/>
  <c r="N106" i="1"/>
  <c r="N19" i="1"/>
  <c r="G204" i="1"/>
  <c r="H204" i="1"/>
  <c r="I204" i="1"/>
  <c r="J204" i="1"/>
  <c r="N204" i="1"/>
  <c r="G61" i="1"/>
  <c r="H61" i="1"/>
  <c r="I61" i="1"/>
  <c r="J61" i="1"/>
  <c r="N61" i="1"/>
  <c r="G122" i="1"/>
  <c r="H122" i="1"/>
  <c r="I122" i="1"/>
  <c r="J122" i="1"/>
  <c r="N122" i="1"/>
  <c r="G62" i="1"/>
  <c r="H62" i="1"/>
  <c r="I62" i="1"/>
  <c r="J62" i="1"/>
  <c r="N62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3" i="1"/>
  <c r="E64" i="1"/>
  <c r="E65" i="1"/>
  <c r="E66" i="1"/>
  <c r="E67" i="1"/>
  <c r="E68" i="1"/>
  <c r="E69" i="1"/>
  <c r="E70" i="1"/>
  <c r="E71" i="1"/>
  <c r="E72" i="1"/>
  <c r="E73" i="1"/>
  <c r="E74" i="1"/>
  <c r="E86" i="1"/>
  <c r="E87" i="1"/>
  <c r="E88" i="1"/>
  <c r="E75" i="1"/>
  <c r="E76" i="1"/>
  <c r="E77" i="1"/>
  <c r="E78" i="1"/>
  <c r="E79" i="1"/>
  <c r="E80" i="1"/>
  <c r="E81" i="1"/>
  <c r="E82" i="1"/>
  <c r="E83" i="1"/>
  <c r="E84" i="1"/>
  <c r="E85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3" i="1"/>
  <c r="E124" i="1"/>
  <c r="E125" i="1"/>
  <c r="E126" i="1"/>
  <c r="E127" i="1"/>
  <c r="E128" i="1"/>
  <c r="E129" i="1"/>
  <c r="E130" i="1"/>
  <c r="E199" i="1"/>
  <c r="E200" i="1"/>
  <c r="E201" i="1"/>
  <c r="E202" i="1"/>
  <c r="E203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206" i="1"/>
  <c r="E207" i="1"/>
  <c r="E208" i="1"/>
  <c r="E209" i="1"/>
  <c r="E210" i="1"/>
  <c r="E211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3" i="1"/>
  <c r="G64" i="1"/>
  <c r="G65" i="1"/>
  <c r="G66" i="1"/>
  <c r="G67" i="1"/>
  <c r="G68" i="1"/>
  <c r="G69" i="1"/>
  <c r="G70" i="1"/>
  <c r="G71" i="1"/>
  <c r="G72" i="1"/>
  <c r="G73" i="1"/>
  <c r="G74" i="1"/>
  <c r="G86" i="1"/>
  <c r="G87" i="1"/>
  <c r="G88" i="1"/>
  <c r="G75" i="1"/>
  <c r="G76" i="1"/>
  <c r="G77" i="1"/>
  <c r="G78" i="1"/>
  <c r="G79" i="1"/>
  <c r="G80" i="1"/>
  <c r="G81" i="1"/>
  <c r="G82" i="1"/>
  <c r="G83" i="1"/>
  <c r="G84" i="1"/>
  <c r="G85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99" i="1"/>
  <c r="G200" i="1"/>
  <c r="G201" i="1"/>
  <c r="G202" i="1"/>
  <c r="G203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06" i="1"/>
  <c r="G207" i="1"/>
  <c r="G208" i="1"/>
  <c r="G209" i="1"/>
  <c r="G210" i="1"/>
  <c r="G211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51" i="1"/>
  <c r="H52" i="1"/>
  <c r="H53" i="1"/>
  <c r="H54" i="1"/>
  <c r="H55" i="1"/>
  <c r="H56" i="1"/>
  <c r="H57" i="1"/>
  <c r="H58" i="1"/>
  <c r="H59" i="1"/>
  <c r="H60" i="1"/>
  <c r="H63" i="1"/>
  <c r="H64" i="1"/>
  <c r="H65" i="1"/>
  <c r="H66" i="1"/>
  <c r="H67" i="1"/>
  <c r="H68" i="1"/>
  <c r="H69" i="1"/>
  <c r="H70" i="1"/>
  <c r="H71" i="1"/>
  <c r="H72" i="1"/>
  <c r="H73" i="1"/>
  <c r="H74" i="1"/>
  <c r="H86" i="1"/>
  <c r="H87" i="1"/>
  <c r="H88" i="1"/>
  <c r="H75" i="1"/>
  <c r="H76" i="1"/>
  <c r="H77" i="1"/>
  <c r="H78" i="1"/>
  <c r="H79" i="1"/>
  <c r="H80" i="1"/>
  <c r="H81" i="1"/>
  <c r="H82" i="1"/>
  <c r="H83" i="1"/>
  <c r="H84" i="1"/>
  <c r="H85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0" i="1"/>
  <c r="H199" i="1"/>
  <c r="H200" i="1"/>
  <c r="H201" i="1"/>
  <c r="H202" i="1"/>
  <c r="H203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06" i="1"/>
  <c r="H207" i="1"/>
  <c r="H208" i="1"/>
  <c r="H209" i="1"/>
  <c r="H210" i="1"/>
  <c r="H211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51" i="1"/>
  <c r="I52" i="1"/>
  <c r="I53" i="1"/>
  <c r="I54" i="1"/>
  <c r="I55" i="1"/>
  <c r="I56" i="1"/>
  <c r="I57" i="1"/>
  <c r="I58" i="1"/>
  <c r="I59" i="1"/>
  <c r="I60" i="1"/>
  <c r="I63" i="1"/>
  <c r="I64" i="1"/>
  <c r="I65" i="1"/>
  <c r="I66" i="1"/>
  <c r="I67" i="1"/>
  <c r="I68" i="1"/>
  <c r="I69" i="1"/>
  <c r="I70" i="1"/>
  <c r="I71" i="1"/>
  <c r="I72" i="1"/>
  <c r="I73" i="1"/>
  <c r="I74" i="1"/>
  <c r="I86" i="1"/>
  <c r="I87" i="1"/>
  <c r="I88" i="1"/>
  <c r="I75" i="1"/>
  <c r="I76" i="1"/>
  <c r="I77" i="1"/>
  <c r="I78" i="1"/>
  <c r="I79" i="1"/>
  <c r="I80" i="1"/>
  <c r="I81" i="1"/>
  <c r="I82" i="1"/>
  <c r="I83" i="1"/>
  <c r="I84" i="1"/>
  <c r="I85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3" i="1"/>
  <c r="I124" i="1"/>
  <c r="I125" i="1"/>
  <c r="I126" i="1"/>
  <c r="I127" i="1"/>
  <c r="I128" i="1"/>
  <c r="I129" i="1"/>
  <c r="I130" i="1"/>
  <c r="I199" i="1"/>
  <c r="I200" i="1"/>
  <c r="I201" i="1"/>
  <c r="I202" i="1"/>
  <c r="I203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206" i="1"/>
  <c r="I207" i="1"/>
  <c r="I208" i="1"/>
  <c r="I209" i="1"/>
  <c r="I210" i="1"/>
  <c r="I211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51" i="1"/>
  <c r="J52" i="1"/>
  <c r="J53" i="1"/>
  <c r="J54" i="1"/>
  <c r="J55" i="1"/>
  <c r="J56" i="1"/>
  <c r="J57" i="1"/>
  <c r="J58" i="1"/>
  <c r="J59" i="1"/>
  <c r="J60" i="1"/>
  <c r="J63" i="1"/>
  <c r="J64" i="1"/>
  <c r="J65" i="1"/>
  <c r="J66" i="1"/>
  <c r="J67" i="1"/>
  <c r="J68" i="1"/>
  <c r="J69" i="1"/>
  <c r="J70" i="1"/>
  <c r="J71" i="1"/>
  <c r="J72" i="1"/>
  <c r="J73" i="1"/>
  <c r="J74" i="1"/>
  <c r="J86" i="1"/>
  <c r="J87" i="1"/>
  <c r="J88" i="1"/>
  <c r="J75" i="1"/>
  <c r="J76" i="1"/>
  <c r="J77" i="1"/>
  <c r="J78" i="1"/>
  <c r="J79" i="1"/>
  <c r="J80" i="1"/>
  <c r="J81" i="1"/>
  <c r="J82" i="1"/>
  <c r="J83" i="1"/>
  <c r="J84" i="1"/>
  <c r="J85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3" i="1"/>
  <c r="J124" i="1"/>
  <c r="J125" i="1"/>
  <c r="J126" i="1"/>
  <c r="J127" i="1"/>
  <c r="J128" i="1"/>
  <c r="J129" i="1"/>
  <c r="J130" i="1"/>
  <c r="J199" i="1"/>
  <c r="J200" i="1"/>
  <c r="J201" i="1"/>
  <c r="J202" i="1"/>
  <c r="J203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206" i="1"/>
  <c r="J207" i="1"/>
  <c r="J208" i="1"/>
  <c r="J209" i="1"/>
  <c r="J210" i="1"/>
  <c r="J211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3" i="1"/>
  <c r="N64" i="1"/>
  <c r="N65" i="1"/>
  <c r="N66" i="1"/>
  <c r="N67" i="1"/>
  <c r="N68" i="1"/>
  <c r="N69" i="1"/>
  <c r="N70" i="1"/>
  <c r="N71" i="1"/>
  <c r="N72" i="1"/>
  <c r="N73" i="1"/>
  <c r="N74" i="1"/>
  <c r="N86" i="1"/>
  <c r="N87" i="1"/>
  <c r="N88" i="1"/>
  <c r="N75" i="1"/>
  <c r="N76" i="1"/>
  <c r="N77" i="1"/>
  <c r="N78" i="1"/>
  <c r="N79" i="1"/>
  <c r="N80" i="1"/>
  <c r="N81" i="1"/>
  <c r="N82" i="1"/>
  <c r="N83" i="1"/>
  <c r="N84" i="1"/>
  <c r="N85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3" i="1"/>
  <c r="N124" i="1"/>
  <c r="N125" i="1"/>
  <c r="N126" i="1"/>
  <c r="N127" i="1"/>
  <c r="N128" i="1"/>
  <c r="N129" i="1"/>
  <c r="N130" i="1"/>
  <c r="N199" i="1"/>
  <c r="N200" i="1"/>
  <c r="N201" i="1"/>
  <c r="N202" i="1"/>
  <c r="N203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206" i="1"/>
  <c r="N207" i="1"/>
  <c r="N208" i="1"/>
  <c r="N209" i="1"/>
  <c r="N210" i="1"/>
  <c r="N211" i="1"/>
  <c r="D2" i="7" l="1"/>
  <c r="E3" i="7"/>
  <c r="E5" i="7"/>
  <c r="E6" i="7"/>
  <c r="E7" i="7"/>
  <c r="E8" i="7"/>
  <c r="E9" i="7"/>
  <c r="E10" i="7"/>
  <c r="C3" i="7"/>
  <c r="C4" i="7"/>
  <c r="C5" i="7"/>
  <c r="C6" i="7"/>
  <c r="C7" i="7"/>
  <c r="C8" i="7"/>
  <c r="C9" i="7"/>
  <c r="C10" i="7"/>
  <c r="E11" i="7" l="1"/>
  <c r="C11" i="7"/>
  <c r="D10" i="7"/>
  <c r="F10" i="7" s="1"/>
  <c r="D6" i="7"/>
  <c r="F6" i="7" s="1"/>
  <c r="D4" i="7"/>
  <c r="F4" i="7" s="1"/>
  <c r="D9" i="7"/>
  <c r="F9" i="7" s="1"/>
  <c r="D8" i="7"/>
  <c r="F8" i="7" s="1"/>
  <c r="D7" i="7"/>
  <c r="F7" i="7" s="1"/>
  <c r="D5" i="7"/>
  <c r="F5" i="7" s="1"/>
  <c r="D3" i="7"/>
  <c r="F3" i="7" s="1"/>
  <c r="E7" i="1"/>
  <c r="D11" i="7" l="1"/>
  <c r="F11" i="7" s="1"/>
  <c r="F2" i="7"/>
  <c r="G7" i="1"/>
  <c r="I7" i="1"/>
  <c r="J7" i="1"/>
  <c r="B8" i="5" l="1"/>
  <c r="B9" i="3"/>
  <c r="N7" i="1"/>
  <c r="C8" i="5" l="1"/>
  <c r="D8" i="5" s="1"/>
  <c r="C7" i="5"/>
  <c r="C6" i="5"/>
  <c r="C5" i="5"/>
  <c r="J10" i="3"/>
  <c r="N10" i="3" l="1"/>
  <c r="F10" i="3"/>
  <c r="B10" i="3"/>
  <c r="B8" i="3" l="1"/>
  <c r="B7" i="5"/>
  <c r="B6" i="5"/>
  <c r="B5" i="5"/>
  <c r="B4" i="5"/>
  <c r="J19" i="3"/>
  <c r="B19" i="3"/>
  <c r="N19" i="3"/>
  <c r="F19" i="3"/>
  <c r="C4" i="5"/>
  <c r="C9" i="5" s="1"/>
  <c r="J8" i="3"/>
  <c r="N8" i="3"/>
  <c r="J9" i="3"/>
  <c r="F8" i="3"/>
  <c r="N9" i="3"/>
  <c r="F9" i="3"/>
  <c r="D6" i="5" l="1"/>
  <c r="D7" i="5"/>
  <c r="D4" i="5"/>
  <c r="D5" i="5"/>
  <c r="B9" i="5"/>
  <c r="J11" i="3"/>
  <c r="F11" i="3"/>
  <c r="N11" i="3"/>
  <c r="B11" i="3"/>
  <c r="D9" i="5" l="1"/>
  <c r="B16" i="3"/>
  <c r="C19" i="3"/>
  <c r="N21" i="3"/>
  <c r="O19" i="3"/>
  <c r="F21" i="3"/>
  <c r="G19" i="3"/>
  <c r="J15" i="3"/>
  <c r="K19" i="3"/>
  <c r="J14" i="3"/>
  <c r="J21" i="3"/>
  <c r="J16" i="3"/>
  <c r="B21" i="3"/>
  <c r="B14" i="3"/>
  <c r="N16" i="3"/>
  <c r="N15" i="3"/>
  <c r="N14" i="3"/>
  <c r="F16" i="3"/>
  <c r="F15" i="3"/>
  <c r="B15" i="3"/>
  <c r="F14" i="3"/>
</calcChain>
</file>

<file path=xl/sharedStrings.xml><?xml version="1.0" encoding="utf-8"?>
<sst xmlns="http://schemas.openxmlformats.org/spreadsheetml/2006/main" count="987" uniqueCount="565">
  <si>
    <t>TIENDA</t>
  </si>
  <si>
    <t>ID TIENDA</t>
  </si>
  <si>
    <t>RUTA</t>
  </si>
  <si>
    <t>PLACA</t>
  </si>
  <si>
    <t>AUXILIAR</t>
  </si>
  <si>
    <t>ESTADO</t>
  </si>
  <si>
    <t>OBSERVACIÓN</t>
  </si>
  <si>
    <t>ENTREGADO</t>
  </si>
  <si>
    <t>PROVEEDOR</t>
  </si>
  <si>
    <t>REZAGADO</t>
  </si>
  <si>
    <t>PLACAS</t>
  </si>
  <si>
    <t>PALOMINO</t>
  </si>
  <si>
    <t>BRIDAR</t>
  </si>
  <si>
    <t>LEYVA</t>
  </si>
  <si>
    <t>DINET</t>
  </si>
  <si>
    <t>FECHA DESPACHO</t>
  </si>
  <si>
    <t>EN RUTA</t>
  </si>
  <si>
    <t>% ENTREGADO</t>
  </si>
  <si>
    <t>TOTAL</t>
  </si>
  <si>
    <t>N° TIENDAS POR ENTREGAR</t>
  </si>
  <si>
    <t>% REZAGADO</t>
  </si>
  <si>
    <t>CONDUCTOR</t>
  </si>
  <si>
    <t>STATUS</t>
  </si>
  <si>
    <t>N° TIENDAS</t>
  </si>
  <si>
    <t>FECHA DE ENTREGA</t>
  </si>
  <si>
    <t>ENTREGAS CONFORME</t>
  </si>
  <si>
    <t>ENTREGAS CONFORMES</t>
  </si>
  <si>
    <t>INDICADOR</t>
  </si>
  <si>
    <t>% TIENDAS</t>
  </si>
  <si>
    <t>N° TIENDAS CON ENTREGAS CONFORMES</t>
  </si>
  <si>
    <t>FECHA</t>
  </si>
  <si>
    <t>% ENTREGAS CONFORMES</t>
  </si>
  <si>
    <t>Sale a Tda #</t>
  </si>
  <si>
    <t>Nro Fisico</t>
  </si>
  <si>
    <t>GUIA</t>
  </si>
  <si>
    <t>%EN RUTA</t>
  </si>
  <si>
    <t>CANCHARI</t>
  </si>
  <si>
    <t>VALOR</t>
  </si>
  <si>
    <t>CEVA LOGISTICS</t>
  </si>
  <si>
    <t>ruta</t>
  </si>
  <si>
    <t>sku</t>
  </si>
  <si>
    <t>cantidad</t>
  </si>
  <si>
    <t>status</t>
  </si>
  <si>
    <t>descripcion</t>
  </si>
  <si>
    <t>ue</t>
  </si>
  <si>
    <t>bultos</t>
  </si>
  <si>
    <t>IND2</t>
  </si>
  <si>
    <t>IND3</t>
  </si>
  <si>
    <t>CEVA</t>
  </si>
  <si>
    <t>BFO-720</t>
  </si>
  <si>
    <t>BAY-837</t>
  </si>
  <si>
    <t>BAN-774</t>
  </si>
  <si>
    <t>BUU-825</t>
  </si>
  <si>
    <t>BMH-890</t>
  </si>
  <si>
    <t>ALQ-828</t>
  </si>
  <si>
    <t>COLINA</t>
  </si>
  <si>
    <t>ALEX</t>
  </si>
  <si>
    <t>BMT-901</t>
  </si>
  <si>
    <t>BFK-806</t>
  </si>
  <si>
    <t>BDW-945</t>
  </si>
  <si>
    <t>DIEGO</t>
  </si>
  <si>
    <t>ASY-774</t>
  </si>
  <si>
    <t>RUBEN</t>
  </si>
  <si>
    <t>WALTER</t>
  </si>
  <si>
    <t>MINKA</t>
  </si>
  <si>
    <t>TDA CARGO CITY</t>
  </si>
  <si>
    <t>SNMARCOS</t>
  </si>
  <si>
    <t>ESCARDO</t>
  </si>
  <si>
    <t>MARINA-C2</t>
  </si>
  <si>
    <t>STRIPCALLAO</t>
  </si>
  <si>
    <t>UDELCALLAO</t>
  </si>
  <si>
    <t>HDELGADO</t>
  </si>
  <si>
    <t>BUC-807</t>
  </si>
  <si>
    <t>ZONIA</t>
  </si>
  <si>
    <t>% AVANZE</t>
  </si>
  <si>
    <t>AYG-838</t>
  </si>
  <si>
    <t>ASX-925</t>
  </si>
  <si>
    <t>BUX-729</t>
  </si>
  <si>
    <t>BTX-945</t>
  </si>
  <si>
    <t>GIAN</t>
  </si>
  <si>
    <t>JESUS</t>
  </si>
  <si>
    <t>ANDREA</t>
  </si>
  <si>
    <t>AMERICA-SJM</t>
  </si>
  <si>
    <t>CENTRAL-VES</t>
  </si>
  <si>
    <t>DEFENSORES-SJM</t>
  </si>
  <si>
    <t>GRIFO-MATELLINI</t>
  </si>
  <si>
    <t>J-CHAVEZ-VES</t>
  </si>
  <si>
    <t>JVELASCO-VES</t>
  </si>
  <si>
    <t>LACURVA</t>
  </si>
  <si>
    <t>MATELLINI-C1</t>
  </si>
  <si>
    <t>M-BASTIDAS</t>
  </si>
  <si>
    <t>REPUBLICANA-VES</t>
  </si>
  <si>
    <t>SAN-JUAN</t>
  </si>
  <si>
    <t>TDA REVOLUCION</t>
  </si>
  <si>
    <t>CALLE-A</t>
  </si>
  <si>
    <t>CLARK</t>
  </si>
  <si>
    <t>ELSOL-CHORRILLOS</t>
  </si>
  <si>
    <t>GAVIOTAS</t>
  </si>
  <si>
    <t>GUARDIACIVIL-C5</t>
  </si>
  <si>
    <t>HUAYLAS-C1</t>
  </si>
  <si>
    <t>HUAYLAS-C10</t>
  </si>
  <si>
    <t>PUMAS-C1</t>
  </si>
  <si>
    <t>SANPEDRO-CHORRILLOS</t>
  </si>
  <si>
    <t>TDA IGLESIAS</t>
  </si>
  <si>
    <t>TDA MATELINI</t>
  </si>
  <si>
    <t>VILLA-UPC</t>
  </si>
  <si>
    <t>28DJULIO</t>
  </si>
  <si>
    <t>ANGAMOS-C3</t>
  </si>
  <si>
    <t>BENAVIDES-C19</t>
  </si>
  <si>
    <t>BERLIN</t>
  </si>
  <si>
    <t>DIEZCANSECO-C1</t>
  </si>
  <si>
    <t>EJERCITO-C7</t>
  </si>
  <si>
    <t>GRAU-C12</t>
  </si>
  <si>
    <t>INCLAN</t>
  </si>
  <si>
    <t>LARCO-C4</t>
  </si>
  <si>
    <t>LAS PALMAS</t>
  </si>
  <si>
    <t>MENDIBURU</t>
  </si>
  <si>
    <t>PANAMA-C63</t>
  </si>
  <si>
    <t>UTEC</t>
  </si>
  <si>
    <t>ANGAMOS-C25</t>
  </si>
  <si>
    <t>ASTETE</t>
  </si>
  <si>
    <t>AYACUCHO-C13</t>
  </si>
  <si>
    <t>CASTELLANA</t>
  </si>
  <si>
    <t>CASTILLA</t>
  </si>
  <si>
    <t>CORBETA</t>
  </si>
  <si>
    <t>HIGUERETA-C6</t>
  </si>
  <si>
    <t>J-CHAVEZ</t>
  </si>
  <si>
    <t>MARSANO-C15</t>
  </si>
  <si>
    <t>NEGOCIOS</t>
  </si>
  <si>
    <t>ORUE</t>
  </si>
  <si>
    <t>PEDROVENTURO</t>
  </si>
  <si>
    <t>SURCO-C5</t>
  </si>
  <si>
    <t>T-MARSANO</t>
  </si>
  <si>
    <t>VILLARAN</t>
  </si>
  <si>
    <t>ALDEBARAN</t>
  </si>
  <si>
    <t>BENAVIDES-C50</t>
  </si>
  <si>
    <t>CAMINOS-C21</t>
  </si>
  <si>
    <t>FONTANA</t>
  </si>
  <si>
    <t>LAESTANCIA</t>
  </si>
  <si>
    <t>MOLICENTRO</t>
  </si>
  <si>
    <t>PRIMAVERA</t>
  </si>
  <si>
    <t>PRIMAVERA-C18</t>
  </si>
  <si>
    <t>RINCONADA</t>
  </si>
  <si>
    <t>TDA BENAVIDES</t>
  </si>
  <si>
    <t>TDA CORREGIDOR</t>
  </si>
  <si>
    <t>TDA ENCALADA</t>
  </si>
  <si>
    <t>TINOCO</t>
  </si>
  <si>
    <t>TRISTAN</t>
  </si>
  <si>
    <t>UPC-SURCO</t>
  </si>
  <si>
    <t>CHOSICA</t>
  </si>
  <si>
    <t>EVITAMIENTO</t>
  </si>
  <si>
    <t>JCMARIATEGUI-ATE</t>
  </si>
  <si>
    <t>PURUCHUCO</t>
  </si>
  <si>
    <t>QUECHUAS-C14</t>
  </si>
  <si>
    <t>QUECHUAS-C9</t>
  </si>
  <si>
    <t>SANTACLARA</t>
  </si>
  <si>
    <t>TDA EUCALIPTOS</t>
  </si>
  <si>
    <t>TDA MAR ROJO</t>
  </si>
  <si>
    <t>TDA PARACAS</t>
  </si>
  <si>
    <t>TORRES-HUACHIPA</t>
  </si>
  <si>
    <t>ARAMBURU-C7</t>
  </si>
  <si>
    <t>ARAMBURU-C9</t>
  </si>
  <si>
    <t>AREQUIPA-C19</t>
  </si>
  <si>
    <t>AREQUIPA-C25</t>
  </si>
  <si>
    <t>CANEVARO-C12</t>
  </si>
  <si>
    <t>CUETO-C5</t>
  </si>
  <si>
    <t>DAVINCI</t>
  </si>
  <si>
    <t>NAVARRETE</t>
  </si>
  <si>
    <t>PETIT-C26</t>
  </si>
  <si>
    <t>PRESCOTT</t>
  </si>
  <si>
    <t>REVILLA</t>
  </si>
  <si>
    <t>RISSO</t>
  </si>
  <si>
    <t>SANLUIS-C31</t>
  </si>
  <si>
    <t>TDA AVIACION</t>
  </si>
  <si>
    <t>TDA CANDAMO</t>
  </si>
  <si>
    <t>TELLO</t>
  </si>
  <si>
    <t>ZELA</t>
  </si>
  <si>
    <t>BOLIVAR</t>
  </si>
  <si>
    <t>BOLIVAR-C11</t>
  </si>
  <si>
    <t>COSTANERA</t>
  </si>
  <si>
    <t>FAUCETT-C5</t>
  </si>
  <si>
    <t>GARZON-C15</t>
  </si>
  <si>
    <t>MARINA-C32</t>
  </si>
  <si>
    <t>PERSHING</t>
  </si>
  <si>
    <t>SUCRE-C6</t>
  </si>
  <si>
    <t>TDA LA MARINA</t>
  </si>
  <si>
    <t>UCATOLICA</t>
  </si>
  <si>
    <t>UGARTE-C13</t>
  </si>
  <si>
    <t>UNIVERSITARIA</t>
  </si>
  <si>
    <t>VALER</t>
  </si>
  <si>
    <t>VENEZUELA-C9</t>
  </si>
  <si>
    <t>AREQUIPA-C14</t>
  </si>
  <si>
    <t>CARDENAS</t>
  </si>
  <si>
    <t>CORNEJO</t>
  </si>
  <si>
    <t>JRCALLAO</t>
  </si>
  <si>
    <t>MCCAPAC</t>
  </si>
  <si>
    <t>NACIONES-U</t>
  </si>
  <si>
    <t>PALERMO</t>
  </si>
  <si>
    <t>ROSATORO-C4</t>
  </si>
  <si>
    <t>SAN LUIS-C9</t>
  </si>
  <si>
    <t>TDA CAMANA</t>
  </si>
  <si>
    <t>TDA TACNA</t>
  </si>
  <si>
    <t>URUGUAY</t>
  </si>
  <si>
    <t>CANTACALLAO</t>
  </si>
  <si>
    <t>CHALACA</t>
  </si>
  <si>
    <t>CHOCANO</t>
  </si>
  <si>
    <t>DOMINICOS</t>
  </si>
  <si>
    <t>DOMINICOS-C5</t>
  </si>
  <si>
    <t>MAYOD1</t>
  </si>
  <si>
    <t>PACASMAYO</t>
  </si>
  <si>
    <t>TDA BOCANEGRA</t>
  </si>
  <si>
    <t>CHIMU-C5</t>
  </si>
  <si>
    <t>ELSOL-C4-SJL</t>
  </si>
  <si>
    <t>FLORES-C10</t>
  </si>
  <si>
    <t>HARAVICU</t>
  </si>
  <si>
    <t>H-CENEPA-SJL</t>
  </si>
  <si>
    <t>JARDINES</t>
  </si>
  <si>
    <t>JARDINES-C3</t>
  </si>
  <si>
    <t>JARDINES-C7</t>
  </si>
  <si>
    <t>LIQUENES</t>
  </si>
  <si>
    <t>PIRAMIDE</t>
  </si>
  <si>
    <t>POSTES</t>
  </si>
  <si>
    <t>RIVAGUERO-C14</t>
  </si>
  <si>
    <t>T-ASPERO</t>
  </si>
  <si>
    <t>A-GAMARRA</t>
  </si>
  <si>
    <t>BETA</t>
  </si>
  <si>
    <t>IZAGUIRRE-C5</t>
  </si>
  <si>
    <t>JOSEGRANDA</t>
  </si>
  <si>
    <t>MAYOLO-C19</t>
  </si>
  <si>
    <t>MAYOLO-C9</t>
  </si>
  <si>
    <t>MENDIOLA</t>
  </si>
  <si>
    <t>MENDIOLA-C20</t>
  </si>
  <si>
    <t>MERCURIO-C74</t>
  </si>
  <si>
    <t>PALMERAS</t>
  </si>
  <si>
    <t>PERU-C22</t>
  </si>
  <si>
    <t>PERU-C36</t>
  </si>
  <si>
    <t>TDA SAN GERMAN</t>
  </si>
  <si>
    <t>UNIVERSITARIA-C19</t>
  </si>
  <si>
    <t>2DEOCTUBRE</t>
  </si>
  <si>
    <t>BOLOGNESI-C1</t>
  </si>
  <si>
    <t>CANTACALLAO-VDR</t>
  </si>
  <si>
    <t>CHIMPU-OCLLO</t>
  </si>
  <si>
    <t>COLLIQUE</t>
  </si>
  <si>
    <t>LOSANGELES-C3</t>
  </si>
  <si>
    <t>LOSANGELES-C7</t>
  </si>
  <si>
    <t>LOSOLIVOS</t>
  </si>
  <si>
    <t>MBASTIDAS-C9</t>
  </si>
  <si>
    <t>PTECAMOTE</t>
  </si>
  <si>
    <t>PUENTE PIEDRA</t>
  </si>
  <si>
    <t>TDA VICTOR BELAUNDE</t>
  </si>
  <si>
    <t>THORNE-C1</t>
  </si>
  <si>
    <t>UNIVERSITARIA-C106</t>
  </si>
  <si>
    <t>UNIVERSITARIA-C61</t>
  </si>
  <si>
    <t>UNIVERSITARIA-C80</t>
  </si>
  <si>
    <t>BOLOGNESI-LURIN</t>
  </si>
  <si>
    <t>CHILCA</t>
  </si>
  <si>
    <t>MATIASC6-ICA</t>
  </si>
  <si>
    <t>PUCUSANA</t>
  </si>
  <si>
    <t>PUNTAHERMOSA</t>
  </si>
  <si>
    <t>SANBARTOLO</t>
  </si>
  <si>
    <t>SANBARTOLO2</t>
  </si>
  <si>
    <t>SANVICENTE2-LURIN</t>
  </si>
  <si>
    <t>TDA SAN VICENTE</t>
  </si>
  <si>
    <t>TUPACAMARU-CHINCHA</t>
  </si>
  <si>
    <t>GCIVIL-C1-PIURA</t>
  </si>
  <si>
    <t>HAYADELATORRE-C4-CHIMBOTE</t>
  </si>
  <si>
    <t>MALL-AVENTURA-CHICLAYO</t>
  </si>
  <si>
    <t>PIZARRO-C3-TRUJILLO</t>
  </si>
  <si>
    <t>SANCHEZCERRO-C11-PIURA</t>
  </si>
  <si>
    <t>TALLANES-PIURA</t>
  </si>
  <si>
    <t>9994-008445128T2CG</t>
  </si>
  <si>
    <t>T994-00158869</t>
  </si>
  <si>
    <t>T994-00158870</t>
  </si>
  <si>
    <t>T994-00158871</t>
  </si>
  <si>
    <t>T994-00158861</t>
  </si>
  <si>
    <t>T994-00158867</t>
  </si>
  <si>
    <t>T994-00158863</t>
  </si>
  <si>
    <t>T994-00158862</t>
  </si>
  <si>
    <t>T994-00158868</t>
  </si>
  <si>
    <t>T994-00158864</t>
  </si>
  <si>
    <t>T994-00158866</t>
  </si>
  <si>
    <t>T994-00158865</t>
  </si>
  <si>
    <t>T994-00158859</t>
  </si>
  <si>
    <t>T994-00158860</t>
  </si>
  <si>
    <t>T994-00158858</t>
  </si>
  <si>
    <t>T994-00158855</t>
  </si>
  <si>
    <t>T994-00158856</t>
  </si>
  <si>
    <t>T994-00158857</t>
  </si>
  <si>
    <t>T994-00158851</t>
  </si>
  <si>
    <t>T994-00158853</t>
  </si>
  <si>
    <t>T994-00158854</t>
  </si>
  <si>
    <t>T994-00158852</t>
  </si>
  <si>
    <t>T994-00158848</t>
  </si>
  <si>
    <t>T994-00158849</t>
  </si>
  <si>
    <t>T994-00158850</t>
  </si>
  <si>
    <t>T994-00158847</t>
  </si>
  <si>
    <t>T994-00158845</t>
  </si>
  <si>
    <t>T994-00158846</t>
  </si>
  <si>
    <t>T994-00158843</t>
  </si>
  <si>
    <t>T994-00158844</t>
  </si>
  <si>
    <t>T994-00158839</t>
  </si>
  <si>
    <t>T994-00158838</t>
  </si>
  <si>
    <t>T994-00158841</t>
  </si>
  <si>
    <t>T994-00158842</t>
  </si>
  <si>
    <t>T994-00158840</t>
  </si>
  <si>
    <t>T994-00158837</t>
  </si>
  <si>
    <t>T994-00158835</t>
  </si>
  <si>
    <t>T994-00158836</t>
  </si>
  <si>
    <t>T994-00158834</t>
  </si>
  <si>
    <t>T994-00158830</t>
  </si>
  <si>
    <t>T994-00158833</t>
  </si>
  <si>
    <t>T994-00158832</t>
  </si>
  <si>
    <t>T994-00158831</t>
  </si>
  <si>
    <t>T994-00158829</t>
  </si>
  <si>
    <t>T994-00158828</t>
  </si>
  <si>
    <t>T994-00158827</t>
  </si>
  <si>
    <t>T994-00158825</t>
  </si>
  <si>
    <t>T994-00158826</t>
  </si>
  <si>
    <t>T994-00158821</t>
  </si>
  <si>
    <t>T994-00158824</t>
  </si>
  <si>
    <t>T994-00158822</t>
  </si>
  <si>
    <t>T994-00158823</t>
  </si>
  <si>
    <t>T994-00158816</t>
  </si>
  <si>
    <t>T994-00158820</t>
  </si>
  <si>
    <t>T994-00158817</t>
  </si>
  <si>
    <t>T994-00158819</t>
  </si>
  <si>
    <t>T994-00158818</t>
  </si>
  <si>
    <t>T994-00158813</t>
  </si>
  <si>
    <t>T994-00158815</t>
  </si>
  <si>
    <t>T994-00158814</t>
  </si>
  <si>
    <t>T994-00158812</t>
  </si>
  <si>
    <t>T994-00158810</t>
  </si>
  <si>
    <t>T994-00158811</t>
  </si>
  <si>
    <t>T994-00158804</t>
  </si>
  <si>
    <t>T994-00158805</t>
  </si>
  <si>
    <t>T994-00158808</t>
  </si>
  <si>
    <t>T994-00158809</t>
  </si>
  <si>
    <t>T994-00158807</t>
  </si>
  <si>
    <t>T994-00158803</t>
  </si>
  <si>
    <t>T994-00158802</t>
  </si>
  <si>
    <t>T994-00158801</t>
  </si>
  <si>
    <t>T994-00158806</t>
  </si>
  <si>
    <t>T994-00158796</t>
  </si>
  <si>
    <t>T994-00158800</t>
  </si>
  <si>
    <t>T994-00158797</t>
  </si>
  <si>
    <t>T994-00158792</t>
  </si>
  <si>
    <t>T994-00158798</t>
  </si>
  <si>
    <t>T994-00158795</t>
  </si>
  <si>
    <t>T994-00158799</t>
  </si>
  <si>
    <t>T994-00158793</t>
  </si>
  <si>
    <t>T994-00158794</t>
  </si>
  <si>
    <t>T994-00158787</t>
  </si>
  <si>
    <t>T994-00158788</t>
  </si>
  <si>
    <t>T994-00158789</t>
  </si>
  <si>
    <t>T994-00158790</t>
  </si>
  <si>
    <t>T994-00158784</t>
  </si>
  <si>
    <t>T994-00158786</t>
  </si>
  <si>
    <t>T994-00158791</t>
  </si>
  <si>
    <t>T994-00158785</t>
  </si>
  <si>
    <t>T994-00158777</t>
  </si>
  <si>
    <t>T994-00158779</t>
  </si>
  <si>
    <t>T994-00158778</t>
  </si>
  <si>
    <t>T994-00158776</t>
  </si>
  <si>
    <t>T994-00158782</t>
  </si>
  <si>
    <t>T994-00158783</t>
  </si>
  <si>
    <t>T994-00158780</t>
  </si>
  <si>
    <t>T994-00158781</t>
  </si>
  <si>
    <t>T994-00158772</t>
  </si>
  <si>
    <t>T994-00158774</t>
  </si>
  <si>
    <t>T994-00158768</t>
  </si>
  <si>
    <t>T994-00158773</t>
  </si>
  <si>
    <t>T994-00158771</t>
  </si>
  <si>
    <t>T994-00158769</t>
  </si>
  <si>
    <t>T994-00158775</t>
  </si>
  <si>
    <t>T994-00158770</t>
  </si>
  <si>
    <t>T994-00158764</t>
  </si>
  <si>
    <t>T994-00158766</t>
  </si>
  <si>
    <t>T994-00158763</t>
  </si>
  <si>
    <t>T994-00158761</t>
  </si>
  <si>
    <t>T994-00158765</t>
  </si>
  <si>
    <t>T994-00158762</t>
  </si>
  <si>
    <t>T994-00158767</t>
  </si>
  <si>
    <t>T994-00158760</t>
  </si>
  <si>
    <t>T994-00158759</t>
  </si>
  <si>
    <t>T994-00158755</t>
  </si>
  <si>
    <t>T994-00158757</t>
  </si>
  <si>
    <t>T994-00158758</t>
  </si>
  <si>
    <t>T994-00158753</t>
  </si>
  <si>
    <t>T994-00158754</t>
  </si>
  <si>
    <t>T994-00158752</t>
  </si>
  <si>
    <t>T994-00158756</t>
  </si>
  <si>
    <t>T994-00158749</t>
  </si>
  <si>
    <t>T994-00158750</t>
  </si>
  <si>
    <t>T994-00158751</t>
  </si>
  <si>
    <t>T994-00158748</t>
  </si>
  <si>
    <t>T994-00158747</t>
  </si>
  <si>
    <t>T994-00158744</t>
  </si>
  <si>
    <t>T994-00158745</t>
  </si>
  <si>
    <t>T994-00158746</t>
  </si>
  <si>
    <t>T994-00158742</t>
  </si>
  <si>
    <t>T994-00158741</t>
  </si>
  <si>
    <t>T994-00158743</t>
  </si>
  <si>
    <t>T994-00158740</t>
  </si>
  <si>
    <t>T994-00158739</t>
  </si>
  <si>
    <t>T994-00158738</t>
  </si>
  <si>
    <t>T994-00158737</t>
  </si>
  <si>
    <t>T994-00158734</t>
  </si>
  <si>
    <t>T994-00158735</t>
  </si>
  <si>
    <t>T994-00158736</t>
  </si>
  <si>
    <t>T994-00158733</t>
  </si>
  <si>
    <t>T994-00158731</t>
  </si>
  <si>
    <t>T994-00158732</t>
  </si>
  <si>
    <t>T994-00158729</t>
  </si>
  <si>
    <t>T994-00158730</t>
  </si>
  <si>
    <t>T994-00158728</t>
  </si>
  <si>
    <t>T994-00158727</t>
  </si>
  <si>
    <t>T994-00158726</t>
  </si>
  <si>
    <t>T994-00158725</t>
  </si>
  <si>
    <t>T994-00158720</t>
  </si>
  <si>
    <t>T994-00158724</t>
  </si>
  <si>
    <t>T994-00158722</t>
  </si>
  <si>
    <t>T994-00158723</t>
  </si>
  <si>
    <t>T994-00158721</t>
  </si>
  <si>
    <t>T994-00158719</t>
  </si>
  <si>
    <t>T994-00158718</t>
  </si>
  <si>
    <t>T994-00158715</t>
  </si>
  <si>
    <t>T994-00158716</t>
  </si>
  <si>
    <t>T994-00158717</t>
  </si>
  <si>
    <t>T994-00158710</t>
  </si>
  <si>
    <t>T994-00158712</t>
  </si>
  <si>
    <t>T994-00158711</t>
  </si>
  <si>
    <t>T994-00158706</t>
  </si>
  <si>
    <t>T994-00158713</t>
  </si>
  <si>
    <t>T994-00158708</t>
  </si>
  <si>
    <t>T994-00158714</t>
  </si>
  <si>
    <t>T994-00158707</t>
  </si>
  <si>
    <t>T994-00158709</t>
  </si>
  <si>
    <t>T994-00158704</t>
  </si>
  <si>
    <t>T994-00158700</t>
  </si>
  <si>
    <t>T994-00158701</t>
  </si>
  <si>
    <t>T994-00158705</t>
  </si>
  <si>
    <t>T994-00158697</t>
  </si>
  <si>
    <t>T994-00158702</t>
  </si>
  <si>
    <t>T994-00158698</t>
  </si>
  <si>
    <t>T994-00158703</t>
  </si>
  <si>
    <t>T994-00158699</t>
  </si>
  <si>
    <t>T994-00158691</t>
  </si>
  <si>
    <t>T994-00158694</t>
  </si>
  <si>
    <t>T994-00158693</t>
  </si>
  <si>
    <t>T994-00158690</t>
  </si>
  <si>
    <t>T994-00158689</t>
  </si>
  <si>
    <t>T994-00158692</t>
  </si>
  <si>
    <t>T994-00158695</t>
  </si>
  <si>
    <t>T994-00158696</t>
  </si>
  <si>
    <t>T994-00158685</t>
  </si>
  <si>
    <t>T994-00158683</t>
  </si>
  <si>
    <t>T994-00158684</t>
  </si>
  <si>
    <t>T994-00158682</t>
  </si>
  <si>
    <t>T994-00158688</t>
  </si>
  <si>
    <t>T994-00158686</t>
  </si>
  <si>
    <t>T994-00158687</t>
  </si>
  <si>
    <t>T994-00158681</t>
  </si>
  <si>
    <t>T994-00158680</t>
  </si>
  <si>
    <t>T994-00158678</t>
  </si>
  <si>
    <t>T994-00158679</t>
  </si>
  <si>
    <t>T994-00158677</t>
  </si>
  <si>
    <t>T994-00158676</t>
  </si>
  <si>
    <t>Miguel</t>
  </si>
  <si>
    <t>Jhon</t>
  </si>
  <si>
    <t>Lenin</t>
  </si>
  <si>
    <t>Jesus</t>
  </si>
  <si>
    <t>Yhin</t>
  </si>
  <si>
    <t>Bendezu</t>
  </si>
  <si>
    <t xml:space="preserve">Luis </t>
  </si>
  <si>
    <t>Jose</t>
  </si>
  <si>
    <t>Silvia</t>
  </si>
  <si>
    <t>Eden</t>
  </si>
  <si>
    <t>Alder</t>
  </si>
  <si>
    <t>Palomino</t>
  </si>
  <si>
    <t>Aburto</t>
  </si>
  <si>
    <t xml:space="preserve">Edgar </t>
  </si>
  <si>
    <t>William</t>
  </si>
  <si>
    <t>falto
1000019 -1
1010934 -3
1006309 -4
1001916 -3
1001935 -1
1010614 -1
1000017 -2</t>
  </si>
  <si>
    <t>TADA MIRAFLORES</t>
  </si>
  <si>
    <t>falto
1013291 -2</t>
  </si>
  <si>
    <t>sobro
1006309 +8</t>
  </si>
  <si>
    <t>ALTOKE VENEZUELA</t>
  </si>
  <si>
    <t>sobro
1 salsa tambrava</t>
  </si>
  <si>
    <t>TADA SAN BORJA</t>
  </si>
  <si>
    <t>Alexis/Daniel</t>
  </si>
  <si>
    <t>G001- 074</t>
  </si>
  <si>
    <t>G001-081</t>
  </si>
  <si>
    <t>Johan /Koki</t>
  </si>
  <si>
    <t>falto
1010935 -3
sobro
1001935 -1
1001916 -3
1010934 -3
1010614 -1
1000017 -2
1000019 -1</t>
  </si>
  <si>
    <t>ALTOKE ARGENTINA</t>
  </si>
  <si>
    <t>G001-075</t>
  </si>
  <si>
    <t>falto
1002514 -3</t>
  </si>
  <si>
    <t>falto
1010360 -2</t>
  </si>
  <si>
    <t>TADA BREÑA</t>
  </si>
  <si>
    <t>G001- 071</t>
  </si>
  <si>
    <t>falto
1012114  -1</t>
  </si>
  <si>
    <t>falto
1010003 -1</t>
  </si>
  <si>
    <t>TADA LINCE</t>
  </si>
  <si>
    <t>G001-072</t>
  </si>
  <si>
    <t>rechazo el pedido motivo que tenia la maquina malograda, entrego ok en la tienda AREQUIPA C25</t>
  </si>
  <si>
    <t>falto
1001988 -2 
1011503 -2</t>
  </si>
  <si>
    <t>falto
1001935 -1
1000017 -6</t>
  </si>
  <si>
    <t>falto
1000002 -5</t>
  </si>
  <si>
    <t>sobro
1013291 +2</t>
  </si>
  <si>
    <t>sobro
1012115 -6</t>
  </si>
  <si>
    <t>falto
1010164 -1</t>
  </si>
  <si>
    <t xml:space="preserve">sobro
1006017 +9
falto
1011075 
1009817  </t>
  </si>
  <si>
    <t>sobro
1000002 +5</t>
  </si>
  <si>
    <t>ALTOKE LURIN</t>
  </si>
  <si>
    <t>G001-076</t>
  </si>
  <si>
    <t>falto
1006309 -8</t>
  </si>
  <si>
    <t>TADA SAN ISIDRO</t>
  </si>
  <si>
    <t>Ok</t>
  </si>
  <si>
    <t>PROVINCIA</t>
  </si>
  <si>
    <t>Josue/Ivan</t>
  </si>
  <si>
    <t>falto
1003044 -5
1010936 -2
1012623 -1
1010934 -4
1010614 -3
sobro
1001916 -4
1000017 -4</t>
  </si>
  <si>
    <t>G001-70</t>
  </si>
  <si>
    <t>sobro
1 yogurt laive protein vainilla botella 340 gr</t>
  </si>
  <si>
    <t>sobro
1009668 +84</t>
  </si>
  <si>
    <t>falto
1009668 -42
1004579 -6</t>
  </si>
  <si>
    <t>falto
1004578 -6</t>
  </si>
  <si>
    <t>falto
1009668 -42</t>
  </si>
  <si>
    <t>falto
1000013 -10
sobro
1011505 +2</t>
  </si>
  <si>
    <t xml:space="preserve">falto
1004578 -6
emp chancho oriental </t>
  </si>
  <si>
    <t>sobro
1009818 +8</t>
  </si>
  <si>
    <t>falto
1013304 -1</t>
  </si>
  <si>
    <t>sobro
1003397 +2</t>
  </si>
  <si>
    <t>falto
1001916 -31
1003044 -5
1000019 -3
1010934 -1
1001935 -8
1010614 -3
1000017 -24</t>
  </si>
  <si>
    <t>falto
1000019 -1
1000017 -1</t>
  </si>
  <si>
    <t>sobro
1010934 -1
1010614 -2
falto
1001916 -4
1001935 -1
1000017 -4</t>
  </si>
  <si>
    <t>sobro
5 alfajores
2 chescake de maracuya
3  gelatinas
1 pie de limon 
31 torta chocolate
8  torta helada
3 selva negra
24 tres leches
falto
1 gelatina tres sabores</t>
  </si>
  <si>
    <t>OK</t>
  </si>
  <si>
    <t>Dias de trabajo de Rodrigo</t>
  </si>
  <si>
    <t>16 al 19 Agosto</t>
  </si>
  <si>
    <t>Dias</t>
  </si>
  <si>
    <t>Fechas</t>
  </si>
  <si>
    <t>Sueldo</t>
  </si>
  <si>
    <t>Desayuno</t>
  </si>
  <si>
    <t>Adicional</t>
  </si>
  <si>
    <t>Descuento</t>
  </si>
  <si>
    <t>Adelanto</t>
  </si>
  <si>
    <t>Observaciones</t>
  </si>
  <si>
    <t>Miércoles</t>
  </si>
  <si>
    <t>16-ago</t>
  </si>
  <si>
    <t>S/ 50.00</t>
  </si>
  <si>
    <t>S/ 5.00</t>
  </si>
  <si>
    <t>S/ -</t>
  </si>
  <si>
    <t>Jueves</t>
  </si>
  <si>
    <t>17-ago</t>
  </si>
  <si>
    <t>Viernes</t>
  </si>
  <si>
    <t>18-ago</t>
  </si>
  <si>
    <t>Sábado</t>
  </si>
  <si>
    <t>19-ago</t>
  </si>
  <si>
    <t>Total</t>
  </si>
  <si>
    <t>S/ 200.00</t>
  </si>
  <si>
    <t>S/ 20.00</t>
  </si>
  <si>
    <t>Sueldo hasta la quincena</t>
  </si>
  <si>
    <t>S/ 220.00</t>
  </si>
  <si>
    <t>S/ 0.00</t>
  </si>
  <si>
    <t>Total generado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</si>
</sst>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&quot;S/&quot;* #,##0.00_-;\-&quot;S/&quot;* #,##0.00_-;_-&quot;S/&quot;* &quot;-&quot;??_-;_-@_-"/>
    <numFmt numFmtId="166" formatCode="0000"/>
    <numFmt numFmtId="167" formatCode="_-* #,##0.000_-;\-* #,##0.00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entury Gothic"/>
      <family val="2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b/>
      <sz val="7"/>
      <name val="Tahoma"/>
      <family val="2"/>
    </font>
    <font>
      <sz val="9"/>
      <name val="Century Gothic"/>
      <family val="2"/>
    </font>
    <font>
      <sz val="9"/>
      <color theme="1"/>
      <name val="Century Gothic"/>
      <family val="2"/>
    </font>
    <font>
      <sz val="7"/>
      <name val="Tahoma"/>
      <family val="2"/>
    </font>
    <font>
      <sz val="11"/>
      <name val="Calibri"/>
      <family val="2"/>
    </font>
    <font>
      <b/>
      <sz val="9"/>
      <color theme="1"/>
      <name val="Century Gothic"/>
      <family val="2"/>
    </font>
    <font>
      <b/>
      <sz val="9"/>
      <color theme="0"/>
      <name val="Century Gothic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7"/>
      <color indexed="12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</font>
    <font>
      <sz val="9"/>
      <name val="Arial"/>
    </font>
    <font>
      <b/>
      <sz val="9"/>
      <name val="Century Gothic"/>
      <family val="2"/>
    </font>
    <font>
      <b/>
      <sz val="10"/>
      <color rgb="FF434343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1A8D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0F0F0"/>
      </patternFill>
    </fill>
    <fill>
      <patternFill patternType="solid">
        <fgColor indexed="9"/>
      </patternFill>
    </fill>
    <fill>
      <patternFill patternType="solid">
        <fgColor rgb="FFF0F8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B3FFFF"/>
      </patternFill>
    </fill>
    <fill>
      <patternFill patternType="solid">
        <fgColor rgb="FFA4C2F4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9" fillId="0" borderId="0">
      <alignment vertic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" fillId="5" borderId="6" xfId="0" applyFont="1" applyFill="1" applyBorder="1" applyAlignment="1">
      <alignment horizontal="center" wrapText="1"/>
    </xf>
    <xf numFmtId="0" fontId="4" fillId="5" borderId="7" xfId="0" applyFont="1" applyFill="1" applyBorder="1"/>
    <xf numFmtId="0" fontId="3" fillId="0" borderId="8" xfId="0" applyFont="1" applyBorder="1"/>
    <xf numFmtId="0" fontId="4" fillId="5" borderId="9" xfId="0" applyFont="1" applyFill="1" applyBorder="1"/>
    <xf numFmtId="0" fontId="4" fillId="0" borderId="10" xfId="0" applyFont="1" applyBorder="1"/>
    <xf numFmtId="0" fontId="3" fillId="0" borderId="11" xfId="0" applyFont="1" applyBorder="1"/>
    <xf numFmtId="0" fontId="4" fillId="0" borderId="12" xfId="0" applyFont="1" applyBorder="1"/>
    <xf numFmtId="9" fontId="3" fillId="0" borderId="10" xfId="1" applyFont="1" applyBorder="1"/>
    <xf numFmtId="0" fontId="3" fillId="0" borderId="13" xfId="0" applyFont="1" applyBorder="1"/>
    <xf numFmtId="9" fontId="3" fillId="0" borderId="14" xfId="1" applyFont="1" applyBorder="1"/>
    <xf numFmtId="0" fontId="2" fillId="5" borderId="3" xfId="0" applyFont="1" applyFill="1" applyBorder="1" applyAlignment="1">
      <alignment horizontal="center" wrapText="1"/>
    </xf>
    <xf numFmtId="0" fontId="3" fillId="0" borderId="1" xfId="0" applyFont="1" applyBorder="1"/>
    <xf numFmtId="0" fontId="4" fillId="5" borderId="15" xfId="0" applyFont="1" applyFill="1" applyBorder="1"/>
    <xf numFmtId="0" fontId="3" fillId="0" borderId="18" xfId="0" applyFont="1" applyBorder="1"/>
    <xf numFmtId="0" fontId="3" fillId="0" borderId="19" xfId="0" applyFont="1" applyBorder="1"/>
    <xf numFmtId="9" fontId="3" fillId="0" borderId="20" xfId="1" applyFont="1" applyBorder="1"/>
    <xf numFmtId="0" fontId="4" fillId="5" borderId="1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3" fillId="7" borderId="0" xfId="0" applyFont="1" applyFill="1"/>
    <xf numFmtId="14" fontId="4" fillId="7" borderId="0" xfId="0" applyNumberFormat="1" applyFont="1" applyFill="1"/>
    <xf numFmtId="0" fontId="5" fillId="8" borderId="21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" fontId="4" fillId="3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/>
    <xf numFmtId="0" fontId="7" fillId="0" borderId="1" xfId="0" applyFont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166" fontId="8" fillId="10" borderId="23" xfId="0" applyNumberFormat="1" applyFont="1" applyFill="1" applyBorder="1" applyAlignment="1">
      <alignment horizontal="center" vertical="top"/>
    </xf>
    <xf numFmtId="166" fontId="8" fillId="9" borderId="23" xfId="0" applyNumberFormat="1" applyFont="1" applyFill="1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3" fillId="0" borderId="2" xfId="0" applyFont="1" applyBorder="1" applyAlignment="1">
      <alignment horizontal="left" wrapText="1"/>
    </xf>
    <xf numFmtId="0" fontId="2" fillId="5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11" fillId="5" borderId="3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67" fontId="11" fillId="5" borderId="3" xfId="5" applyNumberFormat="1" applyFont="1" applyFill="1" applyBorder="1" applyAlignment="1">
      <alignment horizontal="center" wrapText="1"/>
    </xf>
    <xf numFmtId="167" fontId="0" fillId="0" borderId="0" xfId="5" applyNumberFormat="1" applyFont="1"/>
    <xf numFmtId="0" fontId="12" fillId="5" borderId="6" xfId="0" applyFont="1" applyFill="1" applyBorder="1" applyAlignment="1">
      <alignment horizontal="center" wrapText="1"/>
    </xf>
    <xf numFmtId="0" fontId="12" fillId="5" borderId="3" xfId="0" applyFont="1" applyFill="1" applyBorder="1" applyAlignment="1">
      <alignment horizontal="center" wrapText="1"/>
    </xf>
    <xf numFmtId="0" fontId="12" fillId="6" borderId="4" xfId="0" applyFont="1" applyFill="1" applyBorder="1" applyAlignment="1">
      <alignment horizontal="center" wrapText="1"/>
    </xf>
    <xf numFmtId="0" fontId="13" fillId="0" borderId="0" xfId="0" applyFont="1" applyAlignment="1">
      <alignment horizontal="center"/>
    </xf>
    <xf numFmtId="14" fontId="13" fillId="0" borderId="5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165" fontId="13" fillId="0" borderId="1" xfId="4" applyFont="1" applyFill="1" applyBorder="1" applyAlignment="1">
      <alignment horizontal="center"/>
    </xf>
    <xf numFmtId="14" fontId="13" fillId="0" borderId="1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22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9" fontId="3" fillId="0" borderId="1" xfId="1" applyFont="1" applyBorder="1"/>
    <xf numFmtId="0" fontId="4" fillId="0" borderId="1" xfId="0" applyFont="1" applyBorder="1"/>
    <xf numFmtId="14" fontId="0" fillId="0" borderId="0" xfId="0" applyNumberFormat="1"/>
    <xf numFmtId="166" fontId="15" fillId="12" borderId="23" xfId="0" applyNumberFormat="1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5" fillId="12" borderId="23" xfId="0" applyFont="1" applyFill="1" applyBorder="1" applyAlignment="1">
      <alignment horizontal="left" vertical="top"/>
    </xf>
    <xf numFmtId="0" fontId="8" fillId="9" borderId="23" xfId="0" applyFont="1" applyFill="1" applyBorder="1" applyAlignment="1">
      <alignment horizontal="left" vertical="top"/>
    </xf>
    <xf numFmtId="0" fontId="8" fillId="10" borderId="23" xfId="0" applyFont="1" applyFill="1" applyBorder="1" applyAlignment="1">
      <alignment horizontal="left" vertical="top"/>
    </xf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0" fontId="13" fillId="0" borderId="1" xfId="0" applyFont="1" applyBorder="1" applyAlignment="1">
      <alignment horizontal="left" wrapText="1"/>
    </xf>
    <xf numFmtId="14" fontId="18" fillId="0" borderId="5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65" fontId="18" fillId="0" borderId="1" xfId="4" applyFont="1" applyFill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9" fillId="0" borderId="2" xfId="0" applyFont="1" applyBorder="1" applyAlignment="1">
      <alignment horizontal="center"/>
    </xf>
    <xf numFmtId="0" fontId="17" fillId="0" borderId="1" xfId="0" applyFont="1" applyBorder="1"/>
    <xf numFmtId="0" fontId="0" fillId="5" borderId="1" xfId="0" applyFill="1" applyBorder="1"/>
    <xf numFmtId="9" fontId="0" fillId="5" borderId="1" xfId="1" applyFont="1" applyFill="1" applyBorder="1"/>
    <xf numFmtId="0" fontId="16" fillId="0" borderId="0" xfId="0" applyFont="1"/>
    <xf numFmtId="0" fontId="20" fillId="5" borderId="2" xfId="0" applyFont="1" applyFill="1" applyBorder="1" applyAlignment="1">
      <alignment horizontal="center"/>
    </xf>
    <xf numFmtId="0" fontId="20" fillId="5" borderId="5" xfId="0" applyFont="1" applyFill="1" applyBorder="1" applyAlignment="1">
      <alignment horizontal="center"/>
    </xf>
    <xf numFmtId="0" fontId="21" fillId="14" borderId="30" xfId="0" applyFont="1" applyFill="1" applyBorder="1" applyAlignment="1">
      <alignment wrapText="1"/>
    </xf>
    <xf numFmtId="0" fontId="21" fillId="14" borderId="31" xfId="0" applyFont="1" applyFill="1" applyBorder="1" applyAlignment="1">
      <alignment wrapText="1"/>
    </xf>
    <xf numFmtId="0" fontId="22" fillId="0" borderId="30" xfId="0" applyFont="1" applyBorder="1" applyAlignment="1">
      <alignment wrapText="1"/>
    </xf>
    <xf numFmtId="0" fontId="23" fillId="0" borderId="31" xfId="0" applyFont="1" applyBorder="1" applyAlignment="1">
      <alignment wrapText="1"/>
    </xf>
    <xf numFmtId="0" fontId="23" fillId="15" borderId="31" xfId="0" applyFont="1" applyFill="1" applyBorder="1" applyAlignment="1">
      <alignment wrapText="1"/>
    </xf>
    <xf numFmtId="0" fontId="23" fillId="0" borderId="32" xfId="0" applyFont="1" applyBorder="1" applyAlignment="1">
      <alignment wrapText="1"/>
    </xf>
    <xf numFmtId="0" fontId="23" fillId="0" borderId="33" xfId="0" applyFont="1" applyBorder="1" applyAlignment="1">
      <alignment wrapText="1"/>
    </xf>
    <xf numFmtId="0" fontId="23" fillId="0" borderId="34" xfId="0" applyFont="1" applyBorder="1" applyAlignment="1">
      <alignment wrapText="1"/>
    </xf>
    <xf numFmtId="0" fontId="23" fillId="2" borderId="31" xfId="0" applyFont="1" applyFill="1" applyBorder="1" applyAlignment="1">
      <alignment wrapText="1"/>
    </xf>
    <xf numFmtId="0" fontId="21" fillId="13" borderId="24" xfId="0" applyFont="1" applyFill="1" applyBorder="1" applyAlignment="1">
      <alignment horizontal="center" vertical="center" wrapText="1"/>
    </xf>
    <xf numFmtId="0" fontId="21" fillId="13" borderId="25" xfId="0" applyFont="1" applyFill="1" applyBorder="1" applyAlignment="1">
      <alignment horizontal="center" vertical="center" wrapText="1"/>
    </xf>
    <xf numFmtId="0" fontId="21" fillId="13" borderId="26" xfId="0" applyFont="1" applyFill="1" applyBorder="1" applyAlignment="1">
      <alignment horizontal="center" vertical="center" wrapText="1"/>
    </xf>
    <xf numFmtId="0" fontId="21" fillId="13" borderId="27" xfId="0" applyFont="1" applyFill="1" applyBorder="1" applyAlignment="1">
      <alignment horizontal="center" vertical="center" wrapText="1"/>
    </xf>
    <xf numFmtId="0" fontId="21" fillId="13" borderId="28" xfId="0" applyFont="1" applyFill="1" applyBorder="1" applyAlignment="1">
      <alignment horizontal="center" vertical="center" wrapText="1"/>
    </xf>
    <xf numFmtId="0" fontId="21" fillId="13" borderId="29" xfId="0" applyFont="1" applyFill="1" applyBorder="1" applyAlignment="1">
      <alignment horizontal="center" vertical="center" wrapText="1"/>
    </xf>
    <xf numFmtId="0" fontId="21" fillId="14" borderId="35" xfId="0" applyFont="1" applyFill="1" applyBorder="1" applyAlignment="1">
      <alignment horizontal="center" wrapText="1"/>
    </xf>
    <xf numFmtId="0" fontId="21" fillId="14" borderId="36" xfId="0" applyFont="1" applyFill="1" applyBorder="1" applyAlignment="1">
      <alignment horizontal="center" wrapText="1"/>
    </xf>
    <xf numFmtId="0" fontId="21" fillId="14" borderId="37" xfId="0" applyFont="1" applyFill="1" applyBorder="1" applyAlignment="1">
      <alignment horizontal="center" wrapText="1"/>
    </xf>
    <xf numFmtId="0" fontId="22" fillId="0" borderId="35" xfId="0" applyFont="1" applyBorder="1" applyAlignment="1">
      <alignment horizontal="center" wrapText="1"/>
    </xf>
    <xf numFmtId="0" fontId="22" fillId="0" borderId="37" xfId="0" applyFont="1" applyBorder="1" applyAlignment="1">
      <alignment horizontal="center" wrapText="1"/>
    </xf>
    <xf numFmtId="0" fontId="22" fillId="0" borderId="36" xfId="0" applyFont="1" applyBorder="1" applyAlignment="1">
      <alignment horizontal="center" wrapText="1"/>
    </xf>
    <xf numFmtId="0" fontId="24" fillId="0" borderId="35" xfId="0" applyFont="1" applyBorder="1" applyAlignment="1">
      <alignment wrapText="1"/>
    </xf>
    <xf numFmtId="0" fontId="24" fillId="0" borderId="37" xfId="0" applyFont="1" applyBorder="1" applyAlignment="1">
      <alignment wrapText="1"/>
    </xf>
    <xf numFmtId="0" fontId="22" fillId="0" borderId="35" xfId="0" applyFont="1" applyBorder="1" applyAlignment="1">
      <alignment wrapText="1"/>
    </xf>
    <xf numFmtId="0" fontId="22" fillId="0" borderId="37" xfId="0" applyFont="1" applyBorder="1" applyAlignment="1">
      <alignment wrapText="1"/>
    </xf>
  </cellXfs>
  <cellStyles count="6">
    <cellStyle name="Millares" xfId="5" builtinId="3"/>
    <cellStyle name="Moneda" xfId="4" builtinId="4"/>
    <cellStyle name="Normal" xfId="0" builtinId="0"/>
    <cellStyle name="Normal 2 3" xfId="2" xr:uid="{00000000-0005-0000-0000-000003000000}"/>
    <cellStyle name="Normal 46" xfId="3" xr:uid="{00000000-0005-0000-0000-000004000000}"/>
    <cellStyle name="Porcentaje" xfId="1" builtinId="5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name val="Century Gothic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name val="Century Gothic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entury Gothic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numFmt numFmtId="0" formatCode="General"/>
      <fill>
        <patternFill patternType="solid">
          <fgColor indexed="64"/>
          <bgColor rgb="FFF0F8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numFmt numFmtId="166" formatCode="0000"/>
      <fill>
        <patternFill patternType="solid">
          <fgColor indexed="64"/>
          <bgColor indexed="9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top style="thin">
          <color indexed="8"/>
        </top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alignment vertical="center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fill>
        <patternFill patternType="solid">
          <fgColor indexed="64"/>
          <bgColor rgb="FFF0F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167" formatCode="_-* #,##0.000_-;\-* #,##0.000_-;_-* &quot;-&quot;??_-;_-@_-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entury Gothic"/>
        <scheme val="none"/>
      </font>
      <fill>
        <patternFill patternType="solid">
          <fgColor indexed="64"/>
          <bgColor rgb="FFE1A8D4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8" formatCode="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5" formatCode="_-&quot;S/&quot;* #,##0.00_-;\-&quot;S/&quot;* #,##0.00_-;_-&quot;S/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168" formatCode="d/m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indexed="64"/>
          <bgColor rgb="FF7030A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1A8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1A8D4"/>
            </a:solidFill>
          </c:spPr>
          <c:dPt>
            <c:idx val="0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C1B-4ABD-876C-98D86A23217C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C1B-4ABD-876C-98D86A23217C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C1B-4ABD-876C-98D86A23217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FC1B-4ABD-876C-98D86A23217C}"/>
                </c:ext>
              </c:extLst>
            </c:dLbl>
            <c:dLbl>
              <c:idx val="1"/>
              <c:layout>
                <c:manualLayout>
                  <c:x val="-1.7497812773403329E-2"/>
                  <c:y val="-0.162886754383715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268171203009073"/>
                      <c:h val="0.168051245223011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C1B-4ABD-876C-98D86A23217C}"/>
                </c:ext>
              </c:extLst>
            </c:dLbl>
            <c:dLbl>
              <c:idx val="2"/>
              <c:layout>
                <c:manualLayout>
                  <c:x val="0.40244969378827644"/>
                  <c:y val="8.145331589251668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1B-4ABD-876C-98D86A2321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kpi!$E$14:$E$16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kpi!$F$14:$F$16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1B-4ABD-876C-98D86A23217C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1A8D4"/>
            </a:solidFill>
          </c:spPr>
          <c:dPt>
            <c:idx val="0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282-41EA-8AF3-E6FF7E0719A6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282-41EA-8AF3-E6FF7E0719A6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282-41EA-8AF3-E6FF7E0719A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C282-41EA-8AF3-E6FF7E0719A6}"/>
                </c:ext>
              </c:extLst>
            </c:dLbl>
            <c:dLbl>
              <c:idx val="1"/>
              <c:layout>
                <c:manualLayout>
                  <c:x val="-0.39370078740157483"/>
                  <c:y val="8.145331589251668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82-41EA-8AF3-E6FF7E0719A6}"/>
                </c:ext>
              </c:extLst>
            </c:dLbl>
            <c:dLbl>
              <c:idx val="2"/>
              <c:layout>
                <c:manualLayout>
                  <c:x val="0.35433070866141714"/>
                  <c:y val="5.973778929099659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82-41EA-8AF3-E6FF7E0719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kpi!$I$14:$I$16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kpi!$J$14:$J$16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82-41EA-8AF3-E6FF7E0719A6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1A8D4"/>
            </a:solidFill>
          </c:spPr>
          <c:dPt>
            <c:idx val="0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89-4EF6-8D06-0943C4D9190D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E89-4EF6-8D06-0943C4D9190D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E89-4EF6-8D06-0943C4D9190D}"/>
              </c:ext>
            </c:extLst>
          </c:dPt>
          <c:dLbls>
            <c:dLbl>
              <c:idx val="0"/>
              <c:layout>
                <c:manualLayout>
                  <c:x val="-0.37620297462817148"/>
                  <c:y val="4.34507168688604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89-4EF6-8D06-0943C4D9190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E89-4EF6-8D06-0943C4D9190D}"/>
                </c:ext>
              </c:extLst>
            </c:dLbl>
            <c:dLbl>
              <c:idx val="2"/>
              <c:layout>
                <c:manualLayout>
                  <c:x val="0.38495188101487299"/>
                  <c:y val="5.448972787196381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89-4EF6-8D06-0943C4D919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kpi!$M$14:$M$16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kpi!$N$14:$N$16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9-4EF6-8D06-0943C4D9190D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1A8D4"/>
            </a:solidFill>
          </c:spPr>
          <c:dPt>
            <c:idx val="0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8AC-4C5A-AD00-11AD0FE8DC58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8AC-4C5A-AD00-11AD0FE8DC58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8AC-4C5A-AD00-11AD0FE8DC5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88AC-4C5A-AD00-11AD0FE8DC58}"/>
                </c:ext>
              </c:extLst>
            </c:dLbl>
            <c:dLbl>
              <c:idx val="1"/>
              <c:layout>
                <c:manualLayout>
                  <c:x val="0.23832020997375325"/>
                  <c:y val="-0.27038502312618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56272690323159"/>
                      <c:h val="0.173480126873391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8AC-4C5A-AD00-11AD0FE8DC58}"/>
                </c:ext>
              </c:extLst>
            </c:dLbl>
            <c:dLbl>
              <c:idx val="2"/>
              <c:layout>
                <c:manualLayout>
                  <c:x val="0.35870516185476797"/>
                  <c:y val="3.802226268947651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AC-4C5A-AD00-11AD0FE8DC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kpi!$A$14:$A$16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kpi!$B$14:$B$16</c:f>
              <c:numCache>
                <c:formatCode>0%</c:formatCode>
                <c:ptCount val="3"/>
                <c:pt idx="0">
                  <c:v>0.97599999999999998</c:v>
                </c:pt>
                <c:pt idx="1">
                  <c:v>2.4E-2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AC-4C5A-AD00-11AD0FE8DC58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223346</xdr:colOff>
      <xdr:row>4</xdr:row>
      <xdr:rowOff>45981</xdr:rowOff>
    </xdr:from>
    <xdr:to>
      <xdr:col>3</xdr:col>
      <xdr:colOff>474907</xdr:colOff>
      <xdr:row>5</xdr:row>
      <xdr:rowOff>164224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C509D6-DB1A-A02D-FE5D-A480A148E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346" y="814550"/>
          <a:ext cx="1013561" cy="3087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60960</xdr:rowOff>
    </xdr:from>
    <xdr:to>
      <xdr:col>1</xdr:col>
      <xdr:colOff>185951</xdr:colOff>
      <xdr:row>3</xdr:row>
      <xdr:rowOff>7620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960"/>
          <a:ext cx="1717571" cy="449580"/>
        </a:xfrm>
        <a:prstGeom prst="rect">
          <a:avLst/>
        </a:prstGeom>
      </xdr:spPr>
    </xdr:pic>
    <xdr:clientData/>
  </xdr:twoCellAnchor>
  <xdr:twoCellAnchor>
    <xdr:from>
      <xdr:col>3</xdr:col>
      <xdr:colOff>464820</xdr:colOff>
      <xdr:row>22</xdr:row>
      <xdr:rowOff>22860</xdr:rowOff>
    </xdr:from>
    <xdr:to>
      <xdr:col>6</xdr:col>
      <xdr:colOff>381000</xdr:colOff>
      <xdr:row>36</xdr:row>
      <xdr:rowOff>15240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541020</xdr:colOff>
      <xdr:row>22</xdr:row>
      <xdr:rowOff>0</xdr:rowOff>
    </xdr:from>
    <xdr:to>
      <xdr:col>10</xdr:col>
      <xdr:colOff>457200</xdr:colOff>
      <xdr:row>35</xdr:row>
      <xdr:rowOff>160020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21</xdr:row>
      <xdr:rowOff>152400</xdr:rowOff>
    </xdr:from>
    <xdr:to>
      <xdr:col>14</xdr:col>
      <xdr:colOff>297180</xdr:colOff>
      <xdr:row>35</xdr:row>
      <xdr:rowOff>144780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</xdr:colOff>
      <xdr:row>22</xdr:row>
      <xdr:rowOff>0</xdr:rowOff>
    </xdr:from>
    <xdr:to>
      <xdr:col>2</xdr:col>
      <xdr:colOff>693420</xdr:colOff>
      <xdr:row>35</xdr:row>
      <xdr:rowOff>160020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6:N211" totalsRowShown="0" headerRowDxfId="59" dataDxfId="57" headerRowBorderDxfId="58" tableBorderDxfId="56" totalsRowBorderDxfId="55">
  <autoFilter ref="A6:N211" xr:uid="{00000000-0009-0000-0100-000001000000}">
    <filterColumn colId="6">
      <filters blank="1">
        <filter val="PALOMINO"/>
      </filters>
    </filterColumn>
  </autoFilter>
  <sortState xmlns:xlrd2="http://schemas.microsoft.com/office/spreadsheetml/2017/richdata2" ref="A7:N211">
    <sortCondition ref="D6:D211"/>
  </sortState>
  <tableColumns count="14">
    <tableColumn id="1" xr3:uid="{00000000-0010-0000-0000-000001000000}" name="FECHA DESPACHO" dataDxfId="54"/>
    <tableColumn id="2" xr3:uid="{00000000-0010-0000-0000-000002000000}" name="TIENDA" dataDxfId="53"/>
    <tableColumn id="3" xr3:uid="{00000000-0010-0000-0000-000003000000}" name="ID TIENDA" dataDxfId="52"/>
    <tableColumn id="4" xr3:uid="{00000000-0010-0000-0000-000004000000}" name="RUTA" dataDxfId="51"/>
    <tableColumn id="14" xr3:uid="{00000000-0010-0000-0000-00000E000000}" name="GUIA" dataDxfId="50">
      <calculatedColumnFormula>VLOOKUP(Tabla1[[#This Row],[ID TIENDA]],Guias[],2,0)</calculatedColumnFormula>
    </tableColumn>
    <tableColumn id="13" xr3:uid="{00000000-0010-0000-0000-00000D000000}" name="VALOR" dataDxfId="49" dataCellStyle="Moneda"/>
    <tableColumn id="5" xr3:uid="{00000000-0010-0000-0000-000005000000}" name="PROVEEDOR" dataDxfId="48">
      <calculatedColumnFormula>IFERROR(VLOOKUP(Tabla1[[#This Row],[RUTA]],Tabla2[#All],3,0),"")</calculatedColumnFormula>
    </tableColumn>
    <tableColumn id="6" xr3:uid="{00000000-0010-0000-0000-000006000000}" name="PLACA" dataDxfId="47">
      <calculatedColumnFormula>IFERROR(VLOOKUP(Tabla1[[#This Row],[RUTA]],Tabla2[[#All],[RUTA]:[PLACAS]],2,0),"")</calculatedColumnFormula>
    </tableColumn>
    <tableColumn id="7" xr3:uid="{00000000-0010-0000-0000-000007000000}" name="CONDUCTOR" dataDxfId="46">
      <calculatedColumnFormula>IFERROR(VLOOKUP(Tabla1[[#This Row],[RUTA]],Tabla2[[#All],[RUTA]:[CONDUCTOR]],4,0),"")</calculatedColumnFormula>
    </tableColumn>
    <tableColumn id="8" xr3:uid="{00000000-0010-0000-0000-000008000000}" name="AUXILIAR" dataDxfId="45">
      <calculatedColumnFormula>IFERROR(VLOOKUP(Tabla1[[#This Row],[RUTA]],Tabla2[#All],5,0),"")</calculatedColumnFormula>
    </tableColumn>
    <tableColumn id="9" xr3:uid="{00000000-0010-0000-0000-000009000000}" name="ESTADO" dataDxfId="44"/>
    <tableColumn id="11" xr3:uid="{00000000-0010-0000-0000-00000B000000}" name="FECHA DE ENTREGA" dataDxfId="43"/>
    <tableColumn id="10" xr3:uid="{00000000-0010-0000-0000-00000A000000}" name="OBSERVACIÓN" dataDxfId="42"/>
    <tableColumn id="12" xr3:uid="{00000000-0010-0000-0000-00000C000000}" name="ENTREGAS CONFORME" dataDxfId="41">
      <calculatedColumnFormula>IF(Tabla1[[#This Row],[ESTADO]]="ENTREGADO",IF(Tabla1[[#This Row],[OBSERVACIÓN]]="OK","SI","NO"),"")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5" displayName="Tabla5" ref="A1:M85" totalsRowShown="0" headerRowDxfId="40" headerRowBorderDxfId="39" tableBorderDxfId="38" totalsRowBorderDxfId="37">
  <autoFilter ref="A1:M85" xr:uid="{00000000-0009-0000-0100-000005000000}"/>
  <tableColumns count="13">
    <tableColumn id="1" xr3:uid="{00000000-0010-0000-0100-000001000000}" name="ID TIENDA" dataDxfId="36"/>
    <tableColumn id="2" xr3:uid="{00000000-0010-0000-0100-000002000000}" name="TIENDA" dataDxfId="35"/>
    <tableColumn id="3" xr3:uid="{00000000-0010-0000-0100-000003000000}" name="PROVEEDOR" dataDxfId="34"/>
    <tableColumn id="5" xr3:uid="{00000000-0010-0000-0100-000005000000}" name="ruta" dataDxfId="33"/>
    <tableColumn id="4" xr3:uid="{00000000-0010-0000-0100-000004000000}" name="OBSERVACIÓN" dataDxfId="32"/>
    <tableColumn id="6" xr3:uid="{00000000-0010-0000-0100-000006000000}" name="sku"/>
    <tableColumn id="7" xr3:uid="{00000000-0010-0000-0100-000007000000}" name="cantidad" dataDxfId="31"/>
    <tableColumn id="8" xr3:uid="{00000000-0010-0000-0100-000008000000}" name="status" dataDxfId="30"/>
    <tableColumn id="13" xr3:uid="{00000000-0010-0000-0100-00000D000000}" name="IND2" dataDxfId="29"/>
    <tableColumn id="12" xr3:uid="{00000000-0010-0000-0100-00000C000000}" name="IND3"/>
    <tableColumn id="9" xr3:uid="{00000000-0010-0000-0100-000009000000}" name="descripcion" dataDxfId="28"/>
    <tableColumn id="10" xr3:uid="{00000000-0010-0000-0100-00000A000000}" name="ue" dataDxfId="27"/>
    <tableColumn id="11" xr3:uid="{00000000-0010-0000-0100-00000B000000}" name="bultos" dataDxfId="26" dataCellStyle="Millar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2:A8" totalsRowShown="0">
  <autoFilter ref="A2:A8" xr:uid="{00000000-0009-0000-0100-000003000000}"/>
  <tableColumns count="1">
    <tableColumn id="1" xr3:uid="{00000000-0010-0000-0200-000001000000}" name="PROVEEDO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Guias" displayName="Guias" ref="D2:E199" totalsRowShown="0" headerRowDxfId="25" dataDxfId="23" headerRowBorderDxfId="24" tableBorderDxfId="22" totalsRowBorderDxfId="21">
  <autoFilter ref="D2:E199" xr:uid="{00000000-0009-0000-0100-000004000000}"/>
  <sortState xmlns:xlrd2="http://schemas.microsoft.com/office/spreadsheetml/2017/richdata2" ref="D3:E295">
    <sortCondition ref="D2:D494"/>
  </sortState>
  <tableColumns count="2">
    <tableColumn id="1" xr3:uid="{00000000-0010-0000-0300-000001000000}" name="Sale a Tda #" dataDxfId="20"/>
    <tableColumn id="2" xr3:uid="{00000000-0010-0000-0300-000002000000}" name="Nro Fisico" dataDxfId="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a2" displayName="Tabla2" ref="A1:E16" totalsRowShown="0" headerRowDxfId="18" dataDxfId="16" headerRowBorderDxfId="17" tableBorderDxfId="15" totalsRowBorderDxfId="14">
  <autoFilter ref="A1:E16" xr:uid="{00000000-000C-0000-FFFF-FFFF04000000}">
    <filterColumn colId="2">
      <filters>
        <filter val="PALOMINO"/>
      </filters>
    </filterColumn>
  </autoFilter>
  <tableColumns count="5">
    <tableColumn id="1" xr3:uid="{00000000-0010-0000-0400-000001000000}" name="RUTA" dataDxfId="13"/>
    <tableColumn id="2" xr3:uid="{00000000-0010-0000-0400-000002000000}" name="PLACAS" dataDxfId="12"/>
    <tableColumn id="3" xr3:uid="{00000000-0010-0000-0400-000003000000}" name="PROVEEDOR" dataDxfId="11"/>
    <tableColumn id="4" xr3:uid="{00000000-0010-0000-0400-000004000000}" name="CONDUCTOR" dataDxfId="10"/>
    <tableColumn id="5" xr3:uid="{00000000-0010-0000-0400-000005000000}" name="AUXILIAR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13"/>
  <sheetViews>
    <sheetView topLeftCell="A105" workbookViewId="0">
      <selection activeCell="M107" sqref="M107"/>
    </sheetView>
  </sheetViews>
  <sheetFormatPr baseColWidth="10" defaultColWidth="11.5703125" defaultRowHeight="12" x14ac:dyDescent="0.2"/>
  <cols>
    <col min="1" max="1" width="14.7109375" style="50" bestFit="1" customWidth="1"/>
    <col min="2" max="2" width="22.7109375" style="50" bestFit="1" customWidth="1"/>
    <col min="3" max="3" width="13.42578125" style="50" bestFit="1" customWidth="1"/>
    <col min="4" max="4" width="10" style="50" bestFit="1" customWidth="1"/>
    <col min="5" max="5" width="19.28515625" style="50" bestFit="1" customWidth="1"/>
    <col min="6" max="6" width="11.5703125" style="50" bestFit="1" customWidth="1"/>
    <col min="7" max="7" width="15.85546875" style="50" bestFit="1" customWidth="1"/>
    <col min="8" max="8" width="11.140625" style="50" bestFit="1" customWidth="1"/>
    <col min="9" max="9" width="16" style="50" bestFit="1" customWidth="1"/>
    <col min="10" max="10" width="13.140625" style="50" bestFit="1" customWidth="1"/>
    <col min="11" max="11" width="12.28515625" style="58" bestFit="1" customWidth="1"/>
    <col min="12" max="12" width="13.42578125" style="58" bestFit="1" customWidth="1"/>
    <col min="13" max="13" width="17.5703125" style="50" bestFit="1" customWidth="1"/>
    <col min="14" max="14" width="14.85546875" style="50" bestFit="1" customWidth="1"/>
    <col min="15" max="16384" width="11.5703125" style="50"/>
  </cols>
  <sheetData>
    <row r="1" spans="1:14" hidden="1" x14ac:dyDescent="0.2"/>
    <row r="2" spans="1:14" hidden="1" x14ac:dyDescent="0.2"/>
    <row r="3" spans="1:14" hidden="1" x14ac:dyDescent="0.2"/>
    <row r="4" spans="1:14" hidden="1" x14ac:dyDescent="0.2"/>
    <row r="5" spans="1:14" hidden="1" x14ac:dyDescent="0.2"/>
    <row r="6" spans="1:14" ht="24" x14ac:dyDescent="0.2">
      <c r="A6" s="47" t="s">
        <v>15</v>
      </c>
      <c r="B6" s="48" t="s">
        <v>0</v>
      </c>
      <c r="C6" s="48" t="s">
        <v>1</v>
      </c>
      <c r="D6" s="48" t="s">
        <v>2</v>
      </c>
      <c r="E6" s="48" t="s">
        <v>34</v>
      </c>
      <c r="F6" s="48" t="s">
        <v>37</v>
      </c>
      <c r="G6" s="48" t="s">
        <v>8</v>
      </c>
      <c r="H6" s="48" t="s">
        <v>3</v>
      </c>
      <c r="I6" s="48" t="s">
        <v>21</v>
      </c>
      <c r="J6" s="48" t="s">
        <v>4</v>
      </c>
      <c r="K6" s="48" t="s">
        <v>5</v>
      </c>
      <c r="L6" s="48" t="s">
        <v>24</v>
      </c>
      <c r="M6" s="48" t="s">
        <v>6</v>
      </c>
      <c r="N6" s="49" t="s">
        <v>25</v>
      </c>
    </row>
    <row r="7" spans="1:14" ht="84.75" x14ac:dyDescent="0.25">
      <c r="A7" s="51">
        <v>45128</v>
      </c>
      <c r="B7" s="65" t="s">
        <v>82</v>
      </c>
      <c r="C7" s="65">
        <v>458</v>
      </c>
      <c r="D7" s="65">
        <v>1</v>
      </c>
      <c r="E7" s="52" t="str">
        <f>VLOOKUP(Tabla1[[#This Row],[ID TIENDA]],Guias[],2,0)</f>
        <v>T994-00158757</v>
      </c>
      <c r="F7" s="54">
        <v>1572.2</v>
      </c>
      <c r="G7" s="52" t="str">
        <f>IFERROR(VLOOKUP(Tabla1[[#This Row],[RUTA]],Tabla2[#All],3,0),"")</f>
        <v>PALOMINO</v>
      </c>
      <c r="H7" s="52" t="str">
        <f>IFERROR(VLOOKUP(Tabla1[[#This Row],[RUTA]],Tabla2[[#All],[RUTA]:[PLACAS]],2,0),"")</f>
        <v>BDW-945</v>
      </c>
      <c r="I7" s="52" t="str">
        <f>IFERROR(VLOOKUP(Tabla1[[#This Row],[RUTA]],Tabla2[[#All],[RUTA]:[CONDUCTOR]],4,0),"")</f>
        <v xml:space="preserve">Edgar </v>
      </c>
      <c r="J7" s="52" t="str">
        <f>IFERROR(VLOOKUP(Tabla1[[#This Row],[RUTA]],Tabla2[#All],5,0),"")</f>
        <v>William</v>
      </c>
      <c r="K7" s="53" t="s">
        <v>7</v>
      </c>
      <c r="L7" s="55">
        <v>45128</v>
      </c>
      <c r="M7" s="73" t="s">
        <v>534</v>
      </c>
      <c r="N7" s="56" t="str">
        <f>IF(Tabla1[[#This Row],[ESTADO]]="ENTREGADO",IF(Tabla1[[#This Row],[OBSERVACIÓN]]="OK","SI","NO"),"")</f>
        <v>NO</v>
      </c>
    </row>
    <row r="8" spans="1:14" ht="96" x14ac:dyDescent="0.2">
      <c r="A8" s="51">
        <v>45128</v>
      </c>
      <c r="B8" s="52" t="s">
        <v>83</v>
      </c>
      <c r="C8" s="52">
        <v>374</v>
      </c>
      <c r="D8" s="52">
        <v>1</v>
      </c>
      <c r="E8" s="52" t="str">
        <f>VLOOKUP(Tabla1[[#This Row],[ID TIENDA]],Guias[],2,0)</f>
        <v>T994-00158709</v>
      </c>
      <c r="F8" s="54">
        <v>1169.83</v>
      </c>
      <c r="G8" s="52" t="str">
        <f>IFERROR(VLOOKUP(Tabla1[[#This Row],[RUTA]],Tabla2[#All],3,0),"")</f>
        <v>PALOMINO</v>
      </c>
      <c r="H8" s="52" t="str">
        <f>IFERROR(VLOOKUP(Tabla1[[#This Row],[RUTA]],Tabla2[[#All],[RUTA]:[PLACAS]],2,0),"")</f>
        <v>BDW-945</v>
      </c>
      <c r="I8" s="52" t="str">
        <f>IFERROR(VLOOKUP(Tabla1[[#This Row],[RUTA]],Tabla2[[#All],[RUTA]:[CONDUCTOR]],4,0),"")</f>
        <v xml:space="preserve">Edgar </v>
      </c>
      <c r="J8" s="52" t="str">
        <f>IFERROR(VLOOKUP(Tabla1[[#This Row],[RUTA]],Tabla2[#All],5,0),"")</f>
        <v>William</v>
      </c>
      <c r="K8" s="53" t="s">
        <v>7</v>
      </c>
      <c r="L8" s="55">
        <v>45128</v>
      </c>
      <c r="M8" s="73" t="s">
        <v>482</v>
      </c>
      <c r="N8" s="56" t="str">
        <f>IF(Tabla1[[#This Row],[ESTADO]]="ENTREGADO",IF(Tabla1[[#This Row],[OBSERVACIÓN]]="OK","SI","NO"),"")</f>
        <v>NO</v>
      </c>
    </row>
    <row r="9" spans="1:14" ht="96" x14ac:dyDescent="0.2">
      <c r="A9" s="51">
        <v>45128</v>
      </c>
      <c r="B9" s="52" t="s">
        <v>84</v>
      </c>
      <c r="C9" s="52">
        <v>428</v>
      </c>
      <c r="D9" s="52">
        <v>1</v>
      </c>
      <c r="E9" s="52" t="str">
        <f>VLOOKUP(Tabla1[[#This Row],[ID TIENDA]],Guias[],2,0)</f>
        <v>T994-00158807</v>
      </c>
      <c r="F9" s="54">
        <v>1867.54</v>
      </c>
      <c r="G9" s="52" t="str">
        <f>IFERROR(VLOOKUP(Tabla1[[#This Row],[RUTA]],Tabla2[#All],3,0),"")</f>
        <v>PALOMINO</v>
      </c>
      <c r="H9" s="52" t="str">
        <f>IFERROR(VLOOKUP(Tabla1[[#This Row],[RUTA]],Tabla2[[#All],[RUTA]:[PLACAS]],2,0),"")</f>
        <v>BDW-945</v>
      </c>
      <c r="I9" s="52" t="str">
        <f>IFERROR(VLOOKUP(Tabla1[[#This Row],[RUTA]],Tabla2[[#All],[RUTA]:[CONDUCTOR]],4,0),"")</f>
        <v xml:space="preserve">Edgar </v>
      </c>
      <c r="J9" s="52" t="str">
        <f>IFERROR(VLOOKUP(Tabla1[[#This Row],[RUTA]],Tabla2[#All],5,0),"")</f>
        <v>William</v>
      </c>
      <c r="K9" s="53" t="s">
        <v>7</v>
      </c>
      <c r="L9" s="55">
        <v>45128</v>
      </c>
      <c r="M9" s="73" t="s">
        <v>532</v>
      </c>
      <c r="N9" s="56" t="str">
        <f>IF(Tabla1[[#This Row],[ESTADO]]="ENTREGADO",IF(Tabla1[[#This Row],[OBSERVACIÓN]]="OK","SI","NO"),"")</f>
        <v>NO</v>
      </c>
    </row>
    <row r="10" spans="1:14" ht="156" x14ac:dyDescent="0.2">
      <c r="A10" s="51">
        <v>45128</v>
      </c>
      <c r="B10" s="52" t="s">
        <v>85</v>
      </c>
      <c r="C10" s="52">
        <v>483</v>
      </c>
      <c r="D10" s="52">
        <v>1</v>
      </c>
      <c r="E10" s="52" t="str">
        <f>VLOOKUP(Tabla1[[#This Row],[ID TIENDA]],Guias[],2,0)</f>
        <v>T994-00158763</v>
      </c>
      <c r="F10" s="54">
        <v>1707.46</v>
      </c>
      <c r="G10" s="52" t="str">
        <f>IFERROR(VLOOKUP(Tabla1[[#This Row],[RUTA]],Tabla2[#All],3,0),"")</f>
        <v>PALOMINO</v>
      </c>
      <c r="H10" s="52" t="str">
        <f>IFERROR(VLOOKUP(Tabla1[[#This Row],[RUTA]],Tabla2[[#All],[RUTA]:[PLACAS]],2,0),"")</f>
        <v>BDW-945</v>
      </c>
      <c r="I10" s="52" t="str">
        <f>IFERROR(VLOOKUP(Tabla1[[#This Row],[RUTA]],Tabla2[[#All],[RUTA]:[CONDUCTOR]],4,0),"")</f>
        <v xml:space="preserve">Edgar </v>
      </c>
      <c r="J10" s="52" t="str">
        <f>IFERROR(VLOOKUP(Tabla1[[#This Row],[RUTA]],Tabla2[#All],5,0),"")</f>
        <v>William</v>
      </c>
      <c r="K10" s="53" t="s">
        <v>7</v>
      </c>
      <c r="L10" s="55">
        <v>45128</v>
      </c>
      <c r="M10" s="73" t="s">
        <v>535</v>
      </c>
      <c r="N10" s="56" t="str">
        <f>IF(Tabla1[[#This Row],[ESTADO]]="ENTREGADO",IF(Tabla1[[#This Row],[OBSERVACIÓN]]="OK","SI","NO"),"")</f>
        <v>NO</v>
      </c>
    </row>
    <row r="11" spans="1:14" ht="108" x14ac:dyDescent="0.2">
      <c r="A11" s="51">
        <v>45128</v>
      </c>
      <c r="B11" s="52" t="s">
        <v>86</v>
      </c>
      <c r="C11" s="52">
        <v>421</v>
      </c>
      <c r="D11" s="52">
        <v>1</v>
      </c>
      <c r="E11" s="52" t="str">
        <f>VLOOKUP(Tabla1[[#This Row],[ID TIENDA]],Guias[],2,0)</f>
        <v>T994-00158805</v>
      </c>
      <c r="F11" s="54">
        <v>1072.8800000000001</v>
      </c>
      <c r="G11" s="52" t="str">
        <f>IFERROR(VLOOKUP(Tabla1[[#This Row],[RUTA]],Tabla2[#All],3,0),"")</f>
        <v>PALOMINO</v>
      </c>
      <c r="H11" s="52" t="str">
        <f>IFERROR(VLOOKUP(Tabla1[[#This Row],[RUTA]],Tabla2[[#All],[RUTA]:[PLACAS]],2,0),"")</f>
        <v>BDW-945</v>
      </c>
      <c r="I11" s="52" t="str">
        <f>IFERROR(VLOOKUP(Tabla1[[#This Row],[RUTA]],Tabla2[[#All],[RUTA]:[CONDUCTOR]],4,0),"")</f>
        <v xml:space="preserve">Edgar </v>
      </c>
      <c r="J11" s="52" t="str">
        <f>IFERROR(VLOOKUP(Tabla1[[#This Row],[RUTA]],Tabla2[#All],5,0),"")</f>
        <v>William</v>
      </c>
      <c r="K11" s="53" t="s">
        <v>7</v>
      </c>
      <c r="L11" s="55">
        <v>45128</v>
      </c>
      <c r="M11" s="73" t="s">
        <v>493</v>
      </c>
      <c r="N11" s="56" t="str">
        <f>IF(Tabla1[[#This Row],[ESTADO]]="ENTREGADO",IF(Tabla1[[#This Row],[OBSERVACIÓN]]="OK","SI","NO"),"")</f>
        <v>NO</v>
      </c>
    </row>
    <row r="12" spans="1:14" ht="108" x14ac:dyDescent="0.2">
      <c r="A12" s="51">
        <v>45128</v>
      </c>
      <c r="B12" s="52" t="s">
        <v>87</v>
      </c>
      <c r="C12" s="52">
        <v>517</v>
      </c>
      <c r="D12" s="52">
        <v>1</v>
      </c>
      <c r="E12" s="52" t="str">
        <f>VLOOKUP(Tabla1[[#This Row],[ID TIENDA]],Guias[],2,0)</f>
        <v>T994-00158808</v>
      </c>
      <c r="F12" s="54">
        <v>1353.56</v>
      </c>
      <c r="G12" s="52" t="str">
        <f>IFERROR(VLOOKUP(Tabla1[[#This Row],[RUTA]],Tabla2[#All],3,0),"")</f>
        <v>PALOMINO</v>
      </c>
      <c r="H12" s="52" t="str">
        <f>IFERROR(VLOOKUP(Tabla1[[#This Row],[RUTA]],Tabla2[[#All],[RUTA]:[PLACAS]],2,0),"")</f>
        <v>BDW-945</v>
      </c>
      <c r="I12" s="52" t="str">
        <f>IFERROR(VLOOKUP(Tabla1[[#This Row],[RUTA]],Tabla2[[#All],[RUTA]:[CONDUCTOR]],4,0),"")</f>
        <v xml:space="preserve">Edgar </v>
      </c>
      <c r="J12" s="52" t="str">
        <f>IFERROR(VLOOKUP(Tabla1[[#This Row],[RUTA]],Tabla2[#All],5,0),"")</f>
        <v>William</v>
      </c>
      <c r="K12" s="53" t="s">
        <v>7</v>
      </c>
      <c r="L12" s="55">
        <v>45128</v>
      </c>
      <c r="M12" s="73" t="s">
        <v>520</v>
      </c>
      <c r="N12" s="56" t="str">
        <f>IF(Tabla1[[#This Row],[ESTADO]]="ENTREGADO",IF(Tabla1[[#This Row],[OBSERVACIÓN]]="OK","SI","NO"),"")</f>
        <v>NO</v>
      </c>
    </row>
    <row r="13" spans="1:14" x14ac:dyDescent="0.2">
      <c r="A13" s="51">
        <v>45128</v>
      </c>
      <c r="B13" s="52" t="s">
        <v>88</v>
      </c>
      <c r="C13" s="52">
        <v>314</v>
      </c>
      <c r="D13" s="52">
        <v>1</v>
      </c>
      <c r="E13" s="52" t="str">
        <f>VLOOKUP(Tabla1[[#This Row],[ID TIENDA]],Guias[],2,0)</f>
        <v>T994-00158745</v>
      </c>
      <c r="F13" s="54">
        <v>1689.09</v>
      </c>
      <c r="G13" s="52" t="str">
        <f>IFERROR(VLOOKUP(Tabla1[[#This Row],[RUTA]],Tabla2[#All],3,0),"")</f>
        <v>PALOMINO</v>
      </c>
      <c r="H13" s="52" t="str">
        <f>IFERROR(VLOOKUP(Tabla1[[#This Row],[RUTA]],Tabla2[[#All],[RUTA]:[PLACAS]],2,0),"")</f>
        <v>BDW-945</v>
      </c>
      <c r="I13" s="52" t="str">
        <f>IFERROR(VLOOKUP(Tabla1[[#This Row],[RUTA]],Tabla2[[#All],[RUTA]:[CONDUCTOR]],4,0),"")</f>
        <v xml:space="preserve">Edgar </v>
      </c>
      <c r="J13" s="52" t="str">
        <f>IFERROR(VLOOKUP(Tabla1[[#This Row],[RUTA]],Tabla2[#All],5,0),"")</f>
        <v>William</v>
      </c>
      <c r="K13" s="53" t="s">
        <v>7</v>
      </c>
      <c r="L13" s="55">
        <v>45128</v>
      </c>
      <c r="M13" s="66" t="s">
        <v>517</v>
      </c>
      <c r="N13" s="56" t="str">
        <f>IF(Tabla1[[#This Row],[ESTADO]]="ENTREGADO",IF(Tabla1[[#This Row],[OBSERVACIÓN]]="OK","SI","NO"),"")</f>
        <v>SI</v>
      </c>
    </row>
    <row r="14" spans="1:14" x14ac:dyDescent="0.2">
      <c r="A14" s="51">
        <v>45128</v>
      </c>
      <c r="B14" s="52" t="s">
        <v>89</v>
      </c>
      <c r="C14" s="52">
        <v>405</v>
      </c>
      <c r="D14" s="52">
        <v>1</v>
      </c>
      <c r="E14" s="52" t="str">
        <f>VLOOKUP(Tabla1[[#This Row],[ID TIENDA]],Guias[],2,0)</f>
        <v>T994-00158838</v>
      </c>
      <c r="F14" s="54">
        <v>1404.57</v>
      </c>
      <c r="G14" s="52" t="str">
        <f>IFERROR(VLOOKUP(Tabla1[[#This Row],[RUTA]],Tabla2[#All],3,0),"")</f>
        <v>PALOMINO</v>
      </c>
      <c r="H14" s="52" t="str">
        <f>IFERROR(VLOOKUP(Tabla1[[#This Row],[RUTA]],Tabla2[[#All],[RUTA]:[PLACAS]],2,0),"")</f>
        <v>BDW-945</v>
      </c>
      <c r="I14" s="52" t="str">
        <f>IFERROR(VLOOKUP(Tabla1[[#This Row],[RUTA]],Tabla2[[#All],[RUTA]:[CONDUCTOR]],4,0),"")</f>
        <v xml:space="preserve">Edgar </v>
      </c>
      <c r="J14" s="52" t="str">
        <f>IFERROR(VLOOKUP(Tabla1[[#This Row],[RUTA]],Tabla2[#All],5,0),"")</f>
        <v>William</v>
      </c>
      <c r="K14" s="53" t="s">
        <v>7</v>
      </c>
      <c r="L14" s="55">
        <v>45128</v>
      </c>
      <c r="M14" s="66" t="s">
        <v>517</v>
      </c>
      <c r="N14" s="56" t="str">
        <f>IF(Tabla1[[#This Row],[ESTADO]]="ENTREGADO",IF(Tabla1[[#This Row],[OBSERVACIÓN]]="OK","SI","NO"),"")</f>
        <v>SI</v>
      </c>
    </row>
    <row r="15" spans="1:14" ht="24" x14ac:dyDescent="0.2">
      <c r="A15" s="51">
        <v>45128</v>
      </c>
      <c r="B15" s="52" t="s">
        <v>90</v>
      </c>
      <c r="C15" s="52">
        <v>227</v>
      </c>
      <c r="D15" s="52">
        <v>1</v>
      </c>
      <c r="E15" s="52" t="str">
        <f>VLOOKUP(Tabla1[[#This Row],[ID TIENDA]],Guias[],2,0)</f>
        <v>T994-00158707</v>
      </c>
      <c r="F15" s="54">
        <v>1528.31</v>
      </c>
      <c r="G15" s="52" t="str">
        <f>IFERROR(VLOOKUP(Tabla1[[#This Row],[RUTA]],Tabla2[#All],3,0),"")</f>
        <v>PALOMINO</v>
      </c>
      <c r="H15" s="52" t="str">
        <f>IFERROR(VLOOKUP(Tabla1[[#This Row],[RUTA]],Tabla2[[#All],[RUTA]:[PLACAS]],2,0),"")</f>
        <v>BDW-945</v>
      </c>
      <c r="I15" s="52" t="str">
        <f>IFERROR(VLOOKUP(Tabla1[[#This Row],[RUTA]],Tabla2[[#All],[RUTA]:[CONDUCTOR]],4,0),"")</f>
        <v xml:space="preserve">Edgar </v>
      </c>
      <c r="J15" s="52" t="str">
        <f>IFERROR(VLOOKUP(Tabla1[[#This Row],[RUTA]],Tabla2[#All],5,0),"")</f>
        <v>William</v>
      </c>
      <c r="K15" s="53" t="s">
        <v>7</v>
      </c>
      <c r="L15" s="55">
        <v>45128</v>
      </c>
      <c r="M15" s="73" t="s">
        <v>526</v>
      </c>
      <c r="N15" s="56" t="str">
        <f>IF(Tabla1[[#This Row],[ESTADO]]="ENTREGADO",IF(Tabla1[[#This Row],[OBSERVACIÓN]]="OK","SI","NO"),"")</f>
        <v>NO</v>
      </c>
    </row>
    <row r="16" spans="1:14" x14ac:dyDescent="0.2">
      <c r="A16" s="51">
        <v>45128</v>
      </c>
      <c r="B16" s="52" t="s">
        <v>91</v>
      </c>
      <c r="C16" s="52">
        <v>419</v>
      </c>
      <c r="D16" s="52">
        <v>1</v>
      </c>
      <c r="E16" s="52" t="str">
        <f>VLOOKUP(Tabla1[[#This Row],[ID TIENDA]],Guias[],2,0)</f>
        <v>T994-00158846</v>
      </c>
      <c r="F16" s="54">
        <v>1978.89</v>
      </c>
      <c r="G16" s="52" t="str">
        <f>IFERROR(VLOOKUP(Tabla1[[#This Row],[RUTA]],Tabla2[#All],3,0),"")</f>
        <v>PALOMINO</v>
      </c>
      <c r="H16" s="52" t="str">
        <f>IFERROR(VLOOKUP(Tabla1[[#This Row],[RUTA]],Tabla2[[#All],[RUTA]:[PLACAS]],2,0),"")</f>
        <v>BDW-945</v>
      </c>
      <c r="I16" s="52" t="str">
        <f>IFERROR(VLOOKUP(Tabla1[[#This Row],[RUTA]],Tabla2[[#All],[RUTA]:[CONDUCTOR]],4,0),"")</f>
        <v xml:space="preserve">Edgar </v>
      </c>
      <c r="J16" s="52" t="str">
        <f>IFERROR(VLOOKUP(Tabla1[[#This Row],[RUTA]],Tabla2[#All],5,0),"")</f>
        <v>William</v>
      </c>
      <c r="K16" s="53" t="s">
        <v>7</v>
      </c>
      <c r="L16" s="55">
        <v>45128</v>
      </c>
      <c r="M16" s="66" t="s">
        <v>517</v>
      </c>
      <c r="N16" s="56" t="str">
        <f>IF(Tabla1[[#This Row],[ESTADO]]="ENTREGADO",IF(Tabla1[[#This Row],[OBSERVACIÓN]]="OK","SI","NO"),"")</f>
        <v>SI</v>
      </c>
    </row>
    <row r="17" spans="1:14" ht="36" x14ac:dyDescent="0.2">
      <c r="A17" s="51">
        <v>45128</v>
      </c>
      <c r="B17" s="52" t="s">
        <v>92</v>
      </c>
      <c r="C17" s="52">
        <v>182</v>
      </c>
      <c r="D17" s="52">
        <v>1</v>
      </c>
      <c r="E17" s="52" t="str">
        <f>VLOOKUP(Tabla1[[#This Row],[ID TIENDA]],Guias[],2,0)</f>
        <v>T994-00158717</v>
      </c>
      <c r="F17" s="54">
        <v>1883.5</v>
      </c>
      <c r="G17" s="52" t="str">
        <f>IFERROR(VLOOKUP(Tabla1[[#This Row],[RUTA]],Tabla2[#All],3,0),"")</f>
        <v>PALOMINO</v>
      </c>
      <c r="H17" s="52" t="str">
        <f>IFERROR(VLOOKUP(Tabla1[[#This Row],[RUTA]],Tabla2[[#All],[RUTA]:[PLACAS]],2,0),"")</f>
        <v>BDW-945</v>
      </c>
      <c r="I17" s="52" t="str">
        <f>IFERROR(VLOOKUP(Tabla1[[#This Row],[RUTA]],Tabla2[[#All],[RUTA]:[CONDUCTOR]],4,0),"")</f>
        <v xml:space="preserve">Edgar </v>
      </c>
      <c r="J17" s="52" t="str">
        <f>IFERROR(VLOOKUP(Tabla1[[#This Row],[RUTA]],Tabla2[#All],5,0),"")</f>
        <v>William</v>
      </c>
      <c r="K17" s="53" t="s">
        <v>7</v>
      </c>
      <c r="L17" s="55">
        <v>45128</v>
      </c>
      <c r="M17" s="73" t="s">
        <v>524</v>
      </c>
      <c r="N17" s="56" t="str">
        <f>IF(Tabla1[[#This Row],[ESTADO]]="ENTREGADO",IF(Tabla1[[#This Row],[OBSERVACIÓN]]="OK","SI","NO"),"")</f>
        <v>NO</v>
      </c>
    </row>
    <row r="18" spans="1:14" ht="24" x14ac:dyDescent="0.2">
      <c r="A18" s="51">
        <v>45128</v>
      </c>
      <c r="B18" s="52" t="s">
        <v>93</v>
      </c>
      <c r="C18" s="52">
        <v>18</v>
      </c>
      <c r="D18" s="52">
        <v>1</v>
      </c>
      <c r="E18" s="52" t="str">
        <f>VLOOKUP(Tabla1[[#This Row],[ID TIENDA]],Guias[],2,0)</f>
        <v>T994-00158741</v>
      </c>
      <c r="F18" s="54">
        <v>2787.37</v>
      </c>
      <c r="G18" s="52" t="str">
        <f>IFERROR(VLOOKUP(Tabla1[[#This Row],[RUTA]],Tabla2[#All],3,0),"")</f>
        <v>PALOMINO</v>
      </c>
      <c r="H18" s="52" t="str">
        <f>IFERROR(VLOOKUP(Tabla1[[#This Row],[RUTA]],Tabla2[[#All],[RUTA]:[PLACAS]],2,0),"")</f>
        <v>BDW-945</v>
      </c>
      <c r="I18" s="52" t="str">
        <f>IFERROR(VLOOKUP(Tabla1[[#This Row],[RUTA]],Tabla2[[#All],[RUTA]:[CONDUCTOR]],4,0),"")</f>
        <v xml:space="preserve">Edgar </v>
      </c>
      <c r="J18" s="52" t="str">
        <f>IFERROR(VLOOKUP(Tabla1[[#This Row],[RUTA]],Tabla2[#All],5,0),"")</f>
        <v>William</v>
      </c>
      <c r="K18" s="53" t="s">
        <v>7</v>
      </c>
      <c r="L18" s="55">
        <v>45128</v>
      </c>
      <c r="M18" s="73" t="s">
        <v>523</v>
      </c>
      <c r="N18" s="56" t="str">
        <f>IF(Tabla1[[#This Row],[ESTADO]]="ENTREGADO",IF(Tabla1[[#This Row],[OBSERVACIÓN]]="OK","SI","NO"),"")</f>
        <v>NO</v>
      </c>
    </row>
    <row r="19" spans="1:14" x14ac:dyDescent="0.2">
      <c r="A19" s="51">
        <v>45128</v>
      </c>
      <c r="B19" s="75" t="s">
        <v>513</v>
      </c>
      <c r="C19" s="75"/>
      <c r="D19" s="75">
        <v>1</v>
      </c>
      <c r="E19" s="75" t="s">
        <v>514</v>
      </c>
      <c r="F19" s="76"/>
      <c r="G19" s="75" t="str">
        <f>IFERROR(VLOOKUP(Tabla1[[#This Row],[RUTA]],Tabla2[#All],3,0),"")</f>
        <v>PALOMINO</v>
      </c>
      <c r="H19" s="75" t="str">
        <f>IFERROR(VLOOKUP(Tabla1[[#This Row],[RUTA]],Tabla2[[#All],[RUTA]:[PLACAS]],2,0),"")</f>
        <v>BDW-945</v>
      </c>
      <c r="I19" s="75" t="str">
        <f>IFERROR(VLOOKUP(Tabla1[[#This Row],[RUTA]],Tabla2[[#All],[RUTA]:[CONDUCTOR]],4,0),"")</f>
        <v xml:space="preserve">Edgar </v>
      </c>
      <c r="J19" s="75" t="str">
        <f>IFERROR(VLOOKUP(Tabla1[[#This Row],[RUTA]],Tabla2[#All],5,0),"")</f>
        <v>William</v>
      </c>
      <c r="K19" s="53" t="s">
        <v>7</v>
      </c>
      <c r="L19" s="55">
        <v>45128</v>
      </c>
      <c r="M19" s="77" t="s">
        <v>517</v>
      </c>
      <c r="N19" s="78" t="str">
        <f>IF(Tabla1[[#This Row],[ESTADO]]="ENTREGADO",IF(Tabla1[[#This Row],[OBSERVACIÓN]]="OK","SI","NO"),"")</f>
        <v>SI</v>
      </c>
    </row>
    <row r="20" spans="1:14" x14ac:dyDescent="0.2">
      <c r="A20" s="51">
        <v>45128</v>
      </c>
      <c r="B20" s="52" t="s">
        <v>94</v>
      </c>
      <c r="C20" s="52">
        <v>145</v>
      </c>
      <c r="D20" s="52">
        <v>2</v>
      </c>
      <c r="E20" s="52" t="str">
        <f>VLOOKUP(Tabla1[[#This Row],[ID TIENDA]],Guias[],2,0)</f>
        <v>T994-00158759</v>
      </c>
      <c r="F20" s="54">
        <v>1674.51</v>
      </c>
      <c r="G20" s="52" t="str">
        <f>IFERROR(VLOOKUP(Tabla1[[#This Row],[RUTA]],Tabla2[#All],3,0),"")</f>
        <v>PALOMINO</v>
      </c>
      <c r="H20" s="52" t="str">
        <f>IFERROR(VLOOKUP(Tabla1[[#This Row],[RUTA]],Tabla2[[#All],[RUTA]:[PLACAS]],2,0),"")</f>
        <v>AYG-838</v>
      </c>
      <c r="I20" s="52" t="str">
        <f>IFERROR(VLOOKUP(Tabla1[[#This Row],[RUTA]],Tabla2[[#All],[RUTA]:[CONDUCTOR]],4,0),"")</f>
        <v>Miguel</v>
      </c>
      <c r="J20" s="52" t="str">
        <f>IFERROR(VLOOKUP(Tabla1[[#This Row],[RUTA]],Tabla2[#All],5,0),"")</f>
        <v>Jhon</v>
      </c>
      <c r="K20" s="53" t="s">
        <v>7</v>
      </c>
      <c r="L20" s="55">
        <v>45128</v>
      </c>
      <c r="M20" s="66" t="s">
        <v>517</v>
      </c>
      <c r="N20" s="56" t="str">
        <f>IF(Tabla1[[#This Row],[ESTADO]]="ENTREGADO",IF(Tabla1[[#This Row],[OBSERVACIÓN]]="OK","SI","NO"),"")</f>
        <v>SI</v>
      </c>
    </row>
    <row r="21" spans="1:14" x14ac:dyDescent="0.2">
      <c r="A21" s="51">
        <v>45128</v>
      </c>
      <c r="B21" s="52" t="s">
        <v>95</v>
      </c>
      <c r="C21" s="52">
        <v>194</v>
      </c>
      <c r="D21" s="52">
        <v>2</v>
      </c>
      <c r="E21" s="52" t="str">
        <f>VLOOKUP(Tabla1[[#This Row],[ID TIENDA]],Guias[],2,0)</f>
        <v>T994-00158796</v>
      </c>
      <c r="F21" s="54">
        <v>1400.42</v>
      </c>
      <c r="G21" s="52" t="str">
        <f>IFERROR(VLOOKUP(Tabla1[[#This Row],[RUTA]],Tabla2[#All],3,0),"")</f>
        <v>PALOMINO</v>
      </c>
      <c r="H21" s="52" t="str">
        <f>IFERROR(VLOOKUP(Tabla1[[#This Row],[RUTA]],Tabla2[[#All],[RUTA]:[PLACAS]],2,0),"")</f>
        <v>AYG-838</v>
      </c>
      <c r="I21" s="52" t="str">
        <f>IFERROR(VLOOKUP(Tabla1[[#This Row],[RUTA]],Tabla2[[#All],[RUTA]:[CONDUCTOR]],4,0),"")</f>
        <v>Miguel</v>
      </c>
      <c r="J21" s="52" t="str">
        <f>IFERROR(VLOOKUP(Tabla1[[#This Row],[RUTA]],Tabla2[#All],5,0),"")</f>
        <v>Jhon</v>
      </c>
      <c r="K21" s="53" t="s">
        <v>7</v>
      </c>
      <c r="L21" s="55">
        <v>45128</v>
      </c>
      <c r="M21" s="66" t="s">
        <v>517</v>
      </c>
      <c r="N21" s="56" t="str">
        <f>IF(Tabla1[[#This Row],[ESTADO]]="ENTREGADO",IF(Tabla1[[#This Row],[OBSERVACIÓN]]="OK","SI","NO"),"")</f>
        <v>SI</v>
      </c>
    </row>
    <row r="22" spans="1:14" x14ac:dyDescent="0.2">
      <c r="A22" s="51">
        <v>45128</v>
      </c>
      <c r="B22" s="52" t="s">
        <v>96</v>
      </c>
      <c r="C22" s="52">
        <v>335</v>
      </c>
      <c r="D22" s="52">
        <v>2</v>
      </c>
      <c r="E22" s="52" t="str">
        <f>VLOOKUP(Tabla1[[#This Row],[ID TIENDA]],Guias[],2,0)</f>
        <v>T994-00158853</v>
      </c>
      <c r="F22" s="54">
        <v>1503.47</v>
      </c>
      <c r="G22" s="52" t="str">
        <f>IFERROR(VLOOKUP(Tabla1[[#This Row],[RUTA]],Tabla2[#All],3,0),"")</f>
        <v>PALOMINO</v>
      </c>
      <c r="H22" s="52" t="str">
        <f>IFERROR(VLOOKUP(Tabla1[[#This Row],[RUTA]],Tabla2[[#All],[RUTA]:[PLACAS]],2,0),"")</f>
        <v>AYG-838</v>
      </c>
      <c r="I22" s="52" t="str">
        <f>IFERROR(VLOOKUP(Tabla1[[#This Row],[RUTA]],Tabla2[[#All],[RUTA]:[CONDUCTOR]],4,0),"")</f>
        <v>Miguel</v>
      </c>
      <c r="J22" s="52" t="str">
        <f>IFERROR(VLOOKUP(Tabla1[[#This Row],[RUTA]],Tabla2[#All],5,0),"")</f>
        <v>Jhon</v>
      </c>
      <c r="K22" s="53" t="s">
        <v>7</v>
      </c>
      <c r="L22" s="55">
        <v>45128</v>
      </c>
      <c r="M22" s="66" t="s">
        <v>517</v>
      </c>
      <c r="N22" s="56" t="str">
        <f>IF(Tabla1[[#This Row],[ESTADO]]="ENTREGADO",IF(Tabla1[[#This Row],[OBSERVACIÓN]]="OK","SI","NO"),"")</f>
        <v>SI</v>
      </c>
    </row>
    <row r="23" spans="1:14" x14ac:dyDescent="0.2">
      <c r="A23" s="51">
        <v>45128</v>
      </c>
      <c r="B23" s="52" t="s">
        <v>97</v>
      </c>
      <c r="C23" s="52">
        <v>295</v>
      </c>
      <c r="D23" s="52">
        <v>2</v>
      </c>
      <c r="E23" s="52" t="str">
        <f>VLOOKUP(Tabla1[[#This Row],[ID TIENDA]],Guias[],2,0)</f>
        <v>T994-00158788</v>
      </c>
      <c r="F23" s="54">
        <v>1992.37</v>
      </c>
      <c r="G23" s="52" t="str">
        <f>IFERROR(VLOOKUP(Tabla1[[#This Row],[RUTA]],Tabla2[#All],3,0),"")</f>
        <v>PALOMINO</v>
      </c>
      <c r="H23" s="52" t="str">
        <f>IFERROR(VLOOKUP(Tabla1[[#This Row],[RUTA]],Tabla2[[#All],[RUTA]:[PLACAS]],2,0),"")</f>
        <v>AYG-838</v>
      </c>
      <c r="I23" s="52" t="str">
        <f>IFERROR(VLOOKUP(Tabla1[[#This Row],[RUTA]],Tabla2[[#All],[RUTA]:[CONDUCTOR]],4,0),"")</f>
        <v>Miguel</v>
      </c>
      <c r="J23" s="52" t="str">
        <f>IFERROR(VLOOKUP(Tabla1[[#This Row],[RUTA]],Tabla2[#All],5,0),"")</f>
        <v>Jhon</v>
      </c>
      <c r="K23" s="53" t="s">
        <v>7</v>
      </c>
      <c r="L23" s="55">
        <v>45128</v>
      </c>
      <c r="M23" s="66" t="s">
        <v>517</v>
      </c>
      <c r="N23" s="56" t="str">
        <f>IF(Tabla1[[#This Row],[ESTADO]]="ENTREGADO",IF(Tabla1[[#This Row],[OBSERVACIÓN]]="OK","SI","NO"),"")</f>
        <v>SI</v>
      </c>
    </row>
    <row r="24" spans="1:14" x14ac:dyDescent="0.2">
      <c r="A24" s="51">
        <v>45128</v>
      </c>
      <c r="B24" s="52" t="s">
        <v>98</v>
      </c>
      <c r="C24" s="52">
        <v>475</v>
      </c>
      <c r="D24" s="52">
        <v>2</v>
      </c>
      <c r="E24" s="52" t="str">
        <f>VLOOKUP(Tabla1[[#This Row],[ID TIENDA]],Guias[],2,0)</f>
        <v>T994-00158711</v>
      </c>
      <c r="F24" s="54">
        <v>1131.44</v>
      </c>
      <c r="G24" s="52" t="str">
        <f>IFERROR(VLOOKUP(Tabla1[[#This Row],[RUTA]],Tabla2[#All],3,0),"")</f>
        <v>PALOMINO</v>
      </c>
      <c r="H24" s="52" t="str">
        <f>IFERROR(VLOOKUP(Tabla1[[#This Row],[RUTA]],Tabla2[[#All],[RUTA]:[PLACAS]],2,0),"")</f>
        <v>AYG-838</v>
      </c>
      <c r="I24" s="52" t="str">
        <f>IFERROR(VLOOKUP(Tabla1[[#This Row],[RUTA]],Tabla2[[#All],[RUTA]:[CONDUCTOR]],4,0),"")</f>
        <v>Miguel</v>
      </c>
      <c r="J24" s="52" t="str">
        <f>IFERROR(VLOOKUP(Tabla1[[#This Row],[RUTA]],Tabla2[#All],5,0),"")</f>
        <v>Jhon</v>
      </c>
      <c r="K24" s="53" t="s">
        <v>7</v>
      </c>
      <c r="L24" s="55">
        <v>45128</v>
      </c>
      <c r="M24" s="66" t="s">
        <v>517</v>
      </c>
      <c r="N24" s="56" t="str">
        <f>IF(Tabla1[[#This Row],[ESTADO]]="ENTREGADO",IF(Tabla1[[#This Row],[OBSERVACIÓN]]="OK","SI","NO"),"")</f>
        <v>SI</v>
      </c>
    </row>
    <row r="25" spans="1:14" ht="48" x14ac:dyDescent="0.2">
      <c r="A25" s="51">
        <v>45128</v>
      </c>
      <c r="B25" s="52" t="s">
        <v>99</v>
      </c>
      <c r="C25" s="52">
        <v>83</v>
      </c>
      <c r="D25" s="52">
        <v>2</v>
      </c>
      <c r="E25" s="52" t="str">
        <f>VLOOKUP(Tabla1[[#This Row],[ID TIENDA]],Guias[],2,0)</f>
        <v>T994-00158727</v>
      </c>
      <c r="F25" s="54">
        <v>1558.32</v>
      </c>
      <c r="G25" s="52" t="str">
        <f>IFERROR(VLOOKUP(Tabla1[[#This Row],[RUTA]],Tabla2[#All],3,0),"")</f>
        <v>PALOMINO</v>
      </c>
      <c r="H25" s="52" t="str">
        <f>IFERROR(VLOOKUP(Tabla1[[#This Row],[RUTA]],Tabla2[[#All],[RUTA]:[PLACAS]],2,0),"")</f>
        <v>AYG-838</v>
      </c>
      <c r="I25" s="52" t="str">
        <f>IFERROR(VLOOKUP(Tabla1[[#This Row],[RUTA]],Tabla2[[#All],[RUTA]:[CONDUCTOR]],4,0),"")</f>
        <v>Miguel</v>
      </c>
      <c r="J25" s="52" t="str">
        <f>IFERROR(VLOOKUP(Tabla1[[#This Row],[RUTA]],Tabla2[#All],5,0),"")</f>
        <v>Jhon</v>
      </c>
      <c r="K25" s="53" t="s">
        <v>7</v>
      </c>
      <c r="L25" s="55">
        <v>45128</v>
      </c>
      <c r="M25" s="73" t="s">
        <v>522</v>
      </c>
      <c r="N25" s="56" t="str">
        <f>IF(Tabla1[[#This Row],[ESTADO]]="ENTREGADO",IF(Tabla1[[#This Row],[OBSERVACIÓN]]="OK","SI","NO"),"")</f>
        <v>NO</v>
      </c>
    </row>
    <row r="26" spans="1:14" x14ac:dyDescent="0.2">
      <c r="A26" s="51">
        <v>45128</v>
      </c>
      <c r="B26" s="52" t="s">
        <v>100</v>
      </c>
      <c r="C26" s="52">
        <v>398</v>
      </c>
      <c r="D26" s="52">
        <v>2</v>
      </c>
      <c r="E26" s="52" t="str">
        <f>VLOOKUP(Tabla1[[#This Row],[ID TIENDA]],Guias[],2,0)</f>
        <v>T994-00158869</v>
      </c>
      <c r="F26" s="54">
        <v>1786.27</v>
      </c>
      <c r="G26" s="52" t="str">
        <f>IFERROR(VLOOKUP(Tabla1[[#This Row],[RUTA]],Tabla2[#All],3,0),"")</f>
        <v>PALOMINO</v>
      </c>
      <c r="H26" s="52" t="str">
        <f>IFERROR(VLOOKUP(Tabla1[[#This Row],[RUTA]],Tabla2[[#All],[RUTA]:[PLACAS]],2,0),"")</f>
        <v>AYG-838</v>
      </c>
      <c r="I26" s="52" t="str">
        <f>IFERROR(VLOOKUP(Tabla1[[#This Row],[RUTA]],Tabla2[[#All],[RUTA]:[CONDUCTOR]],4,0),"")</f>
        <v>Miguel</v>
      </c>
      <c r="J26" s="52" t="str">
        <f>IFERROR(VLOOKUP(Tabla1[[#This Row],[RUTA]],Tabla2[#All],5,0),"")</f>
        <v>Jhon</v>
      </c>
      <c r="K26" s="53" t="s">
        <v>7</v>
      </c>
      <c r="L26" s="55">
        <v>45128</v>
      </c>
      <c r="M26" s="66" t="s">
        <v>517</v>
      </c>
      <c r="N26" s="56" t="str">
        <f>IF(Tabla1[[#This Row],[ESTADO]]="ENTREGADO",IF(Tabla1[[#This Row],[OBSERVACIÓN]]="OK","SI","NO"),"")</f>
        <v>SI</v>
      </c>
    </row>
    <row r="27" spans="1:14" x14ac:dyDescent="0.2">
      <c r="A27" s="51">
        <v>45128</v>
      </c>
      <c r="B27" s="52" t="s">
        <v>101</v>
      </c>
      <c r="C27" s="52">
        <v>389</v>
      </c>
      <c r="D27" s="52">
        <v>2</v>
      </c>
      <c r="E27" s="52" t="str">
        <f>VLOOKUP(Tabla1[[#This Row],[ID TIENDA]],Guias[],2,0)</f>
        <v>T994-00158712</v>
      </c>
      <c r="F27" s="54">
        <v>1285.93</v>
      </c>
      <c r="G27" s="52" t="str">
        <f>IFERROR(VLOOKUP(Tabla1[[#This Row],[RUTA]],Tabla2[#All],3,0),"")</f>
        <v>PALOMINO</v>
      </c>
      <c r="H27" s="52" t="str">
        <f>IFERROR(VLOOKUP(Tabla1[[#This Row],[RUTA]],Tabla2[[#All],[RUTA]:[PLACAS]],2,0),"")</f>
        <v>AYG-838</v>
      </c>
      <c r="I27" s="52" t="str">
        <f>IFERROR(VLOOKUP(Tabla1[[#This Row],[RUTA]],Tabla2[[#All],[RUTA]:[CONDUCTOR]],4,0),"")</f>
        <v>Miguel</v>
      </c>
      <c r="J27" s="52" t="str">
        <f>IFERROR(VLOOKUP(Tabla1[[#This Row],[RUTA]],Tabla2[#All],5,0),"")</f>
        <v>Jhon</v>
      </c>
      <c r="K27" s="53" t="s">
        <v>7</v>
      </c>
      <c r="L27" s="55">
        <v>45128</v>
      </c>
      <c r="M27" s="66" t="s">
        <v>517</v>
      </c>
      <c r="N27" s="56" t="str">
        <f>IF(Tabla1[[#This Row],[ESTADO]]="ENTREGADO",IF(Tabla1[[#This Row],[OBSERVACIÓN]]="OK","SI","NO"),"")</f>
        <v>SI</v>
      </c>
    </row>
    <row r="28" spans="1:14" ht="24" x14ac:dyDescent="0.2">
      <c r="A28" s="51">
        <v>45128</v>
      </c>
      <c r="B28" s="52" t="s">
        <v>102</v>
      </c>
      <c r="C28" s="52">
        <v>500</v>
      </c>
      <c r="D28" s="52">
        <v>2</v>
      </c>
      <c r="E28" s="52" t="str">
        <f>VLOOKUP(Tabla1[[#This Row],[ID TIENDA]],Guias[],2,0)</f>
        <v>T994-00158819</v>
      </c>
      <c r="F28" s="54">
        <v>1130.5</v>
      </c>
      <c r="G28" s="52" t="str">
        <f>IFERROR(VLOOKUP(Tabla1[[#This Row],[RUTA]],Tabla2[#All],3,0),"")</f>
        <v>PALOMINO</v>
      </c>
      <c r="H28" s="52" t="str">
        <f>IFERROR(VLOOKUP(Tabla1[[#This Row],[RUTA]],Tabla2[[#All],[RUTA]:[PLACAS]],2,0),"")</f>
        <v>AYG-838</v>
      </c>
      <c r="I28" s="52" t="str">
        <f>IFERROR(VLOOKUP(Tabla1[[#This Row],[RUTA]],Tabla2[[#All],[RUTA]:[CONDUCTOR]],4,0),"")</f>
        <v>Miguel</v>
      </c>
      <c r="J28" s="52" t="str">
        <f>IFERROR(VLOOKUP(Tabla1[[#This Row],[RUTA]],Tabla2[#All],5,0),"")</f>
        <v>Jhon</v>
      </c>
      <c r="K28" s="53" t="s">
        <v>7</v>
      </c>
      <c r="L28" s="55">
        <v>45128</v>
      </c>
      <c r="M28" s="73" t="s">
        <v>508</v>
      </c>
      <c r="N28" s="56" t="str">
        <f>IF(Tabla1[[#This Row],[ESTADO]]="ENTREGADO",IF(Tabla1[[#This Row],[OBSERVACIÓN]]="OK","SI","NO"),"")</f>
        <v>NO</v>
      </c>
    </row>
    <row r="29" spans="1:14" ht="24" x14ac:dyDescent="0.2">
      <c r="A29" s="51">
        <v>45128</v>
      </c>
      <c r="B29" s="52" t="s">
        <v>103</v>
      </c>
      <c r="C29" s="52">
        <v>31</v>
      </c>
      <c r="D29" s="52">
        <v>2</v>
      </c>
      <c r="E29" s="52" t="str">
        <f>VLOOKUP(Tabla1[[#This Row],[ID TIENDA]],Guias[],2,0)</f>
        <v>T994-00158799</v>
      </c>
      <c r="F29" s="54">
        <v>983.56</v>
      </c>
      <c r="G29" s="52" t="str">
        <f>IFERROR(VLOOKUP(Tabla1[[#This Row],[RUTA]],Tabla2[#All],3,0),"")</f>
        <v>PALOMINO</v>
      </c>
      <c r="H29" s="52" t="str">
        <f>IFERROR(VLOOKUP(Tabla1[[#This Row],[RUTA]],Tabla2[[#All],[RUTA]:[PLACAS]],2,0),"")</f>
        <v>AYG-838</v>
      </c>
      <c r="I29" s="52" t="str">
        <f>IFERROR(VLOOKUP(Tabla1[[#This Row],[RUTA]],Tabla2[[#All],[RUTA]:[CONDUCTOR]],4,0),"")</f>
        <v>Miguel</v>
      </c>
      <c r="J29" s="52" t="str">
        <f>IFERROR(VLOOKUP(Tabla1[[#This Row],[RUTA]],Tabla2[#All],5,0),"")</f>
        <v>Jhon</v>
      </c>
      <c r="K29" s="53" t="s">
        <v>7</v>
      </c>
      <c r="L29" s="55">
        <v>45128</v>
      </c>
      <c r="M29" s="73" t="s">
        <v>484</v>
      </c>
      <c r="N29" s="56" t="str">
        <f>IF(Tabla1[[#This Row],[ESTADO]]="ENTREGADO",IF(Tabla1[[#This Row],[OBSERVACIÓN]]="OK","SI","NO"),"")</f>
        <v>NO</v>
      </c>
    </row>
    <row r="30" spans="1:14" x14ac:dyDescent="0.2">
      <c r="A30" s="51">
        <v>45128</v>
      </c>
      <c r="B30" s="52" t="s">
        <v>104</v>
      </c>
      <c r="C30" s="52">
        <v>42</v>
      </c>
      <c r="D30" s="52">
        <v>2</v>
      </c>
      <c r="E30" s="52" t="str">
        <f>VLOOKUP(Tabla1[[#This Row],[ID TIENDA]],Guias[],2,0)</f>
        <v>T994-00158834</v>
      </c>
      <c r="F30" s="54">
        <v>2200.25</v>
      </c>
      <c r="G30" s="52" t="str">
        <f>IFERROR(VLOOKUP(Tabla1[[#This Row],[RUTA]],Tabla2[#All],3,0),"")</f>
        <v>PALOMINO</v>
      </c>
      <c r="H30" s="52" t="str">
        <f>IFERROR(VLOOKUP(Tabla1[[#This Row],[RUTA]],Tabla2[[#All],[RUTA]:[PLACAS]],2,0),"")</f>
        <v>AYG-838</v>
      </c>
      <c r="I30" s="52" t="str">
        <f>IFERROR(VLOOKUP(Tabla1[[#This Row],[RUTA]],Tabla2[[#All],[RUTA]:[CONDUCTOR]],4,0),"")</f>
        <v>Miguel</v>
      </c>
      <c r="J30" s="52" t="str">
        <f>IFERROR(VLOOKUP(Tabla1[[#This Row],[RUTA]],Tabla2[#All],5,0),"")</f>
        <v>Jhon</v>
      </c>
      <c r="K30" s="53" t="s">
        <v>7</v>
      </c>
      <c r="L30" s="55">
        <v>45128</v>
      </c>
      <c r="M30" s="66" t="s">
        <v>517</v>
      </c>
      <c r="N30" s="56" t="str">
        <f>IF(Tabla1[[#This Row],[ESTADO]]="ENTREGADO",IF(Tabla1[[#This Row],[OBSERVACIÓN]]="OK","SI","NO"),"")</f>
        <v>SI</v>
      </c>
    </row>
    <row r="31" spans="1:14" ht="24" x14ac:dyDescent="0.2">
      <c r="A31" s="51">
        <v>45128</v>
      </c>
      <c r="B31" s="52" t="s">
        <v>105</v>
      </c>
      <c r="C31" s="52">
        <v>210</v>
      </c>
      <c r="D31" s="52">
        <v>2</v>
      </c>
      <c r="E31" s="52" t="str">
        <f>VLOOKUP(Tabla1[[#This Row],[ID TIENDA]],Guias[],2,0)</f>
        <v>T994-00158697</v>
      </c>
      <c r="F31" s="54">
        <v>2448.2399999999998</v>
      </c>
      <c r="G31" s="52" t="str">
        <f>IFERROR(VLOOKUP(Tabla1[[#This Row],[RUTA]],Tabla2[#All],3,0),"")</f>
        <v>PALOMINO</v>
      </c>
      <c r="H31" s="52" t="str">
        <f>IFERROR(VLOOKUP(Tabla1[[#This Row],[RUTA]],Tabla2[[#All],[RUTA]:[PLACAS]],2,0),"")</f>
        <v>AYG-838</v>
      </c>
      <c r="I31" s="52" t="str">
        <f>IFERROR(VLOOKUP(Tabla1[[#This Row],[RUTA]],Tabla2[[#All],[RUTA]:[CONDUCTOR]],4,0),"")</f>
        <v>Miguel</v>
      </c>
      <c r="J31" s="52" t="str">
        <f>IFERROR(VLOOKUP(Tabla1[[#This Row],[RUTA]],Tabla2[#All],5,0),"")</f>
        <v>Jhon</v>
      </c>
      <c r="K31" s="53" t="s">
        <v>7</v>
      </c>
      <c r="L31" s="55">
        <v>45128</v>
      </c>
      <c r="M31" s="73" t="s">
        <v>530</v>
      </c>
      <c r="N31" s="56" t="str">
        <f>IF(Tabla1[[#This Row],[ESTADO]]="ENTREGADO",IF(Tabla1[[#This Row],[OBSERVACIÓN]]="OK","SI","NO"),"")</f>
        <v>NO</v>
      </c>
    </row>
    <row r="32" spans="1:14" ht="24" x14ac:dyDescent="0.2">
      <c r="A32" s="51">
        <v>45128</v>
      </c>
      <c r="B32" s="52" t="s">
        <v>106</v>
      </c>
      <c r="C32" s="52">
        <v>108</v>
      </c>
      <c r="D32" s="52">
        <v>3</v>
      </c>
      <c r="E32" s="52" t="str">
        <f>VLOOKUP(Tabla1[[#This Row],[ID TIENDA]],Guias[],2,0)</f>
        <v>T994-00158695</v>
      </c>
      <c r="F32" s="54">
        <v>2175.79</v>
      </c>
      <c r="G32" s="52" t="str">
        <f>IFERROR(VLOOKUP(Tabla1[[#This Row],[RUTA]],Tabla2[#All],3,0),"")</f>
        <v>PALOMINO</v>
      </c>
      <c r="H32" s="52" t="str">
        <f>IFERROR(VLOOKUP(Tabla1[[#This Row],[RUTA]],Tabla2[[#All],[RUTA]:[PLACAS]],2,0),"")</f>
        <v>BUU-825</v>
      </c>
      <c r="I32" s="52" t="str">
        <f>IFERROR(VLOOKUP(Tabla1[[#This Row],[RUTA]],Tabla2[[#All],[RUTA]:[CONDUCTOR]],4,0),"")</f>
        <v>Lenin</v>
      </c>
      <c r="J32" s="52" t="str">
        <f>IFERROR(VLOOKUP(Tabla1[[#This Row],[RUTA]],Tabla2[#All],5,0),"")</f>
        <v>Jesus</v>
      </c>
      <c r="K32" s="53" t="s">
        <v>7</v>
      </c>
      <c r="L32" s="55">
        <v>45128</v>
      </c>
      <c r="M32" s="73" t="s">
        <v>500</v>
      </c>
      <c r="N32" s="56" t="str">
        <f>IF(Tabla1[[#This Row],[ESTADO]]="ENTREGADO",IF(Tabla1[[#This Row],[OBSERVACIÓN]]="OK","SI","NO"),"")</f>
        <v>NO</v>
      </c>
    </row>
    <row r="33" spans="1:14" x14ac:dyDescent="0.2">
      <c r="A33" s="51">
        <v>45128</v>
      </c>
      <c r="B33" s="52" t="s">
        <v>107</v>
      </c>
      <c r="C33" s="52">
        <v>170</v>
      </c>
      <c r="D33" s="52">
        <v>3</v>
      </c>
      <c r="E33" s="52" t="str">
        <f>VLOOKUP(Tabla1[[#This Row],[ID TIENDA]],Guias[],2,0)</f>
        <v>T994-00158732</v>
      </c>
      <c r="F33" s="54">
        <v>3352.9</v>
      </c>
      <c r="G33" s="52" t="str">
        <f>IFERROR(VLOOKUP(Tabla1[[#This Row],[RUTA]],Tabla2[#All],3,0),"")</f>
        <v>PALOMINO</v>
      </c>
      <c r="H33" s="52" t="str">
        <f>IFERROR(VLOOKUP(Tabla1[[#This Row],[RUTA]],Tabla2[[#All],[RUTA]:[PLACAS]],2,0),"")</f>
        <v>BUU-825</v>
      </c>
      <c r="I33" s="52" t="str">
        <f>IFERROR(VLOOKUP(Tabla1[[#This Row],[RUTA]],Tabla2[[#All],[RUTA]:[CONDUCTOR]],4,0),"")</f>
        <v>Lenin</v>
      </c>
      <c r="J33" s="52" t="str">
        <f>IFERROR(VLOOKUP(Tabla1[[#This Row],[RUTA]],Tabla2[#All],5,0),"")</f>
        <v>Jesus</v>
      </c>
      <c r="K33" s="53" t="s">
        <v>7</v>
      </c>
      <c r="L33" s="55">
        <v>45128</v>
      </c>
      <c r="M33" s="66" t="s">
        <v>517</v>
      </c>
      <c r="N33" s="56" t="str">
        <f>IF(Tabla1[[#This Row],[ESTADO]]="ENTREGADO",IF(Tabla1[[#This Row],[OBSERVACIÓN]]="OK","SI","NO"),"")</f>
        <v>SI</v>
      </c>
    </row>
    <row r="34" spans="1:14" ht="24" x14ac:dyDescent="0.2">
      <c r="A34" s="51">
        <v>45128</v>
      </c>
      <c r="B34" s="52" t="s">
        <v>108</v>
      </c>
      <c r="C34" s="52">
        <v>291</v>
      </c>
      <c r="D34" s="52">
        <v>3</v>
      </c>
      <c r="E34" s="52" t="str">
        <f>VLOOKUP(Tabla1[[#This Row],[ID TIENDA]],Guias[],2,0)</f>
        <v>T994-00158773</v>
      </c>
      <c r="F34" s="54">
        <v>1906.78</v>
      </c>
      <c r="G34" s="52" t="str">
        <f>IFERROR(VLOOKUP(Tabla1[[#This Row],[RUTA]],Tabla2[#All],3,0),"")</f>
        <v>PALOMINO</v>
      </c>
      <c r="H34" s="52" t="str">
        <f>IFERROR(VLOOKUP(Tabla1[[#This Row],[RUTA]],Tabla2[[#All],[RUTA]:[PLACAS]],2,0),"")</f>
        <v>BUU-825</v>
      </c>
      <c r="I34" s="52" t="str">
        <f>IFERROR(VLOOKUP(Tabla1[[#This Row],[RUTA]],Tabla2[[#All],[RUTA]:[CONDUCTOR]],4,0),"")</f>
        <v>Lenin</v>
      </c>
      <c r="J34" s="52" t="str">
        <f>IFERROR(VLOOKUP(Tabla1[[#This Row],[RUTA]],Tabla2[#All],5,0),"")</f>
        <v>Jesus</v>
      </c>
      <c r="K34" s="53" t="s">
        <v>7</v>
      </c>
      <c r="L34" s="55">
        <v>45128</v>
      </c>
      <c r="M34" s="73" t="s">
        <v>487</v>
      </c>
      <c r="N34" s="56" t="str">
        <f>IF(Tabla1[[#This Row],[ESTADO]]="ENTREGADO",IF(Tabla1[[#This Row],[OBSERVACIÓN]]="OK","SI","NO"),"")</f>
        <v>NO</v>
      </c>
    </row>
    <row r="35" spans="1:14" x14ac:dyDescent="0.2">
      <c r="A35" s="51">
        <v>45128</v>
      </c>
      <c r="B35" s="52" t="s">
        <v>109</v>
      </c>
      <c r="C35" s="52">
        <v>81</v>
      </c>
      <c r="D35" s="52">
        <v>3</v>
      </c>
      <c r="E35" s="52" t="str">
        <f>VLOOKUP(Tabla1[[#This Row],[ID TIENDA]],Guias[],2,0)</f>
        <v>T994-00158823</v>
      </c>
      <c r="F35" s="54">
        <v>1950.44</v>
      </c>
      <c r="G35" s="52" t="str">
        <f>IFERROR(VLOOKUP(Tabla1[[#This Row],[RUTA]],Tabla2[#All],3,0),"")</f>
        <v>PALOMINO</v>
      </c>
      <c r="H35" s="52" t="str">
        <f>IFERROR(VLOOKUP(Tabla1[[#This Row],[RUTA]],Tabla2[[#All],[RUTA]:[PLACAS]],2,0),"")</f>
        <v>BUU-825</v>
      </c>
      <c r="I35" s="52" t="str">
        <f>IFERROR(VLOOKUP(Tabla1[[#This Row],[RUTA]],Tabla2[[#All],[RUTA]:[CONDUCTOR]],4,0),"")</f>
        <v>Lenin</v>
      </c>
      <c r="J35" s="52" t="str">
        <f>IFERROR(VLOOKUP(Tabla1[[#This Row],[RUTA]],Tabla2[#All],5,0),"")</f>
        <v>Jesus</v>
      </c>
      <c r="K35" s="53" t="s">
        <v>7</v>
      </c>
      <c r="L35" s="55">
        <v>45128</v>
      </c>
      <c r="M35" s="66" t="s">
        <v>517</v>
      </c>
      <c r="N35" s="56" t="str">
        <f>IF(Tabla1[[#This Row],[ESTADO]]="ENTREGADO",IF(Tabla1[[#This Row],[OBSERVACIÓN]]="OK","SI","NO"),"")</f>
        <v>SI</v>
      </c>
    </row>
    <row r="36" spans="1:14" x14ac:dyDescent="0.2">
      <c r="A36" s="51">
        <v>45128</v>
      </c>
      <c r="B36" s="52" t="s">
        <v>110</v>
      </c>
      <c r="C36" s="52">
        <v>491</v>
      </c>
      <c r="D36" s="52">
        <v>3</v>
      </c>
      <c r="E36" s="52" t="str">
        <f>VLOOKUP(Tabla1[[#This Row],[ID TIENDA]],Guias[],2,0)</f>
        <v>T994-00158739</v>
      </c>
      <c r="F36" s="54">
        <v>2065.7600000000002</v>
      </c>
      <c r="G36" s="52" t="str">
        <f>IFERROR(VLOOKUP(Tabla1[[#This Row],[RUTA]],Tabla2[#All],3,0),"")</f>
        <v>PALOMINO</v>
      </c>
      <c r="H36" s="52" t="str">
        <f>IFERROR(VLOOKUP(Tabla1[[#This Row],[RUTA]],Tabla2[[#All],[RUTA]:[PLACAS]],2,0),"")</f>
        <v>BUU-825</v>
      </c>
      <c r="I36" s="52" t="str">
        <f>IFERROR(VLOOKUP(Tabla1[[#This Row],[RUTA]],Tabla2[[#All],[RUTA]:[CONDUCTOR]],4,0),"")</f>
        <v>Lenin</v>
      </c>
      <c r="J36" s="52" t="str">
        <f>IFERROR(VLOOKUP(Tabla1[[#This Row],[RUTA]],Tabla2[#All],5,0),"")</f>
        <v>Jesus</v>
      </c>
      <c r="K36" s="53" t="s">
        <v>7</v>
      </c>
      <c r="L36" s="55">
        <v>45128</v>
      </c>
      <c r="M36" s="66" t="s">
        <v>517</v>
      </c>
      <c r="N36" s="56" t="str">
        <f>IF(Tabla1[[#This Row],[ESTADO]]="ENTREGADO",IF(Tabla1[[#This Row],[OBSERVACIÓN]]="OK","SI","NO"),"")</f>
        <v>SI</v>
      </c>
    </row>
    <row r="37" spans="1:14" x14ac:dyDescent="0.2">
      <c r="A37" s="51">
        <v>45128</v>
      </c>
      <c r="B37" s="52" t="s">
        <v>111</v>
      </c>
      <c r="C37" s="52">
        <v>498</v>
      </c>
      <c r="D37" s="52">
        <v>3</v>
      </c>
      <c r="E37" s="52" t="str">
        <f>VLOOKUP(Tabla1[[#This Row],[ID TIENDA]],Guias[],2,0)</f>
        <v>T994-00158866</v>
      </c>
      <c r="F37" s="54">
        <v>2116.38</v>
      </c>
      <c r="G37" s="52" t="str">
        <f>IFERROR(VLOOKUP(Tabla1[[#This Row],[RUTA]],Tabla2[#All],3,0),"")</f>
        <v>PALOMINO</v>
      </c>
      <c r="H37" s="52" t="str">
        <f>IFERROR(VLOOKUP(Tabla1[[#This Row],[RUTA]],Tabla2[[#All],[RUTA]:[PLACAS]],2,0),"")</f>
        <v>BUU-825</v>
      </c>
      <c r="I37" s="52" t="str">
        <f>IFERROR(VLOOKUP(Tabla1[[#This Row],[RUTA]],Tabla2[[#All],[RUTA]:[CONDUCTOR]],4,0),"")</f>
        <v>Lenin</v>
      </c>
      <c r="J37" s="52" t="str">
        <f>IFERROR(VLOOKUP(Tabla1[[#This Row],[RUTA]],Tabla2[#All],5,0),"")</f>
        <v>Jesus</v>
      </c>
      <c r="K37" s="53" t="s">
        <v>7</v>
      </c>
      <c r="L37" s="55">
        <v>45128</v>
      </c>
      <c r="M37" s="66" t="s">
        <v>517</v>
      </c>
      <c r="N37" s="56" t="str">
        <f>IF(Tabla1[[#This Row],[ESTADO]]="ENTREGADO",IF(Tabla1[[#This Row],[OBSERVACIÓN]]="OK","SI","NO"),"")</f>
        <v>SI</v>
      </c>
    </row>
    <row r="38" spans="1:14" ht="24" x14ac:dyDescent="0.2">
      <c r="A38" s="51">
        <v>45128</v>
      </c>
      <c r="B38" s="52" t="s">
        <v>112</v>
      </c>
      <c r="C38" s="52">
        <v>496</v>
      </c>
      <c r="D38" s="52">
        <v>3</v>
      </c>
      <c r="E38" s="52" t="str">
        <f>VLOOKUP(Tabla1[[#This Row],[ID TIENDA]],Guias[],2,0)</f>
        <v>T994-00158760</v>
      </c>
      <c r="F38" s="54">
        <v>2362.54</v>
      </c>
      <c r="G38" s="52" t="str">
        <f>IFERROR(VLOOKUP(Tabla1[[#This Row],[RUTA]],Tabla2[#All],3,0),"")</f>
        <v>PALOMINO</v>
      </c>
      <c r="H38" s="52" t="str">
        <f>IFERROR(VLOOKUP(Tabla1[[#This Row],[RUTA]],Tabla2[[#All],[RUTA]:[PLACAS]],2,0),"")</f>
        <v>BUU-825</v>
      </c>
      <c r="I38" s="52" t="str">
        <f>IFERROR(VLOOKUP(Tabla1[[#This Row],[RUTA]],Tabla2[[#All],[RUTA]:[CONDUCTOR]],4,0),"")</f>
        <v>Lenin</v>
      </c>
      <c r="J38" s="52" t="str">
        <f>IFERROR(VLOOKUP(Tabla1[[#This Row],[RUTA]],Tabla2[#All],5,0),"")</f>
        <v>Jesus</v>
      </c>
      <c r="K38" s="53" t="s">
        <v>7</v>
      </c>
      <c r="L38" s="55">
        <v>45128</v>
      </c>
      <c r="M38" s="73" t="s">
        <v>510</v>
      </c>
      <c r="N38" s="56" t="str">
        <f>IF(Tabla1[[#This Row],[ESTADO]]="ENTREGADO",IF(Tabla1[[#This Row],[OBSERVACIÓN]]="OK","SI","NO"),"")</f>
        <v>NO</v>
      </c>
    </row>
    <row r="39" spans="1:14" x14ac:dyDescent="0.2">
      <c r="A39" s="51">
        <v>45128</v>
      </c>
      <c r="B39" s="52" t="s">
        <v>113</v>
      </c>
      <c r="C39" s="52">
        <v>280</v>
      </c>
      <c r="D39" s="52">
        <v>3</v>
      </c>
      <c r="E39" s="52" t="str">
        <f>VLOOKUP(Tabla1[[#This Row],[ID TIENDA]],Guias[],2,0)</f>
        <v>T994-00158787</v>
      </c>
      <c r="F39" s="54">
        <v>1667.79</v>
      </c>
      <c r="G39" s="52" t="str">
        <f>IFERROR(VLOOKUP(Tabla1[[#This Row],[RUTA]],Tabla2[#All],3,0),"")</f>
        <v>PALOMINO</v>
      </c>
      <c r="H39" s="52" t="str">
        <f>IFERROR(VLOOKUP(Tabla1[[#This Row],[RUTA]],Tabla2[[#All],[RUTA]:[PLACAS]],2,0),"")</f>
        <v>BUU-825</v>
      </c>
      <c r="I39" s="52" t="str">
        <f>IFERROR(VLOOKUP(Tabla1[[#This Row],[RUTA]],Tabla2[[#All],[RUTA]:[CONDUCTOR]],4,0),"")</f>
        <v>Lenin</v>
      </c>
      <c r="J39" s="52" t="str">
        <f>IFERROR(VLOOKUP(Tabla1[[#This Row],[RUTA]],Tabla2[#All],5,0),"")</f>
        <v>Jesus</v>
      </c>
      <c r="K39" s="53" t="s">
        <v>7</v>
      </c>
      <c r="L39" s="55">
        <v>45128</v>
      </c>
      <c r="M39" s="66" t="s">
        <v>517</v>
      </c>
      <c r="N39" s="56" t="str">
        <f>IF(Tabla1[[#This Row],[ESTADO]]="ENTREGADO",IF(Tabla1[[#This Row],[OBSERVACIÓN]]="OK","SI","NO"),"")</f>
        <v>SI</v>
      </c>
    </row>
    <row r="40" spans="1:14" x14ac:dyDescent="0.2">
      <c r="A40" s="51">
        <v>45128</v>
      </c>
      <c r="B40" s="52" t="s">
        <v>114</v>
      </c>
      <c r="C40" s="52">
        <v>526</v>
      </c>
      <c r="D40" s="52">
        <v>3</v>
      </c>
      <c r="E40" s="52" t="str">
        <f>VLOOKUP(Tabla1[[#This Row],[ID TIENDA]],Guias[],2,0)</f>
        <v>T994-00158768</v>
      </c>
      <c r="F40" s="54">
        <v>1624.74</v>
      </c>
      <c r="G40" s="52" t="str">
        <f>IFERROR(VLOOKUP(Tabla1[[#This Row],[RUTA]],Tabla2[#All],3,0),"")</f>
        <v>PALOMINO</v>
      </c>
      <c r="H40" s="52" t="str">
        <f>IFERROR(VLOOKUP(Tabla1[[#This Row],[RUTA]],Tabla2[[#All],[RUTA]:[PLACAS]],2,0),"")</f>
        <v>BUU-825</v>
      </c>
      <c r="I40" s="52" t="str">
        <f>IFERROR(VLOOKUP(Tabla1[[#This Row],[RUTA]],Tabla2[[#All],[RUTA]:[CONDUCTOR]],4,0),"")</f>
        <v>Lenin</v>
      </c>
      <c r="J40" s="52" t="str">
        <f>IFERROR(VLOOKUP(Tabla1[[#This Row],[RUTA]],Tabla2[#All],5,0),"")</f>
        <v>Jesus</v>
      </c>
      <c r="K40" s="53" t="s">
        <v>7</v>
      </c>
      <c r="L40" s="55">
        <v>45128</v>
      </c>
      <c r="M40" s="66" t="s">
        <v>517</v>
      </c>
      <c r="N40" s="56" t="str">
        <f>IF(Tabla1[[#This Row],[ESTADO]]="ENTREGADO",IF(Tabla1[[#This Row],[OBSERVACIÓN]]="OK","SI","NO"),"")</f>
        <v>SI</v>
      </c>
    </row>
    <row r="41" spans="1:14" x14ac:dyDescent="0.2">
      <c r="A41" s="51">
        <v>45128</v>
      </c>
      <c r="B41" s="52" t="s">
        <v>115</v>
      </c>
      <c r="C41" s="52">
        <v>430</v>
      </c>
      <c r="D41" s="52">
        <v>3</v>
      </c>
      <c r="E41" s="52" t="str">
        <f>VLOOKUP(Tabla1[[#This Row],[ID TIENDA]],Guias[],2,0)</f>
        <v>T994-00158770</v>
      </c>
      <c r="F41" s="54">
        <v>1827.2</v>
      </c>
      <c r="G41" s="52" t="str">
        <f>IFERROR(VLOOKUP(Tabla1[[#This Row],[RUTA]],Tabla2[#All],3,0),"")</f>
        <v>PALOMINO</v>
      </c>
      <c r="H41" s="52" t="str">
        <f>IFERROR(VLOOKUP(Tabla1[[#This Row],[RUTA]],Tabla2[[#All],[RUTA]:[PLACAS]],2,0),"")</f>
        <v>BUU-825</v>
      </c>
      <c r="I41" s="52" t="str">
        <f>IFERROR(VLOOKUP(Tabla1[[#This Row],[RUTA]],Tabla2[[#All],[RUTA]:[CONDUCTOR]],4,0),"")</f>
        <v>Lenin</v>
      </c>
      <c r="J41" s="52" t="str">
        <f>IFERROR(VLOOKUP(Tabla1[[#This Row],[RUTA]],Tabla2[#All],5,0),"")</f>
        <v>Jesus</v>
      </c>
      <c r="K41" s="53" t="s">
        <v>7</v>
      </c>
      <c r="L41" s="55">
        <v>45128</v>
      </c>
      <c r="M41" s="66" t="s">
        <v>517</v>
      </c>
      <c r="N41" s="56" t="str">
        <f>IF(Tabla1[[#This Row],[ESTADO]]="ENTREGADO",IF(Tabla1[[#This Row],[OBSERVACIÓN]]="OK","SI","NO"),"")</f>
        <v>SI</v>
      </c>
    </row>
    <row r="42" spans="1:14" x14ac:dyDescent="0.2">
      <c r="A42" s="51">
        <v>45128</v>
      </c>
      <c r="B42" s="52" t="s">
        <v>116</v>
      </c>
      <c r="C42" s="52">
        <v>223</v>
      </c>
      <c r="D42" s="52">
        <v>3</v>
      </c>
      <c r="E42" s="52" t="str">
        <f>VLOOKUP(Tabla1[[#This Row],[ID TIENDA]],Guias[],2,0)</f>
        <v>T994-00158817</v>
      </c>
      <c r="F42" s="54">
        <v>1329.01</v>
      </c>
      <c r="G42" s="52" t="str">
        <f>IFERROR(VLOOKUP(Tabla1[[#This Row],[RUTA]],Tabla2[#All],3,0),"")</f>
        <v>PALOMINO</v>
      </c>
      <c r="H42" s="52" t="str">
        <f>IFERROR(VLOOKUP(Tabla1[[#This Row],[RUTA]],Tabla2[[#All],[RUTA]:[PLACAS]],2,0),"")</f>
        <v>BUU-825</v>
      </c>
      <c r="I42" s="52" t="str">
        <f>IFERROR(VLOOKUP(Tabla1[[#This Row],[RUTA]],Tabla2[[#All],[RUTA]:[CONDUCTOR]],4,0),"")</f>
        <v>Lenin</v>
      </c>
      <c r="J42" s="52" t="str">
        <f>IFERROR(VLOOKUP(Tabla1[[#This Row],[RUTA]],Tabla2[#All],5,0),"")</f>
        <v>Jesus</v>
      </c>
      <c r="K42" s="53" t="s">
        <v>7</v>
      </c>
      <c r="L42" s="55">
        <v>45128</v>
      </c>
      <c r="M42" s="66" t="s">
        <v>517</v>
      </c>
      <c r="N42" s="56" t="str">
        <f>IF(Tabla1[[#This Row],[ESTADO]]="ENTREGADO",IF(Tabla1[[#This Row],[OBSERVACIÓN]]="OK","SI","NO"),"")</f>
        <v>SI</v>
      </c>
    </row>
    <row r="43" spans="1:14" ht="24" x14ac:dyDescent="0.2">
      <c r="A43" s="51">
        <v>45128</v>
      </c>
      <c r="B43" s="52" t="s">
        <v>117</v>
      </c>
      <c r="C43" s="52">
        <v>104</v>
      </c>
      <c r="D43" s="52">
        <v>3</v>
      </c>
      <c r="E43" s="52" t="str">
        <f>VLOOKUP(Tabla1[[#This Row],[ID TIENDA]],Guias[],2,0)</f>
        <v>T994-00158702</v>
      </c>
      <c r="F43" s="54">
        <v>1785.42</v>
      </c>
      <c r="G43" s="52" t="str">
        <f>IFERROR(VLOOKUP(Tabla1[[#This Row],[RUTA]],Tabla2[#All],3,0),"")</f>
        <v>PALOMINO</v>
      </c>
      <c r="H43" s="52" t="str">
        <f>IFERROR(VLOOKUP(Tabla1[[#This Row],[RUTA]],Tabla2[[#All],[RUTA]:[PLACAS]],2,0),"")</f>
        <v>BUU-825</v>
      </c>
      <c r="I43" s="52" t="str">
        <f>IFERROR(VLOOKUP(Tabla1[[#This Row],[RUTA]],Tabla2[[#All],[RUTA]:[CONDUCTOR]],4,0),"")</f>
        <v>Lenin</v>
      </c>
      <c r="J43" s="52" t="str">
        <f>IFERROR(VLOOKUP(Tabla1[[#This Row],[RUTA]],Tabla2[#All],5,0),"")</f>
        <v>Jesus</v>
      </c>
      <c r="K43" s="53" t="s">
        <v>7</v>
      </c>
      <c r="L43" s="55">
        <v>45128</v>
      </c>
      <c r="M43" s="73" t="s">
        <v>496</v>
      </c>
      <c r="N43" s="56" t="str">
        <f>IF(Tabla1[[#This Row],[ESTADO]]="ENTREGADO",IF(Tabla1[[#This Row],[OBSERVACIÓN]]="OK","SI","NO"),"")</f>
        <v>NO</v>
      </c>
    </row>
    <row r="44" spans="1:14" x14ac:dyDescent="0.2">
      <c r="A44" s="51">
        <v>45128</v>
      </c>
      <c r="B44" s="52" t="s">
        <v>118</v>
      </c>
      <c r="C44" s="52">
        <v>329</v>
      </c>
      <c r="D44" s="52">
        <v>3</v>
      </c>
      <c r="E44" s="52" t="str">
        <f>VLOOKUP(Tabla1[[#This Row],[ID TIENDA]],Guias[],2,0)</f>
        <v>T994-00158731</v>
      </c>
      <c r="F44" s="54">
        <v>1930.59</v>
      </c>
      <c r="G44" s="52" t="str">
        <f>IFERROR(VLOOKUP(Tabla1[[#This Row],[RUTA]],Tabla2[#All],3,0),"")</f>
        <v>PALOMINO</v>
      </c>
      <c r="H44" s="52" t="str">
        <f>IFERROR(VLOOKUP(Tabla1[[#This Row],[RUTA]],Tabla2[[#All],[RUTA]:[PLACAS]],2,0),"")</f>
        <v>BUU-825</v>
      </c>
      <c r="I44" s="52" t="str">
        <f>IFERROR(VLOOKUP(Tabla1[[#This Row],[RUTA]],Tabla2[[#All],[RUTA]:[CONDUCTOR]],4,0),"")</f>
        <v>Lenin</v>
      </c>
      <c r="J44" s="52" t="str">
        <f>IFERROR(VLOOKUP(Tabla1[[#This Row],[RUTA]],Tabla2[#All],5,0),"")</f>
        <v>Jesus</v>
      </c>
      <c r="K44" s="53" t="s">
        <v>7</v>
      </c>
      <c r="L44" s="55">
        <v>45128</v>
      </c>
      <c r="M44" s="66" t="s">
        <v>517</v>
      </c>
      <c r="N44" s="56" t="str">
        <f>IF(Tabla1[[#This Row],[ESTADO]]="ENTREGADO",IF(Tabla1[[#This Row],[OBSERVACIÓN]]="OK","SI","NO"),"")</f>
        <v>SI</v>
      </c>
    </row>
    <row r="45" spans="1:14" x14ac:dyDescent="0.2">
      <c r="A45" s="74">
        <v>45128</v>
      </c>
      <c r="B45" s="75" t="s">
        <v>483</v>
      </c>
      <c r="C45" s="75"/>
      <c r="D45" s="75">
        <v>3</v>
      </c>
      <c r="E45" s="75" t="s">
        <v>52</v>
      </c>
      <c r="F45" s="76" t="s">
        <v>469</v>
      </c>
      <c r="G45" s="75" t="s">
        <v>470</v>
      </c>
      <c r="H45" s="52" t="str">
        <f>IFERROR(VLOOKUP(Tabla1[[#This Row],[RUTA]],Tabla2[[#All],[RUTA]:[PLACAS]],2,0),"")</f>
        <v>BUU-825</v>
      </c>
      <c r="I45" s="52" t="str">
        <f>IFERROR(VLOOKUP(Tabla1[[#This Row],[RUTA]],Tabla2[[#All],[RUTA]:[CONDUCTOR]],4,0),"")</f>
        <v>Lenin</v>
      </c>
      <c r="J45" s="52" t="str">
        <f>IFERROR(VLOOKUP(Tabla1[[#This Row],[RUTA]],Tabla2[#All],5,0),"")</f>
        <v>Jesus</v>
      </c>
      <c r="K45" s="53" t="s">
        <v>7</v>
      </c>
      <c r="L45" s="55">
        <v>45128</v>
      </c>
      <c r="M45" s="66" t="s">
        <v>517</v>
      </c>
      <c r="N45" s="78"/>
    </row>
    <row r="46" spans="1:14" x14ac:dyDescent="0.2">
      <c r="A46" s="51">
        <v>45128</v>
      </c>
      <c r="B46" s="52" t="s">
        <v>119</v>
      </c>
      <c r="C46" s="52">
        <v>449</v>
      </c>
      <c r="D46" s="52">
        <v>4</v>
      </c>
      <c r="E46" s="52" t="str">
        <f>VLOOKUP(Tabla1[[#This Row],[ID TIENDA]],Guias[],2,0)</f>
        <v>T994-00158721</v>
      </c>
      <c r="F46" s="54">
        <v>2661.04</v>
      </c>
      <c r="G46" s="52" t="str">
        <f>IFERROR(VLOOKUP(Tabla1[[#This Row],[RUTA]],Tabla2[#All],3,0),"")</f>
        <v>PALOMINO</v>
      </c>
      <c r="H46" s="52" t="str">
        <f>IFERROR(VLOOKUP(Tabla1[[#This Row],[RUTA]],Tabla2[[#All],[RUTA]:[PLACAS]],2,0),"")</f>
        <v>BMH-890</v>
      </c>
      <c r="I46" s="52" t="str">
        <f>IFERROR(VLOOKUP(Tabla1[[#This Row],[RUTA]],Tabla2[[#All],[RUTA]:[CONDUCTOR]],4,0),"")</f>
        <v>Yhin</v>
      </c>
      <c r="J46" s="52" t="str">
        <f>IFERROR(VLOOKUP(Tabla1[[#This Row],[RUTA]],Tabla2[#All],5,0),"")</f>
        <v>Alexis/Daniel</v>
      </c>
      <c r="K46" s="53" t="s">
        <v>7</v>
      </c>
      <c r="L46" s="55">
        <v>45128</v>
      </c>
      <c r="M46" s="66" t="s">
        <v>517</v>
      </c>
      <c r="N46" s="56" t="str">
        <f>IF(Tabla1[[#This Row],[ESTADO]]="ENTREGADO",IF(Tabla1[[#This Row],[OBSERVACIÓN]]="OK","SI","NO"),"")</f>
        <v>SI</v>
      </c>
    </row>
    <row r="47" spans="1:14" x14ac:dyDescent="0.2">
      <c r="A47" s="51">
        <v>45128</v>
      </c>
      <c r="B47" s="52" t="s">
        <v>120</v>
      </c>
      <c r="C47" s="52">
        <v>232</v>
      </c>
      <c r="D47" s="52">
        <v>4</v>
      </c>
      <c r="E47" s="52" t="str">
        <f>VLOOKUP(Tabla1[[#This Row],[ID TIENDA]],Guias[],2,0)</f>
        <v>T994-00158782</v>
      </c>
      <c r="F47" s="54">
        <v>1187.54</v>
      </c>
      <c r="G47" s="52" t="str">
        <f>IFERROR(VLOOKUP(Tabla1[[#This Row],[RUTA]],Tabla2[#All],3,0),"")</f>
        <v>PALOMINO</v>
      </c>
      <c r="H47" s="52" t="str">
        <f>IFERROR(VLOOKUP(Tabla1[[#This Row],[RUTA]],Tabla2[[#All],[RUTA]:[PLACAS]],2,0),"")</f>
        <v>BMH-890</v>
      </c>
      <c r="I47" s="52" t="str">
        <f>IFERROR(VLOOKUP(Tabla1[[#This Row],[RUTA]],Tabla2[[#All],[RUTA]:[CONDUCTOR]],4,0),"")</f>
        <v>Yhin</v>
      </c>
      <c r="J47" s="52" t="str">
        <f>IFERROR(VLOOKUP(Tabla1[[#This Row],[RUTA]],Tabla2[#All],5,0),"")</f>
        <v>Alexis/Daniel</v>
      </c>
      <c r="K47" s="53" t="s">
        <v>7</v>
      </c>
      <c r="L47" s="55">
        <v>45128</v>
      </c>
      <c r="M47" s="66" t="s">
        <v>517</v>
      </c>
      <c r="N47" s="56" t="str">
        <f>IF(Tabla1[[#This Row],[ESTADO]]="ENTREGADO",IF(Tabla1[[#This Row],[OBSERVACIÓN]]="OK","SI","NO"),"")</f>
        <v>SI</v>
      </c>
    </row>
    <row r="48" spans="1:14" x14ac:dyDescent="0.2">
      <c r="A48" s="51">
        <v>45128</v>
      </c>
      <c r="B48" s="52" t="s">
        <v>121</v>
      </c>
      <c r="C48" s="52">
        <v>310</v>
      </c>
      <c r="D48" s="52">
        <v>4</v>
      </c>
      <c r="E48" s="52" t="str">
        <f>VLOOKUP(Tabla1[[#This Row],[ID TIENDA]],Guias[],2,0)</f>
        <v>T994-00158714</v>
      </c>
      <c r="F48" s="54">
        <v>1287.1099999999999</v>
      </c>
      <c r="G48" s="52" t="str">
        <f>IFERROR(VLOOKUP(Tabla1[[#This Row],[RUTA]],Tabla2[#All],3,0),"")</f>
        <v>PALOMINO</v>
      </c>
      <c r="H48" s="52" t="str">
        <f>IFERROR(VLOOKUP(Tabla1[[#This Row],[RUTA]],Tabla2[[#All],[RUTA]:[PLACAS]],2,0),"")</f>
        <v>BMH-890</v>
      </c>
      <c r="I48" s="52" t="str">
        <f>IFERROR(VLOOKUP(Tabla1[[#This Row],[RUTA]],Tabla2[[#All],[RUTA]:[CONDUCTOR]],4,0),"")</f>
        <v>Yhin</v>
      </c>
      <c r="J48" s="52" t="str">
        <f>IFERROR(VLOOKUP(Tabla1[[#This Row],[RUTA]],Tabla2[#All],5,0),"")</f>
        <v>Alexis/Daniel</v>
      </c>
      <c r="K48" s="53" t="s">
        <v>7</v>
      </c>
      <c r="L48" s="55">
        <v>45128</v>
      </c>
      <c r="M48" s="66" t="s">
        <v>517</v>
      </c>
      <c r="N48" s="56" t="str">
        <f>IF(Tabla1[[#This Row],[ESTADO]]="ENTREGADO",IF(Tabla1[[#This Row],[OBSERVACIÓN]]="OK","SI","NO"),"")</f>
        <v>SI</v>
      </c>
    </row>
    <row r="49" spans="1:14" x14ac:dyDescent="0.2">
      <c r="A49" s="51">
        <v>45128</v>
      </c>
      <c r="B49" s="52" t="s">
        <v>122</v>
      </c>
      <c r="C49" s="52">
        <v>380</v>
      </c>
      <c r="D49" s="52">
        <v>4</v>
      </c>
      <c r="E49" s="52" t="str">
        <f>VLOOKUP(Tabla1[[#This Row],[ID TIENDA]],Guias[],2,0)</f>
        <v>T994-00158774</v>
      </c>
      <c r="F49" s="54">
        <v>1736.69</v>
      </c>
      <c r="G49" s="52" t="str">
        <f>IFERROR(VLOOKUP(Tabla1[[#This Row],[RUTA]],Tabla2[#All],3,0),"")</f>
        <v>PALOMINO</v>
      </c>
      <c r="H49" s="52" t="str">
        <f>IFERROR(VLOOKUP(Tabla1[[#This Row],[RUTA]],Tabla2[[#All],[RUTA]:[PLACAS]],2,0),"")</f>
        <v>BMH-890</v>
      </c>
      <c r="I49" s="52" t="str">
        <f>IFERROR(VLOOKUP(Tabla1[[#This Row],[RUTA]],Tabla2[[#All],[RUTA]:[CONDUCTOR]],4,0),"")</f>
        <v>Yhin</v>
      </c>
      <c r="J49" s="52" t="str">
        <f>IFERROR(VLOOKUP(Tabla1[[#This Row],[RUTA]],Tabla2[#All],5,0),"")</f>
        <v>Alexis/Daniel</v>
      </c>
      <c r="K49" s="53" t="s">
        <v>7</v>
      </c>
      <c r="L49" s="55">
        <v>45128</v>
      </c>
      <c r="M49" s="66" t="s">
        <v>517</v>
      </c>
      <c r="N49" s="56" t="str">
        <f>IF(Tabla1[[#This Row],[ESTADO]]="ENTREGADO",IF(Tabla1[[#This Row],[OBSERVACIÓN]]="OK","SI","NO"),"")</f>
        <v>SI</v>
      </c>
    </row>
    <row r="50" spans="1:14" ht="24" x14ac:dyDescent="0.2">
      <c r="A50" s="51">
        <v>45128</v>
      </c>
      <c r="B50" s="52" t="s">
        <v>123</v>
      </c>
      <c r="C50" s="52">
        <v>94</v>
      </c>
      <c r="D50" s="52">
        <v>4</v>
      </c>
      <c r="E50" s="52" t="str">
        <f>VLOOKUP(Tabla1[[#This Row],[ID TIENDA]],Guias[],2,0)</f>
        <v>T994-00158779</v>
      </c>
      <c r="F50" s="54">
        <v>1909.09</v>
      </c>
      <c r="G50" s="52" t="str">
        <f>IFERROR(VLOOKUP(Tabla1[[#This Row],[RUTA]],Tabla2[#All],3,0),"")</f>
        <v>PALOMINO</v>
      </c>
      <c r="H50" s="52" t="str">
        <f>IFERROR(VLOOKUP(Tabla1[[#This Row],[RUTA]],Tabla2[[#All],[RUTA]:[PLACAS]],2,0),"")</f>
        <v>BMH-890</v>
      </c>
      <c r="I50" s="52" t="str">
        <f>IFERROR(VLOOKUP(Tabla1[[#This Row],[RUTA]],Tabla2[[#All],[RUTA]:[CONDUCTOR]],4,0),"")</f>
        <v>Yhin</v>
      </c>
      <c r="J50" s="52" t="str">
        <f>IFERROR(VLOOKUP(Tabla1[[#This Row],[RUTA]],Tabla2[#All],5,0),"")</f>
        <v>Alexis/Daniel</v>
      </c>
      <c r="K50" s="53" t="s">
        <v>7</v>
      </c>
      <c r="L50" s="55">
        <v>45128</v>
      </c>
      <c r="M50" s="73" t="s">
        <v>501</v>
      </c>
      <c r="N50" s="56" t="str">
        <f>IF(Tabla1[[#This Row],[ESTADO]]="ENTREGADO",IF(Tabla1[[#This Row],[OBSERVACIÓN]]="OK","SI","NO"),"")</f>
        <v>NO</v>
      </c>
    </row>
    <row r="51" spans="1:14" ht="36" x14ac:dyDescent="0.2">
      <c r="A51" s="51">
        <v>45128</v>
      </c>
      <c r="B51" s="52" t="s">
        <v>124</v>
      </c>
      <c r="C51" s="52">
        <v>272</v>
      </c>
      <c r="D51" s="52">
        <v>4</v>
      </c>
      <c r="E51" s="52" t="str">
        <f>VLOOKUP(Tabla1[[#This Row],[ID TIENDA]],Guias[],2,0)</f>
        <v>T994-00158735</v>
      </c>
      <c r="F51" s="54">
        <v>858.14</v>
      </c>
      <c r="G51" s="52" t="str">
        <f>IFERROR(VLOOKUP(Tabla1[[#This Row],[RUTA]],Tabla2[#All],3,0),"")</f>
        <v>PALOMINO</v>
      </c>
      <c r="H51" s="52" t="str">
        <f>IFERROR(VLOOKUP(Tabla1[[#This Row],[RUTA]],Tabla2[[#All],[RUTA]:[PLACAS]],2,0),"")</f>
        <v>BMH-890</v>
      </c>
      <c r="I51" s="52" t="str">
        <f>IFERROR(VLOOKUP(Tabla1[[#This Row],[RUTA]],Tabla2[[#All],[RUTA]:[CONDUCTOR]],4,0),"")</f>
        <v>Yhin</v>
      </c>
      <c r="J51" s="52" t="str">
        <f>IFERROR(VLOOKUP(Tabla1[[#This Row],[RUTA]],Tabla2[#All],5,0),"")</f>
        <v>Alexis/Daniel</v>
      </c>
      <c r="K51" s="53" t="s">
        <v>7</v>
      </c>
      <c r="L51" s="55">
        <v>45128</v>
      </c>
      <c r="M51" s="73" t="s">
        <v>506</v>
      </c>
      <c r="N51" s="56" t="str">
        <f>IF(Tabla1[[#This Row],[ESTADO]]="ENTREGADO",IF(Tabla1[[#This Row],[OBSERVACIÓN]]="OK","SI","NO"),"")</f>
        <v>NO</v>
      </c>
    </row>
    <row r="52" spans="1:14" x14ac:dyDescent="0.2">
      <c r="A52" s="51">
        <v>45128</v>
      </c>
      <c r="B52" s="52" t="s">
        <v>125</v>
      </c>
      <c r="C52" s="52">
        <v>338</v>
      </c>
      <c r="D52" s="52">
        <v>4</v>
      </c>
      <c r="E52" s="52" t="str">
        <f>VLOOKUP(Tabla1[[#This Row],[ID TIENDA]],Guias[],2,0)</f>
        <v>T994-00158844</v>
      </c>
      <c r="F52" s="54">
        <v>1961.8</v>
      </c>
      <c r="G52" s="52" t="str">
        <f>IFERROR(VLOOKUP(Tabla1[[#This Row],[RUTA]],Tabla2[#All],3,0),"")</f>
        <v>PALOMINO</v>
      </c>
      <c r="H52" s="52" t="str">
        <f>IFERROR(VLOOKUP(Tabla1[[#This Row],[RUTA]],Tabla2[[#All],[RUTA]:[PLACAS]],2,0),"")</f>
        <v>BMH-890</v>
      </c>
      <c r="I52" s="52" t="str">
        <f>IFERROR(VLOOKUP(Tabla1[[#This Row],[RUTA]],Tabla2[[#All],[RUTA]:[CONDUCTOR]],4,0),"")</f>
        <v>Yhin</v>
      </c>
      <c r="J52" s="52" t="str">
        <f>IFERROR(VLOOKUP(Tabla1[[#This Row],[RUTA]],Tabla2[#All],5,0),"")</f>
        <v>Alexis/Daniel</v>
      </c>
      <c r="K52" s="53" t="s">
        <v>7</v>
      </c>
      <c r="L52" s="55">
        <v>45128</v>
      </c>
      <c r="M52" s="66" t="s">
        <v>517</v>
      </c>
      <c r="N52" s="56" t="str">
        <f>IF(Tabla1[[#This Row],[ESTADO]]="ENTREGADO",IF(Tabla1[[#This Row],[OBSERVACIÓN]]="OK","SI","NO"),"")</f>
        <v>SI</v>
      </c>
    </row>
    <row r="53" spans="1:14" x14ac:dyDescent="0.2">
      <c r="A53" s="51">
        <v>45128</v>
      </c>
      <c r="B53" s="52" t="s">
        <v>126</v>
      </c>
      <c r="C53" s="52">
        <v>216</v>
      </c>
      <c r="D53" s="52">
        <v>4</v>
      </c>
      <c r="E53" s="52" t="str">
        <f>VLOOKUP(Tabla1[[#This Row],[ID TIENDA]],Guias[],2,0)</f>
        <v>T994-00158842</v>
      </c>
      <c r="F53" s="54">
        <v>1964.49</v>
      </c>
      <c r="G53" s="52" t="str">
        <f>IFERROR(VLOOKUP(Tabla1[[#This Row],[RUTA]],Tabla2[#All],3,0),"")</f>
        <v>PALOMINO</v>
      </c>
      <c r="H53" s="52" t="str">
        <f>IFERROR(VLOOKUP(Tabla1[[#This Row],[RUTA]],Tabla2[[#All],[RUTA]:[PLACAS]],2,0),"")</f>
        <v>BMH-890</v>
      </c>
      <c r="I53" s="52" t="str">
        <f>IFERROR(VLOOKUP(Tabla1[[#This Row],[RUTA]],Tabla2[[#All],[RUTA]:[CONDUCTOR]],4,0),"")</f>
        <v>Yhin</v>
      </c>
      <c r="J53" s="52" t="str">
        <f>IFERROR(VLOOKUP(Tabla1[[#This Row],[RUTA]],Tabla2[#All],5,0),"")</f>
        <v>Alexis/Daniel</v>
      </c>
      <c r="K53" s="53" t="s">
        <v>7</v>
      </c>
      <c r="L53" s="55">
        <v>45128</v>
      </c>
      <c r="M53" s="66" t="s">
        <v>517</v>
      </c>
      <c r="N53" s="56" t="str">
        <f>IF(Tabla1[[#This Row],[ESTADO]]="ENTREGADO",IF(Tabla1[[#This Row],[OBSERVACIÓN]]="OK","SI","NO"),"")</f>
        <v>SI</v>
      </c>
    </row>
    <row r="54" spans="1:14" x14ac:dyDescent="0.2">
      <c r="A54" s="51">
        <v>45128</v>
      </c>
      <c r="B54" s="52" t="s">
        <v>127</v>
      </c>
      <c r="C54" s="52">
        <v>277</v>
      </c>
      <c r="D54" s="52">
        <v>4</v>
      </c>
      <c r="E54" s="52" t="str">
        <f>VLOOKUP(Tabla1[[#This Row],[ID TIENDA]],Guias[],2,0)</f>
        <v>T994-00158767</v>
      </c>
      <c r="F54" s="54">
        <v>1876.44</v>
      </c>
      <c r="G54" s="52" t="str">
        <f>IFERROR(VLOOKUP(Tabla1[[#This Row],[RUTA]],Tabla2[#All],3,0),"")</f>
        <v>PALOMINO</v>
      </c>
      <c r="H54" s="52" t="str">
        <f>IFERROR(VLOOKUP(Tabla1[[#This Row],[RUTA]],Tabla2[[#All],[RUTA]:[PLACAS]],2,0),"")</f>
        <v>BMH-890</v>
      </c>
      <c r="I54" s="52" t="str">
        <f>IFERROR(VLOOKUP(Tabla1[[#This Row],[RUTA]],Tabla2[[#All],[RUTA]:[CONDUCTOR]],4,0),"")</f>
        <v>Yhin</v>
      </c>
      <c r="J54" s="52" t="str">
        <f>IFERROR(VLOOKUP(Tabla1[[#This Row],[RUTA]],Tabla2[#All],5,0),"")</f>
        <v>Alexis/Daniel</v>
      </c>
      <c r="K54" s="53" t="s">
        <v>7</v>
      </c>
      <c r="L54" s="55">
        <v>45128</v>
      </c>
      <c r="M54" s="66" t="s">
        <v>517</v>
      </c>
      <c r="N54" s="56" t="str">
        <f>IF(Tabla1[[#This Row],[ESTADO]]="ENTREGADO",IF(Tabla1[[#This Row],[OBSERVACIÓN]]="OK","SI","NO"),"")</f>
        <v>SI</v>
      </c>
    </row>
    <row r="55" spans="1:14" x14ac:dyDescent="0.2">
      <c r="A55" s="51">
        <v>45128</v>
      </c>
      <c r="B55" s="52" t="s">
        <v>128</v>
      </c>
      <c r="C55" s="52">
        <v>324</v>
      </c>
      <c r="D55" s="52">
        <v>4</v>
      </c>
      <c r="E55" s="52" t="str">
        <f>VLOOKUP(Tabla1[[#This Row],[ID TIENDA]],Guias[],2,0)</f>
        <v>T994-00158781</v>
      </c>
      <c r="F55" s="54">
        <v>1818.14</v>
      </c>
      <c r="G55" s="52" t="str">
        <f>IFERROR(VLOOKUP(Tabla1[[#This Row],[RUTA]],Tabla2[#All],3,0),"")</f>
        <v>PALOMINO</v>
      </c>
      <c r="H55" s="52" t="str">
        <f>IFERROR(VLOOKUP(Tabla1[[#This Row],[RUTA]],Tabla2[[#All],[RUTA]:[PLACAS]],2,0),"")</f>
        <v>BMH-890</v>
      </c>
      <c r="I55" s="52" t="str">
        <f>IFERROR(VLOOKUP(Tabla1[[#This Row],[RUTA]],Tabla2[[#All],[RUTA]:[CONDUCTOR]],4,0),"")</f>
        <v>Yhin</v>
      </c>
      <c r="J55" s="52" t="str">
        <f>IFERROR(VLOOKUP(Tabla1[[#This Row],[RUTA]],Tabla2[#All],5,0),"")</f>
        <v>Alexis/Daniel</v>
      </c>
      <c r="K55" s="53" t="s">
        <v>7</v>
      </c>
      <c r="L55" s="55">
        <v>45128</v>
      </c>
      <c r="M55" s="66" t="s">
        <v>517</v>
      </c>
      <c r="N55" s="56" t="str">
        <f>IF(Tabla1[[#This Row],[ESTADO]]="ENTREGADO",IF(Tabla1[[#This Row],[OBSERVACIÓN]]="OK","SI","NO"),"")</f>
        <v>SI</v>
      </c>
    </row>
    <row r="56" spans="1:14" x14ac:dyDescent="0.2">
      <c r="A56" s="51">
        <v>45128</v>
      </c>
      <c r="B56" s="52" t="s">
        <v>129</v>
      </c>
      <c r="C56" s="52">
        <v>213</v>
      </c>
      <c r="D56" s="52">
        <v>4</v>
      </c>
      <c r="E56" s="52" t="str">
        <f>VLOOKUP(Tabla1[[#This Row],[ID TIENDA]],Guias[],2,0)</f>
        <v>T994-00158871</v>
      </c>
      <c r="F56" s="54">
        <v>1886.19</v>
      </c>
      <c r="G56" s="52" t="str">
        <f>IFERROR(VLOOKUP(Tabla1[[#This Row],[RUTA]],Tabla2[#All],3,0),"")</f>
        <v>PALOMINO</v>
      </c>
      <c r="H56" s="52" t="str">
        <f>IFERROR(VLOOKUP(Tabla1[[#This Row],[RUTA]],Tabla2[[#All],[RUTA]:[PLACAS]],2,0),"")</f>
        <v>BMH-890</v>
      </c>
      <c r="I56" s="52" t="str">
        <f>IFERROR(VLOOKUP(Tabla1[[#This Row],[RUTA]],Tabla2[[#All],[RUTA]:[CONDUCTOR]],4,0),"")</f>
        <v>Yhin</v>
      </c>
      <c r="J56" s="52" t="str">
        <f>IFERROR(VLOOKUP(Tabla1[[#This Row],[RUTA]],Tabla2[#All],5,0),"")</f>
        <v>Alexis/Daniel</v>
      </c>
      <c r="K56" s="53" t="s">
        <v>7</v>
      </c>
      <c r="L56" s="55">
        <v>45128</v>
      </c>
      <c r="M56" s="66" t="s">
        <v>517</v>
      </c>
      <c r="N56" s="56" t="str">
        <f>IF(Tabla1[[#This Row],[ESTADO]]="ENTREGADO",IF(Tabla1[[#This Row],[OBSERVACIÓN]]="OK","SI","NO"),"")</f>
        <v>SI</v>
      </c>
    </row>
    <row r="57" spans="1:14" ht="11.25" customHeight="1" x14ac:dyDescent="0.2">
      <c r="A57" s="51">
        <v>45128</v>
      </c>
      <c r="B57" s="52" t="s">
        <v>130</v>
      </c>
      <c r="C57" s="52">
        <v>200</v>
      </c>
      <c r="D57" s="52">
        <v>4</v>
      </c>
      <c r="E57" s="52" t="str">
        <f>VLOOKUP(Tabla1[[#This Row],[ID TIENDA]],Guias[],2,0)</f>
        <v>T994-00158686</v>
      </c>
      <c r="F57" s="54">
        <v>1835.1</v>
      </c>
      <c r="G57" s="52" t="str">
        <f>IFERROR(VLOOKUP(Tabla1[[#This Row],[RUTA]],Tabla2[#All],3,0),"")</f>
        <v>PALOMINO</v>
      </c>
      <c r="H57" s="52" t="str">
        <f>IFERROR(VLOOKUP(Tabla1[[#This Row],[RUTA]],Tabla2[[#All],[RUTA]:[PLACAS]],2,0),"")</f>
        <v>BMH-890</v>
      </c>
      <c r="I57" s="52" t="str">
        <f>IFERROR(VLOOKUP(Tabla1[[#This Row],[RUTA]],Tabla2[[#All],[RUTA]:[CONDUCTOR]],4,0),"")</f>
        <v>Yhin</v>
      </c>
      <c r="J57" s="52" t="str">
        <f>IFERROR(VLOOKUP(Tabla1[[#This Row],[RUTA]],Tabla2[#All],5,0),"")</f>
        <v>Alexis/Daniel</v>
      </c>
      <c r="K57" s="53" t="s">
        <v>7</v>
      </c>
      <c r="L57" s="55">
        <v>45128</v>
      </c>
      <c r="M57" s="66" t="s">
        <v>517</v>
      </c>
      <c r="N57" s="56" t="str">
        <f>IF(Tabla1[[#This Row],[ESTADO]]="ENTREGADO",IF(Tabla1[[#This Row],[OBSERVACIÓN]]="OK","SI","NO"),"")</f>
        <v>SI</v>
      </c>
    </row>
    <row r="58" spans="1:14" x14ac:dyDescent="0.2">
      <c r="A58" s="51">
        <v>45128</v>
      </c>
      <c r="B58" s="52" t="s">
        <v>131</v>
      </c>
      <c r="C58" s="52">
        <v>502</v>
      </c>
      <c r="D58" s="52">
        <v>4</v>
      </c>
      <c r="E58" s="52" t="str">
        <f>VLOOKUP(Tabla1[[#This Row],[ID TIENDA]],Guias[],2,0)</f>
        <v>T994-00158680</v>
      </c>
      <c r="F58" s="54">
        <v>1573.15</v>
      </c>
      <c r="G58" s="52" t="str">
        <f>IFERROR(VLOOKUP(Tabla1[[#This Row],[RUTA]],Tabla2[#All],3,0),"")</f>
        <v>PALOMINO</v>
      </c>
      <c r="H58" s="52" t="str">
        <f>IFERROR(VLOOKUP(Tabla1[[#This Row],[RUTA]],Tabla2[[#All],[RUTA]:[PLACAS]],2,0),"")</f>
        <v>BMH-890</v>
      </c>
      <c r="I58" s="52" t="str">
        <f>IFERROR(VLOOKUP(Tabla1[[#This Row],[RUTA]],Tabla2[[#All],[RUTA]:[CONDUCTOR]],4,0),"")</f>
        <v>Yhin</v>
      </c>
      <c r="J58" s="52" t="str">
        <f>IFERROR(VLOOKUP(Tabla1[[#This Row],[RUTA]],Tabla2[#All],5,0),"")</f>
        <v>Alexis/Daniel</v>
      </c>
      <c r="K58" s="53" t="s">
        <v>7</v>
      </c>
      <c r="L58" s="55">
        <v>45128</v>
      </c>
      <c r="M58" s="66" t="s">
        <v>517</v>
      </c>
      <c r="N58" s="56" t="str">
        <f>IF(Tabla1[[#This Row],[ESTADO]]="ENTREGADO",IF(Tabla1[[#This Row],[OBSERVACIÓN]]="OK","SI","NO"),"")</f>
        <v>SI</v>
      </c>
    </row>
    <row r="59" spans="1:14" ht="24" x14ac:dyDescent="0.2">
      <c r="A59" s="51">
        <v>45128</v>
      </c>
      <c r="B59" s="52" t="s">
        <v>132</v>
      </c>
      <c r="C59" s="52">
        <v>263</v>
      </c>
      <c r="D59" s="52">
        <v>4</v>
      </c>
      <c r="E59" s="52" t="str">
        <f>VLOOKUP(Tabla1[[#This Row],[ID TIENDA]],Guias[],2,0)</f>
        <v>T994-00158769</v>
      </c>
      <c r="F59" s="54">
        <v>1835.61</v>
      </c>
      <c r="G59" s="52" t="str">
        <f>IFERROR(VLOOKUP(Tabla1[[#This Row],[RUTA]],Tabla2[#All],3,0),"")</f>
        <v>PALOMINO</v>
      </c>
      <c r="H59" s="52" t="str">
        <f>IFERROR(VLOOKUP(Tabla1[[#This Row],[RUTA]],Tabla2[[#All],[RUTA]:[PLACAS]],2,0),"")</f>
        <v>BMH-890</v>
      </c>
      <c r="I59" s="52" t="str">
        <f>IFERROR(VLOOKUP(Tabla1[[#This Row],[RUTA]],Tabla2[[#All],[RUTA]:[CONDUCTOR]],4,0),"")</f>
        <v>Yhin</v>
      </c>
      <c r="J59" s="52" t="str">
        <f>IFERROR(VLOOKUP(Tabla1[[#This Row],[RUTA]],Tabla2[#All],5,0),"")</f>
        <v>Alexis/Daniel</v>
      </c>
      <c r="K59" s="53" t="s">
        <v>7</v>
      </c>
      <c r="L59" s="55">
        <v>45128</v>
      </c>
      <c r="M59" s="73" t="s">
        <v>497</v>
      </c>
      <c r="N59" s="56" t="str">
        <f>IF(Tabla1[[#This Row],[ESTADO]]="ENTREGADO",IF(Tabla1[[#This Row],[OBSERVACIÓN]]="OK","SI","NO"),"")</f>
        <v>NO</v>
      </c>
    </row>
    <row r="60" spans="1:14" x14ac:dyDescent="0.2">
      <c r="A60" s="51">
        <v>45128</v>
      </c>
      <c r="B60" s="52" t="s">
        <v>133</v>
      </c>
      <c r="C60" s="52">
        <v>159</v>
      </c>
      <c r="D60" s="52">
        <v>4</v>
      </c>
      <c r="E60" s="52" t="str">
        <f>VLOOKUP(Tabla1[[#This Row],[ID TIENDA]],Guias[],2,0)</f>
        <v>T994-00158813</v>
      </c>
      <c r="F60" s="54">
        <v>1274.6600000000001</v>
      </c>
      <c r="G60" s="52" t="str">
        <f>IFERROR(VLOOKUP(Tabla1[[#This Row],[RUTA]],Tabla2[#All],3,0),"")</f>
        <v>PALOMINO</v>
      </c>
      <c r="H60" s="52" t="str">
        <f>IFERROR(VLOOKUP(Tabla1[[#This Row],[RUTA]],Tabla2[[#All],[RUTA]:[PLACAS]],2,0),"")</f>
        <v>BMH-890</v>
      </c>
      <c r="I60" s="52" t="str">
        <f>IFERROR(VLOOKUP(Tabla1[[#This Row],[RUTA]],Tabla2[[#All],[RUTA]:[CONDUCTOR]],4,0),"")</f>
        <v>Yhin</v>
      </c>
      <c r="J60" s="52" t="str">
        <f>IFERROR(VLOOKUP(Tabla1[[#This Row],[RUTA]],Tabla2[#All],5,0),"")</f>
        <v>Alexis/Daniel</v>
      </c>
      <c r="K60" s="53" t="s">
        <v>7</v>
      </c>
      <c r="L60" s="55">
        <v>45128</v>
      </c>
      <c r="M60" s="66" t="s">
        <v>517</v>
      </c>
      <c r="N60" s="56" t="str">
        <f>IF(Tabla1[[#This Row],[ESTADO]]="ENTREGADO",IF(Tabla1[[#This Row],[OBSERVACIÓN]]="OK","SI","NO"),"")</f>
        <v>SI</v>
      </c>
    </row>
    <row r="61" spans="1:14" x14ac:dyDescent="0.2">
      <c r="A61" s="51">
        <v>45128</v>
      </c>
      <c r="B61" s="52" t="s">
        <v>488</v>
      </c>
      <c r="C61" s="52"/>
      <c r="D61" s="52">
        <v>4</v>
      </c>
      <c r="E61" s="52" t="s">
        <v>490</v>
      </c>
      <c r="F61" s="54"/>
      <c r="G61" s="52" t="str">
        <f>IFERROR(VLOOKUP(Tabla1[[#This Row],[RUTA]],Tabla2[#All],3,0),"")</f>
        <v>PALOMINO</v>
      </c>
      <c r="H61" s="52" t="str">
        <f>IFERROR(VLOOKUP(Tabla1[[#This Row],[RUTA]],Tabla2[[#All],[RUTA]:[PLACAS]],2,0),"")</f>
        <v>BMH-890</v>
      </c>
      <c r="I61" s="52" t="str">
        <f>IFERROR(VLOOKUP(Tabla1[[#This Row],[RUTA]],Tabla2[[#All],[RUTA]:[CONDUCTOR]],4,0),"")</f>
        <v>Yhin</v>
      </c>
      <c r="J61" s="52" t="str">
        <f>IFERROR(VLOOKUP(Tabla1[[#This Row],[RUTA]],Tabla2[#All],5,0),"")</f>
        <v>Alexis/Daniel</v>
      </c>
      <c r="K61" s="53" t="s">
        <v>7</v>
      </c>
      <c r="L61" s="55">
        <v>45128</v>
      </c>
      <c r="M61" s="66" t="s">
        <v>517</v>
      </c>
      <c r="N61" s="56" t="str">
        <f>IF(Tabla1[[#This Row],[ESTADO]]="ENTREGADO",IF(Tabla1[[#This Row],[OBSERVACIÓN]]="OK","SI","NO"),"")</f>
        <v>SI</v>
      </c>
    </row>
    <row r="62" spans="1:14" x14ac:dyDescent="0.2">
      <c r="A62" s="51">
        <v>45128</v>
      </c>
      <c r="B62" s="52" t="s">
        <v>516</v>
      </c>
      <c r="C62" s="52"/>
      <c r="D62" s="52">
        <v>4</v>
      </c>
      <c r="E62" s="52" t="s">
        <v>521</v>
      </c>
      <c r="F62" s="54"/>
      <c r="G62" s="52" t="str">
        <f>IFERROR(VLOOKUP(Tabla1[[#This Row],[RUTA]],Tabla2[#All],3,0),"")</f>
        <v>PALOMINO</v>
      </c>
      <c r="H62" s="52" t="str">
        <f>IFERROR(VLOOKUP(Tabla1[[#This Row],[RUTA]],Tabla2[[#All],[RUTA]:[PLACAS]],2,0),"")</f>
        <v>BMH-890</v>
      </c>
      <c r="I62" s="52" t="str">
        <f>IFERROR(VLOOKUP(Tabla1[[#This Row],[RUTA]],Tabla2[[#All],[RUTA]:[CONDUCTOR]],4,0),"")</f>
        <v>Yhin</v>
      </c>
      <c r="J62" s="52" t="str">
        <f>IFERROR(VLOOKUP(Tabla1[[#This Row],[RUTA]],Tabla2[#All],5,0),"")</f>
        <v>Alexis/Daniel</v>
      </c>
      <c r="K62" s="53" t="s">
        <v>7</v>
      </c>
      <c r="L62" s="55">
        <v>45128</v>
      </c>
      <c r="M62" s="66" t="s">
        <v>517</v>
      </c>
      <c r="N62" s="56" t="str">
        <f>IF(Tabla1[[#This Row],[ESTADO]]="ENTREGADO",IF(Tabla1[[#This Row],[OBSERVACIÓN]]="OK","SI","NO"),"")</f>
        <v>SI</v>
      </c>
    </row>
    <row r="63" spans="1:14" x14ac:dyDescent="0.2">
      <c r="A63" s="51">
        <v>45128</v>
      </c>
      <c r="B63" s="52" t="s">
        <v>134</v>
      </c>
      <c r="C63" s="52">
        <v>187</v>
      </c>
      <c r="D63" s="52">
        <v>5</v>
      </c>
      <c r="E63" s="52" t="str">
        <f>VLOOKUP(Tabla1[[#This Row],[ID TIENDA]],Guias[],2,0)</f>
        <v>T994-00158754</v>
      </c>
      <c r="F63" s="54">
        <v>1833.3</v>
      </c>
      <c r="G63" s="52" t="str">
        <f>IFERROR(VLOOKUP(Tabla1[[#This Row],[RUTA]],Tabla2[#All],3,0),"")</f>
        <v>PALOMINO</v>
      </c>
      <c r="H63" s="52" t="str">
        <f>IFERROR(VLOOKUP(Tabla1[[#This Row],[RUTA]],Tabla2[[#All],[RUTA]:[PLACAS]],2,0),"")</f>
        <v>BMT-901</v>
      </c>
      <c r="I63" s="52" t="str">
        <f>IFERROR(VLOOKUP(Tabla1[[#This Row],[RUTA]],Tabla2[[#All],[RUTA]:[CONDUCTOR]],4,0),"")</f>
        <v>Bendezu</v>
      </c>
      <c r="J63" s="52" t="str">
        <f>IFERROR(VLOOKUP(Tabla1[[#This Row],[RUTA]],Tabla2[#All],5,0),"")</f>
        <v>Josue/Ivan</v>
      </c>
      <c r="K63" s="53" t="s">
        <v>7</v>
      </c>
      <c r="L63" s="55">
        <v>45128</v>
      </c>
      <c r="M63" s="66" t="s">
        <v>517</v>
      </c>
      <c r="N63" s="56" t="str">
        <f>IF(Tabla1[[#This Row],[ESTADO]]="ENTREGADO",IF(Tabla1[[#This Row],[OBSERVACIÓN]]="OK","SI","NO"),"")</f>
        <v>SI</v>
      </c>
    </row>
    <row r="64" spans="1:14" x14ac:dyDescent="0.2">
      <c r="A64" s="51">
        <v>45128</v>
      </c>
      <c r="B64" s="52" t="s">
        <v>135</v>
      </c>
      <c r="C64" s="52">
        <v>239</v>
      </c>
      <c r="D64" s="52">
        <v>5</v>
      </c>
      <c r="E64" s="52" t="str">
        <f>VLOOKUP(Tabla1[[#This Row],[ID TIENDA]],Guias[],2,0)</f>
        <v>T994-00158676</v>
      </c>
      <c r="F64" s="54">
        <v>1559.77</v>
      </c>
      <c r="G64" s="52" t="str">
        <f>IFERROR(VLOOKUP(Tabla1[[#This Row],[RUTA]],Tabla2[#All],3,0),"")</f>
        <v>PALOMINO</v>
      </c>
      <c r="H64" s="52" t="str">
        <f>IFERROR(VLOOKUP(Tabla1[[#This Row],[RUTA]],Tabla2[[#All],[RUTA]:[PLACAS]],2,0),"")</f>
        <v>BMT-901</v>
      </c>
      <c r="I64" s="52" t="str">
        <f>IFERROR(VLOOKUP(Tabla1[[#This Row],[RUTA]],Tabla2[[#All],[RUTA]:[CONDUCTOR]],4,0),"")</f>
        <v>Bendezu</v>
      </c>
      <c r="J64" s="52" t="str">
        <f>IFERROR(VLOOKUP(Tabla1[[#This Row],[RUTA]],Tabla2[#All],5,0),"")</f>
        <v>Josue/Ivan</v>
      </c>
      <c r="K64" s="53" t="s">
        <v>7</v>
      </c>
      <c r="L64" s="55">
        <v>45128</v>
      </c>
      <c r="M64" s="66" t="s">
        <v>517</v>
      </c>
      <c r="N64" s="56" t="str">
        <f>IF(Tabla1[[#This Row],[ESTADO]]="ENTREGADO",IF(Tabla1[[#This Row],[OBSERVACIÓN]]="OK","SI","NO"),"")</f>
        <v>SI</v>
      </c>
    </row>
    <row r="65" spans="1:14" x14ac:dyDescent="0.2">
      <c r="A65" s="51">
        <v>45128</v>
      </c>
      <c r="B65" s="52" t="s">
        <v>136</v>
      </c>
      <c r="C65" s="52">
        <v>350</v>
      </c>
      <c r="D65" s="52">
        <v>5</v>
      </c>
      <c r="E65" s="52" t="str">
        <f>VLOOKUP(Tabla1[[#This Row],[ID TIENDA]],Guias[],2,0)</f>
        <v>T994-00158764</v>
      </c>
      <c r="F65" s="54">
        <v>2568.3200000000002</v>
      </c>
      <c r="G65" s="52" t="str">
        <f>IFERROR(VLOOKUP(Tabla1[[#This Row],[RUTA]],Tabla2[#All],3,0),"")</f>
        <v>PALOMINO</v>
      </c>
      <c r="H65" s="52" t="str">
        <f>IFERROR(VLOOKUP(Tabla1[[#This Row],[RUTA]],Tabla2[[#All],[RUTA]:[PLACAS]],2,0),"")</f>
        <v>BMT-901</v>
      </c>
      <c r="I65" s="52" t="str">
        <f>IFERROR(VLOOKUP(Tabla1[[#This Row],[RUTA]],Tabla2[[#All],[RUTA]:[CONDUCTOR]],4,0),"")</f>
        <v>Bendezu</v>
      </c>
      <c r="J65" s="52" t="str">
        <f>IFERROR(VLOOKUP(Tabla1[[#This Row],[RUTA]],Tabla2[#All],5,0),"")</f>
        <v>Josue/Ivan</v>
      </c>
      <c r="K65" s="53" t="s">
        <v>7</v>
      </c>
      <c r="L65" s="55">
        <v>45128</v>
      </c>
      <c r="M65" s="66" t="s">
        <v>517</v>
      </c>
      <c r="N65" s="56" t="str">
        <f>IF(Tabla1[[#This Row],[ESTADO]]="ENTREGADO",IF(Tabla1[[#This Row],[OBSERVACIÓN]]="OK","SI","NO"),"")</f>
        <v>SI</v>
      </c>
    </row>
    <row r="66" spans="1:14" x14ac:dyDescent="0.2">
      <c r="A66" s="51">
        <v>45128</v>
      </c>
      <c r="B66" s="52" t="s">
        <v>137</v>
      </c>
      <c r="C66" s="52">
        <v>138</v>
      </c>
      <c r="D66" s="52">
        <v>5</v>
      </c>
      <c r="E66" s="52" t="str">
        <f>VLOOKUP(Tabla1[[#This Row],[ID TIENDA]],Guias[],2,0)</f>
        <v>T994-00158724</v>
      </c>
      <c r="F66" s="54">
        <v>1554.43</v>
      </c>
      <c r="G66" s="52" t="str">
        <f>IFERROR(VLOOKUP(Tabla1[[#This Row],[RUTA]],Tabla2[#All],3,0),"")</f>
        <v>PALOMINO</v>
      </c>
      <c r="H66" s="52" t="str">
        <f>IFERROR(VLOOKUP(Tabla1[[#This Row],[RUTA]],Tabla2[[#All],[RUTA]:[PLACAS]],2,0),"")</f>
        <v>BMT-901</v>
      </c>
      <c r="I66" s="52" t="str">
        <f>IFERROR(VLOOKUP(Tabla1[[#This Row],[RUTA]],Tabla2[[#All],[RUTA]:[CONDUCTOR]],4,0),"")</f>
        <v>Bendezu</v>
      </c>
      <c r="J66" s="52" t="str">
        <f>IFERROR(VLOOKUP(Tabla1[[#This Row],[RUTA]],Tabla2[#All],5,0),"")</f>
        <v>Josue/Ivan</v>
      </c>
      <c r="K66" s="53" t="s">
        <v>7</v>
      </c>
      <c r="L66" s="55">
        <v>45128</v>
      </c>
      <c r="M66" s="66" t="s">
        <v>517</v>
      </c>
      <c r="N66" s="56" t="str">
        <f>IF(Tabla1[[#This Row],[ESTADO]]="ENTREGADO",IF(Tabla1[[#This Row],[OBSERVACIÓN]]="OK","SI","NO"),"")</f>
        <v>SI</v>
      </c>
    </row>
    <row r="67" spans="1:14" x14ac:dyDescent="0.2">
      <c r="A67" s="51">
        <v>45128</v>
      </c>
      <c r="B67" s="52" t="s">
        <v>138</v>
      </c>
      <c r="C67" s="52">
        <v>287</v>
      </c>
      <c r="D67" s="52">
        <v>5</v>
      </c>
      <c r="E67" s="52" t="str">
        <f>VLOOKUP(Tabla1[[#This Row],[ID TIENDA]],Guias[],2,0)</f>
        <v>T994-00158822</v>
      </c>
      <c r="F67" s="54">
        <v>1301.3599999999999</v>
      </c>
      <c r="G67" s="52" t="str">
        <f>IFERROR(VLOOKUP(Tabla1[[#This Row],[RUTA]],Tabla2[#All],3,0),"")</f>
        <v>PALOMINO</v>
      </c>
      <c r="H67" s="52" t="str">
        <f>IFERROR(VLOOKUP(Tabla1[[#This Row],[RUTA]],Tabla2[[#All],[RUTA]:[PLACAS]],2,0),"")</f>
        <v>BMT-901</v>
      </c>
      <c r="I67" s="52" t="str">
        <f>IFERROR(VLOOKUP(Tabla1[[#This Row],[RUTA]],Tabla2[[#All],[RUTA]:[CONDUCTOR]],4,0),"")</f>
        <v>Bendezu</v>
      </c>
      <c r="J67" s="52" t="str">
        <f>IFERROR(VLOOKUP(Tabla1[[#This Row],[RUTA]],Tabla2[#All],5,0),"")</f>
        <v>Josue/Ivan</v>
      </c>
      <c r="K67" s="53" t="s">
        <v>7</v>
      </c>
      <c r="L67" s="55">
        <v>45128</v>
      </c>
      <c r="M67" s="66" t="s">
        <v>517</v>
      </c>
      <c r="N67" s="56" t="str">
        <f>IF(Tabla1[[#This Row],[ESTADO]]="ENTREGADO",IF(Tabla1[[#This Row],[OBSERVACIÓN]]="OK","SI","NO"),"")</f>
        <v>SI</v>
      </c>
    </row>
    <row r="68" spans="1:14" x14ac:dyDescent="0.2">
      <c r="A68" s="51">
        <v>45128</v>
      </c>
      <c r="B68" s="52" t="s">
        <v>139</v>
      </c>
      <c r="C68" s="52">
        <v>479</v>
      </c>
      <c r="D68" s="52">
        <v>5</v>
      </c>
      <c r="E68" s="52" t="str">
        <f>VLOOKUP(Tabla1[[#This Row],[ID TIENDA]],Guias[],2,0)</f>
        <v>T994-00158733</v>
      </c>
      <c r="F68" s="54">
        <v>2121.44</v>
      </c>
      <c r="G68" s="52" t="str">
        <f>IFERROR(VLOOKUP(Tabla1[[#This Row],[RUTA]],Tabla2[#All],3,0),"")</f>
        <v>PALOMINO</v>
      </c>
      <c r="H68" s="52" t="str">
        <f>IFERROR(VLOOKUP(Tabla1[[#This Row],[RUTA]],Tabla2[[#All],[RUTA]:[PLACAS]],2,0),"")</f>
        <v>BMT-901</v>
      </c>
      <c r="I68" s="52" t="str">
        <f>IFERROR(VLOOKUP(Tabla1[[#This Row],[RUTA]],Tabla2[[#All],[RUTA]:[CONDUCTOR]],4,0),"")</f>
        <v>Bendezu</v>
      </c>
      <c r="J68" s="52" t="str">
        <f>IFERROR(VLOOKUP(Tabla1[[#This Row],[RUTA]],Tabla2[#All],5,0),"")</f>
        <v>Josue/Ivan</v>
      </c>
      <c r="K68" s="53" t="s">
        <v>7</v>
      </c>
      <c r="L68" s="55">
        <v>45128</v>
      </c>
      <c r="M68" s="66" t="s">
        <v>517</v>
      </c>
      <c r="N68" s="56" t="str">
        <f>IF(Tabla1[[#This Row],[ESTADO]]="ENTREGADO",IF(Tabla1[[#This Row],[OBSERVACIÓN]]="OK","SI","NO"),"")</f>
        <v>SI</v>
      </c>
    </row>
    <row r="69" spans="1:14" x14ac:dyDescent="0.2">
      <c r="A69" s="51">
        <v>45128</v>
      </c>
      <c r="B69" s="52" t="s">
        <v>140</v>
      </c>
      <c r="C69" s="52">
        <v>88</v>
      </c>
      <c r="D69" s="52">
        <v>5</v>
      </c>
      <c r="E69" s="52" t="str">
        <f>VLOOKUP(Tabla1[[#This Row],[ID TIENDA]],Guias[],2,0)</f>
        <v>T994-00158684</v>
      </c>
      <c r="F69" s="54">
        <v>3141.21</v>
      </c>
      <c r="G69" s="52" t="str">
        <f>IFERROR(VLOOKUP(Tabla1[[#This Row],[RUTA]],Tabla2[#All],3,0),"")</f>
        <v>PALOMINO</v>
      </c>
      <c r="H69" s="52" t="str">
        <f>IFERROR(VLOOKUP(Tabla1[[#This Row],[RUTA]],Tabla2[[#All],[RUTA]:[PLACAS]],2,0),"")</f>
        <v>BMT-901</v>
      </c>
      <c r="I69" s="52" t="str">
        <f>IFERROR(VLOOKUP(Tabla1[[#This Row],[RUTA]],Tabla2[[#All],[RUTA]:[CONDUCTOR]],4,0),"")</f>
        <v>Bendezu</v>
      </c>
      <c r="J69" s="52" t="str">
        <f>IFERROR(VLOOKUP(Tabla1[[#This Row],[RUTA]],Tabla2[#All],5,0),"")</f>
        <v>Josue/Ivan</v>
      </c>
      <c r="K69" s="53" t="s">
        <v>7</v>
      </c>
      <c r="L69" s="55">
        <v>45128</v>
      </c>
      <c r="M69" s="66" t="s">
        <v>517</v>
      </c>
      <c r="N69" s="56" t="str">
        <f>IF(Tabla1[[#This Row],[ESTADO]]="ENTREGADO",IF(Tabla1[[#This Row],[OBSERVACIÓN]]="OK","SI","NO"),"")</f>
        <v>SI</v>
      </c>
    </row>
    <row r="70" spans="1:14" x14ac:dyDescent="0.2">
      <c r="A70" s="51">
        <v>45128</v>
      </c>
      <c r="B70" s="52" t="s">
        <v>141</v>
      </c>
      <c r="C70" s="52">
        <v>251</v>
      </c>
      <c r="D70" s="52">
        <v>5</v>
      </c>
      <c r="E70" s="52" t="str">
        <f>VLOOKUP(Tabla1[[#This Row],[ID TIENDA]],Guias[],2,0)</f>
        <v>T994-00158795</v>
      </c>
      <c r="F70" s="54">
        <v>2056.12</v>
      </c>
      <c r="G70" s="52" t="str">
        <f>IFERROR(VLOOKUP(Tabla1[[#This Row],[RUTA]],Tabla2[#All],3,0),"")</f>
        <v>PALOMINO</v>
      </c>
      <c r="H70" s="52" t="str">
        <f>IFERROR(VLOOKUP(Tabla1[[#This Row],[RUTA]],Tabla2[[#All],[RUTA]:[PLACAS]],2,0),"")</f>
        <v>BMT-901</v>
      </c>
      <c r="I70" s="52" t="str">
        <f>IFERROR(VLOOKUP(Tabla1[[#This Row],[RUTA]],Tabla2[[#All],[RUTA]:[CONDUCTOR]],4,0),"")</f>
        <v>Bendezu</v>
      </c>
      <c r="J70" s="52" t="str">
        <f>IFERROR(VLOOKUP(Tabla1[[#This Row],[RUTA]],Tabla2[#All],5,0),"")</f>
        <v>Josue/Ivan</v>
      </c>
      <c r="K70" s="53" t="s">
        <v>7</v>
      </c>
      <c r="L70" s="55">
        <v>45128</v>
      </c>
      <c r="M70" s="66" t="s">
        <v>517</v>
      </c>
      <c r="N70" s="56" t="str">
        <f>IF(Tabla1[[#This Row],[ESTADO]]="ENTREGADO",IF(Tabla1[[#This Row],[OBSERVACIÓN]]="OK","SI","NO"),"")</f>
        <v>SI</v>
      </c>
    </row>
    <row r="71" spans="1:14" x14ac:dyDescent="0.2">
      <c r="A71" s="51">
        <v>45128</v>
      </c>
      <c r="B71" s="52" t="s">
        <v>142</v>
      </c>
      <c r="C71" s="52">
        <v>501</v>
      </c>
      <c r="D71" s="52">
        <v>5</v>
      </c>
      <c r="E71" s="52" t="str">
        <f>VLOOKUP(Tabla1[[#This Row],[ID TIENDA]],Guias[],2,0)</f>
        <v>T994-00158777</v>
      </c>
      <c r="F71" s="54">
        <v>1741.27</v>
      </c>
      <c r="G71" s="52" t="str">
        <f>IFERROR(VLOOKUP(Tabla1[[#This Row],[RUTA]],Tabla2[#All],3,0),"")</f>
        <v>PALOMINO</v>
      </c>
      <c r="H71" s="52" t="str">
        <f>IFERROR(VLOOKUP(Tabla1[[#This Row],[RUTA]],Tabla2[[#All],[RUTA]:[PLACAS]],2,0),"")</f>
        <v>BMT-901</v>
      </c>
      <c r="I71" s="52" t="str">
        <f>IFERROR(VLOOKUP(Tabla1[[#This Row],[RUTA]],Tabla2[[#All],[RUTA]:[CONDUCTOR]],4,0),"")</f>
        <v>Bendezu</v>
      </c>
      <c r="J71" s="52" t="str">
        <f>IFERROR(VLOOKUP(Tabla1[[#This Row],[RUTA]],Tabla2[#All],5,0),"")</f>
        <v>Josue/Ivan</v>
      </c>
      <c r="K71" s="53" t="s">
        <v>7</v>
      </c>
      <c r="L71" s="55">
        <v>45128</v>
      </c>
      <c r="M71" s="66" t="s">
        <v>517</v>
      </c>
      <c r="N71" s="56" t="str">
        <f>IF(Tabla1[[#This Row],[ESTADO]]="ENTREGADO",IF(Tabla1[[#This Row],[OBSERVACIÓN]]="OK","SI","NO"),"")</f>
        <v>SI</v>
      </c>
    </row>
    <row r="72" spans="1:14" x14ac:dyDescent="0.2">
      <c r="A72" s="51">
        <v>45128</v>
      </c>
      <c r="B72" s="52" t="s">
        <v>143</v>
      </c>
      <c r="C72" s="52">
        <v>23</v>
      </c>
      <c r="D72" s="52">
        <v>5</v>
      </c>
      <c r="E72" s="52" t="str">
        <f>VLOOKUP(Tabla1[[#This Row],[ID TIENDA]],Guias[],2,0)</f>
        <v>T994-00158742</v>
      </c>
      <c r="F72" s="54">
        <v>1714</v>
      </c>
      <c r="G72" s="52" t="str">
        <f>IFERROR(VLOOKUP(Tabla1[[#This Row],[RUTA]],Tabla2[#All],3,0),"")</f>
        <v>PALOMINO</v>
      </c>
      <c r="H72" s="52" t="str">
        <f>IFERROR(VLOOKUP(Tabla1[[#This Row],[RUTA]],Tabla2[[#All],[RUTA]:[PLACAS]],2,0),"")</f>
        <v>BMT-901</v>
      </c>
      <c r="I72" s="52" t="str">
        <f>IFERROR(VLOOKUP(Tabla1[[#This Row],[RUTA]],Tabla2[[#All],[RUTA]:[CONDUCTOR]],4,0),"")</f>
        <v>Bendezu</v>
      </c>
      <c r="J72" s="52" t="str">
        <f>IFERROR(VLOOKUP(Tabla1[[#This Row],[RUTA]],Tabla2[#All],5,0),"")</f>
        <v>Josue/Ivan</v>
      </c>
      <c r="K72" s="53" t="s">
        <v>7</v>
      </c>
      <c r="L72" s="55">
        <v>45128</v>
      </c>
      <c r="M72" s="66" t="s">
        <v>517</v>
      </c>
      <c r="N72" s="56" t="str">
        <f>IF(Tabla1[[#This Row],[ESTADO]]="ENTREGADO",IF(Tabla1[[#This Row],[OBSERVACIÓN]]="OK","SI","NO"),"")</f>
        <v>SI</v>
      </c>
    </row>
    <row r="73" spans="1:14" x14ac:dyDescent="0.2">
      <c r="A73" s="51">
        <v>45128</v>
      </c>
      <c r="B73" s="52" t="s">
        <v>144</v>
      </c>
      <c r="C73" s="52">
        <v>54</v>
      </c>
      <c r="D73" s="52">
        <v>5</v>
      </c>
      <c r="E73" s="52" t="str">
        <f>VLOOKUP(Tabla1[[#This Row],[ID TIENDA]],Guias[],2,0)</f>
        <v>T994-00158806</v>
      </c>
      <c r="F73" s="54">
        <v>2106.1</v>
      </c>
      <c r="G73" s="52" t="str">
        <f>IFERROR(VLOOKUP(Tabla1[[#This Row],[RUTA]],Tabla2[#All],3,0),"")</f>
        <v>PALOMINO</v>
      </c>
      <c r="H73" s="52" t="str">
        <f>IFERROR(VLOOKUP(Tabla1[[#This Row],[RUTA]],Tabla2[[#All],[RUTA]:[PLACAS]],2,0),"")</f>
        <v>BMT-901</v>
      </c>
      <c r="I73" s="52" t="str">
        <f>IFERROR(VLOOKUP(Tabla1[[#This Row],[RUTA]],Tabla2[[#All],[RUTA]:[CONDUCTOR]],4,0),"")</f>
        <v>Bendezu</v>
      </c>
      <c r="J73" s="52" t="str">
        <f>IFERROR(VLOOKUP(Tabla1[[#This Row],[RUTA]],Tabla2[#All],5,0),"")</f>
        <v>Josue/Ivan</v>
      </c>
      <c r="K73" s="53" t="s">
        <v>7</v>
      </c>
      <c r="L73" s="55">
        <v>45128</v>
      </c>
      <c r="M73" s="66" t="s">
        <v>517</v>
      </c>
      <c r="N73" s="56" t="str">
        <f>IF(Tabla1[[#This Row],[ESTADO]]="ENTREGADO",IF(Tabla1[[#This Row],[OBSERVACIÓN]]="OK","SI","NO"),"")</f>
        <v>SI</v>
      </c>
    </row>
    <row r="74" spans="1:14" x14ac:dyDescent="0.2">
      <c r="A74" s="51">
        <v>45128</v>
      </c>
      <c r="B74" s="52" t="s">
        <v>145</v>
      </c>
      <c r="C74" s="52">
        <v>55</v>
      </c>
      <c r="D74" s="52">
        <v>5</v>
      </c>
      <c r="E74" s="52" t="str">
        <f>VLOOKUP(Tabla1[[#This Row],[ID TIENDA]],Guias[],2,0)</f>
        <v>T994-00158725</v>
      </c>
      <c r="F74" s="54">
        <v>1611.95</v>
      </c>
      <c r="G74" s="52" t="str">
        <f>IFERROR(VLOOKUP(Tabla1[[#This Row],[RUTA]],Tabla2[#All],3,0),"")</f>
        <v>PALOMINO</v>
      </c>
      <c r="H74" s="52" t="str">
        <f>IFERROR(VLOOKUP(Tabla1[[#This Row],[RUTA]],Tabla2[[#All],[RUTA]:[PLACAS]],2,0),"")</f>
        <v>BMT-901</v>
      </c>
      <c r="I74" s="52" t="str">
        <f>IFERROR(VLOOKUP(Tabla1[[#This Row],[RUTA]],Tabla2[[#All],[RUTA]:[CONDUCTOR]],4,0),"")</f>
        <v>Bendezu</v>
      </c>
      <c r="J74" s="52" t="str">
        <f>IFERROR(VLOOKUP(Tabla1[[#This Row],[RUTA]],Tabla2[#All],5,0),"")</f>
        <v>Josue/Ivan</v>
      </c>
      <c r="K74" s="53" t="s">
        <v>7</v>
      </c>
      <c r="L74" s="55">
        <v>45128</v>
      </c>
      <c r="M74" s="66" t="s">
        <v>517</v>
      </c>
      <c r="N74" s="56" t="str">
        <f>IF(Tabla1[[#This Row],[ESTADO]]="ENTREGADO",IF(Tabla1[[#This Row],[OBSERVACIÓN]]="OK","SI","NO"),"")</f>
        <v>SI</v>
      </c>
    </row>
    <row r="75" spans="1:14" hidden="1" x14ac:dyDescent="0.2">
      <c r="A75" s="51">
        <v>45128</v>
      </c>
      <c r="B75" s="52" t="s">
        <v>149</v>
      </c>
      <c r="C75" s="52">
        <v>359</v>
      </c>
      <c r="D75" s="52">
        <v>6</v>
      </c>
      <c r="E75" s="52" t="str">
        <f>VLOOKUP(Tabla1[[#This Row],[ID TIENDA]],Guias[],2,0)</f>
        <v>T994-00158794</v>
      </c>
      <c r="F75" s="54">
        <v>594.49</v>
      </c>
      <c r="G75" s="52" t="str">
        <f>IFERROR(VLOOKUP(Tabla1[[#This Row],[RUTA]],Tabla2[#All],3,0),"")</f>
        <v>CANCHARI</v>
      </c>
      <c r="H75" s="52" t="str">
        <f>IFERROR(VLOOKUP(Tabla1[[#This Row],[RUTA]],Tabla2[[#All],[RUTA]:[PLACAS]],2,0),"")</f>
        <v>BFO-720</v>
      </c>
      <c r="I75" s="52" t="str">
        <f>IFERROR(VLOOKUP(Tabla1[[#This Row],[RUTA]],Tabla2[[#All],[RUTA]:[CONDUCTOR]],4,0),"")</f>
        <v>CANCHARI</v>
      </c>
      <c r="J75" s="52" t="str">
        <f>IFERROR(VLOOKUP(Tabla1[[#This Row],[RUTA]],Tabla2[#All],5,0),"")</f>
        <v>ANDREA</v>
      </c>
      <c r="K75" s="53" t="s">
        <v>16</v>
      </c>
      <c r="L75" s="55"/>
      <c r="M75" s="66"/>
      <c r="N75" s="56" t="str">
        <f>IF(Tabla1[[#This Row],[ESTADO]]="ENTREGADO",IF(Tabla1[[#This Row],[OBSERVACIÓN]]="OK","SI","NO"),"")</f>
        <v/>
      </c>
    </row>
    <row r="76" spans="1:14" hidden="1" x14ac:dyDescent="0.2">
      <c r="A76" s="51">
        <v>45128</v>
      </c>
      <c r="B76" s="52" t="s">
        <v>150</v>
      </c>
      <c r="C76" s="52">
        <v>448</v>
      </c>
      <c r="D76" s="52">
        <v>6</v>
      </c>
      <c r="E76" s="52" t="str">
        <f>VLOOKUP(Tabla1[[#This Row],[ID TIENDA]],Guias[],2,0)</f>
        <v>T994-00158765</v>
      </c>
      <c r="F76" s="54">
        <v>1169.57</v>
      </c>
      <c r="G76" s="52" t="str">
        <f>IFERROR(VLOOKUP(Tabla1[[#This Row],[RUTA]],Tabla2[#All],3,0),"")</f>
        <v>CANCHARI</v>
      </c>
      <c r="H76" s="52" t="str">
        <f>IFERROR(VLOOKUP(Tabla1[[#This Row],[RUTA]],Tabla2[[#All],[RUTA]:[PLACAS]],2,0),"")</f>
        <v>BFO-720</v>
      </c>
      <c r="I76" s="52" t="str">
        <f>IFERROR(VLOOKUP(Tabla1[[#This Row],[RUTA]],Tabla2[[#All],[RUTA]:[CONDUCTOR]],4,0),"")</f>
        <v>CANCHARI</v>
      </c>
      <c r="J76" s="52" t="str">
        <f>IFERROR(VLOOKUP(Tabla1[[#This Row],[RUTA]],Tabla2[#All],5,0),"")</f>
        <v>ANDREA</v>
      </c>
      <c r="K76" s="53" t="s">
        <v>16</v>
      </c>
      <c r="L76" s="55"/>
      <c r="M76" s="66"/>
      <c r="N76" s="56" t="str">
        <f>IF(Tabla1[[#This Row],[ESTADO]]="ENTREGADO",IF(Tabla1[[#This Row],[OBSERVACIÓN]]="OK","SI","NO"),"")</f>
        <v/>
      </c>
    </row>
    <row r="77" spans="1:14" hidden="1" x14ac:dyDescent="0.2">
      <c r="A77" s="51">
        <v>45128</v>
      </c>
      <c r="B77" s="52" t="s">
        <v>151</v>
      </c>
      <c r="C77" s="52">
        <v>520</v>
      </c>
      <c r="D77" s="52">
        <v>6</v>
      </c>
      <c r="E77" s="52" t="str">
        <f>VLOOKUP(Tabla1[[#This Row],[ID TIENDA]],Guias[],2,0)</f>
        <v>T994-00158824</v>
      </c>
      <c r="F77" s="54">
        <v>821.78</v>
      </c>
      <c r="G77" s="52" t="str">
        <f>IFERROR(VLOOKUP(Tabla1[[#This Row],[RUTA]],Tabla2[#All],3,0),"")</f>
        <v>CANCHARI</v>
      </c>
      <c r="H77" s="52" t="str">
        <f>IFERROR(VLOOKUP(Tabla1[[#This Row],[RUTA]],Tabla2[[#All],[RUTA]:[PLACAS]],2,0),"")</f>
        <v>BFO-720</v>
      </c>
      <c r="I77" s="52" t="str">
        <f>IFERROR(VLOOKUP(Tabla1[[#This Row],[RUTA]],Tabla2[[#All],[RUTA]:[CONDUCTOR]],4,0),"")</f>
        <v>CANCHARI</v>
      </c>
      <c r="J77" s="52" t="str">
        <f>IFERROR(VLOOKUP(Tabla1[[#This Row],[RUTA]],Tabla2[#All],5,0),"")</f>
        <v>ANDREA</v>
      </c>
      <c r="K77" s="53" t="s">
        <v>16</v>
      </c>
      <c r="L77" s="55"/>
      <c r="M77" s="66"/>
      <c r="N77" s="56" t="str">
        <f>IF(Tabla1[[#This Row],[ESTADO]]="ENTREGADO",IF(Tabla1[[#This Row],[OBSERVACIÓN]]="OK","SI","NO"),"")</f>
        <v/>
      </c>
    </row>
    <row r="78" spans="1:14" hidden="1" x14ac:dyDescent="0.2">
      <c r="A78" s="51">
        <v>45128</v>
      </c>
      <c r="B78" s="52" t="s">
        <v>152</v>
      </c>
      <c r="C78" s="52">
        <v>258</v>
      </c>
      <c r="D78" s="52">
        <v>6</v>
      </c>
      <c r="E78" s="52" t="str">
        <f>VLOOKUP(Tabla1[[#This Row],[ID TIENDA]],Guias[],2,0)</f>
        <v>T994-00158803</v>
      </c>
      <c r="F78" s="54">
        <v>1972.12</v>
      </c>
      <c r="G78" s="52" t="str">
        <f>IFERROR(VLOOKUP(Tabla1[[#This Row],[RUTA]],Tabla2[#All],3,0),"")</f>
        <v>CANCHARI</v>
      </c>
      <c r="H78" s="52" t="str">
        <f>IFERROR(VLOOKUP(Tabla1[[#This Row],[RUTA]],Tabla2[[#All],[RUTA]:[PLACAS]],2,0),"")</f>
        <v>BFO-720</v>
      </c>
      <c r="I78" s="52" t="str">
        <f>IFERROR(VLOOKUP(Tabla1[[#This Row],[RUTA]],Tabla2[[#All],[RUTA]:[CONDUCTOR]],4,0),"")</f>
        <v>CANCHARI</v>
      </c>
      <c r="J78" s="52" t="str">
        <f>IFERROR(VLOOKUP(Tabla1[[#This Row],[RUTA]],Tabla2[#All],5,0),"")</f>
        <v>ANDREA</v>
      </c>
      <c r="K78" s="53" t="s">
        <v>16</v>
      </c>
      <c r="L78" s="55"/>
      <c r="M78" s="66"/>
      <c r="N78" s="56" t="str">
        <f>IF(Tabla1[[#This Row],[ESTADO]]="ENTREGADO",IF(Tabla1[[#This Row],[OBSERVACIÓN]]="OK","SI","NO"),"")</f>
        <v/>
      </c>
    </row>
    <row r="79" spans="1:14" hidden="1" x14ac:dyDescent="0.2">
      <c r="A79" s="51">
        <v>45128</v>
      </c>
      <c r="B79" s="52" t="s">
        <v>153</v>
      </c>
      <c r="C79" s="52">
        <v>72</v>
      </c>
      <c r="D79" s="52">
        <v>6</v>
      </c>
      <c r="E79" s="52" t="str">
        <f>VLOOKUP(Tabla1[[#This Row],[ID TIENDA]],Guias[],2,0)</f>
        <v>T994-00158850</v>
      </c>
      <c r="F79" s="54">
        <v>1733.81</v>
      </c>
      <c r="G79" s="52" t="str">
        <f>IFERROR(VLOOKUP(Tabla1[[#This Row],[RUTA]],Tabla2[#All],3,0),"")</f>
        <v>CANCHARI</v>
      </c>
      <c r="H79" s="52" t="str">
        <f>IFERROR(VLOOKUP(Tabla1[[#This Row],[RUTA]],Tabla2[[#All],[RUTA]:[PLACAS]],2,0),"")</f>
        <v>BFO-720</v>
      </c>
      <c r="I79" s="52" t="str">
        <f>IFERROR(VLOOKUP(Tabla1[[#This Row],[RUTA]],Tabla2[[#All],[RUTA]:[CONDUCTOR]],4,0),"")</f>
        <v>CANCHARI</v>
      </c>
      <c r="J79" s="52" t="str">
        <f>IFERROR(VLOOKUP(Tabla1[[#This Row],[RUTA]],Tabla2[#All],5,0),"")</f>
        <v>ANDREA</v>
      </c>
      <c r="K79" s="53" t="s">
        <v>16</v>
      </c>
      <c r="L79" s="55"/>
      <c r="M79" s="66"/>
      <c r="N79" s="56" t="str">
        <f>IF(Tabla1[[#This Row],[ESTADO]]="ENTREGADO",IF(Tabla1[[#This Row],[OBSERVACIÓN]]="OK","SI","NO"),"")</f>
        <v/>
      </c>
    </row>
    <row r="80" spans="1:14" hidden="1" x14ac:dyDescent="0.2">
      <c r="A80" s="51">
        <v>45128</v>
      </c>
      <c r="B80" s="52" t="s">
        <v>154</v>
      </c>
      <c r="C80" s="52">
        <v>235</v>
      </c>
      <c r="D80" s="52">
        <v>6</v>
      </c>
      <c r="E80" s="52" t="str">
        <f>VLOOKUP(Tabla1[[#This Row],[ID TIENDA]],Guias[],2,0)</f>
        <v>T994-00158778</v>
      </c>
      <c r="F80" s="54">
        <v>1871.69</v>
      </c>
      <c r="G80" s="52" t="str">
        <f>IFERROR(VLOOKUP(Tabla1[[#This Row],[RUTA]],Tabla2[#All],3,0),"")</f>
        <v>CANCHARI</v>
      </c>
      <c r="H80" s="52" t="str">
        <f>IFERROR(VLOOKUP(Tabla1[[#This Row],[RUTA]],Tabla2[[#All],[RUTA]:[PLACAS]],2,0),"")</f>
        <v>BFO-720</v>
      </c>
      <c r="I80" s="52" t="str">
        <f>IFERROR(VLOOKUP(Tabla1[[#This Row],[RUTA]],Tabla2[[#All],[RUTA]:[CONDUCTOR]],4,0),"")</f>
        <v>CANCHARI</v>
      </c>
      <c r="J80" s="52" t="str">
        <f>IFERROR(VLOOKUP(Tabla1[[#This Row],[RUTA]],Tabla2[#All],5,0),"")</f>
        <v>ANDREA</v>
      </c>
      <c r="K80" s="53" t="s">
        <v>16</v>
      </c>
      <c r="L80" s="55"/>
      <c r="M80" s="66"/>
      <c r="N80" s="56" t="str">
        <f>IF(Tabla1[[#This Row],[ESTADO]]="ENTREGADO",IF(Tabla1[[#This Row],[OBSERVACIÓN]]="OK","SI","NO"),"")</f>
        <v/>
      </c>
    </row>
    <row r="81" spans="1:14" hidden="1" x14ac:dyDescent="0.2">
      <c r="A81" s="51">
        <v>45128</v>
      </c>
      <c r="B81" s="52" t="s">
        <v>155</v>
      </c>
      <c r="C81" s="52">
        <v>179</v>
      </c>
      <c r="D81" s="52">
        <v>6</v>
      </c>
      <c r="E81" s="52" t="str">
        <f>VLOOKUP(Tabla1[[#This Row],[ID TIENDA]],Guias[],2,0)</f>
        <v>T994-00158679</v>
      </c>
      <c r="F81" s="54">
        <v>1217.6300000000001</v>
      </c>
      <c r="G81" s="52" t="str">
        <f>IFERROR(VLOOKUP(Tabla1[[#This Row],[RUTA]],Tabla2[#All],3,0),"")</f>
        <v>CANCHARI</v>
      </c>
      <c r="H81" s="52" t="str">
        <f>IFERROR(VLOOKUP(Tabla1[[#This Row],[RUTA]],Tabla2[[#All],[RUTA]:[PLACAS]],2,0),"")</f>
        <v>BFO-720</v>
      </c>
      <c r="I81" s="52" t="str">
        <f>IFERROR(VLOOKUP(Tabla1[[#This Row],[RUTA]],Tabla2[[#All],[RUTA]:[CONDUCTOR]],4,0),"")</f>
        <v>CANCHARI</v>
      </c>
      <c r="J81" s="52" t="str">
        <f>IFERROR(VLOOKUP(Tabla1[[#This Row],[RUTA]],Tabla2[#All],5,0),"")</f>
        <v>ANDREA</v>
      </c>
      <c r="K81" s="53" t="s">
        <v>16</v>
      </c>
      <c r="L81" s="55"/>
      <c r="M81" s="66"/>
      <c r="N81" s="56" t="str">
        <f>IF(Tabla1[[#This Row],[ESTADO]]="ENTREGADO",IF(Tabla1[[#This Row],[OBSERVACIÓN]]="OK","SI","NO"),"")</f>
        <v/>
      </c>
    </row>
    <row r="82" spans="1:14" hidden="1" x14ac:dyDescent="0.2">
      <c r="A82" s="51">
        <v>45128</v>
      </c>
      <c r="B82" s="52" t="s">
        <v>156</v>
      </c>
      <c r="C82" s="52">
        <v>25</v>
      </c>
      <c r="D82" s="52">
        <v>6</v>
      </c>
      <c r="E82" s="52" t="str">
        <f>VLOOKUP(Tabla1[[#This Row],[ID TIENDA]],Guias[],2,0)</f>
        <v>T994-00158793</v>
      </c>
      <c r="F82" s="54">
        <v>2018.81</v>
      </c>
      <c r="G82" s="52" t="str">
        <f>IFERROR(VLOOKUP(Tabla1[[#This Row],[RUTA]],Tabla2[#All],3,0),"")</f>
        <v>CANCHARI</v>
      </c>
      <c r="H82" s="52" t="str">
        <f>IFERROR(VLOOKUP(Tabla1[[#This Row],[RUTA]],Tabla2[[#All],[RUTA]:[PLACAS]],2,0),"")</f>
        <v>BFO-720</v>
      </c>
      <c r="I82" s="52" t="str">
        <f>IFERROR(VLOOKUP(Tabla1[[#This Row],[RUTA]],Tabla2[[#All],[RUTA]:[CONDUCTOR]],4,0),"")</f>
        <v>CANCHARI</v>
      </c>
      <c r="J82" s="52" t="str">
        <f>IFERROR(VLOOKUP(Tabla1[[#This Row],[RUTA]],Tabla2[#All],5,0),"")</f>
        <v>ANDREA</v>
      </c>
      <c r="K82" s="53" t="s">
        <v>16</v>
      </c>
      <c r="L82" s="55"/>
      <c r="M82" s="66"/>
      <c r="N82" s="56" t="str">
        <f>IF(Tabla1[[#This Row],[ESTADO]]="ENTREGADO",IF(Tabla1[[#This Row],[OBSERVACIÓN]]="OK","SI","NO"),"")</f>
        <v/>
      </c>
    </row>
    <row r="83" spans="1:14" hidden="1" x14ac:dyDescent="0.2">
      <c r="A83" s="51">
        <v>45128</v>
      </c>
      <c r="B83" s="52" t="s">
        <v>157</v>
      </c>
      <c r="C83" s="52">
        <v>9</v>
      </c>
      <c r="D83" s="52">
        <v>6</v>
      </c>
      <c r="E83" s="52" t="str">
        <f>VLOOKUP(Tabla1[[#This Row],[ID TIENDA]],Guias[],2,0)</f>
        <v>T994-00158831</v>
      </c>
      <c r="F83" s="54">
        <v>2119.3200000000002</v>
      </c>
      <c r="G83" s="52" t="str">
        <f>IFERROR(VLOOKUP(Tabla1[[#This Row],[RUTA]],Tabla2[#All],3,0),"")</f>
        <v>CANCHARI</v>
      </c>
      <c r="H83" s="52" t="str">
        <f>IFERROR(VLOOKUP(Tabla1[[#This Row],[RUTA]],Tabla2[[#All],[RUTA]:[PLACAS]],2,0),"")</f>
        <v>BFO-720</v>
      </c>
      <c r="I83" s="52" t="str">
        <f>IFERROR(VLOOKUP(Tabla1[[#This Row],[RUTA]],Tabla2[[#All],[RUTA]:[CONDUCTOR]],4,0),"")</f>
        <v>CANCHARI</v>
      </c>
      <c r="J83" s="52" t="str">
        <f>IFERROR(VLOOKUP(Tabla1[[#This Row],[RUTA]],Tabla2[#All],5,0),"")</f>
        <v>ANDREA</v>
      </c>
      <c r="K83" s="53" t="s">
        <v>16</v>
      </c>
      <c r="L83" s="55"/>
      <c r="M83" s="66"/>
      <c r="N83" s="56" t="str">
        <f>IF(Tabla1[[#This Row],[ESTADO]]="ENTREGADO",IF(Tabla1[[#This Row],[OBSERVACIÓN]]="OK","SI","NO"),"")</f>
        <v/>
      </c>
    </row>
    <row r="84" spans="1:14" hidden="1" x14ac:dyDescent="0.2">
      <c r="A84" s="51">
        <v>45128</v>
      </c>
      <c r="B84" s="52" t="s">
        <v>158</v>
      </c>
      <c r="C84" s="52">
        <v>38</v>
      </c>
      <c r="D84" s="52">
        <v>6</v>
      </c>
      <c r="E84" s="52" t="str">
        <f>VLOOKUP(Tabla1[[#This Row],[ID TIENDA]],Guias[],2,0)</f>
        <v>T994-00158816</v>
      </c>
      <c r="F84" s="54">
        <v>1928.3</v>
      </c>
      <c r="G84" s="52" t="str">
        <f>IFERROR(VLOOKUP(Tabla1[[#This Row],[RUTA]],Tabla2[#All],3,0),"")</f>
        <v>CANCHARI</v>
      </c>
      <c r="H84" s="52" t="str">
        <f>IFERROR(VLOOKUP(Tabla1[[#This Row],[RUTA]],Tabla2[[#All],[RUTA]:[PLACAS]],2,0),"")</f>
        <v>BFO-720</v>
      </c>
      <c r="I84" s="52" t="str">
        <f>IFERROR(VLOOKUP(Tabla1[[#This Row],[RUTA]],Tabla2[[#All],[RUTA]:[CONDUCTOR]],4,0),"")</f>
        <v>CANCHARI</v>
      </c>
      <c r="J84" s="52" t="str">
        <f>IFERROR(VLOOKUP(Tabla1[[#This Row],[RUTA]],Tabla2[#All],5,0),"")</f>
        <v>ANDREA</v>
      </c>
      <c r="K84" s="53" t="s">
        <v>16</v>
      </c>
      <c r="L84" s="55"/>
      <c r="M84" s="66"/>
      <c r="N84" s="56" t="str">
        <f>IF(Tabla1[[#This Row],[ESTADO]]="ENTREGADO",IF(Tabla1[[#This Row],[OBSERVACIÓN]]="OK","SI","NO"),"")</f>
        <v/>
      </c>
    </row>
    <row r="85" spans="1:14" hidden="1" x14ac:dyDescent="0.2">
      <c r="A85" s="51">
        <v>45128</v>
      </c>
      <c r="B85" s="52" t="s">
        <v>159</v>
      </c>
      <c r="C85" s="52">
        <v>387</v>
      </c>
      <c r="D85" s="52">
        <v>6</v>
      </c>
      <c r="E85" s="52" t="str">
        <f>VLOOKUP(Tabla1[[#This Row],[ID TIENDA]],Guias[],2,0)</f>
        <v>T994-00158821</v>
      </c>
      <c r="F85" s="54">
        <v>2203.98</v>
      </c>
      <c r="G85" s="52" t="str">
        <f>IFERROR(VLOOKUP(Tabla1[[#This Row],[RUTA]],Tabla2[#All],3,0),"")</f>
        <v>CANCHARI</v>
      </c>
      <c r="H85" s="52" t="str">
        <f>IFERROR(VLOOKUP(Tabla1[[#This Row],[RUTA]],Tabla2[[#All],[RUTA]:[PLACAS]],2,0),"")</f>
        <v>BFO-720</v>
      </c>
      <c r="I85" s="52" t="str">
        <f>IFERROR(VLOOKUP(Tabla1[[#This Row],[RUTA]],Tabla2[[#All],[RUTA]:[CONDUCTOR]],4,0),"")</f>
        <v>CANCHARI</v>
      </c>
      <c r="J85" s="52" t="str">
        <f>IFERROR(VLOOKUP(Tabla1[[#This Row],[RUTA]],Tabla2[#All],5,0),"")</f>
        <v>ANDREA</v>
      </c>
      <c r="K85" s="53" t="s">
        <v>16</v>
      </c>
      <c r="L85" s="55"/>
      <c r="M85" s="66"/>
      <c r="N85" s="56" t="str">
        <f>IF(Tabla1[[#This Row],[ESTADO]]="ENTREGADO",IF(Tabla1[[#This Row],[OBSERVACIÓN]]="OK","SI","NO"),"")</f>
        <v/>
      </c>
    </row>
    <row r="86" spans="1:14" x14ac:dyDescent="0.2">
      <c r="A86" s="51">
        <v>45128</v>
      </c>
      <c r="B86" s="52" t="s">
        <v>146</v>
      </c>
      <c r="C86" s="52">
        <v>231</v>
      </c>
      <c r="D86" s="52">
        <v>5</v>
      </c>
      <c r="E86" s="52" t="str">
        <f>VLOOKUP(Tabla1[[#This Row],[ID TIENDA]],Guias[],2,0)</f>
        <v>T994-00158705</v>
      </c>
      <c r="F86" s="54">
        <v>1407.65</v>
      </c>
      <c r="G86" s="52" t="str">
        <f>IFERROR(VLOOKUP(Tabla1[[#This Row],[RUTA]],Tabla2[#All],3,0),"")</f>
        <v>PALOMINO</v>
      </c>
      <c r="H86" s="52" t="str">
        <f>IFERROR(VLOOKUP(Tabla1[[#This Row],[RUTA]],Tabla2[[#All],[RUTA]:[PLACAS]],2,0),"")</f>
        <v>BMT-901</v>
      </c>
      <c r="I86" s="52" t="str">
        <f>IFERROR(VLOOKUP(Tabla1[[#This Row],[RUTA]],Tabla2[[#All],[RUTA]:[CONDUCTOR]],4,0),"")</f>
        <v>Bendezu</v>
      </c>
      <c r="J86" s="52" t="str">
        <f>IFERROR(VLOOKUP(Tabla1[[#This Row],[RUTA]],Tabla2[#All],5,0),"")</f>
        <v>Josue/Ivan</v>
      </c>
      <c r="K86" s="53" t="s">
        <v>7</v>
      </c>
      <c r="L86" s="55">
        <v>45128</v>
      </c>
      <c r="M86" s="66" t="s">
        <v>517</v>
      </c>
      <c r="N86" s="56" t="str">
        <f>IF(Tabla1[[#This Row],[ESTADO]]="ENTREGADO",IF(Tabla1[[#This Row],[OBSERVACIÓN]]="OK","SI","NO"),"")</f>
        <v>SI</v>
      </c>
    </row>
    <row r="87" spans="1:14" x14ac:dyDescent="0.2">
      <c r="A87" s="51">
        <v>45128</v>
      </c>
      <c r="B87" s="52" t="s">
        <v>147</v>
      </c>
      <c r="C87" s="52">
        <v>95</v>
      </c>
      <c r="D87" s="52">
        <v>5</v>
      </c>
      <c r="E87" s="52" t="str">
        <f>VLOOKUP(Tabla1[[#This Row],[ID TIENDA]],Guias[],2,0)</f>
        <v>T994-00158678</v>
      </c>
      <c r="F87" s="54">
        <v>2454.4899999999998</v>
      </c>
      <c r="G87" s="52" t="str">
        <f>IFERROR(VLOOKUP(Tabla1[[#This Row],[RUTA]],Tabla2[#All],3,0),"")</f>
        <v>PALOMINO</v>
      </c>
      <c r="H87" s="52" t="str">
        <f>IFERROR(VLOOKUP(Tabla1[[#This Row],[RUTA]],Tabla2[[#All],[RUTA]:[PLACAS]],2,0),"")</f>
        <v>BMT-901</v>
      </c>
      <c r="I87" s="52" t="str">
        <f>IFERROR(VLOOKUP(Tabla1[[#This Row],[RUTA]],Tabla2[[#All],[RUTA]:[CONDUCTOR]],4,0),"")</f>
        <v>Bendezu</v>
      </c>
      <c r="J87" s="52" t="str">
        <f>IFERROR(VLOOKUP(Tabla1[[#This Row],[RUTA]],Tabla2[#All],5,0),"")</f>
        <v>Josue/Ivan</v>
      </c>
      <c r="K87" s="53" t="s">
        <v>7</v>
      </c>
      <c r="L87" s="55">
        <v>45128</v>
      </c>
      <c r="M87" s="66" t="s">
        <v>517</v>
      </c>
      <c r="N87" s="56" t="str">
        <f>IF(Tabla1[[#This Row],[ESTADO]]="ENTREGADO",IF(Tabla1[[#This Row],[OBSERVACIÓN]]="OK","SI","NO"),"")</f>
        <v>SI</v>
      </c>
    </row>
    <row r="88" spans="1:14" x14ac:dyDescent="0.2">
      <c r="A88" s="51">
        <v>45128</v>
      </c>
      <c r="B88" s="52" t="s">
        <v>148</v>
      </c>
      <c r="C88" s="52">
        <v>275</v>
      </c>
      <c r="D88" s="52">
        <v>5</v>
      </c>
      <c r="E88" s="52" t="str">
        <f>VLOOKUP(Tabla1[[#This Row],[ID TIENDA]],Guias[],2,0)</f>
        <v>T994-00158700</v>
      </c>
      <c r="F88" s="54">
        <v>1321.86</v>
      </c>
      <c r="G88" s="52" t="str">
        <f>IFERROR(VLOOKUP(Tabla1[[#This Row],[RUTA]],Tabla2[#All],3,0),"")</f>
        <v>PALOMINO</v>
      </c>
      <c r="H88" s="52" t="str">
        <f>IFERROR(VLOOKUP(Tabla1[[#This Row],[RUTA]],Tabla2[[#All],[RUTA]:[PLACAS]],2,0),"")</f>
        <v>BMT-901</v>
      </c>
      <c r="I88" s="52" t="str">
        <f>IFERROR(VLOOKUP(Tabla1[[#This Row],[RUTA]],Tabla2[[#All],[RUTA]:[CONDUCTOR]],4,0),"")</f>
        <v>Bendezu</v>
      </c>
      <c r="J88" s="52" t="str">
        <f>IFERROR(VLOOKUP(Tabla1[[#This Row],[RUTA]],Tabla2[#All],5,0),"")</f>
        <v>Josue/Ivan</v>
      </c>
      <c r="K88" s="53" t="s">
        <v>7</v>
      </c>
      <c r="L88" s="55">
        <v>45128</v>
      </c>
      <c r="M88" s="66" t="s">
        <v>517</v>
      </c>
      <c r="N88" s="56" t="str">
        <f>IF(Tabla1[[#This Row],[ESTADO]]="ENTREGADO",IF(Tabla1[[#This Row],[OBSERVACIÓN]]="OK","SI","NO"),"")</f>
        <v>SI</v>
      </c>
    </row>
    <row r="89" spans="1:14" x14ac:dyDescent="0.2">
      <c r="A89" s="51">
        <v>45128</v>
      </c>
      <c r="B89" s="52" t="s">
        <v>160</v>
      </c>
      <c r="C89" s="52">
        <v>146</v>
      </c>
      <c r="D89" s="52">
        <v>7</v>
      </c>
      <c r="E89" s="52" t="str">
        <f>VLOOKUP(Tabla1[[#This Row],[ID TIENDA]],Guias[],2,0)</f>
        <v>T994-00158738</v>
      </c>
      <c r="F89" s="54">
        <v>2127.9</v>
      </c>
      <c r="G89" s="52" t="str">
        <f>IFERROR(VLOOKUP(Tabla1[[#This Row],[RUTA]],Tabla2[#All],3,0),"")</f>
        <v>PALOMINO</v>
      </c>
      <c r="H89" s="52" t="str">
        <f>IFERROR(VLOOKUP(Tabla1[[#This Row],[RUTA]],Tabla2[[#All],[RUTA]:[PLACAS]],2,0),"")</f>
        <v>BFK-806</v>
      </c>
      <c r="I89" s="52" t="str">
        <f>IFERROR(VLOOKUP(Tabla1[[#This Row],[RUTA]],Tabla2[[#All],[RUTA]:[CONDUCTOR]],4,0),"")</f>
        <v xml:space="preserve">Luis </v>
      </c>
      <c r="J89" s="52" t="str">
        <f>IFERROR(VLOOKUP(Tabla1[[#This Row],[RUTA]],Tabla2[#All],5,0),"")</f>
        <v>Johan /Koki</v>
      </c>
      <c r="K89" s="53" t="s">
        <v>7</v>
      </c>
      <c r="L89" s="55">
        <v>45128</v>
      </c>
      <c r="M89" s="66" t="s">
        <v>517</v>
      </c>
      <c r="N89" s="56" t="str">
        <f>IF(Tabla1[[#This Row],[ESTADO]]="ENTREGADO",IF(Tabla1[[#This Row],[OBSERVACIÓN]]="OK","SI","NO"),"")</f>
        <v>SI</v>
      </c>
    </row>
    <row r="90" spans="1:14" x14ac:dyDescent="0.2">
      <c r="A90" s="51">
        <v>45128</v>
      </c>
      <c r="B90" s="52" t="s">
        <v>161</v>
      </c>
      <c r="C90" s="52">
        <v>336</v>
      </c>
      <c r="D90" s="52">
        <v>7</v>
      </c>
      <c r="E90" s="52" t="str">
        <f>VLOOKUP(Tabla1[[#This Row],[ID TIENDA]],Guias[],2,0)</f>
        <v>T994-00158710</v>
      </c>
      <c r="F90" s="54">
        <v>2863.32</v>
      </c>
      <c r="G90" s="52" t="str">
        <f>IFERROR(VLOOKUP(Tabla1[[#This Row],[RUTA]],Tabla2[#All],3,0),"")</f>
        <v>PALOMINO</v>
      </c>
      <c r="H90" s="52" t="str">
        <f>IFERROR(VLOOKUP(Tabla1[[#This Row],[RUTA]],Tabla2[[#All],[RUTA]:[PLACAS]],2,0),"")</f>
        <v>BFK-806</v>
      </c>
      <c r="I90" s="52" t="str">
        <f>IFERROR(VLOOKUP(Tabla1[[#This Row],[RUTA]],Tabla2[[#All],[RUTA]:[CONDUCTOR]],4,0),"")</f>
        <v xml:space="preserve">Luis </v>
      </c>
      <c r="J90" s="52" t="str">
        <f>IFERROR(VLOOKUP(Tabla1[[#This Row],[RUTA]],Tabla2[#All],5,0),"")</f>
        <v>Johan /Koki</v>
      </c>
      <c r="K90" s="53" t="s">
        <v>7</v>
      </c>
      <c r="L90" s="55">
        <v>45128</v>
      </c>
      <c r="M90" s="66" t="s">
        <v>517</v>
      </c>
      <c r="N90" s="56" t="str">
        <f>IF(Tabla1[[#This Row],[ESTADO]]="ENTREGADO",IF(Tabla1[[#This Row],[OBSERVACIÓN]]="OK","SI","NO"),"")</f>
        <v>SI</v>
      </c>
    </row>
    <row r="91" spans="1:14" x14ac:dyDescent="0.2">
      <c r="A91" s="51">
        <v>45128</v>
      </c>
      <c r="B91" s="52" t="s">
        <v>162</v>
      </c>
      <c r="C91" s="52">
        <v>493</v>
      </c>
      <c r="D91" s="52">
        <v>7</v>
      </c>
      <c r="E91" s="52" t="str">
        <f>VLOOKUP(Tabla1[[#This Row],[ID TIENDA]],Guias[],2,0)</f>
        <v>T994-00158693</v>
      </c>
      <c r="F91" s="54">
        <v>1779.26</v>
      </c>
      <c r="G91" s="52" t="str">
        <f>IFERROR(VLOOKUP(Tabla1[[#This Row],[RUTA]],Tabla2[#All],3,0),"")</f>
        <v>PALOMINO</v>
      </c>
      <c r="H91" s="52" t="str">
        <f>IFERROR(VLOOKUP(Tabla1[[#This Row],[RUTA]],Tabla2[[#All],[RUTA]:[PLACAS]],2,0),"")</f>
        <v>BFK-806</v>
      </c>
      <c r="I91" s="52" t="str">
        <f>IFERROR(VLOOKUP(Tabla1[[#This Row],[RUTA]],Tabla2[[#All],[RUTA]:[CONDUCTOR]],4,0),"")</f>
        <v xml:space="preserve">Luis </v>
      </c>
      <c r="J91" s="52" t="str">
        <f>IFERROR(VLOOKUP(Tabla1[[#This Row],[RUTA]],Tabla2[#All],5,0),"")</f>
        <v>Johan /Koki</v>
      </c>
      <c r="K91" s="53" t="s">
        <v>7</v>
      </c>
      <c r="L91" s="55">
        <v>45128</v>
      </c>
      <c r="M91" s="66" t="s">
        <v>517</v>
      </c>
      <c r="N91" s="56" t="str">
        <f>IF(Tabla1[[#This Row],[ESTADO]]="ENTREGADO",IF(Tabla1[[#This Row],[OBSERVACIÓN]]="OK","SI","NO"),"")</f>
        <v>SI</v>
      </c>
    </row>
    <row r="92" spans="1:14" x14ac:dyDescent="0.2">
      <c r="A92" s="51">
        <v>45128</v>
      </c>
      <c r="B92" s="52" t="s">
        <v>163</v>
      </c>
      <c r="C92" s="52">
        <v>488</v>
      </c>
      <c r="D92" s="52">
        <v>7</v>
      </c>
      <c r="E92" s="52" t="str">
        <f>VLOOKUP(Tabla1[[#This Row],[ID TIENDA]],Guias[],2,0)</f>
        <v>T994-00158867</v>
      </c>
      <c r="F92" s="54">
        <v>1735.34</v>
      </c>
      <c r="G92" s="52" t="str">
        <f>IFERROR(VLOOKUP(Tabla1[[#This Row],[RUTA]],Tabla2[#All],3,0),"")</f>
        <v>PALOMINO</v>
      </c>
      <c r="H92" s="52" t="str">
        <f>IFERROR(VLOOKUP(Tabla1[[#This Row],[RUTA]],Tabla2[[#All],[RUTA]:[PLACAS]],2,0),"")</f>
        <v>BFK-806</v>
      </c>
      <c r="I92" s="52" t="str">
        <f>IFERROR(VLOOKUP(Tabla1[[#This Row],[RUTA]],Tabla2[[#All],[RUTA]:[CONDUCTOR]],4,0),"")</f>
        <v xml:space="preserve">Luis </v>
      </c>
      <c r="J92" s="52" t="str">
        <f>IFERROR(VLOOKUP(Tabla1[[#This Row],[RUTA]],Tabla2[#All],5,0),"")</f>
        <v>Johan /Koki</v>
      </c>
      <c r="K92" s="53" t="s">
        <v>7</v>
      </c>
      <c r="L92" s="55">
        <v>45128</v>
      </c>
      <c r="M92" s="66" t="s">
        <v>517</v>
      </c>
      <c r="N92" s="56" t="str">
        <f>IF(Tabla1[[#This Row],[ESTADO]]="ENTREGADO",IF(Tabla1[[#This Row],[OBSERVACIÓN]]="OK","SI","NO"),"")</f>
        <v>SI</v>
      </c>
    </row>
    <row r="93" spans="1:14" x14ac:dyDescent="0.2">
      <c r="A93" s="51">
        <v>45128</v>
      </c>
      <c r="B93" s="52" t="s">
        <v>164</v>
      </c>
      <c r="C93" s="52">
        <v>386</v>
      </c>
      <c r="D93" s="52">
        <v>7</v>
      </c>
      <c r="E93" s="52" t="str">
        <f>VLOOKUP(Tabla1[[#This Row],[ID TIENDA]],Guias[],2,0)</f>
        <v>T994-00158687</v>
      </c>
      <c r="F93" s="54">
        <v>2189.66</v>
      </c>
      <c r="G93" s="52" t="str">
        <f>IFERROR(VLOOKUP(Tabla1[[#This Row],[RUTA]],Tabla2[#All],3,0),"")</f>
        <v>PALOMINO</v>
      </c>
      <c r="H93" s="52" t="str">
        <f>IFERROR(VLOOKUP(Tabla1[[#This Row],[RUTA]],Tabla2[[#All],[RUTA]:[PLACAS]],2,0),"")</f>
        <v>BFK-806</v>
      </c>
      <c r="I93" s="52" t="str">
        <f>IFERROR(VLOOKUP(Tabla1[[#This Row],[RUTA]],Tabla2[[#All],[RUTA]:[CONDUCTOR]],4,0),"")</f>
        <v xml:space="preserve">Luis </v>
      </c>
      <c r="J93" s="52" t="str">
        <f>IFERROR(VLOOKUP(Tabla1[[#This Row],[RUTA]],Tabla2[#All],5,0),"")</f>
        <v>Johan /Koki</v>
      </c>
      <c r="K93" s="53" t="s">
        <v>7</v>
      </c>
      <c r="L93" s="55">
        <v>45128</v>
      </c>
      <c r="M93" s="66" t="s">
        <v>517</v>
      </c>
      <c r="N93" s="56" t="str">
        <f>IF(Tabla1[[#This Row],[ESTADO]]="ENTREGADO",IF(Tabla1[[#This Row],[OBSERVACIÓN]]="OK","SI","NO"),"")</f>
        <v>SI</v>
      </c>
    </row>
    <row r="94" spans="1:14" x14ac:dyDescent="0.2">
      <c r="A94" s="51">
        <v>45128</v>
      </c>
      <c r="B94" s="52" t="s">
        <v>165</v>
      </c>
      <c r="C94" s="52">
        <v>143</v>
      </c>
      <c r="D94" s="52">
        <v>7</v>
      </c>
      <c r="E94" s="52" t="str">
        <f>VLOOKUP(Tabla1[[#This Row],[ID TIENDA]],Guias[],2,0)</f>
        <v>T994-00158855</v>
      </c>
      <c r="F94" s="54">
        <v>2022.88</v>
      </c>
      <c r="G94" s="52" t="str">
        <f>IFERROR(VLOOKUP(Tabla1[[#This Row],[RUTA]],Tabla2[#All],3,0),"")</f>
        <v>PALOMINO</v>
      </c>
      <c r="H94" s="52" t="str">
        <f>IFERROR(VLOOKUP(Tabla1[[#This Row],[RUTA]],Tabla2[[#All],[RUTA]:[PLACAS]],2,0),"")</f>
        <v>BFK-806</v>
      </c>
      <c r="I94" s="52" t="str">
        <f>IFERROR(VLOOKUP(Tabla1[[#This Row],[RUTA]],Tabla2[[#All],[RUTA]:[CONDUCTOR]],4,0),"")</f>
        <v xml:space="preserve">Luis </v>
      </c>
      <c r="J94" s="52" t="str">
        <f>IFERROR(VLOOKUP(Tabla1[[#This Row],[RUTA]],Tabla2[#All],5,0),"")</f>
        <v>Johan /Koki</v>
      </c>
      <c r="K94" s="53" t="s">
        <v>7</v>
      </c>
      <c r="L94" s="55">
        <v>45128</v>
      </c>
      <c r="M94" s="66" t="s">
        <v>517</v>
      </c>
      <c r="N94" s="56" t="str">
        <f>IF(Tabla1[[#This Row],[ESTADO]]="ENTREGADO",IF(Tabla1[[#This Row],[OBSERVACIÓN]]="OK","SI","NO"),"")</f>
        <v>SI</v>
      </c>
    </row>
    <row r="95" spans="1:14" ht="36" x14ac:dyDescent="0.2">
      <c r="A95" s="51">
        <v>45128</v>
      </c>
      <c r="B95" s="52" t="s">
        <v>166</v>
      </c>
      <c r="C95" s="52">
        <v>126</v>
      </c>
      <c r="D95" s="52">
        <v>7</v>
      </c>
      <c r="E95" s="52" t="str">
        <f>VLOOKUP(Tabla1[[#This Row],[ID TIENDA]],Guias[],2,0)</f>
        <v>T994-00158719</v>
      </c>
      <c r="F95" s="54">
        <v>2930.78</v>
      </c>
      <c r="G95" s="52" t="str">
        <f>IFERROR(VLOOKUP(Tabla1[[#This Row],[RUTA]],Tabla2[#All],3,0),"")</f>
        <v>PALOMINO</v>
      </c>
      <c r="H95" s="52" t="str">
        <f>IFERROR(VLOOKUP(Tabla1[[#This Row],[RUTA]],Tabla2[[#All],[RUTA]:[PLACAS]],2,0),"")</f>
        <v>BFK-806</v>
      </c>
      <c r="I95" s="52" t="str">
        <f>IFERROR(VLOOKUP(Tabla1[[#This Row],[RUTA]],Tabla2[[#All],[RUTA]:[CONDUCTOR]],4,0),"")</f>
        <v xml:space="preserve">Luis </v>
      </c>
      <c r="J95" s="52" t="str">
        <f>IFERROR(VLOOKUP(Tabla1[[#This Row],[RUTA]],Tabla2[#All],5,0),"")</f>
        <v>Johan /Koki</v>
      </c>
      <c r="K95" s="53" t="s">
        <v>7</v>
      </c>
      <c r="L95" s="55">
        <v>45128</v>
      </c>
      <c r="M95" s="73" t="s">
        <v>533</v>
      </c>
      <c r="N95" s="56" t="str">
        <f>IF(Tabla1[[#This Row],[ESTADO]]="ENTREGADO",IF(Tabla1[[#This Row],[OBSERVACIÓN]]="OK","SI","NO"),"")</f>
        <v>NO</v>
      </c>
    </row>
    <row r="96" spans="1:14" ht="24" x14ac:dyDescent="0.2">
      <c r="A96" s="51">
        <v>45128</v>
      </c>
      <c r="B96" s="52" t="s">
        <v>167</v>
      </c>
      <c r="C96" s="52">
        <v>113</v>
      </c>
      <c r="D96" s="52">
        <v>7</v>
      </c>
      <c r="E96" s="52" t="str">
        <f>VLOOKUP(Tabla1[[#This Row],[ID TIENDA]],Guias[],2,0)</f>
        <v>T994-00158677</v>
      </c>
      <c r="F96" s="54">
        <v>1213.05</v>
      </c>
      <c r="G96" s="52" t="str">
        <f>IFERROR(VLOOKUP(Tabla1[[#This Row],[RUTA]],Tabla2[#All],3,0),"")</f>
        <v>PALOMINO</v>
      </c>
      <c r="H96" s="52" t="str">
        <f>IFERROR(VLOOKUP(Tabla1[[#This Row],[RUTA]],Tabla2[[#All],[RUTA]:[PLACAS]],2,0),"")</f>
        <v>BFK-806</v>
      </c>
      <c r="I96" s="52" t="str">
        <f>IFERROR(VLOOKUP(Tabla1[[#This Row],[RUTA]],Tabla2[[#All],[RUTA]:[CONDUCTOR]],4,0),"")</f>
        <v xml:space="preserve">Luis </v>
      </c>
      <c r="J96" s="52" t="str">
        <f>IFERROR(VLOOKUP(Tabla1[[#This Row],[RUTA]],Tabla2[#All],5,0),"")</f>
        <v>Johan /Koki</v>
      </c>
      <c r="K96" s="53" t="s">
        <v>7</v>
      </c>
      <c r="L96" s="55">
        <v>45128</v>
      </c>
      <c r="M96" s="73" t="s">
        <v>529</v>
      </c>
      <c r="N96" s="56" t="str">
        <f>IF(Tabla1[[#This Row],[ESTADO]]="ENTREGADO",IF(Tabla1[[#This Row],[OBSERVACIÓN]]="OK","SI","NO"),"")</f>
        <v>NO</v>
      </c>
    </row>
    <row r="97" spans="1:14" ht="24" x14ac:dyDescent="0.2">
      <c r="A97" s="51">
        <v>45128</v>
      </c>
      <c r="B97" s="52" t="s">
        <v>168</v>
      </c>
      <c r="C97" s="52">
        <v>363</v>
      </c>
      <c r="D97" s="52">
        <v>7</v>
      </c>
      <c r="E97" s="52" t="str">
        <f>VLOOKUP(Tabla1[[#This Row],[ID TIENDA]],Guias[],2,0)</f>
        <v>T994-00158776</v>
      </c>
      <c r="F97" s="54">
        <v>1398.75</v>
      </c>
      <c r="G97" s="52" t="str">
        <f>IFERROR(VLOOKUP(Tabla1[[#This Row],[RUTA]],Tabla2[#All],3,0),"")</f>
        <v>PALOMINO</v>
      </c>
      <c r="H97" s="52" t="str">
        <f>IFERROR(VLOOKUP(Tabla1[[#This Row],[RUTA]],Tabla2[[#All],[RUTA]:[PLACAS]],2,0),"")</f>
        <v>BFK-806</v>
      </c>
      <c r="I97" s="52" t="str">
        <f>IFERROR(VLOOKUP(Tabla1[[#This Row],[RUTA]],Tabla2[[#All],[RUTA]:[CONDUCTOR]],4,0),"")</f>
        <v xml:space="preserve">Luis </v>
      </c>
      <c r="J97" s="52" t="str">
        <f>IFERROR(VLOOKUP(Tabla1[[#This Row],[RUTA]],Tabla2[#All],5,0),"")</f>
        <v>Johan /Koki</v>
      </c>
      <c r="K97" s="53" t="s">
        <v>7</v>
      </c>
      <c r="L97" s="55">
        <v>45128</v>
      </c>
      <c r="M97" s="73" t="s">
        <v>509</v>
      </c>
      <c r="N97" s="56" t="str">
        <f>IF(Tabla1[[#This Row],[ESTADO]]="ENTREGADO",IF(Tabla1[[#This Row],[OBSERVACIÓN]]="OK","SI","NO"),"")</f>
        <v>NO</v>
      </c>
    </row>
    <row r="98" spans="1:14" x14ac:dyDescent="0.2">
      <c r="A98" s="51">
        <v>45128</v>
      </c>
      <c r="B98" s="52" t="s">
        <v>169</v>
      </c>
      <c r="C98" s="52">
        <v>160</v>
      </c>
      <c r="D98" s="52">
        <v>7</v>
      </c>
      <c r="E98" s="52" t="str">
        <f>VLOOKUP(Tabla1[[#This Row],[ID TIENDA]],Guias[],2,0)</f>
        <v>T994-00158699</v>
      </c>
      <c r="F98" s="54">
        <v>2841.63</v>
      </c>
      <c r="G98" s="52" t="str">
        <f>IFERROR(VLOOKUP(Tabla1[[#This Row],[RUTA]],Tabla2[#All],3,0),"")</f>
        <v>PALOMINO</v>
      </c>
      <c r="H98" s="52" t="str">
        <f>IFERROR(VLOOKUP(Tabla1[[#This Row],[RUTA]],Tabla2[[#All],[RUTA]:[PLACAS]],2,0),"")</f>
        <v>BFK-806</v>
      </c>
      <c r="I98" s="52" t="str">
        <f>IFERROR(VLOOKUP(Tabla1[[#This Row],[RUTA]],Tabla2[[#All],[RUTA]:[CONDUCTOR]],4,0),"")</f>
        <v xml:space="preserve">Luis </v>
      </c>
      <c r="J98" s="52" t="str">
        <f>IFERROR(VLOOKUP(Tabla1[[#This Row],[RUTA]],Tabla2[#All],5,0),"")</f>
        <v>Johan /Koki</v>
      </c>
      <c r="K98" s="53" t="s">
        <v>7</v>
      </c>
      <c r="L98" s="55">
        <v>45128</v>
      </c>
      <c r="M98" s="66" t="s">
        <v>517</v>
      </c>
      <c r="N98" s="56" t="str">
        <f>IF(Tabla1[[#This Row],[ESTADO]]="ENTREGADO",IF(Tabla1[[#This Row],[OBSERVACIÓN]]="OK","SI","NO"),"")</f>
        <v>SI</v>
      </c>
    </row>
    <row r="99" spans="1:14" x14ac:dyDescent="0.2">
      <c r="A99" s="51">
        <v>45128</v>
      </c>
      <c r="B99" s="52" t="s">
        <v>170</v>
      </c>
      <c r="C99" s="52">
        <v>93</v>
      </c>
      <c r="D99" s="52">
        <v>7</v>
      </c>
      <c r="E99" s="52" t="str">
        <f>VLOOKUP(Tabla1[[#This Row],[ID TIENDA]],Guias[],2,0)</f>
        <v>T994-00158833</v>
      </c>
      <c r="F99" s="54">
        <v>2690.95</v>
      </c>
      <c r="G99" s="52" t="str">
        <f>IFERROR(VLOOKUP(Tabla1[[#This Row],[RUTA]],Tabla2[#All],3,0),"")</f>
        <v>PALOMINO</v>
      </c>
      <c r="H99" s="52" t="str">
        <f>IFERROR(VLOOKUP(Tabla1[[#This Row],[RUTA]],Tabla2[[#All],[RUTA]:[PLACAS]],2,0),"")</f>
        <v>BFK-806</v>
      </c>
      <c r="I99" s="52" t="str">
        <f>IFERROR(VLOOKUP(Tabla1[[#This Row],[RUTA]],Tabla2[[#All],[RUTA]:[CONDUCTOR]],4,0),"")</f>
        <v xml:space="preserve">Luis </v>
      </c>
      <c r="J99" s="52" t="str">
        <f>IFERROR(VLOOKUP(Tabla1[[#This Row],[RUTA]],Tabla2[#All],5,0),"")</f>
        <v>Johan /Koki</v>
      </c>
      <c r="K99" s="53" t="s">
        <v>7</v>
      </c>
      <c r="L99" s="55">
        <v>45128</v>
      </c>
      <c r="M99" s="66" t="s">
        <v>517</v>
      </c>
      <c r="N99" s="56" t="str">
        <f>IF(Tabla1[[#This Row],[ESTADO]]="ENTREGADO",IF(Tabla1[[#This Row],[OBSERVACIÓN]]="OK","SI","NO"),"")</f>
        <v>SI</v>
      </c>
    </row>
    <row r="100" spans="1:14" x14ac:dyDescent="0.2">
      <c r="A100" s="51">
        <v>45128</v>
      </c>
      <c r="B100" s="52" t="s">
        <v>171</v>
      </c>
      <c r="C100" s="52">
        <v>148</v>
      </c>
      <c r="D100" s="52">
        <v>7</v>
      </c>
      <c r="E100" s="52" t="str">
        <f>VLOOKUP(Tabla1[[#This Row],[ID TIENDA]],Guias[],2,0)</f>
        <v>T994-00158845</v>
      </c>
      <c r="F100" s="54">
        <v>2149.58</v>
      </c>
      <c r="G100" s="52" t="str">
        <f>IFERROR(VLOOKUP(Tabla1[[#This Row],[RUTA]],Tabla2[#All],3,0),"")</f>
        <v>PALOMINO</v>
      </c>
      <c r="H100" s="52" t="str">
        <f>IFERROR(VLOOKUP(Tabla1[[#This Row],[RUTA]],Tabla2[[#All],[RUTA]:[PLACAS]],2,0),"")</f>
        <v>BFK-806</v>
      </c>
      <c r="I100" s="52" t="str">
        <f>IFERROR(VLOOKUP(Tabla1[[#This Row],[RUTA]],Tabla2[[#All],[RUTA]:[CONDUCTOR]],4,0),"")</f>
        <v xml:space="preserve">Luis </v>
      </c>
      <c r="J100" s="52" t="str">
        <f>IFERROR(VLOOKUP(Tabla1[[#This Row],[RUTA]],Tabla2[#All],5,0),"")</f>
        <v>Johan /Koki</v>
      </c>
      <c r="K100" s="53" t="s">
        <v>7</v>
      </c>
      <c r="L100" s="55">
        <v>45128</v>
      </c>
      <c r="M100" s="66" t="s">
        <v>517</v>
      </c>
      <c r="N100" s="56" t="str">
        <f>IF(Tabla1[[#This Row],[ESTADO]]="ENTREGADO",IF(Tabla1[[#This Row],[OBSERVACIÓN]]="OK","SI","NO"),"")</f>
        <v>SI</v>
      </c>
    </row>
    <row r="101" spans="1:14" x14ac:dyDescent="0.2">
      <c r="A101" s="51">
        <v>45128</v>
      </c>
      <c r="B101" s="52" t="s">
        <v>172</v>
      </c>
      <c r="C101" s="52">
        <v>429</v>
      </c>
      <c r="D101" s="52">
        <v>7</v>
      </c>
      <c r="E101" s="52" t="str">
        <f>VLOOKUP(Tabla1[[#This Row],[ID TIENDA]],Guias[],2,0)</f>
        <v>T994-00158780</v>
      </c>
      <c r="F101" s="54">
        <v>1733.56</v>
      </c>
      <c r="G101" s="52" t="str">
        <f>IFERROR(VLOOKUP(Tabla1[[#This Row],[RUTA]],Tabla2[#All],3,0),"")</f>
        <v>PALOMINO</v>
      </c>
      <c r="H101" s="52" t="str">
        <f>IFERROR(VLOOKUP(Tabla1[[#This Row],[RUTA]],Tabla2[[#All],[RUTA]:[PLACAS]],2,0),"")</f>
        <v>BFK-806</v>
      </c>
      <c r="I101" s="52" t="str">
        <f>IFERROR(VLOOKUP(Tabla1[[#This Row],[RUTA]],Tabla2[[#All],[RUTA]:[CONDUCTOR]],4,0),"")</f>
        <v xml:space="preserve">Luis </v>
      </c>
      <c r="J101" s="52" t="str">
        <f>IFERROR(VLOOKUP(Tabla1[[#This Row],[RUTA]],Tabla2[#All],5,0),"")</f>
        <v>Johan /Koki</v>
      </c>
      <c r="K101" s="53" t="s">
        <v>7</v>
      </c>
      <c r="L101" s="55">
        <v>45128</v>
      </c>
      <c r="M101" s="66" t="s">
        <v>517</v>
      </c>
      <c r="N101" s="56" t="str">
        <f>IF(Tabla1[[#This Row],[ESTADO]]="ENTREGADO",IF(Tabla1[[#This Row],[OBSERVACIÓN]]="OK","SI","NO"),"")</f>
        <v>SI</v>
      </c>
    </row>
    <row r="102" spans="1:14" x14ac:dyDescent="0.2">
      <c r="A102" s="51">
        <v>45128</v>
      </c>
      <c r="B102" s="52" t="s">
        <v>173</v>
      </c>
      <c r="C102" s="52">
        <v>43</v>
      </c>
      <c r="D102" s="52">
        <v>7</v>
      </c>
      <c r="E102" s="52" t="str">
        <f>VLOOKUP(Tabla1[[#This Row],[ID TIENDA]],Guias[],2,0)</f>
        <v>T994-00158820</v>
      </c>
      <c r="F102" s="54">
        <v>2214.3200000000002</v>
      </c>
      <c r="G102" s="52" t="str">
        <f>IFERROR(VLOOKUP(Tabla1[[#This Row],[RUTA]],Tabla2[#All],3,0),"")</f>
        <v>PALOMINO</v>
      </c>
      <c r="H102" s="52" t="str">
        <f>IFERROR(VLOOKUP(Tabla1[[#This Row],[RUTA]],Tabla2[[#All],[RUTA]:[PLACAS]],2,0),"")</f>
        <v>BFK-806</v>
      </c>
      <c r="I102" s="52" t="str">
        <f>IFERROR(VLOOKUP(Tabla1[[#This Row],[RUTA]],Tabla2[[#All],[RUTA]:[CONDUCTOR]],4,0),"")</f>
        <v xml:space="preserve">Luis </v>
      </c>
      <c r="J102" s="52" t="str">
        <f>IFERROR(VLOOKUP(Tabla1[[#This Row],[RUTA]],Tabla2[#All],5,0),"")</f>
        <v>Johan /Koki</v>
      </c>
      <c r="K102" s="53" t="s">
        <v>7</v>
      </c>
      <c r="L102" s="55">
        <v>45128</v>
      </c>
      <c r="M102" s="66" t="s">
        <v>517</v>
      </c>
      <c r="N102" s="56" t="str">
        <f>IF(Tabla1[[#This Row],[ESTADO]]="ENTREGADO",IF(Tabla1[[#This Row],[OBSERVACIÓN]]="OK","SI","NO"),"")</f>
        <v>SI</v>
      </c>
    </row>
    <row r="103" spans="1:14" ht="72" x14ac:dyDescent="0.2">
      <c r="A103" s="51">
        <v>45128</v>
      </c>
      <c r="B103" s="52" t="s">
        <v>174</v>
      </c>
      <c r="C103" s="52">
        <v>37</v>
      </c>
      <c r="D103" s="52">
        <v>7</v>
      </c>
      <c r="E103" s="52" t="str">
        <f>VLOOKUP(Tabla1[[#This Row],[ID TIENDA]],Guias[],2,0)</f>
        <v>T994-00158716</v>
      </c>
      <c r="F103" s="54">
        <v>1611.04</v>
      </c>
      <c r="G103" s="52" t="str">
        <f>IFERROR(VLOOKUP(Tabla1[[#This Row],[RUTA]],Tabla2[#All],3,0),"")</f>
        <v>PALOMINO</v>
      </c>
      <c r="H103" s="52" t="str">
        <f>IFERROR(VLOOKUP(Tabla1[[#This Row],[RUTA]],Tabla2[[#All],[RUTA]:[PLACAS]],2,0),"")</f>
        <v>BFK-806</v>
      </c>
      <c r="I103" s="52" t="str">
        <f>IFERROR(VLOOKUP(Tabla1[[#This Row],[RUTA]],Tabla2[[#All],[RUTA]:[CONDUCTOR]],4,0),"")</f>
        <v xml:space="preserve">Luis </v>
      </c>
      <c r="J103" s="52" t="str">
        <f>IFERROR(VLOOKUP(Tabla1[[#This Row],[RUTA]],Tabla2[#All],5,0),"")</f>
        <v>Johan /Koki</v>
      </c>
      <c r="K103" s="53" t="s">
        <v>7</v>
      </c>
      <c r="L103" s="55">
        <v>45128</v>
      </c>
      <c r="M103" s="73" t="s">
        <v>504</v>
      </c>
      <c r="N103" s="56" t="str">
        <f>IF(Tabla1[[#This Row],[ESTADO]]="ENTREGADO",IF(Tabla1[[#This Row],[OBSERVACIÓN]]="OK","SI","NO"),"")</f>
        <v>NO</v>
      </c>
    </row>
    <row r="104" spans="1:14" x14ac:dyDescent="0.2">
      <c r="A104" s="51">
        <v>45128</v>
      </c>
      <c r="B104" s="52" t="s">
        <v>175</v>
      </c>
      <c r="C104" s="52">
        <v>59</v>
      </c>
      <c r="D104" s="52">
        <v>7</v>
      </c>
      <c r="E104" s="52" t="str">
        <f>VLOOKUP(Tabla1[[#This Row],[ID TIENDA]],Guias[],2,0)</f>
        <v>T994-00158786</v>
      </c>
      <c r="F104" s="54">
        <v>2073.13</v>
      </c>
      <c r="G104" s="52" t="str">
        <f>IFERROR(VLOOKUP(Tabla1[[#This Row],[RUTA]],Tabla2[#All],3,0),"")</f>
        <v>PALOMINO</v>
      </c>
      <c r="H104" s="52" t="str">
        <f>IFERROR(VLOOKUP(Tabla1[[#This Row],[RUTA]],Tabla2[[#All],[RUTA]:[PLACAS]],2,0),"")</f>
        <v>BFK-806</v>
      </c>
      <c r="I104" s="52" t="str">
        <f>IFERROR(VLOOKUP(Tabla1[[#This Row],[RUTA]],Tabla2[[#All],[RUTA]:[CONDUCTOR]],4,0),"")</f>
        <v xml:space="preserve">Luis </v>
      </c>
      <c r="J104" s="52" t="str">
        <f>IFERROR(VLOOKUP(Tabla1[[#This Row],[RUTA]],Tabla2[#All],5,0),"")</f>
        <v>Johan /Koki</v>
      </c>
      <c r="K104" s="53" t="s">
        <v>7</v>
      </c>
      <c r="L104" s="55">
        <v>45128</v>
      </c>
      <c r="M104" s="66" t="s">
        <v>536</v>
      </c>
      <c r="N104" s="56" t="str">
        <f>IF(Tabla1[[#This Row],[ESTADO]]="ENTREGADO",IF(Tabla1[[#This Row],[OBSERVACIÓN]]="OK","SI","NO"),"")</f>
        <v>SI</v>
      </c>
    </row>
    <row r="105" spans="1:14" ht="60" x14ac:dyDescent="0.2">
      <c r="A105" s="51">
        <v>45128</v>
      </c>
      <c r="B105" s="52" t="s">
        <v>176</v>
      </c>
      <c r="C105" s="52">
        <v>89</v>
      </c>
      <c r="D105" s="52">
        <v>7</v>
      </c>
      <c r="E105" s="52" t="str">
        <f>VLOOKUP(Tabla1[[#This Row],[ID TIENDA]],Guias[],2,0)</f>
        <v>T994-00158852</v>
      </c>
      <c r="F105" s="54">
        <v>1157.29</v>
      </c>
      <c r="G105" s="52" t="str">
        <f>IFERROR(VLOOKUP(Tabla1[[#This Row],[RUTA]],Tabla2[#All],3,0),"")</f>
        <v>PALOMINO</v>
      </c>
      <c r="H105" s="52" t="str">
        <f>IFERROR(VLOOKUP(Tabla1[[#This Row],[RUTA]],Tabla2[[#All],[RUTA]:[PLACAS]],2,0),"")</f>
        <v>BFK-806</v>
      </c>
      <c r="I105" s="52" t="str">
        <f>IFERROR(VLOOKUP(Tabla1[[#This Row],[RUTA]],Tabla2[[#All],[RUTA]:[CONDUCTOR]],4,0),"")</f>
        <v xml:space="preserve">Luis </v>
      </c>
      <c r="J105" s="52" t="str">
        <f>IFERROR(VLOOKUP(Tabla1[[#This Row],[RUTA]],Tabla2[#All],5,0),"")</f>
        <v>Johan /Koki</v>
      </c>
      <c r="K105" s="53" t="s">
        <v>7</v>
      </c>
      <c r="L105" s="55">
        <v>45128</v>
      </c>
      <c r="M105" s="73" t="s">
        <v>511</v>
      </c>
      <c r="N105" s="56" t="str">
        <f>IF(Tabla1[[#This Row],[ESTADO]]="ENTREGADO",IF(Tabla1[[#This Row],[OBSERVACIÓN]]="OK","SI","NO"),"")</f>
        <v>NO</v>
      </c>
    </row>
    <row r="106" spans="1:14" x14ac:dyDescent="0.2">
      <c r="A106" s="51">
        <v>45128</v>
      </c>
      <c r="B106" s="75" t="s">
        <v>502</v>
      </c>
      <c r="C106" s="75"/>
      <c r="D106" s="75">
        <v>7</v>
      </c>
      <c r="E106" s="75" t="s">
        <v>503</v>
      </c>
      <c r="F106" s="76"/>
      <c r="G106" s="75" t="str">
        <f>IFERROR(VLOOKUP(Tabla1[[#This Row],[RUTA]],Tabla2[#All],3,0),"")</f>
        <v>PALOMINO</v>
      </c>
      <c r="H106" s="75" t="str">
        <f>IFERROR(VLOOKUP(Tabla1[[#This Row],[RUTA]],Tabla2[[#All],[RUTA]:[PLACAS]],2,0),"")</f>
        <v>BFK-806</v>
      </c>
      <c r="I106" s="75" t="str">
        <f>IFERROR(VLOOKUP(Tabla1[[#This Row],[RUTA]],Tabla2[[#All],[RUTA]:[CONDUCTOR]],4,0),"")</f>
        <v xml:space="preserve">Luis </v>
      </c>
      <c r="J106" s="75" t="str">
        <f>IFERROR(VLOOKUP(Tabla1[[#This Row],[RUTA]],Tabla2[#All],5,0),"")</f>
        <v>Johan /Koki</v>
      </c>
      <c r="K106" s="53" t="s">
        <v>7</v>
      </c>
      <c r="L106" s="55">
        <v>45128</v>
      </c>
      <c r="M106" s="77" t="s">
        <v>517</v>
      </c>
      <c r="N106" s="78" t="str">
        <f>IF(Tabla1[[#This Row],[ESTADO]]="ENTREGADO",IF(Tabla1[[#This Row],[OBSERVACIÓN]]="OK","SI","NO"),"")</f>
        <v>SI</v>
      </c>
    </row>
    <row r="107" spans="1:14" x14ac:dyDescent="0.2">
      <c r="A107" s="51">
        <v>45128</v>
      </c>
      <c r="B107" s="52" t="s">
        <v>177</v>
      </c>
      <c r="C107" s="52">
        <v>76</v>
      </c>
      <c r="D107" s="52">
        <v>8</v>
      </c>
      <c r="E107" s="52" t="str">
        <f>VLOOKUP(Tabla1[[#This Row],[ID TIENDA]],Guias[],2,0)</f>
        <v>T994-00158863</v>
      </c>
      <c r="F107" s="54">
        <v>2277.14</v>
      </c>
      <c r="G107" s="52" t="str">
        <f>IFERROR(VLOOKUP(Tabla1[[#This Row],[RUTA]],Tabla2[#All],3,0),"")</f>
        <v>PALOMINO</v>
      </c>
      <c r="H107" s="52" t="str">
        <f>IFERROR(VLOOKUP(Tabla1[[#This Row],[RUTA]],Tabla2[[#All],[RUTA]:[PLACAS]],2,0),"")</f>
        <v>BAY-837</v>
      </c>
      <c r="I107" s="52" t="str">
        <f>IFERROR(VLOOKUP(Tabla1[[#This Row],[RUTA]],Tabla2[[#All],[RUTA]:[CONDUCTOR]],4,0),"")</f>
        <v>Jose</v>
      </c>
      <c r="J107" s="52" t="str">
        <f>IFERROR(VLOOKUP(Tabla1[[#This Row],[RUTA]],Tabla2[#All],5,0),"")</f>
        <v>Silvia</v>
      </c>
      <c r="K107" s="53" t="s">
        <v>7</v>
      </c>
      <c r="L107" s="55">
        <v>45128</v>
      </c>
      <c r="M107" s="66" t="s">
        <v>517</v>
      </c>
      <c r="N107" s="56" t="str">
        <f>IF(Tabla1[[#This Row],[ESTADO]]="ENTREGADO",IF(Tabla1[[#This Row],[OBSERVACIÓN]]="OK","SI","NO"),"")</f>
        <v>SI</v>
      </c>
    </row>
    <row r="108" spans="1:14" x14ac:dyDescent="0.2">
      <c r="A108" s="51">
        <v>45128</v>
      </c>
      <c r="B108" s="52" t="s">
        <v>178</v>
      </c>
      <c r="C108" s="52">
        <v>395</v>
      </c>
      <c r="D108" s="52">
        <v>8</v>
      </c>
      <c r="E108" s="52" t="str">
        <f>VLOOKUP(Tabla1[[#This Row],[ID TIENDA]],Guias[],2,0)</f>
        <v>T994-00158860</v>
      </c>
      <c r="F108" s="54">
        <v>1701.02</v>
      </c>
      <c r="G108" s="52" t="str">
        <f>IFERROR(VLOOKUP(Tabla1[[#This Row],[RUTA]],Tabla2[#All],3,0),"")</f>
        <v>PALOMINO</v>
      </c>
      <c r="H108" s="52" t="str">
        <f>IFERROR(VLOOKUP(Tabla1[[#This Row],[RUTA]],Tabla2[[#All],[RUTA]:[PLACAS]],2,0),"")</f>
        <v>BAY-837</v>
      </c>
      <c r="I108" s="52" t="str">
        <f>IFERROR(VLOOKUP(Tabla1[[#This Row],[RUTA]],Tabla2[[#All],[RUTA]:[CONDUCTOR]],4,0),"")</f>
        <v>Jose</v>
      </c>
      <c r="J108" s="52" t="str">
        <f>IFERROR(VLOOKUP(Tabla1[[#This Row],[RUTA]],Tabla2[#All],5,0),"")</f>
        <v>Silvia</v>
      </c>
      <c r="K108" s="53" t="s">
        <v>7</v>
      </c>
      <c r="L108" s="55">
        <v>45128</v>
      </c>
      <c r="M108" s="66" t="s">
        <v>517</v>
      </c>
      <c r="N108" s="56" t="str">
        <f>IF(Tabla1[[#This Row],[ESTADO]]="ENTREGADO",IF(Tabla1[[#This Row],[OBSERVACIÓN]]="OK","SI","NO"),"")</f>
        <v>SI</v>
      </c>
    </row>
    <row r="109" spans="1:14" x14ac:dyDescent="0.2">
      <c r="A109" s="51">
        <v>45128</v>
      </c>
      <c r="B109" s="52" t="s">
        <v>179</v>
      </c>
      <c r="C109" s="52">
        <v>347</v>
      </c>
      <c r="D109" s="52">
        <v>8</v>
      </c>
      <c r="E109" s="52" t="str">
        <f>VLOOKUP(Tabla1[[#This Row],[ID TIENDA]],Guias[],2,0)</f>
        <v>T994-00158696</v>
      </c>
      <c r="F109" s="54">
        <v>1717.71</v>
      </c>
      <c r="G109" s="52" t="str">
        <f>IFERROR(VLOOKUP(Tabla1[[#This Row],[RUTA]],Tabla2[#All],3,0),"")</f>
        <v>PALOMINO</v>
      </c>
      <c r="H109" s="52" t="str">
        <f>IFERROR(VLOOKUP(Tabla1[[#This Row],[RUTA]],Tabla2[[#All],[RUTA]:[PLACAS]],2,0),"")</f>
        <v>BAY-837</v>
      </c>
      <c r="I109" s="52" t="str">
        <f>IFERROR(VLOOKUP(Tabla1[[#This Row],[RUTA]],Tabla2[[#All],[RUTA]:[CONDUCTOR]],4,0),"")</f>
        <v>Jose</v>
      </c>
      <c r="J109" s="52" t="str">
        <f>IFERROR(VLOOKUP(Tabla1[[#This Row],[RUTA]],Tabla2[#All],5,0),"")</f>
        <v>Silvia</v>
      </c>
      <c r="K109" s="53" t="s">
        <v>7</v>
      </c>
      <c r="L109" s="55">
        <v>45128</v>
      </c>
      <c r="M109" s="66" t="s">
        <v>517</v>
      </c>
      <c r="N109" s="56" t="str">
        <f>IF(Tabla1[[#This Row],[ESTADO]]="ENTREGADO",IF(Tabla1[[#This Row],[OBSERVACIÓN]]="OK","SI","NO"),"")</f>
        <v>SI</v>
      </c>
    </row>
    <row r="110" spans="1:14" x14ac:dyDescent="0.2">
      <c r="A110" s="51">
        <v>45128</v>
      </c>
      <c r="B110" s="52" t="s">
        <v>67</v>
      </c>
      <c r="C110" s="52">
        <v>69</v>
      </c>
      <c r="D110" s="52">
        <v>8</v>
      </c>
      <c r="E110" s="52" t="str">
        <f>VLOOKUP(Tabla1[[#This Row],[ID TIENDA]],Guias[],2,0)</f>
        <v>T994-00158771</v>
      </c>
      <c r="F110" s="54">
        <v>845.76</v>
      </c>
      <c r="G110" s="52" t="str">
        <f>IFERROR(VLOOKUP(Tabla1[[#This Row],[RUTA]],Tabla2[#All],3,0),"")</f>
        <v>PALOMINO</v>
      </c>
      <c r="H110" s="52" t="str">
        <f>IFERROR(VLOOKUP(Tabla1[[#This Row],[RUTA]],Tabla2[[#All],[RUTA]:[PLACAS]],2,0),"")</f>
        <v>BAY-837</v>
      </c>
      <c r="I110" s="52" t="str">
        <f>IFERROR(VLOOKUP(Tabla1[[#This Row],[RUTA]],Tabla2[[#All],[RUTA]:[CONDUCTOR]],4,0),"")</f>
        <v>Jose</v>
      </c>
      <c r="J110" s="52" t="str">
        <f>IFERROR(VLOOKUP(Tabla1[[#This Row],[RUTA]],Tabla2[#All],5,0),"")</f>
        <v>Silvia</v>
      </c>
      <c r="K110" s="53" t="s">
        <v>7</v>
      </c>
      <c r="L110" s="55">
        <v>45128</v>
      </c>
      <c r="M110" s="66" t="s">
        <v>517</v>
      </c>
      <c r="N110" s="56" t="str">
        <f>IF(Tabla1[[#This Row],[ESTADO]]="ENTREGADO",IF(Tabla1[[#This Row],[OBSERVACIÓN]]="OK","SI","NO"),"")</f>
        <v>SI</v>
      </c>
    </row>
    <row r="111" spans="1:14" x14ac:dyDescent="0.2">
      <c r="A111" s="51">
        <v>45128</v>
      </c>
      <c r="B111" s="52" t="s">
        <v>180</v>
      </c>
      <c r="C111" s="52">
        <v>181</v>
      </c>
      <c r="D111" s="52">
        <v>8</v>
      </c>
      <c r="E111" s="52" t="str">
        <f>VLOOKUP(Tabla1[[#This Row],[ID TIENDA]],Guias[],2,0)</f>
        <v>T994-00158832</v>
      </c>
      <c r="F111" s="54">
        <v>2167.1999999999998</v>
      </c>
      <c r="G111" s="52" t="str">
        <f>IFERROR(VLOOKUP(Tabla1[[#This Row],[RUTA]],Tabla2[#All],3,0),"")</f>
        <v>PALOMINO</v>
      </c>
      <c r="H111" s="52" t="str">
        <f>IFERROR(VLOOKUP(Tabla1[[#This Row],[RUTA]],Tabla2[[#All],[RUTA]:[PLACAS]],2,0),"")</f>
        <v>BAY-837</v>
      </c>
      <c r="I111" s="52" t="str">
        <f>IFERROR(VLOOKUP(Tabla1[[#This Row],[RUTA]],Tabla2[[#All],[RUTA]:[CONDUCTOR]],4,0),"")</f>
        <v>Jose</v>
      </c>
      <c r="J111" s="52" t="str">
        <f>IFERROR(VLOOKUP(Tabla1[[#This Row],[RUTA]],Tabla2[#All],5,0),"")</f>
        <v>Silvia</v>
      </c>
      <c r="K111" s="53" t="s">
        <v>7</v>
      </c>
      <c r="L111" s="55">
        <v>45128</v>
      </c>
      <c r="M111" s="66" t="s">
        <v>517</v>
      </c>
      <c r="N111" s="56" t="str">
        <f>IF(Tabla1[[#This Row],[ESTADO]]="ENTREGADO",IF(Tabla1[[#This Row],[OBSERVACIÓN]]="OK","SI","NO"),"")</f>
        <v>SI</v>
      </c>
    </row>
    <row r="112" spans="1:14" ht="36" x14ac:dyDescent="0.2">
      <c r="A112" s="51">
        <v>45128</v>
      </c>
      <c r="B112" s="52" t="s">
        <v>181</v>
      </c>
      <c r="C112" s="52">
        <v>482</v>
      </c>
      <c r="D112" s="52">
        <v>8</v>
      </c>
      <c r="E112" s="52" t="str">
        <f>VLOOKUP(Tabla1[[#This Row],[ID TIENDA]],Guias[],2,0)</f>
        <v>T994-00158861</v>
      </c>
      <c r="F112" s="54">
        <v>776.69</v>
      </c>
      <c r="G112" s="52" t="str">
        <f>IFERROR(VLOOKUP(Tabla1[[#This Row],[RUTA]],Tabla2[#All],3,0),"")</f>
        <v>PALOMINO</v>
      </c>
      <c r="H112" s="52" t="str">
        <f>IFERROR(VLOOKUP(Tabla1[[#This Row],[RUTA]],Tabla2[[#All],[RUTA]:[PLACAS]],2,0),"")</f>
        <v>BAY-837</v>
      </c>
      <c r="I112" s="52" t="str">
        <f>IFERROR(VLOOKUP(Tabla1[[#This Row],[RUTA]],Tabla2[[#All],[RUTA]:[CONDUCTOR]],4,0),"")</f>
        <v>Jose</v>
      </c>
      <c r="J112" s="52" t="str">
        <f>IFERROR(VLOOKUP(Tabla1[[#This Row],[RUTA]],Tabla2[#All],5,0),"")</f>
        <v>Silvia</v>
      </c>
      <c r="K112" s="53" t="s">
        <v>7</v>
      </c>
      <c r="L112" s="55">
        <v>45128</v>
      </c>
      <c r="M112" s="73" t="s">
        <v>505</v>
      </c>
      <c r="N112" s="56" t="str">
        <f>IF(Tabla1[[#This Row],[ESTADO]]="ENTREGADO",IF(Tabla1[[#This Row],[OBSERVACIÓN]]="OK","SI","NO"),"")</f>
        <v>NO</v>
      </c>
    </row>
    <row r="113" spans="1:14" ht="48" x14ac:dyDescent="0.2">
      <c r="A113" s="51">
        <v>45128</v>
      </c>
      <c r="B113" s="52" t="s">
        <v>182</v>
      </c>
      <c r="C113" s="52">
        <v>77</v>
      </c>
      <c r="D113" s="52">
        <v>8</v>
      </c>
      <c r="E113" s="52" t="str">
        <f>VLOOKUP(Tabla1[[#This Row],[ID TIENDA]],Guias[],2,0)</f>
        <v>T994-00158848</v>
      </c>
      <c r="F113" s="54">
        <v>2437.71</v>
      </c>
      <c r="G113" s="52" t="str">
        <f>IFERROR(VLOOKUP(Tabla1[[#This Row],[RUTA]],Tabla2[#All],3,0),"")</f>
        <v>PALOMINO</v>
      </c>
      <c r="H113" s="52" t="str">
        <f>IFERROR(VLOOKUP(Tabla1[[#This Row],[RUTA]],Tabla2[[#All],[RUTA]:[PLACAS]],2,0),"")</f>
        <v>BAY-837</v>
      </c>
      <c r="I113" s="52" t="str">
        <f>IFERROR(VLOOKUP(Tabla1[[#This Row],[RUTA]],Tabla2[[#All],[RUTA]:[CONDUCTOR]],4,0),"")</f>
        <v>Jose</v>
      </c>
      <c r="J113" s="52" t="str">
        <f>IFERROR(VLOOKUP(Tabla1[[#This Row],[RUTA]],Tabla2[#All],5,0),"")</f>
        <v>Silvia</v>
      </c>
      <c r="K113" s="53" t="s">
        <v>7</v>
      </c>
      <c r="L113" s="55">
        <v>45128</v>
      </c>
      <c r="M113" s="73" t="s">
        <v>527</v>
      </c>
      <c r="N113" s="56" t="str">
        <f>IF(Tabla1[[#This Row],[ESTADO]]="ENTREGADO",IF(Tabla1[[#This Row],[OBSERVACIÓN]]="OK","SI","NO"),"")</f>
        <v>NO</v>
      </c>
    </row>
    <row r="114" spans="1:14" ht="24" x14ac:dyDescent="0.2">
      <c r="A114" s="51">
        <v>45128</v>
      </c>
      <c r="B114" s="52" t="s">
        <v>183</v>
      </c>
      <c r="C114" s="52">
        <v>168</v>
      </c>
      <c r="D114" s="52">
        <v>8</v>
      </c>
      <c r="E114" s="52" t="str">
        <f>VLOOKUP(Tabla1[[#This Row],[ID TIENDA]],Guias[],2,0)</f>
        <v>T994-00158681</v>
      </c>
      <c r="F114" s="54">
        <v>2744.6</v>
      </c>
      <c r="G114" s="52" t="str">
        <f>IFERROR(VLOOKUP(Tabla1[[#This Row],[RUTA]],Tabla2[#All],3,0),"")</f>
        <v>PALOMINO</v>
      </c>
      <c r="H114" s="52" t="str">
        <f>IFERROR(VLOOKUP(Tabla1[[#This Row],[RUTA]],Tabla2[[#All],[RUTA]:[PLACAS]],2,0),"")</f>
        <v>BAY-837</v>
      </c>
      <c r="I114" s="52" t="str">
        <f>IFERROR(VLOOKUP(Tabla1[[#This Row],[RUTA]],Tabla2[[#All],[RUTA]:[CONDUCTOR]],4,0),"")</f>
        <v>Jose</v>
      </c>
      <c r="J114" s="52" t="str">
        <f>IFERROR(VLOOKUP(Tabla1[[#This Row],[RUTA]],Tabla2[#All],5,0),"")</f>
        <v>Silvia</v>
      </c>
      <c r="K114" s="53" t="s">
        <v>7</v>
      </c>
      <c r="L114" s="55">
        <v>45128</v>
      </c>
      <c r="M114" s="73" t="s">
        <v>531</v>
      </c>
      <c r="N114" s="56" t="str">
        <f>IF(Tabla1[[#This Row],[ESTADO]]="ENTREGADO",IF(Tabla1[[#This Row],[OBSERVACIÓN]]="OK","SI","NO"),"")</f>
        <v>NO</v>
      </c>
    </row>
    <row r="115" spans="1:14" x14ac:dyDescent="0.2">
      <c r="A115" s="51">
        <v>45128</v>
      </c>
      <c r="B115" s="52" t="s">
        <v>184</v>
      </c>
      <c r="C115" s="52">
        <v>337</v>
      </c>
      <c r="D115" s="52">
        <v>8</v>
      </c>
      <c r="E115" s="52" t="str">
        <f>VLOOKUP(Tabla1[[#This Row],[ID TIENDA]],Guias[],2,0)</f>
        <v>T994-00158789</v>
      </c>
      <c r="F115" s="54">
        <v>1964.26</v>
      </c>
      <c r="G115" s="52" t="str">
        <f>IFERROR(VLOOKUP(Tabla1[[#This Row],[RUTA]],Tabla2[#All],3,0),"")</f>
        <v>PALOMINO</v>
      </c>
      <c r="H115" s="52" t="str">
        <f>IFERROR(VLOOKUP(Tabla1[[#This Row],[RUTA]],Tabla2[[#All],[RUTA]:[PLACAS]],2,0),"")</f>
        <v>BAY-837</v>
      </c>
      <c r="I115" s="52" t="str">
        <f>IFERROR(VLOOKUP(Tabla1[[#This Row],[RUTA]],Tabla2[[#All],[RUTA]:[CONDUCTOR]],4,0),"")</f>
        <v>Jose</v>
      </c>
      <c r="J115" s="52" t="str">
        <f>IFERROR(VLOOKUP(Tabla1[[#This Row],[RUTA]],Tabla2[#All],5,0),"")</f>
        <v>Silvia</v>
      </c>
      <c r="K115" s="53" t="s">
        <v>7</v>
      </c>
      <c r="L115" s="55">
        <v>45128</v>
      </c>
      <c r="M115" s="66" t="s">
        <v>517</v>
      </c>
      <c r="N115" s="56" t="str">
        <f>IF(Tabla1[[#This Row],[ESTADO]]="ENTREGADO",IF(Tabla1[[#This Row],[OBSERVACIÓN]]="OK","SI","NO"),"")</f>
        <v>SI</v>
      </c>
    </row>
    <row r="116" spans="1:14" x14ac:dyDescent="0.2">
      <c r="A116" s="51">
        <v>45128</v>
      </c>
      <c r="B116" s="52" t="s">
        <v>185</v>
      </c>
      <c r="C116" s="52">
        <v>53</v>
      </c>
      <c r="D116" s="52">
        <v>8</v>
      </c>
      <c r="E116" s="52" t="str">
        <f>VLOOKUP(Tabla1[[#This Row],[ID TIENDA]],Guias[],2,0)</f>
        <v>T994-00158749</v>
      </c>
      <c r="F116" s="54">
        <v>487.11</v>
      </c>
      <c r="G116" s="52" t="str">
        <f>IFERROR(VLOOKUP(Tabla1[[#This Row],[RUTA]],Tabla2[#All],3,0),"")</f>
        <v>PALOMINO</v>
      </c>
      <c r="H116" s="52" t="str">
        <f>IFERROR(VLOOKUP(Tabla1[[#This Row],[RUTA]],Tabla2[[#All],[RUTA]:[PLACAS]],2,0),"")</f>
        <v>BAY-837</v>
      </c>
      <c r="I116" s="52" t="str">
        <f>IFERROR(VLOOKUP(Tabla1[[#This Row],[RUTA]],Tabla2[[#All],[RUTA]:[CONDUCTOR]],4,0),"")</f>
        <v>Jose</v>
      </c>
      <c r="J116" s="52" t="str">
        <f>IFERROR(VLOOKUP(Tabla1[[#This Row],[RUTA]],Tabla2[#All],5,0),"")</f>
        <v>Silvia</v>
      </c>
      <c r="K116" s="53" t="s">
        <v>7</v>
      </c>
      <c r="L116" s="55">
        <v>45128</v>
      </c>
      <c r="M116" s="66" t="s">
        <v>517</v>
      </c>
      <c r="N116" s="56" t="str">
        <f>IF(Tabla1[[#This Row],[ESTADO]]="ENTREGADO",IF(Tabla1[[#This Row],[OBSERVACIÓN]]="OK","SI","NO"),"")</f>
        <v>SI</v>
      </c>
    </row>
    <row r="117" spans="1:14" x14ac:dyDescent="0.2">
      <c r="A117" s="51">
        <v>45128</v>
      </c>
      <c r="B117" s="52" t="s">
        <v>186</v>
      </c>
      <c r="C117" s="52">
        <v>243</v>
      </c>
      <c r="D117" s="52">
        <v>8</v>
      </c>
      <c r="E117" s="52" t="str">
        <f>VLOOKUP(Tabla1[[#This Row],[ID TIENDA]],Guias[],2,0)</f>
        <v>T994-00158851</v>
      </c>
      <c r="F117" s="54">
        <v>1223.1400000000001</v>
      </c>
      <c r="G117" s="52" t="str">
        <f>IFERROR(VLOOKUP(Tabla1[[#This Row],[RUTA]],Tabla2[#All],3,0),"")</f>
        <v>PALOMINO</v>
      </c>
      <c r="H117" s="52" t="str">
        <f>IFERROR(VLOOKUP(Tabla1[[#This Row],[RUTA]],Tabla2[[#All],[RUTA]:[PLACAS]],2,0),"")</f>
        <v>BAY-837</v>
      </c>
      <c r="I117" s="52" t="str">
        <f>IFERROR(VLOOKUP(Tabla1[[#This Row],[RUTA]],Tabla2[[#All],[RUTA]:[CONDUCTOR]],4,0),"")</f>
        <v>Jose</v>
      </c>
      <c r="J117" s="52" t="str">
        <f>IFERROR(VLOOKUP(Tabla1[[#This Row],[RUTA]],Tabla2[#All],5,0),"")</f>
        <v>Silvia</v>
      </c>
      <c r="K117" s="53" t="s">
        <v>7</v>
      </c>
      <c r="L117" s="55">
        <v>45128</v>
      </c>
      <c r="M117" s="66" t="s">
        <v>517</v>
      </c>
      <c r="N117" s="56" t="str">
        <f>IF(Tabla1[[#This Row],[ESTADO]]="ENTREGADO",IF(Tabla1[[#This Row],[OBSERVACIÓN]]="OK","SI","NO"),"")</f>
        <v>SI</v>
      </c>
    </row>
    <row r="118" spans="1:14" x14ac:dyDescent="0.2">
      <c r="A118" s="51">
        <v>45128</v>
      </c>
      <c r="B118" s="52" t="s">
        <v>187</v>
      </c>
      <c r="C118" s="52">
        <v>536</v>
      </c>
      <c r="D118" s="52">
        <v>8</v>
      </c>
      <c r="E118" s="52" t="str">
        <f>VLOOKUP(Tabla1[[#This Row],[ID TIENDA]],Guias[],2,0)</f>
        <v>T994-00158825</v>
      </c>
      <c r="F118" s="54">
        <v>1066.78</v>
      </c>
      <c r="G118" s="52" t="str">
        <f>IFERROR(VLOOKUP(Tabla1[[#This Row],[RUTA]],Tabla2[#All],3,0),"")</f>
        <v>PALOMINO</v>
      </c>
      <c r="H118" s="52" t="str">
        <f>IFERROR(VLOOKUP(Tabla1[[#This Row],[RUTA]],Tabla2[[#All],[RUTA]:[PLACAS]],2,0),"")</f>
        <v>BAY-837</v>
      </c>
      <c r="I118" s="52" t="str">
        <f>IFERROR(VLOOKUP(Tabla1[[#This Row],[RUTA]],Tabla2[[#All],[RUTA]:[CONDUCTOR]],4,0),"")</f>
        <v>Jose</v>
      </c>
      <c r="J118" s="52" t="str">
        <f>IFERROR(VLOOKUP(Tabla1[[#This Row],[RUTA]],Tabla2[#All],5,0),"")</f>
        <v>Silvia</v>
      </c>
      <c r="K118" s="53" t="s">
        <v>7</v>
      </c>
      <c r="L118" s="55">
        <v>45128</v>
      </c>
      <c r="M118" s="66" t="s">
        <v>517</v>
      </c>
      <c r="N118" s="56" t="str">
        <f>IF(Tabla1[[#This Row],[ESTADO]]="ENTREGADO",IF(Tabla1[[#This Row],[OBSERVACIÓN]]="OK","SI","NO"),"")</f>
        <v>SI</v>
      </c>
    </row>
    <row r="119" spans="1:14" x14ac:dyDescent="0.2">
      <c r="A119" s="51">
        <v>45128</v>
      </c>
      <c r="B119" s="52" t="s">
        <v>188</v>
      </c>
      <c r="C119" s="52">
        <v>205</v>
      </c>
      <c r="D119" s="52">
        <v>8</v>
      </c>
      <c r="E119" s="52" t="str">
        <f>VLOOKUP(Tabla1[[#This Row],[ID TIENDA]],Guias[],2,0)</f>
        <v>T994-00158802</v>
      </c>
      <c r="F119" s="54">
        <v>2507.29</v>
      </c>
      <c r="G119" s="52" t="str">
        <f>IFERROR(VLOOKUP(Tabla1[[#This Row],[RUTA]],Tabla2[#All],3,0),"")</f>
        <v>PALOMINO</v>
      </c>
      <c r="H119" s="52" t="str">
        <f>IFERROR(VLOOKUP(Tabla1[[#This Row],[RUTA]],Tabla2[[#All],[RUTA]:[PLACAS]],2,0),"")</f>
        <v>BAY-837</v>
      </c>
      <c r="I119" s="52" t="str">
        <f>IFERROR(VLOOKUP(Tabla1[[#This Row],[RUTA]],Tabla2[[#All],[RUTA]:[CONDUCTOR]],4,0),"")</f>
        <v>Jose</v>
      </c>
      <c r="J119" s="52" t="str">
        <f>IFERROR(VLOOKUP(Tabla1[[#This Row],[RUTA]],Tabla2[#All],5,0),"")</f>
        <v>Silvia</v>
      </c>
      <c r="K119" s="53" t="s">
        <v>7</v>
      </c>
      <c r="L119" s="55">
        <v>45128</v>
      </c>
      <c r="M119" s="66" t="s">
        <v>517</v>
      </c>
      <c r="N119" s="56" t="str">
        <f>IF(Tabla1[[#This Row],[ESTADO]]="ENTREGADO",IF(Tabla1[[#This Row],[OBSERVACIÓN]]="OK","SI","NO"),"")</f>
        <v>SI</v>
      </c>
    </row>
    <row r="120" spans="1:14" x14ac:dyDescent="0.2">
      <c r="A120" s="51">
        <v>45128</v>
      </c>
      <c r="B120" s="52" t="s">
        <v>189</v>
      </c>
      <c r="C120" s="52">
        <v>70</v>
      </c>
      <c r="D120" s="52">
        <v>8</v>
      </c>
      <c r="E120" s="52" t="str">
        <f>VLOOKUP(Tabla1[[#This Row],[ID TIENDA]],Guias[],2,0)</f>
        <v>T994-00158729</v>
      </c>
      <c r="F120" s="54">
        <v>2061.1</v>
      </c>
      <c r="G120" s="52" t="str">
        <f>IFERROR(VLOOKUP(Tabla1[[#This Row],[RUTA]],Tabla2[#All],3,0),"")</f>
        <v>PALOMINO</v>
      </c>
      <c r="H120" s="52" t="str">
        <f>IFERROR(VLOOKUP(Tabla1[[#This Row],[RUTA]],Tabla2[[#All],[RUTA]:[PLACAS]],2,0),"")</f>
        <v>BAY-837</v>
      </c>
      <c r="I120" s="52" t="str">
        <f>IFERROR(VLOOKUP(Tabla1[[#This Row],[RUTA]],Tabla2[[#All],[RUTA]:[CONDUCTOR]],4,0),"")</f>
        <v>Jose</v>
      </c>
      <c r="J120" s="52" t="str">
        <f>IFERROR(VLOOKUP(Tabla1[[#This Row],[RUTA]],Tabla2[#All],5,0),"")</f>
        <v>Silvia</v>
      </c>
      <c r="K120" s="53" t="s">
        <v>7</v>
      </c>
      <c r="L120" s="55">
        <v>45128</v>
      </c>
      <c r="M120" s="66" t="s">
        <v>517</v>
      </c>
      <c r="N120" s="56" t="str">
        <f>IF(Tabla1[[#This Row],[ESTADO]]="ENTREGADO",IF(Tabla1[[#This Row],[OBSERVACIÓN]]="OK","SI","NO"),"")</f>
        <v>SI</v>
      </c>
    </row>
    <row r="121" spans="1:14" x14ac:dyDescent="0.2">
      <c r="A121" s="51">
        <v>45128</v>
      </c>
      <c r="B121" s="52" t="s">
        <v>190</v>
      </c>
      <c r="C121" s="52">
        <v>322</v>
      </c>
      <c r="D121" s="52">
        <v>8</v>
      </c>
      <c r="E121" s="52" t="str">
        <f>VLOOKUP(Tabla1[[#This Row],[ID TIENDA]],Guias[],2,0)</f>
        <v>T994-00158756</v>
      </c>
      <c r="F121" s="54">
        <v>973.39</v>
      </c>
      <c r="G121" s="52" t="str">
        <f>IFERROR(VLOOKUP(Tabla1[[#This Row],[RUTA]],Tabla2[#All],3,0),"")</f>
        <v>PALOMINO</v>
      </c>
      <c r="H121" s="52" t="str">
        <f>IFERROR(VLOOKUP(Tabla1[[#This Row],[RUTA]],Tabla2[[#All],[RUTA]:[PLACAS]],2,0),"")</f>
        <v>BAY-837</v>
      </c>
      <c r="I121" s="52" t="str">
        <f>IFERROR(VLOOKUP(Tabla1[[#This Row],[RUTA]],Tabla2[[#All],[RUTA]:[CONDUCTOR]],4,0),"")</f>
        <v>Jose</v>
      </c>
      <c r="J121" s="52" t="str">
        <f>IFERROR(VLOOKUP(Tabla1[[#This Row],[RUTA]],Tabla2[#All],5,0),"")</f>
        <v>Silvia</v>
      </c>
      <c r="K121" s="53" t="s">
        <v>7</v>
      </c>
      <c r="L121" s="55">
        <v>45128</v>
      </c>
      <c r="M121" s="66" t="s">
        <v>517</v>
      </c>
      <c r="N121" s="56" t="str">
        <f>IF(Tabla1[[#This Row],[ESTADO]]="ENTREGADO",IF(Tabla1[[#This Row],[OBSERVACIÓN]]="OK","SI","NO"),"")</f>
        <v>SI</v>
      </c>
    </row>
    <row r="122" spans="1:14" x14ac:dyDescent="0.2">
      <c r="A122" s="51">
        <v>45128</v>
      </c>
      <c r="B122" s="52" t="s">
        <v>494</v>
      </c>
      <c r="C122" s="52"/>
      <c r="D122" s="52">
        <v>8</v>
      </c>
      <c r="E122" s="52" t="s">
        <v>495</v>
      </c>
      <c r="F122" s="54"/>
      <c r="G122" s="52" t="str">
        <f>IFERROR(VLOOKUP(Tabla1[[#This Row],[RUTA]],Tabla2[#All],3,0),"")</f>
        <v>PALOMINO</v>
      </c>
      <c r="H122" s="52" t="str">
        <f>IFERROR(VLOOKUP(Tabla1[[#This Row],[RUTA]],Tabla2[[#All],[RUTA]:[PLACAS]],2,0),"")</f>
        <v>BAY-837</v>
      </c>
      <c r="I122" s="52" t="str">
        <f>IFERROR(VLOOKUP(Tabla1[[#This Row],[RUTA]],Tabla2[[#All],[RUTA]:[CONDUCTOR]],4,0),"")</f>
        <v>Jose</v>
      </c>
      <c r="J122" s="52" t="str">
        <f>IFERROR(VLOOKUP(Tabla1[[#This Row],[RUTA]],Tabla2[#All],5,0),"")</f>
        <v>Silvia</v>
      </c>
      <c r="K122" s="53" t="s">
        <v>7</v>
      </c>
      <c r="L122" s="55">
        <v>45128</v>
      </c>
      <c r="M122" s="66" t="s">
        <v>517</v>
      </c>
      <c r="N122" s="56" t="str">
        <f>IF(Tabla1[[#This Row],[ESTADO]]="ENTREGADO",IF(Tabla1[[#This Row],[OBSERVACIÓN]]="OK","SI","NO"),"")</f>
        <v>SI</v>
      </c>
    </row>
    <row r="123" spans="1:14" x14ac:dyDescent="0.2">
      <c r="A123" s="51">
        <v>45128</v>
      </c>
      <c r="B123" s="52" t="s">
        <v>191</v>
      </c>
      <c r="C123" s="52">
        <v>514</v>
      </c>
      <c r="D123" s="52">
        <v>9</v>
      </c>
      <c r="E123" s="52" t="str">
        <f>VLOOKUP(Tabla1[[#This Row],[ID TIENDA]],Guias[],2,0)</f>
        <v>T994-00158762</v>
      </c>
      <c r="F123" s="54">
        <v>1461.1</v>
      </c>
      <c r="G123" s="52" t="str">
        <f>IFERROR(VLOOKUP(Tabla1[[#This Row],[RUTA]],Tabla2[#All],3,0),"")</f>
        <v>PALOMINO</v>
      </c>
      <c r="H123" s="52" t="str">
        <f>IFERROR(VLOOKUP(Tabla1[[#This Row],[RUTA]],Tabla2[[#All],[RUTA]:[PLACAS]],2,0),"")</f>
        <v>BUC-807</v>
      </c>
      <c r="I123" s="52" t="str">
        <f>IFERROR(VLOOKUP(Tabla1[[#This Row],[RUTA]],Tabla2[[#All],[RUTA]:[CONDUCTOR]],4,0),"")</f>
        <v>Eden</v>
      </c>
      <c r="J123" s="52" t="str">
        <f>IFERROR(VLOOKUP(Tabla1[[#This Row],[RUTA]],Tabla2[#All],5,0),"")</f>
        <v>Alder</v>
      </c>
      <c r="K123" s="53" t="s">
        <v>7</v>
      </c>
      <c r="L123" s="55">
        <v>45128</v>
      </c>
      <c r="M123" s="66" t="s">
        <v>517</v>
      </c>
      <c r="N123" s="56" t="str">
        <f>IF(Tabla1[[#This Row],[ESTADO]]="ENTREGADO",IF(Tabla1[[#This Row],[OBSERVACIÓN]]="OK","SI","NO"),"")</f>
        <v>SI</v>
      </c>
    </row>
    <row r="124" spans="1:14" x14ac:dyDescent="0.2">
      <c r="A124" s="51">
        <v>45128</v>
      </c>
      <c r="B124" s="52" t="s">
        <v>192</v>
      </c>
      <c r="C124" s="52">
        <v>116</v>
      </c>
      <c r="D124" s="52">
        <v>9</v>
      </c>
      <c r="E124" s="52" t="str">
        <f>VLOOKUP(Tabla1[[#This Row],[ID TIENDA]],Guias[],2,0)</f>
        <v>T994-00158783</v>
      </c>
      <c r="F124" s="54">
        <v>1427.54</v>
      </c>
      <c r="G124" s="52" t="str">
        <f>IFERROR(VLOOKUP(Tabla1[[#This Row],[RUTA]],Tabla2[#All],3,0),"")</f>
        <v>PALOMINO</v>
      </c>
      <c r="H124" s="52" t="str">
        <f>IFERROR(VLOOKUP(Tabla1[[#This Row],[RUTA]],Tabla2[[#All],[RUTA]:[PLACAS]],2,0),"")</f>
        <v>BUC-807</v>
      </c>
      <c r="I124" s="52" t="str">
        <f>IFERROR(VLOOKUP(Tabla1[[#This Row],[RUTA]],Tabla2[[#All],[RUTA]:[CONDUCTOR]],4,0),"")</f>
        <v>Eden</v>
      </c>
      <c r="J124" s="52" t="str">
        <f>IFERROR(VLOOKUP(Tabla1[[#This Row],[RUTA]],Tabla2[#All],5,0),"")</f>
        <v>Alder</v>
      </c>
      <c r="K124" s="53" t="s">
        <v>7</v>
      </c>
      <c r="L124" s="55">
        <v>45128</v>
      </c>
      <c r="M124" s="66" t="s">
        <v>517</v>
      </c>
      <c r="N124" s="56" t="str">
        <f>IF(Tabla1[[#This Row],[ESTADO]]="ENTREGADO",IF(Tabla1[[#This Row],[OBSERVACIÓN]]="OK","SI","NO"),"")</f>
        <v>SI</v>
      </c>
    </row>
    <row r="125" spans="1:14" ht="24" x14ac:dyDescent="0.2">
      <c r="A125" s="51">
        <v>45128</v>
      </c>
      <c r="B125" s="52" t="s">
        <v>193</v>
      </c>
      <c r="C125" s="52">
        <v>217</v>
      </c>
      <c r="D125" s="52">
        <v>9</v>
      </c>
      <c r="E125" s="52" t="str">
        <f>VLOOKUP(Tabla1[[#This Row],[ID TIENDA]],Guias[],2,0)</f>
        <v>T994-00158751</v>
      </c>
      <c r="F125" s="54">
        <v>1549.83</v>
      </c>
      <c r="G125" s="52" t="str">
        <f>IFERROR(VLOOKUP(Tabla1[[#This Row],[RUTA]],Tabla2[#All],3,0),"")</f>
        <v>PALOMINO</v>
      </c>
      <c r="H125" s="52" t="str">
        <f>IFERROR(VLOOKUP(Tabla1[[#This Row],[RUTA]],Tabla2[[#All],[RUTA]:[PLACAS]],2,0),"")</f>
        <v>BUC-807</v>
      </c>
      <c r="I125" s="52" t="str">
        <f>IFERROR(VLOOKUP(Tabla1[[#This Row],[RUTA]],Tabla2[[#All],[RUTA]:[CONDUCTOR]],4,0),"")</f>
        <v>Eden</v>
      </c>
      <c r="J125" s="52" t="str">
        <f>IFERROR(VLOOKUP(Tabla1[[#This Row],[RUTA]],Tabla2[#All],5,0),"")</f>
        <v>Alder</v>
      </c>
      <c r="K125" s="53" t="s">
        <v>7</v>
      </c>
      <c r="L125" s="55">
        <v>45128</v>
      </c>
      <c r="M125" s="73" t="s">
        <v>485</v>
      </c>
      <c r="N125" s="56" t="str">
        <f>IF(Tabla1[[#This Row],[ESTADO]]="ENTREGADO",IF(Tabla1[[#This Row],[OBSERVACIÓN]]="OK","SI","NO"),"")</f>
        <v>NO</v>
      </c>
    </row>
    <row r="126" spans="1:14" ht="24" x14ac:dyDescent="0.2">
      <c r="A126" s="51">
        <v>45128</v>
      </c>
      <c r="B126" s="52" t="s">
        <v>194</v>
      </c>
      <c r="C126" s="52">
        <v>60</v>
      </c>
      <c r="D126" s="52">
        <v>9</v>
      </c>
      <c r="E126" s="52" t="str">
        <f>VLOOKUP(Tabla1[[#This Row],[ID TIENDA]],Guias[],2,0)</f>
        <v>T994-00158792</v>
      </c>
      <c r="F126" s="54">
        <v>2778.48</v>
      </c>
      <c r="G126" s="52" t="str">
        <f>IFERROR(VLOOKUP(Tabla1[[#This Row],[RUTA]],Tabla2[#All],3,0),"")</f>
        <v>PALOMINO</v>
      </c>
      <c r="H126" s="52" t="str">
        <f>IFERROR(VLOOKUP(Tabla1[[#This Row],[RUTA]],Tabla2[[#All],[RUTA]:[PLACAS]],2,0),"")</f>
        <v>BUC-807</v>
      </c>
      <c r="I126" s="52" t="str">
        <f>IFERROR(VLOOKUP(Tabla1[[#This Row],[RUTA]],Tabla2[[#All],[RUTA]:[CONDUCTOR]],4,0),"")</f>
        <v>Eden</v>
      </c>
      <c r="J126" s="52" t="str">
        <f>IFERROR(VLOOKUP(Tabla1[[#This Row],[RUTA]],Tabla2[#All],5,0),"")</f>
        <v>Alder</v>
      </c>
      <c r="K126" s="53" t="s">
        <v>7</v>
      </c>
      <c r="L126" s="55">
        <v>45128</v>
      </c>
      <c r="M126" s="73" t="s">
        <v>515</v>
      </c>
      <c r="N126" s="56" t="str">
        <f>IF(Tabla1[[#This Row],[ESTADO]]="ENTREGADO",IF(Tabla1[[#This Row],[OBSERVACIÓN]]="OK","SI","NO"),"")</f>
        <v>NO</v>
      </c>
    </row>
    <row r="127" spans="1:14" ht="48" x14ac:dyDescent="0.2">
      <c r="A127" s="51">
        <v>45128</v>
      </c>
      <c r="B127" s="52" t="s">
        <v>195</v>
      </c>
      <c r="C127" s="52">
        <v>58</v>
      </c>
      <c r="D127" s="52">
        <v>9</v>
      </c>
      <c r="E127" s="52" t="str">
        <f>VLOOKUP(Tabla1[[#This Row],[ID TIENDA]],Guias[],2,0)</f>
        <v>T994-00158865</v>
      </c>
      <c r="F127" s="54">
        <v>2134.75</v>
      </c>
      <c r="G127" s="52" t="str">
        <f>IFERROR(VLOOKUP(Tabla1[[#This Row],[RUTA]],Tabla2[#All],3,0),"")</f>
        <v>PALOMINO</v>
      </c>
      <c r="H127" s="52" t="str">
        <f>IFERROR(VLOOKUP(Tabla1[[#This Row],[RUTA]],Tabla2[[#All],[RUTA]:[PLACAS]],2,0),"")</f>
        <v>BUC-807</v>
      </c>
      <c r="I127" s="52" t="str">
        <f>IFERROR(VLOOKUP(Tabla1[[#This Row],[RUTA]],Tabla2[[#All],[RUTA]:[CONDUCTOR]],4,0),"")</f>
        <v>Eden</v>
      </c>
      <c r="J127" s="52" t="str">
        <f>IFERROR(VLOOKUP(Tabla1[[#This Row],[RUTA]],Tabla2[#All],5,0),"")</f>
        <v>Alder</v>
      </c>
      <c r="K127" s="53" t="s">
        <v>7</v>
      </c>
      <c r="L127" s="55">
        <v>45128</v>
      </c>
      <c r="M127" s="73" t="s">
        <v>528</v>
      </c>
      <c r="N127" s="56" t="str">
        <f>IF(Tabla1[[#This Row],[ESTADO]]="ENTREGADO",IF(Tabla1[[#This Row],[OBSERVACIÓN]]="OK","SI","NO"),"")</f>
        <v>NO</v>
      </c>
    </row>
    <row r="128" spans="1:14" x14ac:dyDescent="0.2">
      <c r="A128" s="51">
        <v>45128</v>
      </c>
      <c r="B128" s="52" t="s">
        <v>196</v>
      </c>
      <c r="C128" s="52">
        <v>102</v>
      </c>
      <c r="D128" s="52">
        <v>9</v>
      </c>
      <c r="E128" s="52" t="str">
        <f>VLOOKUP(Tabla1[[#This Row],[ID TIENDA]],Guias[],2,0)</f>
        <v>T994-00158692</v>
      </c>
      <c r="F128" s="54">
        <v>1947.54</v>
      </c>
      <c r="G128" s="52" t="str">
        <f>IFERROR(VLOOKUP(Tabla1[[#This Row],[RUTA]],Tabla2[#All],3,0),"")</f>
        <v>PALOMINO</v>
      </c>
      <c r="H128" s="52" t="str">
        <f>IFERROR(VLOOKUP(Tabla1[[#This Row],[RUTA]],Tabla2[[#All],[RUTA]:[PLACAS]],2,0),"")</f>
        <v>BUC-807</v>
      </c>
      <c r="I128" s="52" t="str">
        <f>IFERROR(VLOOKUP(Tabla1[[#This Row],[RUTA]],Tabla2[[#All],[RUTA]:[CONDUCTOR]],4,0),"")</f>
        <v>Eden</v>
      </c>
      <c r="J128" s="52" t="str">
        <f>IFERROR(VLOOKUP(Tabla1[[#This Row],[RUTA]],Tabla2[#All],5,0),"")</f>
        <v>Alder</v>
      </c>
      <c r="K128" s="53" t="s">
        <v>7</v>
      </c>
      <c r="L128" s="55">
        <v>45128</v>
      </c>
      <c r="M128" s="66" t="s">
        <v>517</v>
      </c>
      <c r="N128" s="56" t="str">
        <f>IF(Tabla1[[#This Row],[ESTADO]]="ENTREGADO",IF(Tabla1[[#This Row],[OBSERVACIÓN]]="OK","SI","NO"),"")</f>
        <v>SI</v>
      </c>
    </row>
    <row r="129" spans="1:14" ht="24" x14ac:dyDescent="0.2">
      <c r="A129" s="51">
        <v>45128</v>
      </c>
      <c r="B129" s="52" t="s">
        <v>197</v>
      </c>
      <c r="C129" s="52">
        <v>107</v>
      </c>
      <c r="D129" s="52">
        <v>9</v>
      </c>
      <c r="E129" s="52" t="str">
        <f>VLOOKUP(Tabla1[[#This Row],[ID TIENDA]],Guias[],2,0)</f>
        <v>T994-00158753</v>
      </c>
      <c r="F129" s="54">
        <v>1663.14</v>
      </c>
      <c r="G129" s="52" t="str">
        <f>IFERROR(VLOOKUP(Tabla1[[#This Row],[RUTA]],Tabla2[#All],3,0),"")</f>
        <v>PALOMINO</v>
      </c>
      <c r="H129" s="52" t="str">
        <f>IFERROR(VLOOKUP(Tabla1[[#This Row],[RUTA]],Tabla2[[#All],[RUTA]:[PLACAS]],2,0),"")</f>
        <v>BUC-807</v>
      </c>
      <c r="I129" s="52" t="str">
        <f>IFERROR(VLOOKUP(Tabla1[[#This Row],[RUTA]],Tabla2[[#All],[RUTA]:[CONDUCTOR]],4,0),"")</f>
        <v>Eden</v>
      </c>
      <c r="J129" s="52" t="str">
        <f>IFERROR(VLOOKUP(Tabla1[[#This Row],[RUTA]],Tabla2[#All],5,0),"")</f>
        <v>Alder</v>
      </c>
      <c r="K129" s="53" t="s">
        <v>7</v>
      </c>
      <c r="L129" s="55">
        <v>45128</v>
      </c>
      <c r="M129" s="73" t="s">
        <v>525</v>
      </c>
      <c r="N129" s="56" t="str">
        <f>IF(Tabla1[[#This Row],[ESTADO]]="ENTREGADO",IF(Tabla1[[#This Row],[OBSERVACIÓN]]="OK","SI","NO"),"")</f>
        <v>NO</v>
      </c>
    </row>
    <row r="130" spans="1:14" x14ac:dyDescent="0.2">
      <c r="A130" s="51">
        <v>45128</v>
      </c>
      <c r="B130" s="52" t="s">
        <v>198</v>
      </c>
      <c r="C130" s="52">
        <v>393</v>
      </c>
      <c r="D130" s="52">
        <v>9</v>
      </c>
      <c r="E130" s="52" t="str">
        <f>VLOOKUP(Tabla1[[#This Row],[ID TIENDA]],Guias[],2,0)</f>
        <v>T994-00158843</v>
      </c>
      <c r="F130" s="54">
        <v>1848.05</v>
      </c>
      <c r="G130" s="52" t="str">
        <f>IFERROR(VLOOKUP(Tabla1[[#This Row],[RUTA]],Tabla2[#All],3,0),"")</f>
        <v>PALOMINO</v>
      </c>
      <c r="H130" s="52" t="str">
        <f>IFERROR(VLOOKUP(Tabla1[[#This Row],[RUTA]],Tabla2[[#All],[RUTA]:[PLACAS]],2,0),"")</f>
        <v>BUC-807</v>
      </c>
      <c r="I130" s="52" t="str">
        <f>IFERROR(VLOOKUP(Tabla1[[#This Row],[RUTA]],Tabla2[[#All],[RUTA]:[CONDUCTOR]],4,0),"")</f>
        <v>Eden</v>
      </c>
      <c r="J130" s="52" t="str">
        <f>IFERROR(VLOOKUP(Tabla1[[#This Row],[RUTA]],Tabla2[#All],5,0),"")</f>
        <v>Alder</v>
      </c>
      <c r="K130" s="53" t="s">
        <v>7</v>
      </c>
      <c r="L130" s="55">
        <v>45128</v>
      </c>
      <c r="M130" s="66" t="s">
        <v>517</v>
      </c>
      <c r="N130" s="56" t="str">
        <f>IF(Tabla1[[#This Row],[ESTADO]]="ENTREGADO",IF(Tabla1[[#This Row],[OBSERVACIÓN]]="OK","SI","NO"),"")</f>
        <v>SI</v>
      </c>
    </row>
    <row r="131" spans="1:14" hidden="1" x14ac:dyDescent="0.2">
      <c r="A131" s="51">
        <v>45128</v>
      </c>
      <c r="B131" s="52" t="s">
        <v>203</v>
      </c>
      <c r="C131" s="52">
        <v>319</v>
      </c>
      <c r="D131" s="52">
        <v>10</v>
      </c>
      <c r="E131" s="52" t="str">
        <f>VLOOKUP(Tabla1[[#This Row],[ID TIENDA]],Guias[],2,0)</f>
        <v>T994-00158847</v>
      </c>
      <c r="F131" s="54">
        <v>1826.94</v>
      </c>
      <c r="G131" s="52">
        <f>IFERROR(VLOOKUP(Tabla1[[#This Row],[RUTA]],Tabla2[#All],3,0),"")</f>
        <v>0</v>
      </c>
      <c r="H131" s="52" t="str">
        <f>IFERROR(VLOOKUP(Tabla1[[#This Row],[RUTA]],Tabla2[[#All],[RUTA]:[PLACAS]],2,0),"")</f>
        <v>ASY-774</v>
      </c>
      <c r="I131" s="52">
        <f>IFERROR(VLOOKUP(Tabla1[[#This Row],[RUTA]],Tabla2[[#All],[RUTA]:[CONDUCTOR]],4,0),"")</f>
        <v>0</v>
      </c>
      <c r="J131" s="52" t="str">
        <f>IFERROR(VLOOKUP(Tabla1[[#This Row],[RUTA]],Tabla2[#All],5,0),"")</f>
        <v>DIEGO</v>
      </c>
      <c r="K131" s="53" t="s">
        <v>16</v>
      </c>
      <c r="L131" s="55"/>
      <c r="M131" s="66"/>
      <c r="N131" s="56" t="str">
        <f>IF(Tabla1[[#This Row],[ESTADO]]="ENTREGADO",IF(Tabla1[[#This Row],[OBSERVACIÓN]]="OK","SI","NO"),"")</f>
        <v/>
      </c>
    </row>
    <row r="132" spans="1:14" hidden="1" x14ac:dyDescent="0.2">
      <c r="A132" s="51">
        <v>45128</v>
      </c>
      <c r="B132" s="52" t="s">
        <v>204</v>
      </c>
      <c r="C132" s="52">
        <v>365</v>
      </c>
      <c r="D132" s="52">
        <v>10</v>
      </c>
      <c r="E132" s="52" t="str">
        <f>VLOOKUP(Tabla1[[#This Row],[ID TIENDA]],Guias[],2,0)</f>
        <v>T994-00158812</v>
      </c>
      <c r="F132" s="54">
        <v>1181.69</v>
      </c>
      <c r="G132" s="52">
        <f>IFERROR(VLOOKUP(Tabla1[[#This Row],[RUTA]],Tabla2[#All],3,0),"")</f>
        <v>0</v>
      </c>
      <c r="H132" s="52" t="str">
        <f>IFERROR(VLOOKUP(Tabla1[[#This Row],[RUTA]],Tabla2[[#All],[RUTA]:[PLACAS]],2,0),"")</f>
        <v>ASY-774</v>
      </c>
      <c r="I132" s="52">
        <f>IFERROR(VLOOKUP(Tabla1[[#This Row],[RUTA]],Tabla2[[#All],[RUTA]:[CONDUCTOR]],4,0),"")</f>
        <v>0</v>
      </c>
      <c r="J132" s="52" t="str">
        <f>IFERROR(VLOOKUP(Tabla1[[#This Row],[RUTA]],Tabla2[#All],5,0),"")</f>
        <v>DIEGO</v>
      </c>
      <c r="K132" s="53" t="s">
        <v>16</v>
      </c>
      <c r="L132" s="55"/>
      <c r="M132" s="66"/>
      <c r="N132" s="56" t="str">
        <f>IF(Tabla1[[#This Row],[ESTADO]]="ENTREGADO",IF(Tabla1[[#This Row],[OBSERVACIÓN]]="OK","SI","NO"),"")</f>
        <v/>
      </c>
    </row>
    <row r="133" spans="1:14" hidden="1" x14ac:dyDescent="0.2">
      <c r="A133" s="51">
        <v>45128</v>
      </c>
      <c r="B133" s="52" t="s">
        <v>205</v>
      </c>
      <c r="C133" s="52">
        <v>349</v>
      </c>
      <c r="D133" s="52">
        <v>10</v>
      </c>
      <c r="E133" s="52" t="str">
        <f>VLOOKUP(Tabla1[[#This Row],[ID TIENDA]],Guias[],2,0)</f>
        <v>T994-00158840</v>
      </c>
      <c r="F133" s="54">
        <v>2266.61</v>
      </c>
      <c r="G133" s="52">
        <f>IFERROR(VLOOKUP(Tabla1[[#This Row],[RUTA]],Tabla2[#All],3,0),"")</f>
        <v>0</v>
      </c>
      <c r="H133" s="52" t="str">
        <f>IFERROR(VLOOKUP(Tabla1[[#This Row],[RUTA]],Tabla2[[#All],[RUTA]:[PLACAS]],2,0),"")</f>
        <v>ASY-774</v>
      </c>
      <c r="I133" s="52">
        <f>IFERROR(VLOOKUP(Tabla1[[#This Row],[RUTA]],Tabla2[[#All],[RUTA]:[CONDUCTOR]],4,0),"")</f>
        <v>0</v>
      </c>
      <c r="J133" s="52" t="str">
        <f>IFERROR(VLOOKUP(Tabla1[[#This Row],[RUTA]],Tabla2[#All],5,0),"")</f>
        <v>DIEGO</v>
      </c>
      <c r="K133" s="53" t="s">
        <v>16</v>
      </c>
      <c r="L133" s="55"/>
      <c r="M133" s="66"/>
      <c r="N133" s="56" t="str">
        <f>IF(Tabla1[[#This Row],[ESTADO]]="ENTREGADO",IF(Tabla1[[#This Row],[OBSERVACIÓN]]="OK","SI","NO"),"")</f>
        <v/>
      </c>
    </row>
    <row r="134" spans="1:14" hidden="1" x14ac:dyDescent="0.2">
      <c r="A134" s="51">
        <v>45128</v>
      </c>
      <c r="B134" s="52" t="s">
        <v>55</v>
      </c>
      <c r="C134" s="52">
        <v>198</v>
      </c>
      <c r="D134" s="52">
        <v>10</v>
      </c>
      <c r="E134" s="52" t="str">
        <f>VLOOKUP(Tabla1[[#This Row],[ID TIENDA]],Guias[],2,0)</f>
        <v>T994-00158804</v>
      </c>
      <c r="F134" s="54">
        <v>2079.15</v>
      </c>
      <c r="G134" s="52">
        <f>IFERROR(VLOOKUP(Tabla1[[#This Row],[RUTA]],Tabla2[#All],3,0),"")</f>
        <v>0</v>
      </c>
      <c r="H134" s="52" t="str">
        <f>IFERROR(VLOOKUP(Tabla1[[#This Row],[RUTA]],Tabla2[[#All],[RUTA]:[PLACAS]],2,0),"")</f>
        <v>ASY-774</v>
      </c>
      <c r="I134" s="52">
        <f>IFERROR(VLOOKUP(Tabla1[[#This Row],[RUTA]],Tabla2[[#All],[RUTA]:[CONDUCTOR]],4,0),"")</f>
        <v>0</v>
      </c>
      <c r="J134" s="52" t="str">
        <f>IFERROR(VLOOKUP(Tabla1[[#This Row],[RUTA]],Tabla2[#All],5,0),"")</f>
        <v>DIEGO</v>
      </c>
      <c r="K134" s="53" t="s">
        <v>16</v>
      </c>
      <c r="L134" s="55"/>
      <c r="M134" s="66"/>
      <c r="N134" s="56" t="str">
        <f>IF(Tabla1[[#This Row],[ESTADO]]="ENTREGADO",IF(Tabla1[[#This Row],[OBSERVACIÓN]]="OK","SI","NO"),"")</f>
        <v/>
      </c>
    </row>
    <row r="135" spans="1:14" hidden="1" x14ac:dyDescent="0.2">
      <c r="A135" s="51">
        <v>45128</v>
      </c>
      <c r="B135" s="52" t="s">
        <v>206</v>
      </c>
      <c r="C135" s="52">
        <v>245</v>
      </c>
      <c r="D135" s="52">
        <v>10</v>
      </c>
      <c r="E135" s="52" t="str">
        <f>VLOOKUP(Tabla1[[#This Row],[ID TIENDA]],Guias[],2,0)</f>
        <v>T994-00158691</v>
      </c>
      <c r="F135" s="54">
        <v>1554.66</v>
      </c>
      <c r="G135" s="52">
        <f>IFERROR(VLOOKUP(Tabla1[[#This Row],[RUTA]],Tabla2[#All],3,0),"")</f>
        <v>0</v>
      </c>
      <c r="H135" s="52" t="str">
        <f>IFERROR(VLOOKUP(Tabla1[[#This Row],[RUTA]],Tabla2[[#All],[RUTA]:[PLACAS]],2,0),"")</f>
        <v>ASY-774</v>
      </c>
      <c r="I135" s="52">
        <f>IFERROR(VLOOKUP(Tabla1[[#This Row],[RUTA]],Tabla2[[#All],[RUTA]:[CONDUCTOR]],4,0),"")</f>
        <v>0</v>
      </c>
      <c r="J135" s="52" t="str">
        <f>IFERROR(VLOOKUP(Tabla1[[#This Row],[RUTA]],Tabla2[#All],5,0),"")</f>
        <v>DIEGO</v>
      </c>
      <c r="K135" s="53" t="s">
        <v>16</v>
      </c>
      <c r="L135" s="55"/>
      <c r="M135" s="66"/>
      <c r="N135" s="56" t="str">
        <f>IF(Tabla1[[#This Row],[ESTADO]]="ENTREGADO",IF(Tabla1[[#This Row],[OBSERVACIÓN]]="OK","SI","NO"),"")</f>
        <v/>
      </c>
    </row>
    <row r="136" spans="1:14" hidden="1" x14ac:dyDescent="0.2">
      <c r="A136" s="51">
        <v>45128</v>
      </c>
      <c r="B136" s="52" t="s">
        <v>207</v>
      </c>
      <c r="C136" s="52">
        <v>435</v>
      </c>
      <c r="D136" s="52">
        <v>10</v>
      </c>
      <c r="E136" s="52" t="str">
        <f>VLOOKUP(Tabla1[[#This Row],[ID TIENDA]],Guias[],2,0)</f>
        <v>T994-00158814</v>
      </c>
      <c r="F136" s="54">
        <v>1659.32</v>
      </c>
      <c r="G136" s="52">
        <f>IFERROR(VLOOKUP(Tabla1[[#This Row],[RUTA]],Tabla2[#All],3,0),"")</f>
        <v>0</v>
      </c>
      <c r="H136" s="52" t="str">
        <f>IFERROR(VLOOKUP(Tabla1[[#This Row],[RUTA]],Tabla2[[#All],[RUTA]:[PLACAS]],2,0),"")</f>
        <v>ASY-774</v>
      </c>
      <c r="I136" s="52">
        <f>IFERROR(VLOOKUP(Tabla1[[#This Row],[RUTA]],Tabla2[[#All],[RUTA]:[CONDUCTOR]],4,0),"")</f>
        <v>0</v>
      </c>
      <c r="J136" s="52" t="str">
        <f>IFERROR(VLOOKUP(Tabla1[[#This Row],[RUTA]],Tabla2[#All],5,0),"")</f>
        <v>DIEGO</v>
      </c>
      <c r="K136" s="53" t="s">
        <v>16</v>
      </c>
      <c r="L136" s="55"/>
      <c r="M136" s="66"/>
      <c r="N136" s="56" t="str">
        <f>IF(Tabla1[[#This Row],[ESTADO]]="ENTREGADO",IF(Tabla1[[#This Row],[OBSERVACIÓN]]="OK","SI","NO"),"")</f>
        <v/>
      </c>
    </row>
    <row r="137" spans="1:14" hidden="1" x14ac:dyDescent="0.2">
      <c r="A137" s="51">
        <v>45128</v>
      </c>
      <c r="B137" s="52" t="s">
        <v>68</v>
      </c>
      <c r="C137" s="52">
        <v>352</v>
      </c>
      <c r="D137" s="52">
        <v>10</v>
      </c>
      <c r="E137" s="52" t="str">
        <f>VLOOKUP(Tabla1[[#This Row],[ID TIENDA]],Guias[],2,0)</f>
        <v>T994-00158722</v>
      </c>
      <c r="F137" s="54">
        <v>1326.78</v>
      </c>
      <c r="G137" s="52">
        <f>IFERROR(VLOOKUP(Tabla1[[#This Row],[RUTA]],Tabla2[#All],3,0),"")</f>
        <v>0</v>
      </c>
      <c r="H137" s="52" t="str">
        <f>IFERROR(VLOOKUP(Tabla1[[#This Row],[RUTA]],Tabla2[[#All],[RUTA]:[PLACAS]],2,0),"")</f>
        <v>ASY-774</v>
      </c>
      <c r="I137" s="52">
        <f>IFERROR(VLOOKUP(Tabla1[[#This Row],[RUTA]],Tabla2[[#All],[RUTA]:[CONDUCTOR]],4,0),"")</f>
        <v>0</v>
      </c>
      <c r="J137" s="52" t="str">
        <f>IFERROR(VLOOKUP(Tabla1[[#This Row],[RUTA]],Tabla2[#All],5,0),"")</f>
        <v>DIEGO</v>
      </c>
      <c r="K137" s="53" t="s">
        <v>16</v>
      </c>
      <c r="L137" s="55"/>
      <c r="M137" s="66"/>
      <c r="N137" s="56" t="str">
        <f>IF(Tabla1[[#This Row],[ESTADO]]="ENTREGADO",IF(Tabla1[[#This Row],[OBSERVACIÓN]]="OK","SI","NO"),"")</f>
        <v/>
      </c>
    </row>
    <row r="138" spans="1:14" hidden="1" x14ac:dyDescent="0.2">
      <c r="A138" s="51">
        <v>45128</v>
      </c>
      <c r="B138" s="52" t="s">
        <v>208</v>
      </c>
      <c r="C138" s="52">
        <v>140</v>
      </c>
      <c r="D138" s="52">
        <v>10</v>
      </c>
      <c r="E138" s="52" t="str">
        <f>VLOOKUP(Tabla1[[#This Row],[ID TIENDA]],Guias[],2,0)</f>
        <v>T994-00158698</v>
      </c>
      <c r="F138" s="54">
        <v>1402.8</v>
      </c>
      <c r="G138" s="52">
        <f>IFERROR(VLOOKUP(Tabla1[[#This Row],[RUTA]],Tabla2[#All],3,0),"")</f>
        <v>0</v>
      </c>
      <c r="H138" s="52" t="str">
        <f>IFERROR(VLOOKUP(Tabla1[[#This Row],[RUTA]],Tabla2[[#All],[RUTA]:[PLACAS]],2,0),"")</f>
        <v>ASY-774</v>
      </c>
      <c r="I138" s="52">
        <f>IFERROR(VLOOKUP(Tabla1[[#This Row],[RUTA]],Tabla2[[#All],[RUTA]:[CONDUCTOR]],4,0),"")</f>
        <v>0</v>
      </c>
      <c r="J138" s="52" t="str">
        <f>IFERROR(VLOOKUP(Tabla1[[#This Row],[RUTA]],Tabla2[#All],5,0),"")</f>
        <v>DIEGO</v>
      </c>
      <c r="K138" s="53" t="s">
        <v>16</v>
      </c>
      <c r="L138" s="55"/>
      <c r="M138" s="66"/>
      <c r="N138" s="56" t="str">
        <f>IF(Tabla1[[#This Row],[ESTADO]]="ENTREGADO",IF(Tabla1[[#This Row],[OBSERVACIÓN]]="OK","SI","NO"),"")</f>
        <v/>
      </c>
    </row>
    <row r="139" spans="1:14" hidden="1" x14ac:dyDescent="0.2">
      <c r="A139" s="51">
        <v>45128</v>
      </c>
      <c r="B139" s="52" t="s">
        <v>64</v>
      </c>
      <c r="C139" s="52">
        <v>196</v>
      </c>
      <c r="D139" s="52">
        <v>10</v>
      </c>
      <c r="E139" s="52" t="str">
        <f>VLOOKUP(Tabla1[[#This Row],[ID TIENDA]],Guias[],2,0)</f>
        <v>T994-00158798</v>
      </c>
      <c r="F139" s="54">
        <v>2453.9699999999998</v>
      </c>
      <c r="G139" s="52">
        <f>IFERROR(VLOOKUP(Tabla1[[#This Row],[RUTA]],Tabla2[#All],3,0),"")</f>
        <v>0</v>
      </c>
      <c r="H139" s="52" t="str">
        <f>IFERROR(VLOOKUP(Tabla1[[#This Row],[RUTA]],Tabla2[[#All],[RUTA]:[PLACAS]],2,0),"")</f>
        <v>ASY-774</v>
      </c>
      <c r="I139" s="52">
        <f>IFERROR(VLOOKUP(Tabla1[[#This Row],[RUTA]],Tabla2[[#All],[RUTA]:[CONDUCTOR]],4,0),"")</f>
        <v>0</v>
      </c>
      <c r="J139" s="52" t="str">
        <f>IFERROR(VLOOKUP(Tabla1[[#This Row],[RUTA]],Tabla2[#All],5,0),"")</f>
        <v>DIEGO</v>
      </c>
      <c r="K139" s="53" t="s">
        <v>16</v>
      </c>
      <c r="L139" s="55"/>
      <c r="M139" s="66"/>
      <c r="N139" s="56" t="str">
        <f>IF(Tabla1[[#This Row],[ESTADO]]="ENTREGADO",IF(Tabla1[[#This Row],[OBSERVACIÓN]]="OK","SI","NO"),"")</f>
        <v/>
      </c>
    </row>
    <row r="140" spans="1:14" hidden="1" x14ac:dyDescent="0.2">
      <c r="A140" s="51">
        <v>45128</v>
      </c>
      <c r="B140" s="52" t="s">
        <v>209</v>
      </c>
      <c r="C140" s="52">
        <v>274</v>
      </c>
      <c r="D140" s="52">
        <v>10</v>
      </c>
      <c r="E140" s="52" t="str">
        <f>VLOOKUP(Tabla1[[#This Row],[ID TIENDA]],Guias[],2,0)</f>
        <v>T994-00158708</v>
      </c>
      <c r="F140" s="54">
        <v>1502.2</v>
      </c>
      <c r="G140" s="52">
        <f>IFERROR(VLOOKUP(Tabla1[[#This Row],[RUTA]],Tabla2[#All],3,0),"")</f>
        <v>0</v>
      </c>
      <c r="H140" s="52" t="str">
        <f>IFERROR(VLOOKUP(Tabla1[[#This Row],[RUTA]],Tabla2[[#All],[RUTA]:[PLACAS]],2,0),"")</f>
        <v>ASY-774</v>
      </c>
      <c r="I140" s="52">
        <f>IFERROR(VLOOKUP(Tabla1[[#This Row],[RUTA]],Tabla2[[#All],[RUTA]:[CONDUCTOR]],4,0),"")</f>
        <v>0</v>
      </c>
      <c r="J140" s="52" t="str">
        <f>IFERROR(VLOOKUP(Tabla1[[#This Row],[RUTA]],Tabla2[#All],5,0),"")</f>
        <v>DIEGO</v>
      </c>
      <c r="K140" s="53" t="s">
        <v>16</v>
      </c>
      <c r="L140" s="55"/>
      <c r="M140" s="66"/>
      <c r="N140" s="56" t="str">
        <f>IF(Tabla1[[#This Row],[ESTADO]]="ENTREGADO",IF(Tabla1[[#This Row],[OBSERVACIÓN]]="OK","SI","NO"),"")</f>
        <v/>
      </c>
    </row>
    <row r="141" spans="1:14" hidden="1" x14ac:dyDescent="0.2">
      <c r="A141" s="51">
        <v>45128</v>
      </c>
      <c r="B141" s="52" t="s">
        <v>69</v>
      </c>
      <c r="C141" s="52">
        <v>408</v>
      </c>
      <c r="D141" s="52">
        <v>10</v>
      </c>
      <c r="E141" s="52" t="str">
        <f>VLOOKUP(Tabla1[[#This Row],[ID TIENDA]],Guias[],2,0)</f>
        <v>T994-00158857</v>
      </c>
      <c r="F141" s="54">
        <v>1757.45</v>
      </c>
      <c r="G141" s="52">
        <f>IFERROR(VLOOKUP(Tabla1[[#This Row],[RUTA]],Tabla2[#All],3,0),"")</f>
        <v>0</v>
      </c>
      <c r="H141" s="52" t="str">
        <f>IFERROR(VLOOKUP(Tabla1[[#This Row],[RUTA]],Tabla2[[#All],[RUTA]:[PLACAS]],2,0),"")</f>
        <v>ASY-774</v>
      </c>
      <c r="I141" s="52">
        <f>IFERROR(VLOOKUP(Tabla1[[#This Row],[RUTA]],Tabla2[[#All],[RUTA]:[CONDUCTOR]],4,0),"")</f>
        <v>0</v>
      </c>
      <c r="J141" s="52" t="str">
        <f>IFERROR(VLOOKUP(Tabla1[[#This Row],[RUTA]],Tabla2[#All],5,0),"")</f>
        <v>DIEGO</v>
      </c>
      <c r="K141" s="53" t="s">
        <v>16</v>
      </c>
      <c r="L141" s="55"/>
      <c r="M141" s="66"/>
      <c r="N141" s="56" t="str">
        <f>IF(Tabla1[[#This Row],[ESTADO]]="ENTREGADO",IF(Tabla1[[#This Row],[OBSERVACIÓN]]="OK","SI","NO"),"")</f>
        <v/>
      </c>
    </row>
    <row r="142" spans="1:14" hidden="1" x14ac:dyDescent="0.2">
      <c r="A142" s="51">
        <v>45128</v>
      </c>
      <c r="B142" s="52" t="s">
        <v>210</v>
      </c>
      <c r="C142" s="52">
        <v>41</v>
      </c>
      <c r="D142" s="52">
        <v>10</v>
      </c>
      <c r="E142" s="52" t="str">
        <f>VLOOKUP(Tabla1[[#This Row],[ID TIENDA]],Guias[],2,0)</f>
        <v>T994-00158800</v>
      </c>
      <c r="F142" s="54">
        <v>1913.81</v>
      </c>
      <c r="G142" s="52">
        <f>IFERROR(VLOOKUP(Tabla1[[#This Row],[RUTA]],Tabla2[#All],3,0),"")</f>
        <v>0</v>
      </c>
      <c r="H142" s="52" t="str">
        <f>IFERROR(VLOOKUP(Tabla1[[#This Row],[RUTA]],Tabla2[[#All],[RUTA]:[PLACAS]],2,0),"")</f>
        <v>ASY-774</v>
      </c>
      <c r="I142" s="52">
        <f>IFERROR(VLOOKUP(Tabla1[[#This Row],[RUTA]],Tabla2[[#All],[RUTA]:[CONDUCTOR]],4,0),"")</f>
        <v>0</v>
      </c>
      <c r="J142" s="52" t="str">
        <f>IFERROR(VLOOKUP(Tabla1[[#This Row],[RUTA]],Tabla2[#All],5,0),"")</f>
        <v>DIEGO</v>
      </c>
      <c r="K142" s="53" t="s">
        <v>16</v>
      </c>
      <c r="L142" s="55"/>
      <c r="M142" s="66"/>
      <c r="N142" s="56" t="str">
        <f>IF(Tabla1[[#This Row],[ESTADO]]="ENTREGADO",IF(Tabla1[[#This Row],[OBSERVACIÓN]]="OK","SI","NO"),"")</f>
        <v/>
      </c>
    </row>
    <row r="143" spans="1:14" hidden="1" x14ac:dyDescent="0.2">
      <c r="A143" s="51">
        <v>45128</v>
      </c>
      <c r="B143" s="52" t="s">
        <v>65</v>
      </c>
      <c r="C143" s="52">
        <v>30</v>
      </c>
      <c r="D143" s="52">
        <v>10</v>
      </c>
      <c r="E143" s="52" t="str">
        <f>VLOOKUP(Tabla1[[#This Row],[ID TIENDA]],Guias[],2,0)</f>
        <v>T994-00158715</v>
      </c>
      <c r="F143" s="54">
        <v>2555.42</v>
      </c>
      <c r="G143" s="52">
        <f>IFERROR(VLOOKUP(Tabla1[[#This Row],[RUTA]],Tabla2[#All],3,0),"")</f>
        <v>0</v>
      </c>
      <c r="H143" s="52" t="str">
        <f>IFERROR(VLOOKUP(Tabla1[[#This Row],[RUTA]],Tabla2[[#All],[RUTA]:[PLACAS]],2,0),"")</f>
        <v>ASY-774</v>
      </c>
      <c r="I143" s="52">
        <f>IFERROR(VLOOKUP(Tabla1[[#This Row],[RUTA]],Tabla2[[#All],[RUTA]:[CONDUCTOR]],4,0),"")</f>
        <v>0</v>
      </c>
      <c r="J143" s="52" t="str">
        <f>IFERROR(VLOOKUP(Tabla1[[#This Row],[RUTA]],Tabla2[#All],5,0),"")</f>
        <v>DIEGO</v>
      </c>
      <c r="K143" s="53" t="s">
        <v>16</v>
      </c>
      <c r="L143" s="55"/>
      <c r="M143" s="66"/>
      <c r="N143" s="56" t="str">
        <f>IF(Tabla1[[#This Row],[ESTADO]]="ENTREGADO",IF(Tabla1[[#This Row],[OBSERVACIÓN]]="OK","SI","NO"),"")</f>
        <v/>
      </c>
    </row>
    <row r="144" spans="1:14" hidden="1" x14ac:dyDescent="0.2">
      <c r="A144" s="51">
        <v>45128</v>
      </c>
      <c r="B144" s="52" t="s">
        <v>70</v>
      </c>
      <c r="C144" s="52">
        <v>237</v>
      </c>
      <c r="D144" s="52">
        <v>10</v>
      </c>
      <c r="E144" s="52" t="str">
        <f>VLOOKUP(Tabla1[[#This Row],[ID TIENDA]],Guias[],2,0)</f>
        <v>T994-00158785</v>
      </c>
      <c r="F144" s="54">
        <v>594.49</v>
      </c>
      <c r="G144" s="52">
        <f>IFERROR(VLOOKUP(Tabla1[[#This Row],[RUTA]],Tabla2[#All],3,0),"")</f>
        <v>0</v>
      </c>
      <c r="H144" s="52" t="str">
        <f>IFERROR(VLOOKUP(Tabla1[[#This Row],[RUTA]],Tabla2[[#All],[RUTA]:[PLACAS]],2,0),"")</f>
        <v>ASY-774</v>
      </c>
      <c r="I144" s="52">
        <f>IFERROR(VLOOKUP(Tabla1[[#This Row],[RUTA]],Tabla2[[#All],[RUTA]:[CONDUCTOR]],4,0),"")</f>
        <v>0</v>
      </c>
      <c r="J144" s="52" t="str">
        <f>IFERROR(VLOOKUP(Tabla1[[#This Row],[RUTA]],Tabla2[#All],5,0),"")</f>
        <v>DIEGO</v>
      </c>
      <c r="K144" s="53" t="s">
        <v>16</v>
      </c>
      <c r="L144" s="55"/>
      <c r="M144" s="66"/>
      <c r="N144" s="56" t="str">
        <f>IF(Tabla1[[#This Row],[ESTADO]]="ENTREGADO",IF(Tabla1[[#This Row],[OBSERVACIÓN]]="OK","SI","NO"),"")</f>
        <v/>
      </c>
    </row>
    <row r="145" spans="1:14" hidden="1" x14ac:dyDescent="0.2">
      <c r="A145" s="51">
        <v>45128</v>
      </c>
      <c r="B145" s="52" t="s">
        <v>211</v>
      </c>
      <c r="C145" s="52">
        <v>472</v>
      </c>
      <c r="D145" s="52">
        <v>11</v>
      </c>
      <c r="E145" s="52" t="str">
        <f>VLOOKUP(Tabla1[[#This Row],[ID TIENDA]],Guias[],2,0)</f>
        <v>T994-00158748</v>
      </c>
      <c r="F145" s="54">
        <v>1196.0999999999999</v>
      </c>
      <c r="G145" s="52" t="str">
        <f>IFERROR(VLOOKUP(Tabla1[[#This Row],[RUTA]],Tabla2[#All],3,0),"")</f>
        <v>CEVA</v>
      </c>
      <c r="H145" s="52" t="str">
        <f>IFERROR(VLOOKUP(Tabla1[[#This Row],[RUTA]],Tabla2[[#All],[RUTA]:[PLACAS]],2,0),"")</f>
        <v>ASX-925</v>
      </c>
      <c r="I145" s="52" t="str">
        <f>IFERROR(VLOOKUP(Tabla1[[#This Row],[RUTA]],Tabla2[[#All],[RUTA]:[CONDUCTOR]],4,0),"")</f>
        <v>GIAN</v>
      </c>
      <c r="J145" s="52" t="str">
        <f>IFERROR(VLOOKUP(Tabla1[[#This Row],[RUTA]],Tabla2[#All],5,0),"")</f>
        <v>WALTER</v>
      </c>
      <c r="K145" s="53" t="s">
        <v>16</v>
      </c>
      <c r="L145" s="55"/>
      <c r="M145" s="66"/>
      <c r="N145" s="56" t="str">
        <f>IF(Tabla1[[#This Row],[ESTADO]]="ENTREGADO",IF(Tabla1[[#This Row],[OBSERVACIÓN]]="OK","SI","NO"),"")</f>
        <v/>
      </c>
    </row>
    <row r="146" spans="1:14" hidden="1" x14ac:dyDescent="0.2">
      <c r="A146" s="51">
        <v>45128</v>
      </c>
      <c r="B146" s="52" t="s">
        <v>212</v>
      </c>
      <c r="C146" s="52">
        <v>345</v>
      </c>
      <c r="D146" s="52">
        <v>11</v>
      </c>
      <c r="E146" s="52" t="str">
        <f>VLOOKUP(Tabla1[[#This Row],[ID TIENDA]],Guias[],2,0)</f>
        <v>T994-00158849</v>
      </c>
      <c r="F146" s="54">
        <v>1878.64</v>
      </c>
      <c r="G146" s="52" t="str">
        <f>IFERROR(VLOOKUP(Tabla1[[#This Row],[RUTA]],Tabla2[#All],3,0),"")</f>
        <v>CEVA</v>
      </c>
      <c r="H146" s="52" t="str">
        <f>IFERROR(VLOOKUP(Tabla1[[#This Row],[RUTA]],Tabla2[[#All],[RUTA]:[PLACAS]],2,0),"")</f>
        <v>ASX-925</v>
      </c>
      <c r="I146" s="52" t="str">
        <f>IFERROR(VLOOKUP(Tabla1[[#This Row],[RUTA]],Tabla2[[#All],[RUTA]:[CONDUCTOR]],4,0),"")</f>
        <v>GIAN</v>
      </c>
      <c r="J146" s="52" t="str">
        <f>IFERROR(VLOOKUP(Tabla1[[#This Row],[RUTA]],Tabla2[#All],5,0),"")</f>
        <v>WALTER</v>
      </c>
      <c r="K146" s="53" t="s">
        <v>16</v>
      </c>
      <c r="L146" s="55"/>
      <c r="M146" s="66"/>
      <c r="N146" s="56" t="str">
        <f>IF(Tabla1[[#This Row],[ESTADO]]="ENTREGADO",IF(Tabla1[[#This Row],[OBSERVACIÓN]]="OK","SI","NO"),"")</f>
        <v/>
      </c>
    </row>
    <row r="147" spans="1:14" hidden="1" x14ac:dyDescent="0.2">
      <c r="A147" s="51">
        <v>45128</v>
      </c>
      <c r="B147" s="52" t="s">
        <v>213</v>
      </c>
      <c r="C147" s="52">
        <v>185</v>
      </c>
      <c r="D147" s="52">
        <v>11</v>
      </c>
      <c r="E147" s="52" t="str">
        <f>VLOOKUP(Tabla1[[#This Row],[ID TIENDA]],Guias[],2,0)</f>
        <v>T994-00158736</v>
      </c>
      <c r="F147" s="54">
        <v>1570.67</v>
      </c>
      <c r="G147" s="52" t="str">
        <f>IFERROR(VLOOKUP(Tabla1[[#This Row],[RUTA]],Tabla2[#All],3,0),"")</f>
        <v>CEVA</v>
      </c>
      <c r="H147" s="52" t="str">
        <f>IFERROR(VLOOKUP(Tabla1[[#This Row],[RUTA]],Tabla2[[#All],[RUTA]:[PLACAS]],2,0),"")</f>
        <v>ASX-925</v>
      </c>
      <c r="I147" s="52" t="str">
        <f>IFERROR(VLOOKUP(Tabla1[[#This Row],[RUTA]],Tabla2[[#All],[RUTA]:[CONDUCTOR]],4,0),"")</f>
        <v>GIAN</v>
      </c>
      <c r="J147" s="52" t="str">
        <f>IFERROR(VLOOKUP(Tabla1[[#This Row],[RUTA]],Tabla2[#All],5,0),"")</f>
        <v>WALTER</v>
      </c>
      <c r="K147" s="53" t="s">
        <v>16</v>
      </c>
      <c r="L147" s="55"/>
      <c r="M147" s="66"/>
      <c r="N147" s="56" t="str">
        <f>IF(Tabla1[[#This Row],[ESTADO]]="ENTREGADO",IF(Tabla1[[#This Row],[OBSERVACIÓN]]="OK","SI","NO"),"")</f>
        <v/>
      </c>
    </row>
    <row r="148" spans="1:14" hidden="1" x14ac:dyDescent="0.2">
      <c r="A148" s="51">
        <v>45128</v>
      </c>
      <c r="B148" s="52" t="s">
        <v>214</v>
      </c>
      <c r="C148" s="52">
        <v>172</v>
      </c>
      <c r="D148" s="52">
        <v>11</v>
      </c>
      <c r="E148" s="52" t="str">
        <f>VLOOKUP(Tabla1[[#This Row],[ID TIENDA]],Guias[],2,0)</f>
        <v>T994-00158784</v>
      </c>
      <c r="F148" s="54">
        <v>1520.68</v>
      </c>
      <c r="G148" s="52" t="str">
        <f>IFERROR(VLOOKUP(Tabla1[[#This Row],[RUTA]],Tabla2[#All],3,0),"")</f>
        <v>CEVA</v>
      </c>
      <c r="H148" s="52" t="str">
        <f>IFERROR(VLOOKUP(Tabla1[[#This Row],[RUTA]],Tabla2[[#All],[RUTA]:[PLACAS]],2,0),"")</f>
        <v>ASX-925</v>
      </c>
      <c r="I148" s="52" t="str">
        <f>IFERROR(VLOOKUP(Tabla1[[#This Row],[RUTA]],Tabla2[[#All],[RUTA]:[CONDUCTOR]],4,0),"")</f>
        <v>GIAN</v>
      </c>
      <c r="J148" s="52" t="str">
        <f>IFERROR(VLOOKUP(Tabla1[[#This Row],[RUTA]],Tabla2[#All],5,0),"")</f>
        <v>WALTER</v>
      </c>
      <c r="K148" s="53" t="s">
        <v>16</v>
      </c>
      <c r="L148" s="55"/>
      <c r="M148" s="66"/>
      <c r="N148" s="56" t="str">
        <f>IF(Tabla1[[#This Row],[ESTADO]]="ENTREGADO",IF(Tabla1[[#This Row],[OBSERVACIÓN]]="OK","SI","NO"),"")</f>
        <v/>
      </c>
    </row>
    <row r="149" spans="1:14" hidden="1" x14ac:dyDescent="0.2">
      <c r="A149" s="51">
        <v>45128</v>
      </c>
      <c r="B149" s="52" t="s">
        <v>215</v>
      </c>
      <c r="C149" s="52">
        <v>497</v>
      </c>
      <c r="D149" s="52">
        <v>11</v>
      </c>
      <c r="E149" s="52" t="str">
        <f>VLOOKUP(Tabla1[[#This Row],[ID TIENDA]],Guias[],2,0)</f>
        <v>T994-00158858</v>
      </c>
      <c r="F149" s="54">
        <v>1446.86</v>
      </c>
      <c r="G149" s="52" t="str">
        <f>IFERROR(VLOOKUP(Tabla1[[#This Row],[RUTA]],Tabla2[#All],3,0),"")</f>
        <v>CEVA</v>
      </c>
      <c r="H149" s="52" t="str">
        <f>IFERROR(VLOOKUP(Tabla1[[#This Row],[RUTA]],Tabla2[[#All],[RUTA]:[PLACAS]],2,0),"")</f>
        <v>ASX-925</v>
      </c>
      <c r="I149" s="52" t="str">
        <f>IFERROR(VLOOKUP(Tabla1[[#This Row],[RUTA]],Tabla2[[#All],[RUTA]:[CONDUCTOR]],4,0),"")</f>
        <v>GIAN</v>
      </c>
      <c r="J149" s="52" t="str">
        <f>IFERROR(VLOOKUP(Tabla1[[#This Row],[RUTA]],Tabla2[#All],5,0),"")</f>
        <v>WALTER</v>
      </c>
      <c r="K149" s="53" t="s">
        <v>16</v>
      </c>
      <c r="L149" s="55"/>
      <c r="M149" s="66"/>
      <c r="N149" s="56" t="str">
        <f>IF(Tabla1[[#This Row],[ESTADO]]="ENTREGADO",IF(Tabla1[[#This Row],[OBSERVACIÓN]]="OK","SI","NO"),"")</f>
        <v/>
      </c>
    </row>
    <row r="150" spans="1:14" hidden="1" x14ac:dyDescent="0.2">
      <c r="A150" s="51">
        <v>45128</v>
      </c>
      <c r="B150" s="52" t="s">
        <v>216</v>
      </c>
      <c r="C150" s="52">
        <v>244</v>
      </c>
      <c r="D150" s="52">
        <v>11</v>
      </c>
      <c r="E150" s="52" t="str">
        <f>VLOOKUP(Tabla1[[#This Row],[ID TIENDA]],Guias[],2,0)</f>
        <v>T994-00158856</v>
      </c>
      <c r="F150" s="54">
        <v>2837.8</v>
      </c>
      <c r="G150" s="52" t="str">
        <f>IFERROR(VLOOKUP(Tabla1[[#This Row],[RUTA]],Tabla2[#All],3,0),"")</f>
        <v>CEVA</v>
      </c>
      <c r="H150" s="52" t="str">
        <f>IFERROR(VLOOKUP(Tabla1[[#This Row],[RUTA]],Tabla2[[#All],[RUTA]:[PLACAS]],2,0),"")</f>
        <v>ASX-925</v>
      </c>
      <c r="I150" s="52" t="str">
        <f>IFERROR(VLOOKUP(Tabla1[[#This Row],[RUTA]],Tabla2[[#All],[RUTA]:[CONDUCTOR]],4,0),"")</f>
        <v>GIAN</v>
      </c>
      <c r="J150" s="52" t="str">
        <f>IFERROR(VLOOKUP(Tabla1[[#This Row],[RUTA]],Tabla2[#All],5,0),"")</f>
        <v>WALTER</v>
      </c>
      <c r="K150" s="53" t="s">
        <v>16</v>
      </c>
      <c r="L150" s="55"/>
      <c r="M150" s="66"/>
      <c r="N150" s="56" t="str">
        <f>IF(Tabla1[[#This Row],[ESTADO]]="ENTREGADO",IF(Tabla1[[#This Row],[OBSERVACIÓN]]="OK","SI","NO"),"")</f>
        <v/>
      </c>
    </row>
    <row r="151" spans="1:14" hidden="1" x14ac:dyDescent="0.2">
      <c r="A151" s="51">
        <v>45128</v>
      </c>
      <c r="B151" s="52" t="s">
        <v>217</v>
      </c>
      <c r="C151" s="52">
        <v>312</v>
      </c>
      <c r="D151" s="52">
        <v>11</v>
      </c>
      <c r="E151" s="52" t="str">
        <f>VLOOKUP(Tabla1[[#This Row],[ID TIENDA]],Guias[],2,0)</f>
        <v>T994-00158744</v>
      </c>
      <c r="F151" s="54">
        <v>2566.1799999999998</v>
      </c>
      <c r="G151" s="52" t="str">
        <f>IFERROR(VLOOKUP(Tabla1[[#This Row],[RUTA]],Tabla2[#All],3,0),"")</f>
        <v>CEVA</v>
      </c>
      <c r="H151" s="52" t="str">
        <f>IFERROR(VLOOKUP(Tabla1[[#This Row],[RUTA]],Tabla2[[#All],[RUTA]:[PLACAS]],2,0),"")</f>
        <v>ASX-925</v>
      </c>
      <c r="I151" s="52" t="str">
        <f>IFERROR(VLOOKUP(Tabla1[[#This Row],[RUTA]],Tabla2[[#All],[RUTA]:[CONDUCTOR]],4,0),"")</f>
        <v>GIAN</v>
      </c>
      <c r="J151" s="52" t="str">
        <f>IFERROR(VLOOKUP(Tabla1[[#This Row],[RUTA]],Tabla2[#All],5,0),"")</f>
        <v>WALTER</v>
      </c>
      <c r="K151" s="53" t="s">
        <v>16</v>
      </c>
      <c r="L151" s="55"/>
      <c r="M151" s="66"/>
      <c r="N151" s="56" t="str">
        <f>IF(Tabla1[[#This Row],[ESTADO]]="ENTREGADO",IF(Tabla1[[#This Row],[OBSERVACIÓN]]="OK","SI","NO"),"")</f>
        <v/>
      </c>
    </row>
    <row r="152" spans="1:14" hidden="1" x14ac:dyDescent="0.2">
      <c r="A152" s="51">
        <v>45128</v>
      </c>
      <c r="B152" s="52" t="s">
        <v>218</v>
      </c>
      <c r="C152" s="52">
        <v>451</v>
      </c>
      <c r="D152" s="52">
        <v>11</v>
      </c>
      <c r="E152" s="52" t="str">
        <f>VLOOKUP(Tabla1[[#This Row],[ID TIENDA]],Guias[],2,0)</f>
        <v>T994-00158854</v>
      </c>
      <c r="F152" s="54">
        <v>2931.27</v>
      </c>
      <c r="G152" s="52" t="str">
        <f>IFERROR(VLOOKUP(Tabla1[[#This Row],[RUTA]],Tabla2[#All],3,0),"")</f>
        <v>CEVA</v>
      </c>
      <c r="H152" s="52" t="str">
        <f>IFERROR(VLOOKUP(Tabla1[[#This Row],[RUTA]],Tabla2[[#All],[RUTA]:[PLACAS]],2,0),"")</f>
        <v>ASX-925</v>
      </c>
      <c r="I152" s="52" t="str">
        <f>IFERROR(VLOOKUP(Tabla1[[#This Row],[RUTA]],Tabla2[[#All],[RUTA]:[CONDUCTOR]],4,0),"")</f>
        <v>GIAN</v>
      </c>
      <c r="J152" s="52" t="str">
        <f>IFERROR(VLOOKUP(Tabla1[[#This Row],[RUTA]],Tabla2[#All],5,0),"")</f>
        <v>WALTER</v>
      </c>
      <c r="K152" s="53" t="s">
        <v>16</v>
      </c>
      <c r="L152" s="55"/>
      <c r="M152" s="66"/>
      <c r="N152" s="56" t="str">
        <f>IF(Tabla1[[#This Row],[ESTADO]]="ENTREGADO",IF(Tabla1[[#This Row],[OBSERVACIÓN]]="OK","SI","NO"),"")</f>
        <v/>
      </c>
    </row>
    <row r="153" spans="1:14" hidden="1" x14ac:dyDescent="0.2">
      <c r="A153" s="51">
        <v>45128</v>
      </c>
      <c r="B153" s="52" t="s">
        <v>219</v>
      </c>
      <c r="C153" s="52">
        <v>298</v>
      </c>
      <c r="D153" s="52">
        <v>11</v>
      </c>
      <c r="E153" s="52" t="str">
        <f>VLOOKUP(Tabla1[[#This Row],[ID TIENDA]],Guias[],2,0)</f>
        <v>T994-00158870</v>
      </c>
      <c r="F153" s="54">
        <v>1189.24</v>
      </c>
      <c r="G153" s="52" t="str">
        <f>IFERROR(VLOOKUP(Tabla1[[#This Row],[RUTA]],Tabla2[#All],3,0),"")</f>
        <v>CEVA</v>
      </c>
      <c r="H153" s="52" t="str">
        <f>IFERROR(VLOOKUP(Tabla1[[#This Row],[RUTA]],Tabla2[[#All],[RUTA]:[PLACAS]],2,0),"")</f>
        <v>ASX-925</v>
      </c>
      <c r="I153" s="52" t="str">
        <f>IFERROR(VLOOKUP(Tabla1[[#This Row],[RUTA]],Tabla2[[#All],[RUTA]:[CONDUCTOR]],4,0),"")</f>
        <v>GIAN</v>
      </c>
      <c r="J153" s="52" t="str">
        <f>IFERROR(VLOOKUP(Tabla1[[#This Row],[RUTA]],Tabla2[#All],5,0),"")</f>
        <v>WALTER</v>
      </c>
      <c r="K153" s="53" t="s">
        <v>16</v>
      </c>
      <c r="L153" s="55"/>
      <c r="M153" s="66"/>
      <c r="N153" s="56" t="str">
        <f>IF(Tabla1[[#This Row],[ESTADO]]="ENTREGADO",IF(Tabla1[[#This Row],[OBSERVACIÓN]]="OK","SI","NO"),"")</f>
        <v/>
      </c>
    </row>
    <row r="154" spans="1:14" hidden="1" x14ac:dyDescent="0.2">
      <c r="A154" s="51">
        <v>45128</v>
      </c>
      <c r="B154" s="52" t="s">
        <v>220</v>
      </c>
      <c r="C154" s="52">
        <v>132</v>
      </c>
      <c r="D154" s="52">
        <v>11</v>
      </c>
      <c r="E154" s="52" t="str">
        <f>VLOOKUP(Tabla1[[#This Row],[ID TIENDA]],Guias[],2,0)</f>
        <v>T994-00158689</v>
      </c>
      <c r="F154" s="54">
        <v>1285.08</v>
      </c>
      <c r="G154" s="52" t="str">
        <f>IFERROR(VLOOKUP(Tabla1[[#This Row],[RUTA]],Tabla2[#All],3,0),"")</f>
        <v>CEVA</v>
      </c>
      <c r="H154" s="52" t="str">
        <f>IFERROR(VLOOKUP(Tabla1[[#This Row],[RUTA]],Tabla2[[#All],[RUTA]:[PLACAS]],2,0),"")</f>
        <v>ASX-925</v>
      </c>
      <c r="I154" s="52" t="str">
        <f>IFERROR(VLOOKUP(Tabla1[[#This Row],[RUTA]],Tabla2[[#All],[RUTA]:[CONDUCTOR]],4,0),"")</f>
        <v>GIAN</v>
      </c>
      <c r="J154" s="52" t="str">
        <f>IFERROR(VLOOKUP(Tabla1[[#This Row],[RUTA]],Tabla2[#All],5,0),"")</f>
        <v>WALTER</v>
      </c>
      <c r="K154" s="53" t="s">
        <v>16</v>
      </c>
      <c r="L154" s="55"/>
      <c r="M154" s="66"/>
      <c r="N154" s="56" t="str">
        <f>IF(Tabla1[[#This Row],[ESTADO]]="ENTREGADO",IF(Tabla1[[#This Row],[OBSERVACIÓN]]="OK","SI","NO"),"")</f>
        <v/>
      </c>
    </row>
    <row r="155" spans="1:14" hidden="1" x14ac:dyDescent="0.2">
      <c r="A155" s="51">
        <v>45128</v>
      </c>
      <c r="B155" s="52" t="s">
        <v>221</v>
      </c>
      <c r="C155" s="52">
        <v>171</v>
      </c>
      <c r="D155" s="52">
        <v>11</v>
      </c>
      <c r="E155" s="52" t="str">
        <f>VLOOKUP(Tabla1[[#This Row],[ID TIENDA]],Guias[],2,0)</f>
        <v>T994-00158758</v>
      </c>
      <c r="F155" s="54">
        <v>1516.27</v>
      </c>
      <c r="G155" s="52" t="str">
        <f>IFERROR(VLOOKUP(Tabla1[[#This Row],[RUTA]],Tabla2[#All],3,0),"")</f>
        <v>CEVA</v>
      </c>
      <c r="H155" s="52" t="str">
        <f>IFERROR(VLOOKUP(Tabla1[[#This Row],[RUTA]],Tabla2[[#All],[RUTA]:[PLACAS]],2,0),"")</f>
        <v>ASX-925</v>
      </c>
      <c r="I155" s="52" t="str">
        <f>IFERROR(VLOOKUP(Tabla1[[#This Row],[RUTA]],Tabla2[[#All],[RUTA]:[CONDUCTOR]],4,0),"")</f>
        <v>GIAN</v>
      </c>
      <c r="J155" s="52" t="str">
        <f>IFERROR(VLOOKUP(Tabla1[[#This Row],[RUTA]],Tabla2[#All],5,0),"")</f>
        <v>WALTER</v>
      </c>
      <c r="K155" s="53" t="s">
        <v>16</v>
      </c>
      <c r="L155" s="55"/>
      <c r="M155" s="66"/>
      <c r="N155" s="56" t="str">
        <f>IF(Tabla1[[#This Row],[ESTADO]]="ENTREGADO",IF(Tabla1[[#This Row],[OBSERVACIÓN]]="OK","SI","NO"),"")</f>
        <v/>
      </c>
    </row>
    <row r="156" spans="1:14" hidden="1" x14ac:dyDescent="0.2">
      <c r="A156" s="51">
        <v>45128</v>
      </c>
      <c r="B156" s="52" t="s">
        <v>222</v>
      </c>
      <c r="C156" s="52">
        <v>303</v>
      </c>
      <c r="D156" s="52">
        <v>11</v>
      </c>
      <c r="E156" s="52" t="str">
        <f>VLOOKUP(Tabla1[[#This Row],[ID TIENDA]],Guias[],2,0)</f>
        <v>T994-00158797</v>
      </c>
      <c r="F156" s="54">
        <v>1377.96</v>
      </c>
      <c r="G156" s="52" t="str">
        <f>IFERROR(VLOOKUP(Tabla1[[#This Row],[RUTA]],Tabla2[#All],3,0),"")</f>
        <v>CEVA</v>
      </c>
      <c r="H156" s="52" t="str">
        <f>IFERROR(VLOOKUP(Tabla1[[#This Row],[RUTA]],Tabla2[[#All],[RUTA]:[PLACAS]],2,0),"")</f>
        <v>ASX-925</v>
      </c>
      <c r="I156" s="52" t="str">
        <f>IFERROR(VLOOKUP(Tabla1[[#This Row],[RUTA]],Tabla2[[#All],[RUTA]:[CONDUCTOR]],4,0),"")</f>
        <v>GIAN</v>
      </c>
      <c r="J156" s="52" t="str">
        <f>IFERROR(VLOOKUP(Tabla1[[#This Row],[RUTA]],Tabla2[#All],5,0),"")</f>
        <v>WALTER</v>
      </c>
      <c r="K156" s="53" t="s">
        <v>16</v>
      </c>
      <c r="L156" s="55"/>
      <c r="M156" s="66"/>
      <c r="N156" s="56" t="str">
        <f>IF(Tabla1[[#This Row],[ESTADO]]="ENTREGADO",IF(Tabla1[[#This Row],[OBSERVACIÓN]]="OK","SI","NO"),"")</f>
        <v/>
      </c>
    </row>
    <row r="157" spans="1:14" hidden="1" x14ac:dyDescent="0.2">
      <c r="A157" s="51">
        <v>45128</v>
      </c>
      <c r="B157" s="52" t="s">
        <v>223</v>
      </c>
      <c r="C157" s="52">
        <v>175</v>
      </c>
      <c r="D157" s="52">
        <v>11</v>
      </c>
      <c r="E157" s="52" t="str">
        <f>VLOOKUP(Tabla1[[#This Row],[ID TIENDA]],Guias[],2,0)</f>
        <v>T994-00158737</v>
      </c>
      <c r="F157" s="54">
        <v>1851.44</v>
      </c>
      <c r="G157" s="52" t="str">
        <f>IFERROR(VLOOKUP(Tabla1[[#This Row],[RUTA]],Tabla2[#All],3,0),"")</f>
        <v>CEVA</v>
      </c>
      <c r="H157" s="52" t="str">
        <f>IFERROR(VLOOKUP(Tabla1[[#This Row],[RUTA]],Tabla2[[#All],[RUTA]:[PLACAS]],2,0),"")</f>
        <v>ASX-925</v>
      </c>
      <c r="I157" s="52" t="str">
        <f>IFERROR(VLOOKUP(Tabla1[[#This Row],[RUTA]],Tabla2[[#All],[RUTA]:[CONDUCTOR]],4,0),"")</f>
        <v>GIAN</v>
      </c>
      <c r="J157" s="52" t="str">
        <f>IFERROR(VLOOKUP(Tabla1[[#This Row],[RUTA]],Tabla2[#All],5,0),"")</f>
        <v>WALTER</v>
      </c>
      <c r="K157" s="53" t="s">
        <v>16</v>
      </c>
      <c r="L157" s="55"/>
      <c r="M157" s="66"/>
      <c r="N157" s="56" t="str">
        <f>IF(Tabla1[[#This Row],[ESTADO]]="ENTREGADO",IF(Tabla1[[#This Row],[OBSERVACIÓN]]="OK","SI","NO"),"")</f>
        <v/>
      </c>
    </row>
    <row r="158" spans="1:14" hidden="1" x14ac:dyDescent="0.2">
      <c r="A158" s="51">
        <v>45128</v>
      </c>
      <c r="B158" s="52" t="s">
        <v>224</v>
      </c>
      <c r="C158" s="52">
        <v>226</v>
      </c>
      <c r="D158" s="52">
        <v>12</v>
      </c>
      <c r="E158" s="52" t="str">
        <f>VLOOKUP(Tabla1[[#This Row],[ID TIENDA]],Guias[],2,0)</f>
        <v>T994-00158728</v>
      </c>
      <c r="F158" s="54">
        <v>954.94</v>
      </c>
      <c r="G158" s="52" t="str">
        <f>IFERROR(VLOOKUP(Tabla1[[#This Row],[RUTA]],Tabla2[#All],3,0),"")</f>
        <v>DINET</v>
      </c>
      <c r="H158" s="52" t="str">
        <f>IFERROR(VLOOKUP(Tabla1[[#This Row],[RUTA]],Tabla2[[#All],[RUTA]:[PLACAS]],2,0),"")</f>
        <v>BAN-774</v>
      </c>
      <c r="I158" s="52" t="str">
        <f>IFERROR(VLOOKUP(Tabla1[[#This Row],[RUTA]],Tabla2[[#All],[RUTA]:[CONDUCTOR]],4,0),"")</f>
        <v>ALEX</v>
      </c>
      <c r="J158" s="52" t="str">
        <f>IFERROR(VLOOKUP(Tabla1[[#This Row],[RUTA]],Tabla2[#All],5,0),"")</f>
        <v>ZONIA</v>
      </c>
      <c r="K158" s="53" t="s">
        <v>16</v>
      </c>
      <c r="L158" s="55"/>
      <c r="M158" s="66"/>
      <c r="N158" s="56" t="str">
        <f>IF(Tabla1[[#This Row],[ESTADO]]="ENTREGADO",IF(Tabla1[[#This Row],[OBSERVACIÓN]]="OK","SI","NO"),"")</f>
        <v/>
      </c>
    </row>
    <row r="159" spans="1:14" hidden="1" x14ac:dyDescent="0.2">
      <c r="A159" s="51">
        <v>45128</v>
      </c>
      <c r="B159" s="52" t="s">
        <v>225</v>
      </c>
      <c r="C159" s="52">
        <v>278</v>
      </c>
      <c r="D159" s="52">
        <v>12</v>
      </c>
      <c r="E159" s="52" t="str">
        <f>VLOOKUP(Tabla1[[#This Row],[ID TIENDA]],Guias[],2,0)</f>
        <v>T994-00158743</v>
      </c>
      <c r="F159" s="54">
        <v>2067.1999999999998</v>
      </c>
      <c r="G159" s="52" t="str">
        <f>IFERROR(VLOOKUP(Tabla1[[#This Row],[RUTA]],Tabla2[#All],3,0),"")</f>
        <v>DINET</v>
      </c>
      <c r="H159" s="52" t="str">
        <f>IFERROR(VLOOKUP(Tabla1[[#This Row],[RUTA]],Tabla2[[#All],[RUTA]:[PLACAS]],2,0),"")</f>
        <v>BAN-774</v>
      </c>
      <c r="I159" s="52" t="str">
        <f>IFERROR(VLOOKUP(Tabla1[[#This Row],[RUTA]],Tabla2[[#All],[RUTA]:[CONDUCTOR]],4,0),"")</f>
        <v>ALEX</v>
      </c>
      <c r="J159" s="52" t="str">
        <f>IFERROR(VLOOKUP(Tabla1[[#This Row],[RUTA]],Tabla2[#All],5,0),"")</f>
        <v>ZONIA</v>
      </c>
      <c r="K159" s="53" t="s">
        <v>16</v>
      </c>
      <c r="L159" s="55"/>
      <c r="M159" s="66"/>
      <c r="N159" s="56" t="str">
        <f>IF(Tabla1[[#This Row],[ESTADO]]="ENTREGADO",IF(Tabla1[[#This Row],[OBSERVACIÓN]]="OK","SI","NO"),"")</f>
        <v/>
      </c>
    </row>
    <row r="160" spans="1:14" hidden="1" x14ac:dyDescent="0.2">
      <c r="A160" s="51">
        <v>45128</v>
      </c>
      <c r="B160" s="52" t="s">
        <v>71</v>
      </c>
      <c r="C160" s="52">
        <v>62</v>
      </c>
      <c r="D160" s="52">
        <v>12</v>
      </c>
      <c r="E160" s="52" t="str">
        <f>VLOOKUP(Tabla1[[#This Row],[ID TIENDA]],Guias[],2,0)</f>
        <v>T994-00158704</v>
      </c>
      <c r="F160" s="54">
        <v>1699.58</v>
      </c>
      <c r="G160" s="52" t="str">
        <f>IFERROR(VLOOKUP(Tabla1[[#This Row],[RUTA]],Tabla2[#All],3,0),"")</f>
        <v>DINET</v>
      </c>
      <c r="H160" s="52" t="str">
        <f>IFERROR(VLOOKUP(Tabla1[[#This Row],[RUTA]],Tabla2[[#All],[RUTA]:[PLACAS]],2,0),"")</f>
        <v>BAN-774</v>
      </c>
      <c r="I160" s="52" t="str">
        <f>IFERROR(VLOOKUP(Tabla1[[#This Row],[RUTA]],Tabla2[[#All],[RUTA]:[CONDUCTOR]],4,0),"")</f>
        <v>ALEX</v>
      </c>
      <c r="J160" s="52" t="str">
        <f>IFERROR(VLOOKUP(Tabla1[[#This Row],[RUTA]],Tabla2[#All],5,0),"")</f>
        <v>ZONIA</v>
      </c>
      <c r="K160" s="53" t="s">
        <v>16</v>
      </c>
      <c r="L160" s="55"/>
      <c r="M160" s="66"/>
      <c r="N160" s="56" t="str">
        <f>IF(Tabla1[[#This Row],[ESTADO]]="ENTREGADO",IF(Tabla1[[#This Row],[OBSERVACIÓN]]="OK","SI","NO"),"")</f>
        <v/>
      </c>
    </row>
    <row r="161" spans="1:14" hidden="1" x14ac:dyDescent="0.2">
      <c r="A161" s="51">
        <v>45128</v>
      </c>
      <c r="B161" s="52" t="s">
        <v>226</v>
      </c>
      <c r="C161" s="52">
        <v>487</v>
      </c>
      <c r="D161" s="52">
        <v>12</v>
      </c>
      <c r="E161" s="52" t="str">
        <f>VLOOKUP(Tabla1[[#This Row],[ID TIENDA]],Guias[],2,0)</f>
        <v>T994-00158730</v>
      </c>
      <c r="F161" s="54">
        <v>1712.14</v>
      </c>
      <c r="G161" s="52" t="str">
        <f>IFERROR(VLOOKUP(Tabla1[[#This Row],[RUTA]],Tabla2[#All],3,0),"")</f>
        <v>DINET</v>
      </c>
      <c r="H161" s="52" t="str">
        <f>IFERROR(VLOOKUP(Tabla1[[#This Row],[RUTA]],Tabla2[[#All],[RUTA]:[PLACAS]],2,0),"")</f>
        <v>BAN-774</v>
      </c>
      <c r="I161" s="52" t="str">
        <f>IFERROR(VLOOKUP(Tabla1[[#This Row],[RUTA]],Tabla2[[#All],[RUTA]:[CONDUCTOR]],4,0),"")</f>
        <v>ALEX</v>
      </c>
      <c r="J161" s="52" t="str">
        <f>IFERROR(VLOOKUP(Tabla1[[#This Row],[RUTA]],Tabla2[#All],5,0),"")</f>
        <v>ZONIA</v>
      </c>
      <c r="K161" s="53" t="s">
        <v>16</v>
      </c>
      <c r="L161" s="55"/>
      <c r="M161" s="66"/>
      <c r="N161" s="56" t="str">
        <f>IF(Tabla1[[#This Row],[ESTADO]]="ENTREGADO",IF(Tabla1[[#This Row],[OBSERVACIÓN]]="OK","SI","NO"),"")</f>
        <v/>
      </c>
    </row>
    <row r="162" spans="1:14" hidden="1" x14ac:dyDescent="0.2">
      <c r="A162" s="51">
        <v>45128</v>
      </c>
      <c r="B162" s="52" t="s">
        <v>227</v>
      </c>
      <c r="C162" s="52">
        <v>250</v>
      </c>
      <c r="D162" s="52">
        <v>12</v>
      </c>
      <c r="E162" s="52" t="str">
        <f>VLOOKUP(Tabla1[[#This Row],[ID TIENDA]],Guias[],2,0)</f>
        <v>T994-00158706</v>
      </c>
      <c r="F162" s="54">
        <v>2548.2199999999998</v>
      </c>
      <c r="G162" s="52" t="str">
        <f>IFERROR(VLOOKUP(Tabla1[[#This Row],[RUTA]],Tabla2[#All],3,0),"")</f>
        <v>DINET</v>
      </c>
      <c r="H162" s="52" t="str">
        <f>IFERROR(VLOOKUP(Tabla1[[#This Row],[RUTA]],Tabla2[[#All],[RUTA]:[PLACAS]],2,0),"")</f>
        <v>BAN-774</v>
      </c>
      <c r="I162" s="52" t="str">
        <f>IFERROR(VLOOKUP(Tabla1[[#This Row],[RUTA]],Tabla2[[#All],[RUTA]:[CONDUCTOR]],4,0),"")</f>
        <v>ALEX</v>
      </c>
      <c r="J162" s="52" t="str">
        <f>IFERROR(VLOOKUP(Tabla1[[#This Row],[RUTA]],Tabla2[#All],5,0),"")</f>
        <v>ZONIA</v>
      </c>
      <c r="K162" s="53" t="s">
        <v>16</v>
      </c>
      <c r="L162" s="55"/>
      <c r="M162" s="66"/>
      <c r="N162" s="56" t="str">
        <f>IF(Tabla1[[#This Row],[ESTADO]]="ENTREGADO",IF(Tabla1[[#This Row],[OBSERVACIÓN]]="OK","SI","NO"),"")</f>
        <v/>
      </c>
    </row>
    <row r="163" spans="1:14" hidden="1" x14ac:dyDescent="0.2">
      <c r="A163" s="51">
        <v>45128</v>
      </c>
      <c r="B163" s="52" t="s">
        <v>228</v>
      </c>
      <c r="C163" s="52">
        <v>404</v>
      </c>
      <c r="D163" s="52">
        <v>12</v>
      </c>
      <c r="E163" s="52" t="str">
        <f>VLOOKUP(Tabla1[[#This Row],[ID TIENDA]],Guias[],2,0)</f>
        <v>T994-00158809</v>
      </c>
      <c r="F163" s="54">
        <v>1284.4000000000001</v>
      </c>
      <c r="G163" s="52" t="str">
        <f>IFERROR(VLOOKUP(Tabla1[[#This Row],[RUTA]],Tabla2[#All],3,0),"")</f>
        <v>DINET</v>
      </c>
      <c r="H163" s="52" t="str">
        <f>IFERROR(VLOOKUP(Tabla1[[#This Row],[RUTA]],Tabla2[[#All],[RUTA]:[PLACAS]],2,0),"")</f>
        <v>BAN-774</v>
      </c>
      <c r="I163" s="52" t="str">
        <f>IFERROR(VLOOKUP(Tabla1[[#This Row],[RUTA]],Tabla2[[#All],[RUTA]:[CONDUCTOR]],4,0),"")</f>
        <v>ALEX</v>
      </c>
      <c r="J163" s="52" t="str">
        <f>IFERROR(VLOOKUP(Tabla1[[#This Row],[RUTA]],Tabla2[#All],5,0),"")</f>
        <v>ZONIA</v>
      </c>
      <c r="K163" s="53" t="s">
        <v>16</v>
      </c>
      <c r="L163" s="55"/>
      <c r="M163" s="66"/>
      <c r="N163" s="56" t="str">
        <f>IF(Tabla1[[#This Row],[ESTADO]]="ENTREGADO",IF(Tabla1[[#This Row],[OBSERVACIÓN]]="OK","SI","NO"),"")</f>
        <v/>
      </c>
    </row>
    <row r="164" spans="1:14" hidden="1" x14ac:dyDescent="0.2">
      <c r="A164" s="51">
        <v>45128</v>
      </c>
      <c r="B164" s="52" t="s">
        <v>229</v>
      </c>
      <c r="C164" s="52">
        <v>64</v>
      </c>
      <c r="D164" s="52">
        <v>12</v>
      </c>
      <c r="E164" s="52" t="str">
        <f>VLOOKUP(Tabla1[[#This Row],[ID TIENDA]],Guias[],2,0)</f>
        <v>T994-00158772</v>
      </c>
      <c r="F164" s="54">
        <v>1600.17</v>
      </c>
      <c r="G164" s="52" t="str">
        <f>IFERROR(VLOOKUP(Tabla1[[#This Row],[RUTA]],Tabla2[#All],3,0),"")</f>
        <v>DINET</v>
      </c>
      <c r="H164" s="52" t="str">
        <f>IFERROR(VLOOKUP(Tabla1[[#This Row],[RUTA]],Tabla2[[#All],[RUTA]:[PLACAS]],2,0),"")</f>
        <v>BAN-774</v>
      </c>
      <c r="I164" s="52" t="str">
        <f>IFERROR(VLOOKUP(Tabla1[[#This Row],[RUTA]],Tabla2[[#All],[RUTA]:[CONDUCTOR]],4,0),"")</f>
        <v>ALEX</v>
      </c>
      <c r="J164" s="52" t="str">
        <f>IFERROR(VLOOKUP(Tabla1[[#This Row],[RUTA]],Tabla2[#All],5,0),"")</f>
        <v>ZONIA</v>
      </c>
      <c r="K164" s="53" t="s">
        <v>16</v>
      </c>
      <c r="L164" s="55"/>
      <c r="M164" s="66"/>
      <c r="N164" s="56" t="str">
        <f>IF(Tabla1[[#This Row],[ESTADO]]="ENTREGADO",IF(Tabla1[[#This Row],[OBSERVACIÓN]]="OK","SI","NO"),"")</f>
        <v/>
      </c>
    </row>
    <row r="165" spans="1:14" hidden="1" x14ac:dyDescent="0.2">
      <c r="A165" s="51">
        <v>45128</v>
      </c>
      <c r="B165" s="52" t="s">
        <v>230</v>
      </c>
      <c r="C165" s="52">
        <v>157</v>
      </c>
      <c r="D165" s="52">
        <v>12</v>
      </c>
      <c r="E165" s="52" t="str">
        <f>VLOOKUP(Tabla1[[#This Row],[ID TIENDA]],Guias[],2,0)</f>
        <v>T994-00158835</v>
      </c>
      <c r="F165" s="54">
        <v>1741.29</v>
      </c>
      <c r="G165" s="52" t="str">
        <f>IFERROR(VLOOKUP(Tabla1[[#This Row],[RUTA]],Tabla2[#All],3,0),"")</f>
        <v>DINET</v>
      </c>
      <c r="H165" s="52" t="str">
        <f>IFERROR(VLOOKUP(Tabla1[[#This Row],[RUTA]],Tabla2[[#All],[RUTA]:[PLACAS]],2,0),"")</f>
        <v>BAN-774</v>
      </c>
      <c r="I165" s="52" t="str">
        <f>IFERROR(VLOOKUP(Tabla1[[#This Row],[RUTA]],Tabla2[[#All],[RUTA]:[CONDUCTOR]],4,0),"")</f>
        <v>ALEX</v>
      </c>
      <c r="J165" s="52" t="str">
        <f>IFERROR(VLOOKUP(Tabla1[[#This Row],[RUTA]],Tabla2[#All],5,0),"")</f>
        <v>ZONIA</v>
      </c>
      <c r="K165" s="53" t="s">
        <v>16</v>
      </c>
      <c r="L165" s="55"/>
      <c r="M165" s="66"/>
      <c r="N165" s="56" t="str">
        <f>IF(Tabla1[[#This Row],[ESTADO]]="ENTREGADO",IF(Tabla1[[#This Row],[OBSERVACIÓN]]="OK","SI","NO"),"")</f>
        <v/>
      </c>
    </row>
    <row r="166" spans="1:14" hidden="1" x14ac:dyDescent="0.2">
      <c r="A166" s="51">
        <v>45128</v>
      </c>
      <c r="B166" s="52" t="s">
        <v>231</v>
      </c>
      <c r="C166" s="52">
        <v>214</v>
      </c>
      <c r="D166" s="52">
        <v>12</v>
      </c>
      <c r="E166" s="52" t="str">
        <f>VLOOKUP(Tabla1[[#This Row],[ID TIENDA]],Guias[],2,0)</f>
        <v>T994-00158801</v>
      </c>
      <c r="F166" s="54">
        <v>1907.8</v>
      </c>
      <c r="G166" s="52" t="str">
        <f>IFERROR(VLOOKUP(Tabla1[[#This Row],[RUTA]],Tabla2[#All],3,0),"")</f>
        <v>DINET</v>
      </c>
      <c r="H166" s="52" t="str">
        <f>IFERROR(VLOOKUP(Tabla1[[#This Row],[RUTA]],Tabla2[[#All],[RUTA]:[PLACAS]],2,0),"")</f>
        <v>BAN-774</v>
      </c>
      <c r="I166" s="52" t="str">
        <f>IFERROR(VLOOKUP(Tabla1[[#This Row],[RUTA]],Tabla2[[#All],[RUTA]:[CONDUCTOR]],4,0),"")</f>
        <v>ALEX</v>
      </c>
      <c r="J166" s="52" t="str">
        <f>IFERROR(VLOOKUP(Tabla1[[#This Row],[RUTA]],Tabla2[#All],5,0),"")</f>
        <v>ZONIA</v>
      </c>
      <c r="K166" s="53" t="s">
        <v>16</v>
      </c>
      <c r="L166" s="55"/>
      <c r="M166" s="66"/>
      <c r="N166" s="56" t="str">
        <f>IF(Tabla1[[#This Row],[ESTADO]]="ENTREGADO",IF(Tabla1[[#This Row],[OBSERVACIÓN]]="OK","SI","NO"),"")</f>
        <v/>
      </c>
    </row>
    <row r="167" spans="1:14" hidden="1" x14ac:dyDescent="0.2">
      <c r="A167" s="51">
        <v>45128</v>
      </c>
      <c r="B167" s="52" t="s">
        <v>232</v>
      </c>
      <c r="C167" s="52">
        <v>485</v>
      </c>
      <c r="D167" s="52">
        <v>12</v>
      </c>
      <c r="E167" s="52" t="str">
        <f>VLOOKUP(Tabla1[[#This Row],[ID TIENDA]],Guias[],2,0)</f>
        <v>T994-00158829</v>
      </c>
      <c r="F167" s="54">
        <v>1462.79</v>
      </c>
      <c r="G167" s="52" t="str">
        <f>IFERROR(VLOOKUP(Tabla1[[#This Row],[RUTA]],Tabla2[#All],3,0),"")</f>
        <v>DINET</v>
      </c>
      <c r="H167" s="52" t="str">
        <f>IFERROR(VLOOKUP(Tabla1[[#This Row],[RUTA]],Tabla2[[#All],[RUTA]:[PLACAS]],2,0),"")</f>
        <v>BAN-774</v>
      </c>
      <c r="I167" s="52" t="str">
        <f>IFERROR(VLOOKUP(Tabla1[[#This Row],[RUTA]],Tabla2[[#All],[RUTA]:[CONDUCTOR]],4,0),"")</f>
        <v>ALEX</v>
      </c>
      <c r="J167" s="52" t="str">
        <f>IFERROR(VLOOKUP(Tabla1[[#This Row],[RUTA]],Tabla2[#All],5,0),"")</f>
        <v>ZONIA</v>
      </c>
      <c r="K167" s="53" t="s">
        <v>16</v>
      </c>
      <c r="L167" s="55"/>
      <c r="M167" s="66"/>
      <c r="N167" s="56" t="str">
        <f>IF(Tabla1[[#This Row],[ESTADO]]="ENTREGADO",IF(Tabla1[[#This Row],[OBSERVACIÓN]]="OK","SI","NO"),"")</f>
        <v/>
      </c>
    </row>
    <row r="168" spans="1:14" hidden="1" x14ac:dyDescent="0.2">
      <c r="A168" s="51">
        <v>45128</v>
      </c>
      <c r="B168" s="52" t="s">
        <v>233</v>
      </c>
      <c r="C168" s="52">
        <v>92</v>
      </c>
      <c r="D168" s="52">
        <v>12</v>
      </c>
      <c r="E168" s="52" t="str">
        <f>VLOOKUP(Tabla1[[#This Row],[ID TIENDA]],Guias[],2,0)</f>
        <v>T994-00158830</v>
      </c>
      <c r="F168" s="54">
        <v>1193.22</v>
      </c>
      <c r="G168" s="52" t="str">
        <f>IFERROR(VLOOKUP(Tabla1[[#This Row],[RUTA]],Tabla2[#All],3,0),"")</f>
        <v>DINET</v>
      </c>
      <c r="H168" s="52" t="str">
        <f>IFERROR(VLOOKUP(Tabla1[[#This Row],[RUTA]],Tabla2[[#All],[RUTA]:[PLACAS]],2,0),"")</f>
        <v>BAN-774</v>
      </c>
      <c r="I168" s="52" t="str">
        <f>IFERROR(VLOOKUP(Tabla1[[#This Row],[RUTA]],Tabla2[[#All],[RUTA]:[CONDUCTOR]],4,0),"")</f>
        <v>ALEX</v>
      </c>
      <c r="J168" s="52" t="str">
        <f>IFERROR(VLOOKUP(Tabla1[[#This Row],[RUTA]],Tabla2[#All],5,0),"")</f>
        <v>ZONIA</v>
      </c>
      <c r="K168" s="53" t="s">
        <v>16</v>
      </c>
      <c r="L168" s="55"/>
      <c r="M168" s="66"/>
      <c r="N168" s="56" t="str">
        <f>IF(Tabla1[[#This Row],[ESTADO]]="ENTREGADO",IF(Tabla1[[#This Row],[OBSERVACIÓN]]="OK","SI","NO"),"")</f>
        <v/>
      </c>
    </row>
    <row r="169" spans="1:14" hidden="1" x14ac:dyDescent="0.2">
      <c r="A169" s="51">
        <v>45128</v>
      </c>
      <c r="B169" s="52" t="s">
        <v>234</v>
      </c>
      <c r="C169" s="52">
        <v>276</v>
      </c>
      <c r="D169" s="52">
        <v>12</v>
      </c>
      <c r="E169" s="52" t="str">
        <f>VLOOKUP(Tabla1[[#This Row],[ID TIENDA]],Guias[],2,0)</f>
        <v>T994-00158740</v>
      </c>
      <c r="F169" s="54">
        <v>2227.9699999999998</v>
      </c>
      <c r="G169" s="52" t="str">
        <f>IFERROR(VLOOKUP(Tabla1[[#This Row],[RUTA]],Tabla2[#All],3,0),"")</f>
        <v>DINET</v>
      </c>
      <c r="H169" s="52" t="str">
        <f>IFERROR(VLOOKUP(Tabla1[[#This Row],[RUTA]],Tabla2[[#All],[RUTA]:[PLACAS]],2,0),"")</f>
        <v>BAN-774</v>
      </c>
      <c r="I169" s="52" t="str">
        <f>IFERROR(VLOOKUP(Tabla1[[#This Row],[RUTA]],Tabla2[[#All],[RUTA]:[CONDUCTOR]],4,0),"")</f>
        <v>ALEX</v>
      </c>
      <c r="J169" s="52" t="str">
        <f>IFERROR(VLOOKUP(Tabla1[[#This Row],[RUTA]],Tabla2[#All],5,0),"")</f>
        <v>ZONIA</v>
      </c>
      <c r="K169" s="53" t="s">
        <v>16</v>
      </c>
      <c r="L169" s="55"/>
      <c r="M169" s="66"/>
      <c r="N169" s="56" t="str">
        <f>IF(Tabla1[[#This Row],[ESTADO]]="ENTREGADO",IF(Tabla1[[#This Row],[OBSERVACIÓN]]="OK","SI","NO"),"")</f>
        <v/>
      </c>
    </row>
    <row r="170" spans="1:14" hidden="1" x14ac:dyDescent="0.2">
      <c r="A170" s="51">
        <v>45128</v>
      </c>
      <c r="B170" s="52" t="s">
        <v>235</v>
      </c>
      <c r="C170" s="52">
        <v>224</v>
      </c>
      <c r="D170" s="52">
        <v>12</v>
      </c>
      <c r="E170" s="52" t="str">
        <f>VLOOKUP(Tabla1[[#This Row],[ID TIENDA]],Guias[],2,0)</f>
        <v>T994-00158841</v>
      </c>
      <c r="F170" s="54">
        <v>1628.3</v>
      </c>
      <c r="G170" s="52" t="str">
        <f>IFERROR(VLOOKUP(Tabla1[[#This Row],[RUTA]],Tabla2[#All],3,0),"")</f>
        <v>DINET</v>
      </c>
      <c r="H170" s="52" t="str">
        <f>IFERROR(VLOOKUP(Tabla1[[#This Row],[RUTA]],Tabla2[[#All],[RUTA]:[PLACAS]],2,0),"")</f>
        <v>BAN-774</v>
      </c>
      <c r="I170" s="52" t="str">
        <f>IFERROR(VLOOKUP(Tabla1[[#This Row],[RUTA]],Tabla2[[#All],[RUTA]:[CONDUCTOR]],4,0),"")</f>
        <v>ALEX</v>
      </c>
      <c r="J170" s="52" t="str">
        <f>IFERROR(VLOOKUP(Tabla1[[#This Row],[RUTA]],Tabla2[#All],5,0),"")</f>
        <v>ZONIA</v>
      </c>
      <c r="K170" s="53" t="s">
        <v>16</v>
      </c>
      <c r="L170" s="55"/>
      <c r="M170" s="66"/>
      <c r="N170" s="56" t="str">
        <f>IF(Tabla1[[#This Row],[ESTADO]]="ENTREGADO",IF(Tabla1[[#This Row],[OBSERVACIÓN]]="OK","SI","NO"),"")</f>
        <v/>
      </c>
    </row>
    <row r="171" spans="1:14" hidden="1" x14ac:dyDescent="0.2">
      <c r="A171" s="51">
        <v>45128</v>
      </c>
      <c r="B171" s="52" t="s">
        <v>236</v>
      </c>
      <c r="C171" s="52">
        <v>32</v>
      </c>
      <c r="D171" s="52">
        <v>12</v>
      </c>
      <c r="E171" s="52" t="str">
        <f>VLOOKUP(Tabla1[[#This Row],[ID TIENDA]],Guias[],2,0)</f>
        <v>T994-00158703</v>
      </c>
      <c r="F171" s="54">
        <v>1419.83</v>
      </c>
      <c r="G171" s="52" t="str">
        <f>IFERROR(VLOOKUP(Tabla1[[#This Row],[RUTA]],Tabla2[#All],3,0),"")</f>
        <v>DINET</v>
      </c>
      <c r="H171" s="52" t="str">
        <f>IFERROR(VLOOKUP(Tabla1[[#This Row],[RUTA]],Tabla2[[#All],[RUTA]:[PLACAS]],2,0),"")</f>
        <v>BAN-774</v>
      </c>
      <c r="I171" s="52" t="str">
        <f>IFERROR(VLOOKUP(Tabla1[[#This Row],[RUTA]],Tabla2[[#All],[RUTA]:[CONDUCTOR]],4,0),"")</f>
        <v>ALEX</v>
      </c>
      <c r="J171" s="52" t="str">
        <f>IFERROR(VLOOKUP(Tabla1[[#This Row],[RUTA]],Tabla2[#All],5,0),"")</f>
        <v>ZONIA</v>
      </c>
      <c r="K171" s="53" t="s">
        <v>16</v>
      </c>
      <c r="L171" s="55"/>
      <c r="M171" s="66"/>
      <c r="N171" s="56" t="str">
        <f>IF(Tabla1[[#This Row],[ESTADO]]="ENTREGADO",IF(Tabla1[[#This Row],[OBSERVACIÓN]]="OK","SI","NO"),"")</f>
        <v/>
      </c>
    </row>
    <row r="172" spans="1:14" hidden="1" x14ac:dyDescent="0.2">
      <c r="A172" s="51">
        <v>45128</v>
      </c>
      <c r="B172" s="52" t="s">
        <v>237</v>
      </c>
      <c r="C172" s="52">
        <v>424</v>
      </c>
      <c r="D172" s="52">
        <v>12</v>
      </c>
      <c r="E172" s="52" t="str">
        <f>VLOOKUP(Tabla1[[#This Row],[ID TIENDA]],Guias[],2,0)</f>
        <v>T994-00158723</v>
      </c>
      <c r="F172" s="54">
        <v>1363.81</v>
      </c>
      <c r="G172" s="52" t="str">
        <f>IFERROR(VLOOKUP(Tabla1[[#This Row],[RUTA]],Tabla2[#All],3,0),"")</f>
        <v>DINET</v>
      </c>
      <c r="H172" s="52" t="str">
        <f>IFERROR(VLOOKUP(Tabla1[[#This Row],[RUTA]],Tabla2[[#All],[RUTA]:[PLACAS]],2,0),"")</f>
        <v>BAN-774</v>
      </c>
      <c r="I172" s="52" t="str">
        <f>IFERROR(VLOOKUP(Tabla1[[#This Row],[RUTA]],Tabla2[[#All],[RUTA]:[CONDUCTOR]],4,0),"")</f>
        <v>ALEX</v>
      </c>
      <c r="J172" s="52" t="str">
        <f>IFERROR(VLOOKUP(Tabla1[[#This Row],[RUTA]],Tabla2[#All],5,0),"")</f>
        <v>ZONIA</v>
      </c>
      <c r="K172" s="53" t="s">
        <v>16</v>
      </c>
      <c r="L172" s="55"/>
      <c r="M172" s="66"/>
      <c r="N172" s="56" t="str">
        <f>IF(Tabla1[[#This Row],[ESTADO]]="ENTREGADO",IF(Tabla1[[#This Row],[OBSERVACIÓN]]="OK","SI","NO"),"")</f>
        <v/>
      </c>
    </row>
    <row r="173" spans="1:14" hidden="1" x14ac:dyDescent="0.2">
      <c r="A173" s="51">
        <v>45128</v>
      </c>
      <c r="B173" s="52" t="s">
        <v>238</v>
      </c>
      <c r="C173" s="52">
        <v>437</v>
      </c>
      <c r="D173" s="52">
        <v>13</v>
      </c>
      <c r="E173" s="52" t="str">
        <f>VLOOKUP(Tabla1[[#This Row],[ID TIENDA]],Guias[],2,0)</f>
        <v>T994-00158755</v>
      </c>
      <c r="F173" s="54">
        <v>2113.13</v>
      </c>
      <c r="G173" s="52" t="str">
        <f>IFERROR(VLOOKUP(Tabla1[[#This Row],[RUTA]],Tabla2[#All],3,0),"")</f>
        <v>CEVA</v>
      </c>
      <c r="H173" s="52" t="str">
        <f>IFERROR(VLOOKUP(Tabla1[[#This Row],[RUTA]],Tabla2[[#All],[RUTA]:[PLACAS]],2,0),"")</f>
        <v>ALQ-828</v>
      </c>
      <c r="I173" s="52" t="str">
        <f>IFERROR(VLOOKUP(Tabla1[[#This Row],[RUTA]],Tabla2[[#All],[RUTA]:[CONDUCTOR]],4,0),"")</f>
        <v>RUBEN</v>
      </c>
      <c r="J173" s="52" t="str">
        <f>IFERROR(VLOOKUP(Tabla1[[#This Row],[RUTA]],Tabla2[#All],5,0),"")</f>
        <v>WALTER</v>
      </c>
      <c r="K173" s="53" t="s">
        <v>16</v>
      </c>
      <c r="L173" s="55"/>
      <c r="M173" s="66"/>
      <c r="N173" s="56" t="str">
        <f>IF(Tabla1[[#This Row],[ESTADO]]="ENTREGADO",IF(Tabla1[[#This Row],[OBSERVACIÓN]]="OK","SI","NO"),"")</f>
        <v/>
      </c>
    </row>
    <row r="174" spans="1:14" hidden="1" x14ac:dyDescent="0.2">
      <c r="A174" s="51">
        <v>45128</v>
      </c>
      <c r="B174" s="52" t="s">
        <v>239</v>
      </c>
      <c r="C174" s="52">
        <v>414</v>
      </c>
      <c r="D174" s="52">
        <v>13</v>
      </c>
      <c r="E174" s="52" t="str">
        <f>VLOOKUP(Tabla1[[#This Row],[ID TIENDA]],Guias[],2,0)</f>
        <v>T994-00158837</v>
      </c>
      <c r="F174" s="54">
        <v>1758.9</v>
      </c>
      <c r="G174" s="52" t="str">
        <f>IFERROR(VLOOKUP(Tabla1[[#This Row],[RUTA]],Tabla2[#All],3,0),"")</f>
        <v>CEVA</v>
      </c>
      <c r="H174" s="52" t="str">
        <f>IFERROR(VLOOKUP(Tabla1[[#This Row],[RUTA]],Tabla2[[#All],[RUTA]:[PLACAS]],2,0),"")</f>
        <v>ALQ-828</v>
      </c>
      <c r="I174" s="52" t="str">
        <f>IFERROR(VLOOKUP(Tabla1[[#This Row],[RUTA]],Tabla2[[#All],[RUTA]:[CONDUCTOR]],4,0),"")</f>
        <v>RUBEN</v>
      </c>
      <c r="J174" s="52" t="str">
        <f>IFERROR(VLOOKUP(Tabla1[[#This Row],[RUTA]],Tabla2[#All],5,0),"")</f>
        <v>WALTER</v>
      </c>
      <c r="K174" s="53" t="s">
        <v>16</v>
      </c>
      <c r="L174" s="55"/>
      <c r="M174" s="66"/>
      <c r="N174" s="56" t="str">
        <f>IF(Tabla1[[#This Row],[ESTADO]]="ENTREGADO",IF(Tabla1[[#This Row],[OBSERVACIÓN]]="OK","SI","NO"),"")</f>
        <v/>
      </c>
    </row>
    <row r="175" spans="1:14" hidden="1" x14ac:dyDescent="0.2">
      <c r="A175" s="51">
        <v>45128</v>
      </c>
      <c r="B175" s="52" t="s">
        <v>240</v>
      </c>
      <c r="C175" s="52">
        <v>442</v>
      </c>
      <c r="D175" s="52">
        <v>13</v>
      </c>
      <c r="E175" s="52" t="str">
        <f>VLOOKUP(Tabla1[[#This Row],[ID TIENDA]],Guias[],2,0)</f>
        <v>T994-00158836</v>
      </c>
      <c r="F175" s="54">
        <v>1954.49</v>
      </c>
      <c r="G175" s="52" t="str">
        <f>IFERROR(VLOOKUP(Tabla1[[#This Row],[RUTA]],Tabla2[#All],3,0),"")</f>
        <v>CEVA</v>
      </c>
      <c r="H175" s="52" t="str">
        <f>IFERROR(VLOOKUP(Tabla1[[#This Row],[RUTA]],Tabla2[[#All],[RUTA]:[PLACAS]],2,0),"")</f>
        <v>ALQ-828</v>
      </c>
      <c r="I175" s="52" t="str">
        <f>IFERROR(VLOOKUP(Tabla1[[#This Row],[RUTA]],Tabla2[[#All],[RUTA]:[CONDUCTOR]],4,0),"")</f>
        <v>RUBEN</v>
      </c>
      <c r="J175" s="52" t="str">
        <f>IFERROR(VLOOKUP(Tabla1[[#This Row],[RUTA]],Tabla2[#All],5,0),"")</f>
        <v>WALTER</v>
      </c>
      <c r="K175" s="53" t="s">
        <v>16</v>
      </c>
      <c r="L175" s="55"/>
      <c r="M175" s="66"/>
      <c r="N175" s="56" t="str">
        <f>IF(Tabla1[[#This Row],[ESTADO]]="ENTREGADO",IF(Tabla1[[#This Row],[OBSERVACIÓN]]="OK","SI","NO"),"")</f>
        <v/>
      </c>
    </row>
    <row r="176" spans="1:14" hidden="1" x14ac:dyDescent="0.2">
      <c r="A176" s="51">
        <v>45128</v>
      </c>
      <c r="B176" s="52" t="s">
        <v>241</v>
      </c>
      <c r="C176" s="52">
        <v>495</v>
      </c>
      <c r="D176" s="52">
        <v>13</v>
      </c>
      <c r="E176" s="52" t="str">
        <f>VLOOKUP(Tabla1[[#This Row],[ID TIENDA]],Guias[],2,0)</f>
        <v>T994-00158713</v>
      </c>
      <c r="F176" s="54">
        <v>1300.93</v>
      </c>
      <c r="G176" s="52" t="str">
        <f>IFERROR(VLOOKUP(Tabla1[[#This Row],[RUTA]],Tabla2[#All],3,0),"")</f>
        <v>CEVA</v>
      </c>
      <c r="H176" s="52" t="str">
        <f>IFERROR(VLOOKUP(Tabla1[[#This Row],[RUTA]],Tabla2[[#All],[RUTA]:[PLACAS]],2,0),"")</f>
        <v>ALQ-828</v>
      </c>
      <c r="I176" s="52" t="str">
        <f>IFERROR(VLOOKUP(Tabla1[[#This Row],[RUTA]],Tabla2[[#All],[RUTA]:[CONDUCTOR]],4,0),"")</f>
        <v>RUBEN</v>
      </c>
      <c r="J176" s="52" t="str">
        <f>IFERROR(VLOOKUP(Tabla1[[#This Row],[RUTA]],Tabla2[#All],5,0),"")</f>
        <v>WALTER</v>
      </c>
      <c r="K176" s="53" t="s">
        <v>16</v>
      </c>
      <c r="L176" s="55"/>
      <c r="M176" s="66"/>
      <c r="N176" s="56" t="str">
        <f>IF(Tabla1[[#This Row],[ESTADO]]="ENTREGADO",IF(Tabla1[[#This Row],[OBSERVACIÓN]]="OK","SI","NO"),"")</f>
        <v/>
      </c>
    </row>
    <row r="177" spans="1:14" hidden="1" x14ac:dyDescent="0.2">
      <c r="A177" s="51">
        <v>45128</v>
      </c>
      <c r="B177" s="52" t="s">
        <v>242</v>
      </c>
      <c r="C177" s="52">
        <v>158</v>
      </c>
      <c r="D177" s="52">
        <v>13</v>
      </c>
      <c r="E177" s="52" t="str">
        <f>VLOOKUP(Tabla1[[#This Row],[ID TIENDA]],Guias[],2,0)</f>
        <v>T994-00158818</v>
      </c>
      <c r="F177" s="54">
        <v>1293.47</v>
      </c>
      <c r="G177" s="52" t="str">
        <f>IFERROR(VLOOKUP(Tabla1[[#This Row],[RUTA]],Tabla2[#All],3,0),"")</f>
        <v>CEVA</v>
      </c>
      <c r="H177" s="52" t="str">
        <f>IFERROR(VLOOKUP(Tabla1[[#This Row],[RUTA]],Tabla2[[#All],[RUTA]:[PLACAS]],2,0),"")</f>
        <v>ALQ-828</v>
      </c>
      <c r="I177" s="52" t="str">
        <f>IFERROR(VLOOKUP(Tabla1[[#This Row],[RUTA]],Tabla2[[#All],[RUTA]:[CONDUCTOR]],4,0),"")</f>
        <v>RUBEN</v>
      </c>
      <c r="J177" s="52" t="str">
        <f>IFERROR(VLOOKUP(Tabla1[[#This Row],[RUTA]],Tabla2[#All],5,0),"")</f>
        <v>WALTER</v>
      </c>
      <c r="K177" s="53" t="s">
        <v>16</v>
      </c>
      <c r="L177" s="55"/>
      <c r="M177" s="66"/>
      <c r="N177" s="56" t="str">
        <f>IF(Tabla1[[#This Row],[ESTADO]]="ENTREGADO",IF(Tabla1[[#This Row],[OBSERVACIÓN]]="OK","SI","NO"),"")</f>
        <v/>
      </c>
    </row>
    <row r="178" spans="1:14" hidden="1" x14ac:dyDescent="0.2">
      <c r="A178" s="51">
        <v>45128</v>
      </c>
      <c r="B178" s="52" t="s">
        <v>243</v>
      </c>
      <c r="C178" s="52">
        <v>510</v>
      </c>
      <c r="D178" s="52">
        <v>13</v>
      </c>
      <c r="E178" s="52" t="str">
        <f>VLOOKUP(Tabla1[[#This Row],[ID TIENDA]],Guias[],2,0)</f>
        <v>T994-00158747</v>
      </c>
      <c r="F178" s="54">
        <v>1012.2</v>
      </c>
      <c r="G178" s="52" t="str">
        <f>IFERROR(VLOOKUP(Tabla1[[#This Row],[RUTA]],Tabla2[#All],3,0),"")</f>
        <v>CEVA</v>
      </c>
      <c r="H178" s="52" t="str">
        <f>IFERROR(VLOOKUP(Tabla1[[#This Row],[RUTA]],Tabla2[[#All],[RUTA]:[PLACAS]],2,0),"")</f>
        <v>ALQ-828</v>
      </c>
      <c r="I178" s="52" t="str">
        <f>IFERROR(VLOOKUP(Tabla1[[#This Row],[RUTA]],Tabla2[[#All],[RUTA]:[CONDUCTOR]],4,0),"")</f>
        <v>RUBEN</v>
      </c>
      <c r="J178" s="52" t="str">
        <f>IFERROR(VLOOKUP(Tabla1[[#This Row],[RUTA]],Tabla2[#All],5,0),"")</f>
        <v>WALTER</v>
      </c>
      <c r="K178" s="53" t="s">
        <v>16</v>
      </c>
      <c r="L178" s="55"/>
      <c r="M178" s="66"/>
      <c r="N178" s="56" t="str">
        <f>IF(Tabla1[[#This Row],[ESTADO]]="ENTREGADO",IF(Tabla1[[#This Row],[OBSERVACIÓN]]="OK","SI","NO"),"")</f>
        <v/>
      </c>
    </row>
    <row r="179" spans="1:14" hidden="1" x14ac:dyDescent="0.2">
      <c r="A179" s="51">
        <v>45128</v>
      </c>
      <c r="B179" s="52" t="s">
        <v>244</v>
      </c>
      <c r="C179" s="52">
        <v>505</v>
      </c>
      <c r="D179" s="52">
        <v>13</v>
      </c>
      <c r="E179" s="52" t="str">
        <f>VLOOKUP(Tabla1[[#This Row],[ID TIENDA]],Guias[],2,0)</f>
        <v>T994-00158746</v>
      </c>
      <c r="F179" s="54">
        <v>1571.86</v>
      </c>
      <c r="G179" s="52" t="str">
        <f>IFERROR(VLOOKUP(Tabla1[[#This Row],[RUTA]],Tabla2[#All],3,0),"")</f>
        <v>CEVA</v>
      </c>
      <c r="H179" s="52" t="str">
        <f>IFERROR(VLOOKUP(Tabla1[[#This Row],[RUTA]],Tabla2[[#All],[RUTA]:[PLACAS]],2,0),"")</f>
        <v>ALQ-828</v>
      </c>
      <c r="I179" s="52" t="str">
        <f>IFERROR(VLOOKUP(Tabla1[[#This Row],[RUTA]],Tabla2[[#All],[RUTA]:[CONDUCTOR]],4,0),"")</f>
        <v>RUBEN</v>
      </c>
      <c r="J179" s="52" t="str">
        <f>IFERROR(VLOOKUP(Tabla1[[#This Row],[RUTA]],Tabla2[#All],5,0),"")</f>
        <v>WALTER</v>
      </c>
      <c r="K179" s="53" t="s">
        <v>16</v>
      </c>
      <c r="L179" s="55"/>
      <c r="M179" s="66"/>
      <c r="N179" s="56" t="str">
        <f>IF(Tabla1[[#This Row],[ESTADO]]="ENTREGADO",IF(Tabla1[[#This Row],[OBSERVACIÓN]]="OK","SI","NO"),"")</f>
        <v/>
      </c>
    </row>
    <row r="180" spans="1:14" hidden="1" x14ac:dyDescent="0.2">
      <c r="A180" s="51">
        <v>45128</v>
      </c>
      <c r="B180" s="52" t="s">
        <v>245</v>
      </c>
      <c r="C180" s="52">
        <v>409</v>
      </c>
      <c r="D180" s="52">
        <v>13</v>
      </c>
      <c r="E180" s="52" t="str">
        <f>VLOOKUP(Tabla1[[#This Row],[ID TIENDA]],Guias[],2,0)</f>
        <v>T994-00158701</v>
      </c>
      <c r="F180" s="54">
        <v>1430.42</v>
      </c>
      <c r="G180" s="52" t="str">
        <f>IFERROR(VLOOKUP(Tabla1[[#This Row],[RUTA]],Tabla2[#All],3,0),"")</f>
        <v>CEVA</v>
      </c>
      <c r="H180" s="52" t="str">
        <f>IFERROR(VLOOKUP(Tabla1[[#This Row],[RUTA]],Tabla2[[#All],[RUTA]:[PLACAS]],2,0),"")</f>
        <v>ALQ-828</v>
      </c>
      <c r="I180" s="52" t="str">
        <f>IFERROR(VLOOKUP(Tabla1[[#This Row],[RUTA]],Tabla2[[#All],[RUTA]:[CONDUCTOR]],4,0),"")</f>
        <v>RUBEN</v>
      </c>
      <c r="J180" s="52" t="str">
        <f>IFERROR(VLOOKUP(Tabla1[[#This Row],[RUTA]],Tabla2[#All],5,0),"")</f>
        <v>WALTER</v>
      </c>
      <c r="K180" s="53" t="s">
        <v>16</v>
      </c>
      <c r="L180" s="55"/>
      <c r="M180" s="66"/>
      <c r="N180" s="56" t="str">
        <f>IF(Tabla1[[#This Row],[ESTADO]]="ENTREGADO",IF(Tabla1[[#This Row],[OBSERVACIÓN]]="OK","SI","NO"),"")</f>
        <v/>
      </c>
    </row>
    <row r="181" spans="1:14" hidden="1" x14ac:dyDescent="0.2">
      <c r="A181" s="51">
        <v>45128</v>
      </c>
      <c r="B181" s="52" t="s">
        <v>246</v>
      </c>
      <c r="C181" s="52">
        <v>326</v>
      </c>
      <c r="D181" s="52">
        <v>13</v>
      </c>
      <c r="E181" s="52" t="str">
        <f>VLOOKUP(Tabla1[[#This Row],[ID TIENDA]],Guias[],2,0)</f>
        <v>T994-00158685</v>
      </c>
      <c r="F181" s="54">
        <v>1365.51</v>
      </c>
      <c r="G181" s="52" t="str">
        <f>IFERROR(VLOOKUP(Tabla1[[#This Row],[RUTA]],Tabla2[#All],3,0),"")</f>
        <v>CEVA</v>
      </c>
      <c r="H181" s="52" t="str">
        <f>IFERROR(VLOOKUP(Tabla1[[#This Row],[RUTA]],Tabla2[[#All],[RUTA]:[PLACAS]],2,0),"")</f>
        <v>ALQ-828</v>
      </c>
      <c r="I181" s="52" t="str">
        <f>IFERROR(VLOOKUP(Tabla1[[#This Row],[RUTA]],Tabla2[[#All],[RUTA]:[CONDUCTOR]],4,0),"")</f>
        <v>RUBEN</v>
      </c>
      <c r="J181" s="52" t="str">
        <f>IFERROR(VLOOKUP(Tabla1[[#This Row],[RUTA]],Tabla2[#All],5,0),"")</f>
        <v>WALTER</v>
      </c>
      <c r="K181" s="53" t="s">
        <v>16</v>
      </c>
      <c r="L181" s="55"/>
      <c r="M181" s="66"/>
      <c r="N181" s="56" t="str">
        <f>IF(Tabla1[[#This Row],[ESTADO]]="ENTREGADO",IF(Tabla1[[#This Row],[OBSERVACIÓN]]="OK","SI","NO"),"")</f>
        <v/>
      </c>
    </row>
    <row r="182" spans="1:14" hidden="1" x14ac:dyDescent="0.2">
      <c r="A182" s="51">
        <v>45128</v>
      </c>
      <c r="B182" s="52" t="s">
        <v>247</v>
      </c>
      <c r="C182" s="52">
        <v>342</v>
      </c>
      <c r="D182" s="52">
        <v>13</v>
      </c>
      <c r="E182" s="52" t="str">
        <f>VLOOKUP(Tabla1[[#This Row],[ID TIENDA]],Guias[],2,0)</f>
        <v>T994-00158864</v>
      </c>
      <c r="F182" s="54">
        <v>1478.64</v>
      </c>
      <c r="G182" s="52" t="str">
        <f>IFERROR(VLOOKUP(Tabla1[[#This Row],[RUTA]],Tabla2[#All],3,0),"")</f>
        <v>CEVA</v>
      </c>
      <c r="H182" s="52" t="str">
        <f>IFERROR(VLOOKUP(Tabla1[[#This Row],[RUTA]],Tabla2[[#All],[RUTA]:[PLACAS]],2,0),"")</f>
        <v>ALQ-828</v>
      </c>
      <c r="I182" s="52" t="str">
        <f>IFERROR(VLOOKUP(Tabla1[[#This Row],[RUTA]],Tabla2[[#All],[RUTA]:[CONDUCTOR]],4,0),"")</f>
        <v>RUBEN</v>
      </c>
      <c r="J182" s="52" t="str">
        <f>IFERROR(VLOOKUP(Tabla1[[#This Row],[RUTA]],Tabla2[#All],5,0),"")</f>
        <v>WALTER</v>
      </c>
      <c r="K182" s="53" t="s">
        <v>16</v>
      </c>
      <c r="L182" s="55"/>
      <c r="M182" s="66"/>
      <c r="N182" s="56" t="str">
        <f>IF(Tabla1[[#This Row],[ESTADO]]="ENTREGADO",IF(Tabla1[[#This Row],[OBSERVACIÓN]]="OK","SI","NO"),"")</f>
        <v/>
      </c>
    </row>
    <row r="183" spans="1:14" hidden="1" x14ac:dyDescent="0.2">
      <c r="A183" s="51">
        <v>45128</v>
      </c>
      <c r="B183" s="52" t="s">
        <v>248</v>
      </c>
      <c r="C183" s="52">
        <v>343</v>
      </c>
      <c r="D183" s="52">
        <v>13</v>
      </c>
      <c r="E183" s="52" t="str">
        <f>VLOOKUP(Tabla1[[#This Row],[ID TIENDA]],Guias[],2,0)</f>
        <v>T994-00158868</v>
      </c>
      <c r="F183" s="54">
        <v>1286.3599999999999</v>
      </c>
      <c r="G183" s="52" t="str">
        <f>IFERROR(VLOOKUP(Tabla1[[#This Row],[RUTA]],Tabla2[#All],3,0),"")</f>
        <v>CEVA</v>
      </c>
      <c r="H183" s="52" t="str">
        <f>IFERROR(VLOOKUP(Tabla1[[#This Row],[RUTA]],Tabla2[[#All],[RUTA]:[PLACAS]],2,0),"")</f>
        <v>ALQ-828</v>
      </c>
      <c r="I183" s="52" t="str">
        <f>IFERROR(VLOOKUP(Tabla1[[#This Row],[RUTA]],Tabla2[[#All],[RUTA]:[CONDUCTOR]],4,0),"")</f>
        <v>RUBEN</v>
      </c>
      <c r="J183" s="52" t="str">
        <f>IFERROR(VLOOKUP(Tabla1[[#This Row],[RUTA]],Tabla2[#All],5,0),"")</f>
        <v>WALTER</v>
      </c>
      <c r="K183" s="53" t="s">
        <v>16</v>
      </c>
      <c r="L183" s="55"/>
      <c r="M183" s="66"/>
      <c r="N183" s="56" t="str">
        <f>IF(Tabla1[[#This Row],[ESTADO]]="ENTREGADO",IF(Tabla1[[#This Row],[OBSERVACIÓN]]="OK","SI","NO"),"")</f>
        <v/>
      </c>
    </row>
    <row r="184" spans="1:14" hidden="1" x14ac:dyDescent="0.2">
      <c r="A184" s="51">
        <v>45128</v>
      </c>
      <c r="B184" s="52" t="s">
        <v>249</v>
      </c>
      <c r="C184" s="52">
        <v>10</v>
      </c>
      <c r="D184" s="52">
        <v>13</v>
      </c>
      <c r="E184" s="52" t="str">
        <f>VLOOKUP(Tabla1[[#This Row],[ID TIENDA]],Guias[],2,0)</f>
        <v>T994-00158750</v>
      </c>
      <c r="F184" s="54">
        <v>1629.83</v>
      </c>
      <c r="G184" s="52" t="str">
        <f>IFERROR(VLOOKUP(Tabla1[[#This Row],[RUTA]],Tabla2[#All],3,0),"")</f>
        <v>CEVA</v>
      </c>
      <c r="H184" s="52" t="str">
        <f>IFERROR(VLOOKUP(Tabla1[[#This Row],[RUTA]],Tabla2[[#All],[RUTA]:[PLACAS]],2,0),"")</f>
        <v>ALQ-828</v>
      </c>
      <c r="I184" s="52" t="str">
        <f>IFERROR(VLOOKUP(Tabla1[[#This Row],[RUTA]],Tabla2[[#All],[RUTA]:[CONDUCTOR]],4,0),"")</f>
        <v>RUBEN</v>
      </c>
      <c r="J184" s="52" t="str">
        <f>IFERROR(VLOOKUP(Tabla1[[#This Row],[RUTA]],Tabla2[#All],5,0),"")</f>
        <v>WALTER</v>
      </c>
      <c r="K184" s="53" t="s">
        <v>16</v>
      </c>
      <c r="L184" s="55"/>
      <c r="M184" s="66"/>
      <c r="N184" s="56" t="str">
        <f>IF(Tabla1[[#This Row],[ESTADO]]="ENTREGADO",IF(Tabla1[[#This Row],[OBSERVACIÓN]]="OK","SI","NO"),"")</f>
        <v/>
      </c>
    </row>
    <row r="185" spans="1:14" hidden="1" x14ac:dyDescent="0.2">
      <c r="A185" s="51">
        <v>45128</v>
      </c>
      <c r="B185" s="52" t="s">
        <v>250</v>
      </c>
      <c r="C185" s="52">
        <v>397</v>
      </c>
      <c r="D185" s="52">
        <v>13</v>
      </c>
      <c r="E185" s="52" t="str">
        <f>VLOOKUP(Tabla1[[#This Row],[ID TIENDA]],Guias[],2,0)</f>
        <v>T994-00158828</v>
      </c>
      <c r="F185" s="54">
        <v>1733.31</v>
      </c>
      <c r="G185" s="52" t="str">
        <f>IFERROR(VLOOKUP(Tabla1[[#This Row],[RUTA]],Tabla2[#All],3,0),"")</f>
        <v>CEVA</v>
      </c>
      <c r="H185" s="52" t="str">
        <f>IFERROR(VLOOKUP(Tabla1[[#This Row],[RUTA]],Tabla2[[#All],[RUTA]:[PLACAS]],2,0),"")</f>
        <v>ALQ-828</v>
      </c>
      <c r="I185" s="52" t="str">
        <f>IFERROR(VLOOKUP(Tabla1[[#This Row],[RUTA]],Tabla2[[#All],[RUTA]:[CONDUCTOR]],4,0),"")</f>
        <v>RUBEN</v>
      </c>
      <c r="J185" s="52" t="str">
        <f>IFERROR(VLOOKUP(Tabla1[[#This Row],[RUTA]],Tabla2[#All],5,0),"")</f>
        <v>WALTER</v>
      </c>
      <c r="K185" s="53" t="s">
        <v>16</v>
      </c>
      <c r="L185" s="55"/>
      <c r="M185" s="66"/>
      <c r="N185" s="56" t="str">
        <f>IF(Tabla1[[#This Row],[ESTADO]]="ENTREGADO",IF(Tabla1[[#This Row],[OBSERVACIÓN]]="OK","SI","NO"),"")</f>
        <v/>
      </c>
    </row>
    <row r="186" spans="1:14" hidden="1" x14ac:dyDescent="0.2">
      <c r="A186" s="51">
        <v>45128</v>
      </c>
      <c r="B186" s="52" t="s">
        <v>251</v>
      </c>
      <c r="C186" s="52">
        <v>332</v>
      </c>
      <c r="D186" s="52">
        <v>13</v>
      </c>
      <c r="E186" s="52" t="str">
        <f>VLOOKUP(Tabla1[[#This Row],[ID TIENDA]],Guias[],2,0)</f>
        <v>T994-00158682</v>
      </c>
      <c r="F186" s="54">
        <v>1278.98</v>
      </c>
      <c r="G186" s="52" t="str">
        <f>IFERROR(VLOOKUP(Tabla1[[#This Row],[RUTA]],Tabla2[#All],3,0),"")</f>
        <v>CEVA</v>
      </c>
      <c r="H186" s="52" t="str">
        <f>IFERROR(VLOOKUP(Tabla1[[#This Row],[RUTA]],Tabla2[[#All],[RUTA]:[PLACAS]],2,0),"")</f>
        <v>ALQ-828</v>
      </c>
      <c r="I186" s="52" t="str">
        <f>IFERROR(VLOOKUP(Tabla1[[#This Row],[RUTA]],Tabla2[[#All],[RUTA]:[CONDUCTOR]],4,0),"")</f>
        <v>RUBEN</v>
      </c>
      <c r="J186" s="52" t="str">
        <f>IFERROR(VLOOKUP(Tabla1[[#This Row],[RUTA]],Tabla2[#All],5,0),"")</f>
        <v>WALTER</v>
      </c>
      <c r="K186" s="53" t="s">
        <v>16</v>
      </c>
      <c r="L186" s="55"/>
      <c r="M186" s="66"/>
      <c r="N186" s="56" t="str">
        <f>IF(Tabla1[[#This Row],[ESTADO]]="ENTREGADO",IF(Tabla1[[#This Row],[OBSERVACIÓN]]="OK","SI","NO"),"")</f>
        <v/>
      </c>
    </row>
    <row r="187" spans="1:14" hidden="1" x14ac:dyDescent="0.2">
      <c r="A187" s="51">
        <v>45128</v>
      </c>
      <c r="B187" s="52" t="s">
        <v>252</v>
      </c>
      <c r="C187" s="52">
        <v>252</v>
      </c>
      <c r="D187" s="52">
        <v>13</v>
      </c>
      <c r="E187" s="52" t="str">
        <f>VLOOKUP(Tabla1[[#This Row],[ID TIENDA]],Guias[],2,0)</f>
        <v>T994-00158827</v>
      </c>
      <c r="F187" s="54">
        <v>3074.07</v>
      </c>
      <c r="G187" s="52" t="str">
        <f>IFERROR(VLOOKUP(Tabla1[[#This Row],[RUTA]],Tabla2[#All],3,0),"")</f>
        <v>CEVA</v>
      </c>
      <c r="H187" s="52" t="str">
        <f>IFERROR(VLOOKUP(Tabla1[[#This Row],[RUTA]],Tabla2[[#All],[RUTA]:[PLACAS]],2,0),"")</f>
        <v>ALQ-828</v>
      </c>
      <c r="I187" s="52" t="str">
        <f>IFERROR(VLOOKUP(Tabla1[[#This Row],[RUTA]],Tabla2[[#All],[RUTA]:[CONDUCTOR]],4,0),"")</f>
        <v>RUBEN</v>
      </c>
      <c r="J187" s="52" t="str">
        <f>IFERROR(VLOOKUP(Tabla1[[#This Row],[RUTA]],Tabla2[#All],5,0),"")</f>
        <v>WALTER</v>
      </c>
      <c r="K187" s="53" t="s">
        <v>16</v>
      </c>
      <c r="L187" s="55"/>
      <c r="M187" s="66"/>
      <c r="N187" s="56" t="str">
        <f>IF(Tabla1[[#This Row],[ESTADO]]="ENTREGADO",IF(Tabla1[[#This Row],[OBSERVACIÓN]]="OK","SI","NO"),"")</f>
        <v/>
      </c>
    </row>
    <row r="188" spans="1:14" hidden="1" x14ac:dyDescent="0.2">
      <c r="A188" s="51">
        <v>45128</v>
      </c>
      <c r="B188" s="52" t="s">
        <v>253</v>
      </c>
      <c r="C188" s="52">
        <v>522</v>
      </c>
      <c r="D188" s="52">
        <v>13</v>
      </c>
      <c r="E188" s="52" t="str">
        <f>VLOOKUP(Tabla1[[#This Row],[ID TIENDA]],Guias[],2,0)</f>
        <v>T994-00158791</v>
      </c>
      <c r="F188" s="54">
        <v>1408.83</v>
      </c>
      <c r="G188" s="52" t="str">
        <f>IFERROR(VLOOKUP(Tabla1[[#This Row],[RUTA]],Tabla2[#All],3,0),"")</f>
        <v>CEVA</v>
      </c>
      <c r="H188" s="52" t="str">
        <f>IFERROR(VLOOKUP(Tabla1[[#This Row],[RUTA]],Tabla2[[#All],[RUTA]:[PLACAS]],2,0),"")</f>
        <v>ALQ-828</v>
      </c>
      <c r="I188" s="52" t="str">
        <f>IFERROR(VLOOKUP(Tabla1[[#This Row],[RUTA]],Tabla2[[#All],[RUTA]:[CONDUCTOR]],4,0),"")</f>
        <v>RUBEN</v>
      </c>
      <c r="J188" s="52" t="str">
        <f>IFERROR(VLOOKUP(Tabla1[[#This Row],[RUTA]],Tabla2[#All],5,0),"")</f>
        <v>WALTER</v>
      </c>
      <c r="K188" s="53" t="s">
        <v>16</v>
      </c>
      <c r="L188" s="55"/>
      <c r="M188" s="66"/>
      <c r="N188" s="56" t="str">
        <f>IF(Tabla1[[#This Row],[ESTADO]]="ENTREGADO",IF(Tabla1[[#This Row],[OBSERVACIÓN]]="OK","SI","NO"),"")</f>
        <v/>
      </c>
    </row>
    <row r="189" spans="1:14" hidden="1" x14ac:dyDescent="0.2">
      <c r="A189" s="51">
        <v>45128</v>
      </c>
      <c r="B189" s="52" t="s">
        <v>254</v>
      </c>
      <c r="C189" s="52">
        <v>427</v>
      </c>
      <c r="D189" s="52">
        <v>14</v>
      </c>
      <c r="E189" s="52" t="str">
        <f>VLOOKUP(Tabla1[[#This Row],[ID TIENDA]],Guias[],2,0)</f>
        <v>T994-00158811</v>
      </c>
      <c r="F189" s="54">
        <v>2119.15</v>
      </c>
      <c r="G189" s="52" t="str">
        <f>IFERROR(VLOOKUP(Tabla1[[#This Row],[RUTA]],Tabla2[#All],3,0),"")</f>
        <v>CEVA</v>
      </c>
      <c r="H189" s="52" t="str">
        <f>IFERROR(VLOOKUP(Tabla1[[#This Row],[RUTA]],Tabla2[[#All],[RUTA]:[PLACAS]],2,0),"")</f>
        <v>BTX-945</v>
      </c>
      <c r="I189" s="52" t="str">
        <f>IFERROR(VLOOKUP(Tabla1[[#This Row],[RUTA]],Tabla2[[#All],[RUTA]:[CONDUCTOR]],4,0),"")</f>
        <v>JESUS</v>
      </c>
      <c r="J189" s="52">
        <f>IFERROR(VLOOKUP(Tabla1[[#This Row],[RUTA]],Tabla2[#All],5,0),"")</f>
        <v>0</v>
      </c>
      <c r="K189" s="53" t="s">
        <v>16</v>
      </c>
      <c r="L189" s="55"/>
      <c r="M189" s="66"/>
      <c r="N189" s="56" t="str">
        <f>IF(Tabla1[[#This Row],[ESTADO]]="ENTREGADO",IF(Tabla1[[#This Row],[OBSERVACIÓN]]="OK","SI","NO"),"")</f>
        <v/>
      </c>
    </row>
    <row r="190" spans="1:14" hidden="1" x14ac:dyDescent="0.2">
      <c r="A190" s="51">
        <v>45128</v>
      </c>
      <c r="B190" s="52" t="s">
        <v>255</v>
      </c>
      <c r="C190" s="52">
        <v>524</v>
      </c>
      <c r="D190" s="52">
        <v>14</v>
      </c>
      <c r="E190" s="52" t="str">
        <f>VLOOKUP(Tabla1[[#This Row],[ID TIENDA]],Guias[],2,0)</f>
        <v>T994-00158766</v>
      </c>
      <c r="F190" s="54">
        <v>3882.11</v>
      </c>
      <c r="G190" s="52" t="str">
        <f>IFERROR(VLOOKUP(Tabla1[[#This Row],[RUTA]],Tabla2[#All],3,0),"")</f>
        <v>CEVA</v>
      </c>
      <c r="H190" s="52" t="str">
        <f>IFERROR(VLOOKUP(Tabla1[[#This Row],[RUTA]],Tabla2[[#All],[RUTA]:[PLACAS]],2,0),"")</f>
        <v>BTX-945</v>
      </c>
      <c r="I190" s="52" t="str">
        <f>IFERROR(VLOOKUP(Tabla1[[#This Row],[RUTA]],Tabla2[[#All],[RUTA]:[CONDUCTOR]],4,0),"")</f>
        <v>JESUS</v>
      </c>
      <c r="J190" s="52">
        <f>IFERROR(VLOOKUP(Tabla1[[#This Row],[RUTA]],Tabla2[#All],5,0),"")</f>
        <v>0</v>
      </c>
      <c r="K190" s="53" t="s">
        <v>16</v>
      </c>
      <c r="L190" s="55"/>
      <c r="M190" s="66"/>
      <c r="N190" s="56" t="str">
        <f>IF(Tabla1[[#This Row],[ESTADO]]="ENTREGADO",IF(Tabla1[[#This Row],[OBSERVACIÓN]]="OK","SI","NO"),"")</f>
        <v/>
      </c>
    </row>
    <row r="191" spans="1:14" hidden="1" x14ac:dyDescent="0.2">
      <c r="A191" s="51">
        <v>45128</v>
      </c>
      <c r="B191" s="52" t="s">
        <v>256</v>
      </c>
      <c r="C191" s="52">
        <v>518</v>
      </c>
      <c r="D191" s="52">
        <v>14</v>
      </c>
      <c r="E191" s="52" t="str">
        <f>VLOOKUP(Tabla1[[#This Row],[ID TIENDA]],Guias[],2,0)</f>
        <v>T994-00158839</v>
      </c>
      <c r="F191" s="54">
        <v>5021.62</v>
      </c>
      <c r="G191" s="52" t="str">
        <f>IFERROR(VLOOKUP(Tabla1[[#This Row],[RUTA]],Tabla2[#All],3,0),"")</f>
        <v>CEVA</v>
      </c>
      <c r="H191" s="52" t="str">
        <f>IFERROR(VLOOKUP(Tabla1[[#This Row],[RUTA]],Tabla2[[#All],[RUTA]:[PLACAS]],2,0),"")</f>
        <v>BTX-945</v>
      </c>
      <c r="I191" s="52" t="str">
        <f>IFERROR(VLOOKUP(Tabla1[[#This Row],[RUTA]],Tabla2[[#All],[RUTA]:[CONDUCTOR]],4,0),"")</f>
        <v>JESUS</v>
      </c>
      <c r="J191" s="52">
        <f>IFERROR(VLOOKUP(Tabla1[[#This Row],[RUTA]],Tabla2[#All],5,0),"")</f>
        <v>0</v>
      </c>
      <c r="K191" s="53" t="s">
        <v>16</v>
      </c>
      <c r="L191" s="55"/>
      <c r="M191" s="66"/>
      <c r="N191" s="56" t="str">
        <f>IF(Tabla1[[#This Row],[ESTADO]]="ENTREGADO",IF(Tabla1[[#This Row],[OBSERVACIÓN]]="OK","SI","NO"),"")</f>
        <v/>
      </c>
    </row>
    <row r="192" spans="1:14" hidden="1" x14ac:dyDescent="0.2">
      <c r="A192" s="51">
        <v>45128</v>
      </c>
      <c r="B192" s="52" t="s">
        <v>257</v>
      </c>
      <c r="C192" s="52">
        <v>481</v>
      </c>
      <c r="D192" s="52">
        <v>14</v>
      </c>
      <c r="E192" s="52" t="str">
        <f>VLOOKUP(Tabla1[[#This Row],[ID TIENDA]],Guias[],2,0)</f>
        <v>T994-00158761</v>
      </c>
      <c r="F192" s="54">
        <v>1843.73</v>
      </c>
      <c r="G192" s="52" t="str">
        <f>IFERROR(VLOOKUP(Tabla1[[#This Row],[RUTA]],Tabla2[#All],3,0),"")</f>
        <v>CEVA</v>
      </c>
      <c r="H192" s="52" t="str">
        <f>IFERROR(VLOOKUP(Tabla1[[#This Row],[RUTA]],Tabla2[[#All],[RUTA]:[PLACAS]],2,0),"")</f>
        <v>BTX-945</v>
      </c>
      <c r="I192" s="52" t="str">
        <f>IFERROR(VLOOKUP(Tabla1[[#This Row],[RUTA]],Tabla2[[#All],[RUTA]:[CONDUCTOR]],4,0),"")</f>
        <v>JESUS</v>
      </c>
      <c r="J192" s="52">
        <f>IFERROR(VLOOKUP(Tabla1[[#This Row],[RUTA]],Tabla2[#All],5,0),"")</f>
        <v>0</v>
      </c>
      <c r="K192" s="53" t="s">
        <v>16</v>
      </c>
      <c r="L192" s="55"/>
      <c r="M192" s="66"/>
      <c r="N192" s="56" t="str">
        <f>IF(Tabla1[[#This Row],[ESTADO]]="ENTREGADO",IF(Tabla1[[#This Row],[OBSERVACIÓN]]="OK","SI","NO"),"")</f>
        <v/>
      </c>
    </row>
    <row r="193" spans="1:14" hidden="1" x14ac:dyDescent="0.2">
      <c r="A193" s="51">
        <v>45128</v>
      </c>
      <c r="B193" s="52" t="s">
        <v>258</v>
      </c>
      <c r="C193" s="52">
        <v>315</v>
      </c>
      <c r="D193" s="52">
        <v>14</v>
      </c>
      <c r="E193" s="52" t="str">
        <f>VLOOKUP(Tabla1[[#This Row],[ID TIENDA]],Guias[],2,0)</f>
        <v>T994-00158810</v>
      </c>
      <c r="F193" s="54">
        <v>2058.38</v>
      </c>
      <c r="G193" s="52" t="str">
        <f>IFERROR(VLOOKUP(Tabla1[[#This Row],[RUTA]],Tabla2[#All],3,0),"")</f>
        <v>CEVA</v>
      </c>
      <c r="H193" s="52" t="str">
        <f>IFERROR(VLOOKUP(Tabla1[[#This Row],[RUTA]],Tabla2[[#All],[RUTA]:[PLACAS]],2,0),"")</f>
        <v>BTX-945</v>
      </c>
      <c r="I193" s="52" t="str">
        <f>IFERROR(VLOOKUP(Tabla1[[#This Row],[RUTA]],Tabla2[[#All],[RUTA]:[CONDUCTOR]],4,0),"")</f>
        <v>JESUS</v>
      </c>
      <c r="J193" s="52">
        <f>IFERROR(VLOOKUP(Tabla1[[#This Row],[RUTA]],Tabla2[#All],5,0),"")</f>
        <v>0</v>
      </c>
      <c r="K193" s="53" t="s">
        <v>16</v>
      </c>
      <c r="L193" s="55"/>
      <c r="M193" s="66"/>
      <c r="N193" s="56" t="str">
        <f>IF(Tabla1[[#This Row],[ESTADO]]="ENTREGADO",IF(Tabla1[[#This Row],[OBSERVACIÓN]]="OK","SI","NO"),"")</f>
        <v/>
      </c>
    </row>
    <row r="194" spans="1:14" hidden="1" x14ac:dyDescent="0.2">
      <c r="A194" s="51">
        <v>45128</v>
      </c>
      <c r="B194" s="52" t="s">
        <v>259</v>
      </c>
      <c r="C194" s="52">
        <v>305</v>
      </c>
      <c r="D194" s="52">
        <v>14</v>
      </c>
      <c r="E194" s="52" t="str">
        <f>VLOOKUP(Tabla1[[#This Row],[ID TIENDA]],Guias[],2,0)</f>
        <v>T994-00158688</v>
      </c>
      <c r="F194" s="54">
        <v>1928.98</v>
      </c>
      <c r="G194" s="52" t="str">
        <f>IFERROR(VLOOKUP(Tabla1[[#This Row],[RUTA]],Tabla2[#All],3,0),"")</f>
        <v>CEVA</v>
      </c>
      <c r="H194" s="52" t="str">
        <f>IFERROR(VLOOKUP(Tabla1[[#This Row],[RUTA]],Tabla2[[#All],[RUTA]:[PLACAS]],2,0),"")</f>
        <v>BTX-945</v>
      </c>
      <c r="I194" s="52" t="str">
        <f>IFERROR(VLOOKUP(Tabla1[[#This Row],[RUTA]],Tabla2[[#All],[RUTA]:[CONDUCTOR]],4,0),"")</f>
        <v>JESUS</v>
      </c>
      <c r="J194" s="52">
        <f>IFERROR(VLOOKUP(Tabla1[[#This Row],[RUTA]],Tabla2[#All],5,0),"")</f>
        <v>0</v>
      </c>
      <c r="K194" s="53" t="s">
        <v>16</v>
      </c>
      <c r="L194" s="55"/>
      <c r="M194" s="66"/>
      <c r="N194" s="56" t="str">
        <f>IF(Tabla1[[#This Row],[ESTADO]]="ENTREGADO",IF(Tabla1[[#This Row],[OBSERVACIÓN]]="OK","SI","NO"),"")</f>
        <v/>
      </c>
    </row>
    <row r="195" spans="1:14" hidden="1" x14ac:dyDescent="0.2">
      <c r="A195" s="51">
        <v>45128</v>
      </c>
      <c r="B195" s="52" t="s">
        <v>260</v>
      </c>
      <c r="C195" s="52">
        <v>507</v>
      </c>
      <c r="D195" s="52">
        <v>14</v>
      </c>
      <c r="E195" s="52" t="str">
        <f>VLOOKUP(Tabla1[[#This Row],[ID TIENDA]],Guias[],2,0)</f>
        <v>T994-00158775</v>
      </c>
      <c r="F195" s="54">
        <v>1468.55</v>
      </c>
      <c r="G195" s="52" t="str">
        <f>IFERROR(VLOOKUP(Tabla1[[#This Row],[RUTA]],Tabla2[#All],3,0),"")</f>
        <v>CEVA</v>
      </c>
      <c r="H195" s="52" t="str">
        <f>IFERROR(VLOOKUP(Tabla1[[#This Row],[RUTA]],Tabla2[[#All],[RUTA]:[PLACAS]],2,0),"")</f>
        <v>BTX-945</v>
      </c>
      <c r="I195" s="52" t="str">
        <f>IFERROR(VLOOKUP(Tabla1[[#This Row],[RUTA]],Tabla2[[#All],[RUTA]:[CONDUCTOR]],4,0),"")</f>
        <v>JESUS</v>
      </c>
      <c r="J195" s="52">
        <f>IFERROR(VLOOKUP(Tabla1[[#This Row],[RUTA]],Tabla2[#All],5,0),"")</f>
        <v>0</v>
      </c>
      <c r="K195" s="53" t="s">
        <v>16</v>
      </c>
      <c r="L195" s="55"/>
      <c r="M195" s="66"/>
      <c r="N195" s="56" t="str">
        <f>IF(Tabla1[[#This Row],[ESTADO]]="ENTREGADO",IF(Tabla1[[#This Row],[OBSERVACIÓN]]="OK","SI","NO"),"")</f>
        <v/>
      </c>
    </row>
    <row r="196" spans="1:14" hidden="1" x14ac:dyDescent="0.2">
      <c r="A196" s="51">
        <v>45128</v>
      </c>
      <c r="B196" s="52" t="s">
        <v>261</v>
      </c>
      <c r="C196" s="52">
        <v>489</v>
      </c>
      <c r="D196" s="52">
        <v>14</v>
      </c>
      <c r="E196" s="52" t="str">
        <f>VLOOKUP(Tabla1[[#This Row],[ID TIENDA]],Guias[],2,0)</f>
        <v>T994-00158815</v>
      </c>
      <c r="F196" s="54">
        <v>1178.73</v>
      </c>
      <c r="G196" s="52" t="str">
        <f>IFERROR(VLOOKUP(Tabla1[[#This Row],[RUTA]],Tabla2[#All],3,0),"")</f>
        <v>CEVA</v>
      </c>
      <c r="H196" s="52" t="str">
        <f>IFERROR(VLOOKUP(Tabla1[[#This Row],[RUTA]],Tabla2[[#All],[RUTA]:[PLACAS]],2,0),"")</f>
        <v>BTX-945</v>
      </c>
      <c r="I196" s="52" t="str">
        <f>IFERROR(VLOOKUP(Tabla1[[#This Row],[RUTA]],Tabla2[[#All],[RUTA]:[CONDUCTOR]],4,0),"")</f>
        <v>JESUS</v>
      </c>
      <c r="J196" s="52">
        <f>IFERROR(VLOOKUP(Tabla1[[#This Row],[RUTA]],Tabla2[#All],5,0),"")</f>
        <v>0</v>
      </c>
      <c r="K196" s="53" t="s">
        <v>16</v>
      </c>
      <c r="L196" s="55"/>
      <c r="M196" s="66"/>
      <c r="N196" s="56" t="str">
        <f>IF(Tabla1[[#This Row],[ESTADO]]="ENTREGADO",IF(Tabla1[[#This Row],[OBSERVACIÓN]]="OK","SI","NO"),"")</f>
        <v/>
      </c>
    </row>
    <row r="197" spans="1:14" hidden="1" x14ac:dyDescent="0.2">
      <c r="A197" s="51">
        <v>45128</v>
      </c>
      <c r="B197" s="52" t="s">
        <v>262</v>
      </c>
      <c r="C197" s="52">
        <v>45</v>
      </c>
      <c r="D197" s="52">
        <v>14</v>
      </c>
      <c r="E197" s="52" t="str">
        <f>VLOOKUP(Tabla1[[#This Row],[ID TIENDA]],Guias[],2,0)</f>
        <v>T994-00158826</v>
      </c>
      <c r="F197" s="54">
        <v>4576.97</v>
      </c>
      <c r="G197" s="52" t="str">
        <f>IFERROR(VLOOKUP(Tabla1[[#This Row],[RUTA]],Tabla2[#All],3,0),"")</f>
        <v>CEVA</v>
      </c>
      <c r="H197" s="52" t="str">
        <f>IFERROR(VLOOKUP(Tabla1[[#This Row],[RUTA]],Tabla2[[#All],[RUTA]:[PLACAS]],2,0),"")</f>
        <v>BTX-945</v>
      </c>
      <c r="I197" s="52" t="str">
        <f>IFERROR(VLOOKUP(Tabla1[[#This Row],[RUTA]],Tabla2[[#All],[RUTA]:[CONDUCTOR]],4,0),"")</f>
        <v>JESUS</v>
      </c>
      <c r="J197" s="52">
        <f>IFERROR(VLOOKUP(Tabla1[[#This Row],[RUTA]],Tabla2[#All],5,0),"")</f>
        <v>0</v>
      </c>
      <c r="K197" s="53" t="s">
        <v>16</v>
      </c>
      <c r="L197" s="55"/>
      <c r="M197" s="66"/>
      <c r="N197" s="56" t="str">
        <f>IF(Tabla1[[#This Row],[ESTADO]]="ENTREGADO",IF(Tabla1[[#This Row],[OBSERVACIÓN]]="OK","SI","NO"),"")</f>
        <v/>
      </c>
    </row>
    <row r="198" spans="1:14" hidden="1" x14ac:dyDescent="0.2">
      <c r="A198" s="51">
        <v>45128</v>
      </c>
      <c r="B198" s="52" t="s">
        <v>263</v>
      </c>
      <c r="C198" s="52">
        <v>539</v>
      </c>
      <c r="D198" s="52">
        <v>14</v>
      </c>
      <c r="E198" s="52" t="str">
        <f>VLOOKUP(Tabla1[[#This Row],[ID TIENDA]],Guias[],2,0)</f>
        <v>T994-00158720</v>
      </c>
      <c r="F198" s="54">
        <v>3452.2</v>
      </c>
      <c r="G198" s="52" t="str">
        <f>IFERROR(VLOOKUP(Tabla1[[#This Row],[RUTA]],Tabla2[#All],3,0),"")</f>
        <v>CEVA</v>
      </c>
      <c r="H198" s="52" t="str">
        <f>IFERROR(VLOOKUP(Tabla1[[#This Row],[RUTA]],Tabla2[[#All],[RUTA]:[PLACAS]],2,0),"")</f>
        <v>BTX-945</v>
      </c>
      <c r="I198" s="52" t="str">
        <f>IFERROR(VLOOKUP(Tabla1[[#This Row],[RUTA]],Tabla2[[#All],[RUTA]:[CONDUCTOR]],4,0),"")</f>
        <v>JESUS</v>
      </c>
      <c r="J198" s="52">
        <f>IFERROR(VLOOKUP(Tabla1[[#This Row],[RUTA]],Tabla2[#All],5,0),"")</f>
        <v>0</v>
      </c>
      <c r="K198" s="53" t="s">
        <v>16</v>
      </c>
      <c r="L198" s="55"/>
      <c r="M198" s="66"/>
      <c r="N198" s="56" t="str">
        <f>IF(Tabla1[[#This Row],[ESTADO]]="ENTREGADO",IF(Tabla1[[#This Row],[OBSERVACIÓN]]="OK","SI","NO"),"")</f>
        <v/>
      </c>
    </row>
    <row r="199" spans="1:14" x14ac:dyDescent="0.2">
      <c r="A199" s="51">
        <v>45128</v>
      </c>
      <c r="B199" s="52" t="s">
        <v>199</v>
      </c>
      <c r="C199" s="52">
        <v>331</v>
      </c>
      <c r="D199" s="52">
        <v>9</v>
      </c>
      <c r="E199" s="52" t="str">
        <f>VLOOKUP(Tabla1[[#This Row],[ID TIENDA]],Guias[],2,0)</f>
        <v>T994-00158734</v>
      </c>
      <c r="F199" s="54">
        <v>2038.5</v>
      </c>
      <c r="G199" s="52" t="str">
        <f>IFERROR(VLOOKUP(Tabla1[[#This Row],[RUTA]],Tabla2[#All],3,0),"")</f>
        <v>PALOMINO</v>
      </c>
      <c r="H199" s="52" t="str">
        <f>IFERROR(VLOOKUP(Tabla1[[#This Row],[RUTA]],Tabla2[[#All],[RUTA]:[PLACAS]],2,0),"")</f>
        <v>BUC-807</v>
      </c>
      <c r="I199" s="52" t="str">
        <f>IFERROR(VLOOKUP(Tabla1[[#This Row],[RUTA]],Tabla2[[#All],[RUTA]:[CONDUCTOR]],4,0),"")</f>
        <v>Eden</v>
      </c>
      <c r="J199" s="52" t="str">
        <f>IFERROR(VLOOKUP(Tabla1[[#This Row],[RUTA]],Tabla2[#All],5,0),"")</f>
        <v>Alder</v>
      </c>
      <c r="K199" s="53" t="s">
        <v>7</v>
      </c>
      <c r="L199" s="55">
        <v>45128</v>
      </c>
      <c r="M199" s="66" t="s">
        <v>517</v>
      </c>
      <c r="N199" s="56" t="str">
        <f>IF(Tabla1[[#This Row],[ESTADO]]="ENTREGADO",IF(Tabla1[[#This Row],[OBSERVACIÓN]]="OK","SI","NO"),"")</f>
        <v>SI</v>
      </c>
    </row>
    <row r="200" spans="1:14" x14ac:dyDescent="0.2">
      <c r="A200" s="51">
        <v>45128</v>
      </c>
      <c r="B200" s="52" t="s">
        <v>66</v>
      </c>
      <c r="C200" s="52">
        <v>84</v>
      </c>
      <c r="D200" s="52">
        <v>9</v>
      </c>
      <c r="E200" s="52" t="str">
        <f>VLOOKUP(Tabla1[[#This Row],[ID TIENDA]],Guias[],2,0)</f>
        <v>9994-008445128T2CG</v>
      </c>
      <c r="F200" s="54">
        <v>2466.69</v>
      </c>
      <c r="G200" s="52" t="str">
        <f>IFERROR(VLOOKUP(Tabla1[[#This Row],[RUTA]],Tabla2[#All],3,0),"")</f>
        <v>PALOMINO</v>
      </c>
      <c r="H200" s="52" t="str">
        <f>IFERROR(VLOOKUP(Tabla1[[#This Row],[RUTA]],Tabla2[[#All],[RUTA]:[PLACAS]],2,0),"")</f>
        <v>BUC-807</v>
      </c>
      <c r="I200" s="52" t="str">
        <f>IFERROR(VLOOKUP(Tabla1[[#This Row],[RUTA]],Tabla2[[#All],[RUTA]:[CONDUCTOR]],4,0),"")</f>
        <v>Eden</v>
      </c>
      <c r="J200" s="52" t="str">
        <f>IFERROR(VLOOKUP(Tabla1[[#This Row],[RUTA]],Tabla2[#All],5,0),"")</f>
        <v>Alder</v>
      </c>
      <c r="K200" s="53" t="s">
        <v>7</v>
      </c>
      <c r="L200" s="55">
        <v>45128</v>
      </c>
      <c r="M200" s="66" t="s">
        <v>517</v>
      </c>
      <c r="N200" s="56" t="str">
        <f>IF(Tabla1[[#This Row],[ESTADO]]="ENTREGADO",IF(Tabla1[[#This Row],[OBSERVACIÓN]]="OK","SI","NO"),"")</f>
        <v>SI</v>
      </c>
    </row>
    <row r="201" spans="1:14" x14ac:dyDescent="0.2">
      <c r="A201" s="51">
        <v>45128</v>
      </c>
      <c r="B201" s="52" t="s">
        <v>200</v>
      </c>
      <c r="C201" s="52">
        <v>16</v>
      </c>
      <c r="D201" s="52">
        <v>9</v>
      </c>
      <c r="E201" s="52" t="str">
        <f>VLOOKUP(Tabla1[[#This Row],[ID TIENDA]],Guias[],2,0)</f>
        <v>T994-00158726</v>
      </c>
      <c r="F201" s="54">
        <v>3353.32</v>
      </c>
      <c r="G201" s="52" t="str">
        <f>IFERROR(VLOOKUP(Tabla1[[#This Row],[RUTA]],Tabla2[#All],3,0),"")</f>
        <v>PALOMINO</v>
      </c>
      <c r="H201" s="52" t="str">
        <f>IFERROR(VLOOKUP(Tabla1[[#This Row],[RUTA]],Tabla2[[#All],[RUTA]:[PLACAS]],2,0),"")</f>
        <v>BUC-807</v>
      </c>
      <c r="I201" s="52" t="str">
        <f>IFERROR(VLOOKUP(Tabla1[[#This Row],[RUTA]],Tabla2[[#All],[RUTA]:[CONDUCTOR]],4,0),"")</f>
        <v>Eden</v>
      </c>
      <c r="J201" s="52" t="str">
        <f>IFERROR(VLOOKUP(Tabla1[[#This Row],[RUTA]],Tabla2[#All],5,0),"")</f>
        <v>Alder</v>
      </c>
      <c r="K201" s="53" t="s">
        <v>7</v>
      </c>
      <c r="L201" s="55">
        <v>45128</v>
      </c>
      <c r="M201" s="66" t="s">
        <v>517</v>
      </c>
      <c r="N201" s="56" t="str">
        <f>IF(Tabla1[[#This Row],[ESTADO]]="ENTREGADO",IF(Tabla1[[#This Row],[OBSERVACIÓN]]="OK","SI","NO"),"")</f>
        <v>SI</v>
      </c>
    </row>
    <row r="202" spans="1:14" ht="24" x14ac:dyDescent="0.2">
      <c r="A202" s="51">
        <v>45128</v>
      </c>
      <c r="B202" s="52" t="s">
        <v>201</v>
      </c>
      <c r="C202" s="52">
        <v>4</v>
      </c>
      <c r="D202" s="52">
        <v>9</v>
      </c>
      <c r="E202" s="52" t="str">
        <f>VLOOKUP(Tabla1[[#This Row],[ID TIENDA]],Guias[],2,0)</f>
        <v>T994-00158862</v>
      </c>
      <c r="F202" s="54">
        <v>2312.71</v>
      </c>
      <c r="G202" s="52" t="str">
        <f>IFERROR(VLOOKUP(Tabla1[[#This Row],[RUTA]],Tabla2[#All],3,0),"")</f>
        <v>PALOMINO</v>
      </c>
      <c r="H202" s="52" t="str">
        <f>IFERROR(VLOOKUP(Tabla1[[#This Row],[RUTA]],Tabla2[[#All],[RUTA]:[PLACAS]],2,0),"")</f>
        <v>BUC-807</v>
      </c>
      <c r="I202" s="52" t="str">
        <f>IFERROR(VLOOKUP(Tabla1[[#This Row],[RUTA]],Tabla2[[#All],[RUTA]:[CONDUCTOR]],4,0),"")</f>
        <v>Eden</v>
      </c>
      <c r="J202" s="52" t="str">
        <f>IFERROR(VLOOKUP(Tabla1[[#This Row],[RUTA]],Tabla2[#All],5,0),"")</f>
        <v>Alder</v>
      </c>
      <c r="K202" s="53" t="s">
        <v>7</v>
      </c>
      <c r="L202" s="55">
        <v>45128</v>
      </c>
      <c r="M202" s="73" t="s">
        <v>512</v>
      </c>
      <c r="N202" s="56" t="str">
        <f>IF(Tabla1[[#This Row],[ESTADO]]="ENTREGADO",IF(Tabla1[[#This Row],[OBSERVACIÓN]]="OK","SI","NO"),"")</f>
        <v>NO</v>
      </c>
    </row>
    <row r="203" spans="1:14" ht="24" x14ac:dyDescent="0.2">
      <c r="A203" s="51">
        <v>45128</v>
      </c>
      <c r="B203" s="52" t="s">
        <v>202</v>
      </c>
      <c r="C203" s="52">
        <v>266</v>
      </c>
      <c r="D203" s="52">
        <v>9</v>
      </c>
      <c r="E203" s="52" t="str">
        <f>VLOOKUP(Tabla1[[#This Row],[ID TIENDA]],Guias[],2,0)</f>
        <v>T994-00158718</v>
      </c>
      <c r="F203" s="54">
        <v>3887.54</v>
      </c>
      <c r="G203" s="52" t="str">
        <f>IFERROR(VLOOKUP(Tabla1[[#This Row],[RUTA]],Tabla2[#All],3,0),"")</f>
        <v>PALOMINO</v>
      </c>
      <c r="H203" s="52" t="str">
        <f>IFERROR(VLOOKUP(Tabla1[[#This Row],[RUTA]],Tabla2[[#All],[RUTA]:[PLACAS]],2,0),"")</f>
        <v>BUC-807</v>
      </c>
      <c r="I203" s="52" t="str">
        <f>IFERROR(VLOOKUP(Tabla1[[#This Row],[RUTA]],Tabla2[[#All],[RUTA]:[CONDUCTOR]],4,0),"")</f>
        <v>Eden</v>
      </c>
      <c r="J203" s="52" t="str">
        <f>IFERROR(VLOOKUP(Tabla1[[#This Row],[RUTA]],Tabla2[#All],5,0),"")</f>
        <v>Alder</v>
      </c>
      <c r="K203" s="53" t="s">
        <v>7</v>
      </c>
      <c r="L203" s="55">
        <v>45128</v>
      </c>
      <c r="M203" s="73" t="s">
        <v>507</v>
      </c>
      <c r="N203" s="56" t="str">
        <f>IF(Tabla1[[#This Row],[ESTADO]]="ENTREGADO",IF(Tabla1[[#This Row],[OBSERVACIÓN]]="OK","SI","NO"),"")</f>
        <v>NO</v>
      </c>
    </row>
    <row r="204" spans="1:14" x14ac:dyDescent="0.2">
      <c r="A204" s="51">
        <v>45128</v>
      </c>
      <c r="B204" s="52" t="s">
        <v>486</v>
      </c>
      <c r="C204" s="52"/>
      <c r="D204" s="52">
        <v>9</v>
      </c>
      <c r="E204" s="52" t="s">
        <v>491</v>
      </c>
      <c r="F204" s="54"/>
      <c r="G204" s="52" t="str">
        <f>IFERROR(VLOOKUP(Tabla1[[#This Row],[RUTA]],Tabla2[#All],3,0),"")</f>
        <v>PALOMINO</v>
      </c>
      <c r="H204" s="52" t="str">
        <f>IFERROR(VLOOKUP(Tabla1[[#This Row],[RUTA]],Tabla2[[#All],[RUTA]:[PLACAS]],2,0),"")</f>
        <v>BUC-807</v>
      </c>
      <c r="I204" s="52" t="str">
        <f>IFERROR(VLOOKUP(Tabla1[[#This Row],[RUTA]],Tabla2[[#All],[RUTA]:[CONDUCTOR]],4,0),"")</f>
        <v>Eden</v>
      </c>
      <c r="J204" s="52" t="str">
        <f>IFERROR(VLOOKUP(Tabla1[[#This Row],[RUTA]],Tabla2[#All],5,0),"")</f>
        <v>Alder</v>
      </c>
      <c r="K204" s="53" t="s">
        <v>7</v>
      </c>
      <c r="L204" s="55">
        <v>45128</v>
      </c>
      <c r="M204" s="66" t="s">
        <v>517</v>
      </c>
      <c r="N204" s="56" t="str">
        <f>IF(Tabla1[[#This Row],[ESTADO]]="ENTREGADO",IF(Tabla1[[#This Row],[OBSERVACIÓN]]="OK","SI","NO"),"")</f>
        <v>SI</v>
      </c>
    </row>
    <row r="205" spans="1:14" x14ac:dyDescent="0.2">
      <c r="A205" s="51">
        <v>45128</v>
      </c>
      <c r="B205" s="75" t="s">
        <v>498</v>
      </c>
      <c r="C205" s="75"/>
      <c r="D205" s="75">
        <v>9</v>
      </c>
      <c r="E205" s="75" t="s">
        <v>499</v>
      </c>
      <c r="F205" s="76"/>
      <c r="G205" s="75" t="str">
        <f>IFERROR(VLOOKUP(Tabla1[[#This Row],[RUTA]],Tabla2[#All],3,0),"")</f>
        <v>PALOMINO</v>
      </c>
      <c r="H205" s="75" t="str">
        <f>IFERROR(VLOOKUP(Tabla1[[#This Row],[RUTA]],Tabla2[[#All],[RUTA]:[PLACAS]],2,0),"")</f>
        <v>BUC-807</v>
      </c>
      <c r="I205" s="75" t="str">
        <f>IFERROR(VLOOKUP(Tabla1[[#This Row],[RUTA]],Tabla2[[#All],[RUTA]:[CONDUCTOR]],4,0),"")</f>
        <v>Eden</v>
      </c>
      <c r="J205" s="75" t="str">
        <f>IFERROR(VLOOKUP(Tabla1[[#This Row],[RUTA]],Tabla2[#All],5,0),"")</f>
        <v>Alder</v>
      </c>
      <c r="K205" s="53" t="s">
        <v>7</v>
      </c>
      <c r="L205" s="55">
        <v>45128</v>
      </c>
      <c r="M205" s="77" t="s">
        <v>517</v>
      </c>
      <c r="N205" s="78" t="str">
        <f>IF(Tabla1[[#This Row],[ESTADO]]="ENTREGADO",IF(Tabla1[[#This Row],[OBSERVACIÓN]]="OK","SI","NO"),"")</f>
        <v>SI</v>
      </c>
    </row>
    <row r="206" spans="1:14" x14ac:dyDescent="0.2">
      <c r="A206" s="51">
        <v>45128</v>
      </c>
      <c r="B206" s="52" t="s">
        <v>264</v>
      </c>
      <c r="C206" s="52">
        <v>534</v>
      </c>
      <c r="D206" s="52">
        <v>15</v>
      </c>
      <c r="E206" s="52" t="str">
        <f>VLOOKUP(Tabla1[[#This Row],[ID TIENDA]],Guias[],2,0)</f>
        <v>T994-00158752</v>
      </c>
      <c r="F206" s="54">
        <v>46689.08</v>
      </c>
      <c r="G206" s="52" t="str">
        <f>IFERROR(VLOOKUP(Tabla1[[#This Row],[RUTA]],Tabla2[#All],3,0),"")</f>
        <v>PALOMINO</v>
      </c>
      <c r="H206" s="52" t="str">
        <f>IFERROR(VLOOKUP(Tabla1[[#This Row],[RUTA]],Tabla2[[#All],[RUTA]:[PLACAS]],2,0),"")</f>
        <v>BUX-729</v>
      </c>
      <c r="I206" s="52" t="str">
        <f>IFERROR(VLOOKUP(Tabla1[[#This Row],[RUTA]],Tabla2[[#All],[RUTA]:[CONDUCTOR]],4,0),"")</f>
        <v>Palomino</v>
      </c>
      <c r="J206" s="52" t="str">
        <f>IFERROR(VLOOKUP(Tabla1[[#This Row],[RUTA]],Tabla2[#All],5,0),"")</f>
        <v>Aburto</v>
      </c>
      <c r="K206" s="53" t="s">
        <v>16</v>
      </c>
      <c r="L206" s="55"/>
      <c r="M206" s="66"/>
      <c r="N206" s="56" t="str">
        <f>IF(Tabla1[[#This Row],[ESTADO]]="ENTREGADO",IF(Tabla1[[#This Row],[OBSERVACIÓN]]="OK","SI","NO"),"")</f>
        <v/>
      </c>
    </row>
    <row r="207" spans="1:14" x14ac:dyDescent="0.2">
      <c r="A207" s="51">
        <v>45128</v>
      </c>
      <c r="B207" s="52" t="s">
        <v>265</v>
      </c>
      <c r="C207" s="52">
        <v>527</v>
      </c>
      <c r="D207" s="52">
        <v>15</v>
      </c>
      <c r="E207" s="52" t="str">
        <f>VLOOKUP(Tabla1[[#This Row],[ID TIENDA]],Guias[],2,0)</f>
        <v>T994-00158859</v>
      </c>
      <c r="F207" s="54">
        <v>4635.93</v>
      </c>
      <c r="G207" s="52" t="str">
        <f>IFERROR(VLOOKUP(Tabla1[[#This Row],[RUTA]],Tabla2[#All],3,0),"")</f>
        <v>PALOMINO</v>
      </c>
      <c r="H207" s="52" t="str">
        <f>IFERROR(VLOOKUP(Tabla1[[#This Row],[RUTA]],Tabla2[[#All],[RUTA]:[PLACAS]],2,0),"")</f>
        <v>BUX-729</v>
      </c>
      <c r="I207" s="52" t="str">
        <f>IFERROR(VLOOKUP(Tabla1[[#This Row],[RUTA]],Tabla2[[#All],[RUTA]:[CONDUCTOR]],4,0),"")</f>
        <v>Palomino</v>
      </c>
      <c r="J207" s="52" t="str">
        <f>IFERROR(VLOOKUP(Tabla1[[#This Row],[RUTA]],Tabla2[#All],5,0),"")</f>
        <v>Aburto</v>
      </c>
      <c r="K207" s="53" t="s">
        <v>7</v>
      </c>
      <c r="L207" s="55">
        <v>45128</v>
      </c>
      <c r="M207" s="66" t="s">
        <v>517</v>
      </c>
      <c r="N207" s="56" t="str">
        <f>IF(Tabla1[[#This Row],[ESTADO]]="ENTREGADO",IF(Tabla1[[#This Row],[OBSERVACIÓN]]="OK","SI","NO"),"")</f>
        <v>SI</v>
      </c>
    </row>
    <row r="208" spans="1:14" x14ac:dyDescent="0.2">
      <c r="A208" s="51">
        <v>45128</v>
      </c>
      <c r="B208" s="52" t="s">
        <v>266</v>
      </c>
      <c r="C208" s="52">
        <v>494</v>
      </c>
      <c r="D208" s="52">
        <v>15</v>
      </c>
      <c r="E208" s="52" t="str">
        <f>VLOOKUP(Tabla1[[#This Row],[ID TIENDA]],Guias[],2,0)</f>
        <v>T994-00158690</v>
      </c>
      <c r="F208" s="54">
        <v>5780.51</v>
      </c>
      <c r="G208" s="52" t="str">
        <f>IFERROR(VLOOKUP(Tabla1[[#This Row],[RUTA]],Tabla2[#All],3,0),"")</f>
        <v>PALOMINO</v>
      </c>
      <c r="H208" s="52" t="str">
        <f>IFERROR(VLOOKUP(Tabla1[[#This Row],[RUTA]],Tabla2[[#All],[RUTA]:[PLACAS]],2,0),"")</f>
        <v>BUX-729</v>
      </c>
      <c r="I208" s="52" t="str">
        <f>IFERROR(VLOOKUP(Tabla1[[#This Row],[RUTA]],Tabla2[[#All],[RUTA]:[CONDUCTOR]],4,0),"")</f>
        <v>Palomino</v>
      </c>
      <c r="J208" s="52" t="str">
        <f>IFERROR(VLOOKUP(Tabla1[[#This Row],[RUTA]],Tabla2[#All],5,0),"")</f>
        <v>Aburto</v>
      </c>
      <c r="K208" s="53" t="s">
        <v>7</v>
      </c>
      <c r="L208" s="55">
        <v>45129</v>
      </c>
      <c r="M208" s="66" t="s">
        <v>517</v>
      </c>
      <c r="N208" s="56" t="str">
        <f>IF(Tabla1[[#This Row],[ESTADO]]="ENTREGADO",IF(Tabla1[[#This Row],[OBSERVACIÓN]]="OK","SI","NO"),"")</f>
        <v>SI</v>
      </c>
    </row>
    <row r="209" spans="1:14" x14ac:dyDescent="0.2">
      <c r="A209" s="51">
        <v>45128</v>
      </c>
      <c r="B209" s="52" t="s">
        <v>267</v>
      </c>
      <c r="C209" s="52">
        <v>533</v>
      </c>
      <c r="D209" s="52">
        <v>15</v>
      </c>
      <c r="E209" s="52" t="str">
        <f>VLOOKUP(Tabla1[[#This Row],[ID TIENDA]],Guias[],2,0)</f>
        <v>T994-00158683</v>
      </c>
      <c r="F209" s="54">
        <v>3027.29</v>
      </c>
      <c r="G209" s="52" t="str">
        <f>IFERROR(VLOOKUP(Tabla1[[#This Row],[RUTA]],Tabla2[#All],3,0),"")</f>
        <v>PALOMINO</v>
      </c>
      <c r="H209" s="52" t="str">
        <f>IFERROR(VLOOKUP(Tabla1[[#This Row],[RUTA]],Tabla2[[#All],[RUTA]:[PLACAS]],2,0),"")</f>
        <v>BUX-729</v>
      </c>
      <c r="I209" s="52" t="str">
        <f>IFERROR(VLOOKUP(Tabla1[[#This Row],[RUTA]],Tabla2[[#All],[RUTA]:[CONDUCTOR]],4,0),"")</f>
        <v>Palomino</v>
      </c>
      <c r="J209" s="52" t="str">
        <f>IFERROR(VLOOKUP(Tabla1[[#This Row],[RUTA]],Tabla2[#All],5,0),"")</f>
        <v>Aburto</v>
      </c>
      <c r="K209" s="53" t="s">
        <v>7</v>
      </c>
      <c r="L209" s="55">
        <v>45128</v>
      </c>
      <c r="M209" s="66" t="s">
        <v>517</v>
      </c>
      <c r="N209" s="56" t="str">
        <f>IF(Tabla1[[#This Row],[ESTADO]]="ENTREGADO",IF(Tabla1[[#This Row],[OBSERVACIÓN]]="OK","SI","NO"),"")</f>
        <v>SI</v>
      </c>
    </row>
    <row r="210" spans="1:14" x14ac:dyDescent="0.2">
      <c r="A210" s="51">
        <v>45128</v>
      </c>
      <c r="B210" s="52" t="s">
        <v>268</v>
      </c>
      <c r="C210" s="52">
        <v>531</v>
      </c>
      <c r="D210" s="52">
        <v>15</v>
      </c>
      <c r="E210" s="52" t="str">
        <f>VLOOKUP(Tabla1[[#This Row],[ID TIENDA]],Guias[],2,0)</f>
        <v>T994-00158790</v>
      </c>
      <c r="F210" s="54">
        <v>4945.87</v>
      </c>
      <c r="G210" s="52" t="str">
        <f>IFERROR(VLOOKUP(Tabla1[[#This Row],[RUTA]],Tabla2[#All],3,0),"")</f>
        <v>PALOMINO</v>
      </c>
      <c r="H210" s="52" t="str">
        <f>IFERROR(VLOOKUP(Tabla1[[#This Row],[RUTA]],Tabla2[[#All],[RUTA]:[PLACAS]],2,0),"")</f>
        <v>BUX-729</v>
      </c>
      <c r="I210" s="52" t="str">
        <f>IFERROR(VLOOKUP(Tabla1[[#This Row],[RUTA]],Tabla2[[#All],[RUTA]:[CONDUCTOR]],4,0),"")</f>
        <v>Palomino</v>
      </c>
      <c r="J210" s="52" t="str">
        <f>IFERROR(VLOOKUP(Tabla1[[#This Row],[RUTA]],Tabla2[#All],5,0),"")</f>
        <v>Aburto</v>
      </c>
      <c r="K210" s="53" t="s">
        <v>16</v>
      </c>
      <c r="L210" s="55"/>
      <c r="M210" s="66"/>
      <c r="N210" s="56" t="str">
        <f>IF(Tabla1[[#This Row],[ESTADO]]="ENTREGADO",IF(Tabla1[[#This Row],[OBSERVACIÓN]]="OK","SI","NO"),"")</f>
        <v/>
      </c>
    </row>
    <row r="211" spans="1:14" x14ac:dyDescent="0.2">
      <c r="A211" s="51">
        <v>45128</v>
      </c>
      <c r="B211" s="52" t="s">
        <v>269</v>
      </c>
      <c r="C211" s="52">
        <v>535</v>
      </c>
      <c r="D211" s="52">
        <v>15</v>
      </c>
      <c r="E211" s="52" t="str">
        <f>VLOOKUP(Tabla1[[#This Row],[ID TIENDA]],Guias[],2,0)</f>
        <v>T994-00158694</v>
      </c>
      <c r="F211" s="54">
        <v>3265.25</v>
      </c>
      <c r="G211" s="52" t="str">
        <f>IFERROR(VLOOKUP(Tabla1[[#This Row],[RUTA]],Tabla2[#All],3,0),"")</f>
        <v>PALOMINO</v>
      </c>
      <c r="H211" s="52" t="str">
        <f>IFERROR(VLOOKUP(Tabla1[[#This Row],[RUTA]],Tabla2[[#All],[RUTA]:[PLACAS]],2,0),"")</f>
        <v>BUX-729</v>
      </c>
      <c r="I211" s="52" t="str">
        <f>IFERROR(VLOOKUP(Tabla1[[#This Row],[RUTA]],Tabla2[[#All],[RUTA]:[CONDUCTOR]],4,0),"")</f>
        <v>Palomino</v>
      </c>
      <c r="J211" s="52" t="str">
        <f>IFERROR(VLOOKUP(Tabla1[[#This Row],[RUTA]],Tabla2[#All],5,0),"")</f>
        <v>Aburto</v>
      </c>
      <c r="K211" s="53" t="s">
        <v>16</v>
      </c>
      <c r="L211" s="55"/>
      <c r="M211" s="66"/>
      <c r="N211" s="56" t="str">
        <f>IF(Tabla1[[#This Row],[ESTADO]]="ENTREGADO",IF(Tabla1[[#This Row],[OBSERVACIÓN]]="OK","SI","NO"),"")</f>
        <v/>
      </c>
    </row>
    <row r="213" spans="1:14" x14ac:dyDescent="0.2">
      <c r="G213" s="57"/>
      <c r="H213" s="57"/>
    </row>
  </sheetData>
  <conditionalFormatting sqref="K1:L5 K212:L1048576">
    <cfRule type="containsText" dxfId="8" priority="406" operator="containsText" text="REZAGADO">
      <formula>NOT(ISERROR(SEARCH("REZAGADO",K1)))</formula>
    </cfRule>
    <cfRule type="containsText" dxfId="7" priority="407" operator="containsText" text="EN RUTA">
      <formula>NOT(ISERROR(SEARCH("EN RUTA",K1)))</formula>
    </cfRule>
    <cfRule type="containsText" dxfId="6" priority="409" operator="containsText" text="ENTREGADO">
      <formula>NOT(ISERROR(SEARCH("ENTREGADO",K1)))</formula>
    </cfRule>
  </conditionalFormatting>
  <conditionalFormatting sqref="K7:L211">
    <cfRule type="containsText" dxfId="5" priority="4" operator="containsText" text="REZAGADO">
      <formula>NOT(ISERROR(SEARCH("REZAGADO",K7)))</formula>
    </cfRule>
    <cfRule type="containsText" dxfId="4" priority="5" operator="containsText" text="EN RUTA">
      <formula>NOT(ISERROR(SEARCH("EN RUTA",K7)))</formula>
    </cfRule>
    <cfRule type="containsText" dxfId="3" priority="6" operator="containsText" text="ENTREGADO">
      <formula>NOT(ISERROR(SEARCH("ENTREGADO",K7)))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CC402-AAE9-4015-8598-2829CEE6FDC8}">
  <dimension ref="C4:J16"/>
  <sheetViews>
    <sheetView tabSelected="1" zoomScale="145" zoomScaleNormal="145" workbookViewId="0">
      <selection activeCell="F4" sqref="F4:G4"/>
    </sheetView>
  </sheetViews>
  <sheetFormatPr baseColWidth="10" defaultRowHeight="15" x14ac:dyDescent="0.25"/>
  <sheetData>
    <row r="4" spans="3:10" ht="15.75" thickBot="1" x14ac:dyDescent="0.3"/>
    <row r="5" spans="3:10" x14ac:dyDescent="0.25">
      <c r="C5" s="94" t="s">
        <v>537</v>
      </c>
      <c r="D5" s="95"/>
      <c r="E5" s="95"/>
      <c r="F5" s="95"/>
      <c r="G5" s="95"/>
      <c r="H5" s="95"/>
      <c r="I5" s="95"/>
      <c r="J5" s="96"/>
    </row>
    <row r="6" spans="3:10" ht="15.75" thickBot="1" x14ac:dyDescent="0.3">
      <c r="C6" s="97"/>
      <c r="D6" s="98"/>
      <c r="E6" s="98"/>
      <c r="F6" s="98"/>
      <c r="G6" s="98"/>
      <c r="H6" s="98"/>
      <c r="I6" s="98"/>
      <c r="J6" s="99"/>
    </row>
    <row r="7" spans="3:10" ht="15.75" thickBot="1" x14ac:dyDescent="0.3">
      <c r="C7" s="100" t="s">
        <v>538</v>
      </c>
      <c r="D7" s="101"/>
      <c r="E7" s="101"/>
      <c r="F7" s="101"/>
      <c r="G7" s="101"/>
      <c r="H7" s="101"/>
      <c r="I7" s="101"/>
      <c r="J7" s="102"/>
    </row>
    <row r="8" spans="3:10" ht="27" thickBot="1" x14ac:dyDescent="0.3">
      <c r="C8" s="85" t="s">
        <v>539</v>
      </c>
      <c r="D8" s="86" t="s">
        <v>540</v>
      </c>
      <c r="E8" s="86" t="s">
        <v>541</v>
      </c>
      <c r="F8" s="86" t="s">
        <v>542</v>
      </c>
      <c r="G8" s="86" t="s">
        <v>543</v>
      </c>
      <c r="H8" s="86" t="s">
        <v>544</v>
      </c>
      <c r="I8" s="86" t="s">
        <v>545</v>
      </c>
      <c r="J8" s="86" t="s">
        <v>546</v>
      </c>
    </row>
    <row r="9" spans="3:10" ht="15.75" thickBot="1" x14ac:dyDescent="0.3">
      <c r="C9" s="87" t="s">
        <v>547</v>
      </c>
      <c r="D9" s="88" t="s">
        <v>548</v>
      </c>
      <c r="E9" s="88" t="s">
        <v>549</v>
      </c>
      <c r="F9" s="88" t="s">
        <v>550</v>
      </c>
      <c r="G9" s="88" t="s">
        <v>551</v>
      </c>
      <c r="H9" s="88" t="s">
        <v>551</v>
      </c>
      <c r="I9" s="88" t="s">
        <v>551</v>
      </c>
      <c r="J9" s="88"/>
    </row>
    <row r="10" spans="3:10" ht="15.75" thickBot="1" x14ac:dyDescent="0.3">
      <c r="C10" s="87" t="s">
        <v>552</v>
      </c>
      <c r="D10" s="88" t="s">
        <v>553</v>
      </c>
      <c r="E10" s="88" t="s">
        <v>549</v>
      </c>
      <c r="F10" s="88" t="s">
        <v>550</v>
      </c>
      <c r="G10" s="89" t="s">
        <v>551</v>
      </c>
      <c r="H10" s="89" t="s">
        <v>551</v>
      </c>
      <c r="I10" s="89" t="s">
        <v>551</v>
      </c>
      <c r="J10" s="88"/>
    </row>
    <row r="11" spans="3:10" ht="15.75" thickBot="1" x14ac:dyDescent="0.3">
      <c r="C11" s="87" t="s">
        <v>554</v>
      </c>
      <c r="D11" s="88" t="s">
        <v>555</v>
      </c>
      <c r="E11" s="88" t="s">
        <v>549</v>
      </c>
      <c r="F11" s="88" t="s">
        <v>550</v>
      </c>
      <c r="G11" s="89" t="s">
        <v>551</v>
      </c>
      <c r="H11" s="89" t="s">
        <v>551</v>
      </c>
      <c r="I11" s="89" t="s">
        <v>551</v>
      </c>
      <c r="J11" s="88"/>
    </row>
    <row r="12" spans="3:10" ht="15.75" thickBot="1" x14ac:dyDescent="0.3">
      <c r="C12" s="87" t="s">
        <v>556</v>
      </c>
      <c r="D12" s="88" t="s">
        <v>557</v>
      </c>
      <c r="E12" s="88" t="s">
        <v>549</v>
      </c>
      <c r="F12" s="88" t="s">
        <v>550</v>
      </c>
      <c r="G12" s="89" t="s">
        <v>551</v>
      </c>
      <c r="H12" s="89" t="s">
        <v>551</v>
      </c>
      <c r="I12" s="89" t="s">
        <v>551</v>
      </c>
      <c r="J12" s="88"/>
    </row>
    <row r="13" spans="3:10" ht="15.75" thickBot="1" x14ac:dyDescent="0.3">
      <c r="C13" s="103" t="s">
        <v>558</v>
      </c>
      <c r="D13" s="104"/>
      <c r="E13" s="88" t="s">
        <v>559</v>
      </c>
      <c r="F13" s="88" t="s">
        <v>560</v>
      </c>
      <c r="G13" s="89" t="s">
        <v>551</v>
      </c>
      <c r="H13" s="89" t="s">
        <v>551</v>
      </c>
      <c r="I13" s="89" t="s">
        <v>551</v>
      </c>
      <c r="J13" s="88"/>
    </row>
    <row r="14" spans="3:10" ht="25.5" customHeight="1" thickBot="1" x14ac:dyDescent="0.3">
      <c r="C14" s="103" t="s">
        <v>561</v>
      </c>
      <c r="D14" s="104"/>
      <c r="E14" s="103" t="s">
        <v>562</v>
      </c>
      <c r="F14" s="105"/>
      <c r="G14" s="104"/>
      <c r="H14" s="106" t="s">
        <v>563</v>
      </c>
      <c r="I14" s="107"/>
      <c r="J14" s="88"/>
    </row>
    <row r="15" spans="3:10" ht="15.75" thickBot="1" x14ac:dyDescent="0.3">
      <c r="C15" s="90"/>
      <c r="D15" s="91"/>
      <c r="E15" s="91"/>
      <c r="F15" s="91"/>
      <c r="G15" s="90"/>
      <c r="H15" s="90"/>
      <c r="I15" s="90"/>
      <c r="J15" s="90"/>
    </row>
    <row r="16" spans="3:10" ht="15.75" thickBot="1" x14ac:dyDescent="0.3">
      <c r="C16" s="92"/>
      <c r="D16" s="108" t="s">
        <v>564</v>
      </c>
      <c r="E16" s="109"/>
      <c r="F16" s="93" t="s">
        <v>562</v>
      </c>
      <c r="G16" s="90"/>
      <c r="H16" s="90"/>
      <c r="I16" s="90"/>
      <c r="J16" s="90"/>
    </row>
  </sheetData>
  <mergeCells count="7">
    <mergeCell ref="D16:E16"/>
    <mergeCell ref="C5:J6"/>
    <mergeCell ref="C7:J7"/>
    <mergeCell ref="C13:D13"/>
    <mergeCell ref="C14:D14"/>
    <mergeCell ref="E14:G14"/>
    <mergeCell ref="H14:I1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5:O21"/>
  <sheetViews>
    <sheetView showGridLines="0" topLeftCell="A16" workbookViewId="0">
      <selection activeCell="D18" sqref="D18"/>
    </sheetView>
  </sheetViews>
  <sheetFormatPr baseColWidth="10" defaultColWidth="11.5703125" defaultRowHeight="14.25" x14ac:dyDescent="0.3"/>
  <cols>
    <col min="1" max="1" width="22.28515625" style="3" bestFit="1" customWidth="1"/>
    <col min="2" max="2" width="10.140625" style="3" bestFit="1" customWidth="1"/>
    <col min="3" max="4" width="11.5703125" style="3"/>
    <col min="5" max="5" width="22.28515625" style="3" bestFit="1" customWidth="1"/>
    <col min="6" max="6" width="9.7109375" style="3" bestFit="1" customWidth="1"/>
    <col min="7" max="8" width="11.5703125" style="3"/>
    <col min="9" max="9" width="22.28515625" style="3" bestFit="1" customWidth="1"/>
    <col min="10" max="10" width="9.7109375" style="3" bestFit="1" customWidth="1"/>
    <col min="11" max="12" width="11.5703125" style="3"/>
    <col min="13" max="13" width="22.28515625" style="3" bestFit="1" customWidth="1"/>
    <col min="14" max="14" width="9.7109375" style="3" bestFit="1" customWidth="1"/>
    <col min="15" max="16384" width="11.5703125" style="3"/>
  </cols>
  <sheetData>
    <row r="5" spans="1:14" x14ac:dyDescent="0.3">
      <c r="A5" s="3" t="s">
        <v>8</v>
      </c>
      <c r="B5" s="3" t="s">
        <v>11</v>
      </c>
      <c r="E5" s="3" t="s">
        <v>8</v>
      </c>
      <c r="F5" s="3" t="s">
        <v>12</v>
      </c>
      <c r="I5" s="3" t="s">
        <v>8</v>
      </c>
      <c r="J5" s="3" t="s">
        <v>14</v>
      </c>
      <c r="M5" s="3" t="s">
        <v>8</v>
      </c>
      <c r="N5" s="3" t="s">
        <v>13</v>
      </c>
    </row>
    <row r="6" spans="1:14" ht="15" thickBot="1" x14ac:dyDescent="0.35"/>
    <row r="7" spans="1:14" x14ac:dyDescent="0.3">
      <c r="A7" s="6" t="s">
        <v>22</v>
      </c>
      <c r="B7" s="8" t="s">
        <v>23</v>
      </c>
      <c r="E7" s="6" t="s">
        <v>22</v>
      </c>
      <c r="F7" s="8" t="s">
        <v>23</v>
      </c>
      <c r="I7" s="6" t="s">
        <v>22</v>
      </c>
      <c r="J7" s="8" t="s">
        <v>23</v>
      </c>
      <c r="M7" s="6" t="s">
        <v>22</v>
      </c>
      <c r="N7" s="8" t="s">
        <v>23</v>
      </c>
    </row>
    <row r="8" spans="1:14" x14ac:dyDescent="0.3">
      <c r="A8" s="7" t="s">
        <v>7</v>
      </c>
      <c r="B8" s="9">
        <f>COUNTIFS(Tabla1[ESTADO],kpi!A8,Tabla1[PROVEEDOR],kpi!$B$5)</f>
        <v>122</v>
      </c>
      <c r="E8" s="7" t="s">
        <v>7</v>
      </c>
      <c r="F8" s="9">
        <f>COUNTIFS(Tabla1[ESTADO],kpi!E8,Tabla1[PROVEEDOR],$F$5)</f>
        <v>0</v>
      </c>
      <c r="I8" s="7" t="s">
        <v>7</v>
      </c>
      <c r="J8" s="9">
        <f>COUNTIFS(Tabla1[ESTADO],kpi!I8,Tabla1[PROVEEDOR],$J$5)</f>
        <v>0</v>
      </c>
      <c r="M8" s="7" t="s">
        <v>7</v>
      </c>
      <c r="N8" s="9">
        <f>COUNTIFS(Tabla1[ESTADO],kpi!M8,Tabla1[PROVEEDOR],$N$5)</f>
        <v>0</v>
      </c>
    </row>
    <row r="9" spans="1:14" x14ac:dyDescent="0.3">
      <c r="A9" s="7" t="s">
        <v>16</v>
      </c>
      <c r="B9" s="9">
        <f>COUNTIFS(Tabla1[ESTADO],kpi!A9,Tabla1[PROVEEDOR],kpi!$B$5)</f>
        <v>3</v>
      </c>
      <c r="E9" s="7" t="s">
        <v>16</v>
      </c>
      <c r="F9" s="9">
        <f>COUNTIFS(Tabla1[ESTADO],kpi!E9,Tabla1[PROVEEDOR],$F$5)</f>
        <v>0</v>
      </c>
      <c r="I9" s="7" t="s">
        <v>16</v>
      </c>
      <c r="J9" s="9">
        <f>COUNTIFS(Tabla1[ESTADO],kpi!I9,Tabla1[PROVEEDOR],$J$5)</f>
        <v>15</v>
      </c>
      <c r="M9" s="7" t="s">
        <v>16</v>
      </c>
      <c r="N9" s="9">
        <f>COUNTIFS(Tabla1[ESTADO],kpi!M9,Tabla1[PROVEEDOR],$N$5)</f>
        <v>0</v>
      </c>
    </row>
    <row r="10" spans="1:14" ht="15" thickBot="1" x14ac:dyDescent="0.35">
      <c r="A10" s="7" t="s">
        <v>9</v>
      </c>
      <c r="B10" s="9">
        <f>COUNTIFS(Tabla1[ESTADO],kpi!A10,Tabla1[PROVEEDOR],kpi!$B$5)</f>
        <v>0</v>
      </c>
      <c r="E10" s="7" t="s">
        <v>9</v>
      </c>
      <c r="F10" s="9">
        <f>COUNTIFS(Tabla1[ESTADO],kpi!E10,Tabla1[PROVEEDOR],$F$5)</f>
        <v>0</v>
      </c>
      <c r="I10" s="7" t="s">
        <v>9</v>
      </c>
      <c r="J10" s="9">
        <f>COUNTIFS(Tabla1[ESTADO],kpi!I10,Tabla1[PROVEEDOR],$J$5)</f>
        <v>0</v>
      </c>
      <c r="M10" s="7" t="s">
        <v>9</v>
      </c>
      <c r="N10" s="9">
        <f>COUNTIFS(Tabla1[ESTADO],kpi!M10,Tabla1[PROVEEDOR],$N$5)</f>
        <v>0</v>
      </c>
    </row>
    <row r="11" spans="1:14" ht="15" thickBot="1" x14ac:dyDescent="0.35">
      <c r="A11" s="10" t="s">
        <v>18</v>
      </c>
      <c r="B11" s="11">
        <f>SUM(B8:B10)</f>
        <v>125</v>
      </c>
      <c r="E11" s="10" t="s">
        <v>18</v>
      </c>
      <c r="F11" s="11">
        <f>SUM(F8:F10)</f>
        <v>0</v>
      </c>
      <c r="I11" s="10" t="s">
        <v>18</v>
      </c>
      <c r="J11" s="11">
        <f>SUM(J8:J10)</f>
        <v>15</v>
      </c>
      <c r="M11" s="10" t="s">
        <v>18</v>
      </c>
      <c r="N11" s="11">
        <f>SUM(N8:N10)</f>
        <v>0</v>
      </c>
    </row>
    <row r="12" spans="1:14" ht="15" thickBot="1" x14ac:dyDescent="0.35"/>
    <row r="13" spans="1:14" x14ac:dyDescent="0.3">
      <c r="A13" s="6" t="s">
        <v>27</v>
      </c>
      <c r="B13" s="8" t="s">
        <v>23</v>
      </c>
      <c r="E13" s="6" t="s">
        <v>27</v>
      </c>
      <c r="F13" s="8" t="s">
        <v>23</v>
      </c>
      <c r="I13" s="6" t="s">
        <v>27</v>
      </c>
      <c r="J13" s="8" t="s">
        <v>23</v>
      </c>
      <c r="M13" s="6" t="s">
        <v>27</v>
      </c>
      <c r="N13" s="8" t="s">
        <v>23</v>
      </c>
    </row>
    <row r="14" spans="1:14" x14ac:dyDescent="0.3">
      <c r="A14" s="7" t="s">
        <v>17</v>
      </c>
      <c r="B14" s="12">
        <f>B8/B11</f>
        <v>0.97599999999999998</v>
      </c>
      <c r="E14" s="7" t="s">
        <v>17</v>
      </c>
      <c r="F14" s="12" t="e">
        <f>F8/F11</f>
        <v>#DIV/0!</v>
      </c>
      <c r="I14" s="7" t="s">
        <v>17</v>
      </c>
      <c r="J14" s="12">
        <f>J8/J11</f>
        <v>0</v>
      </c>
      <c r="M14" s="7" t="s">
        <v>17</v>
      </c>
      <c r="N14" s="12" t="e">
        <f>N8/N11</f>
        <v>#DIV/0!</v>
      </c>
    </row>
    <row r="15" spans="1:14" x14ac:dyDescent="0.3">
      <c r="A15" s="7" t="s">
        <v>35</v>
      </c>
      <c r="B15" s="12">
        <f>B9/B11</f>
        <v>2.4E-2</v>
      </c>
      <c r="E15" s="7" t="s">
        <v>35</v>
      </c>
      <c r="F15" s="12" t="e">
        <f>F9/F11</f>
        <v>#DIV/0!</v>
      </c>
      <c r="I15" s="7" t="s">
        <v>35</v>
      </c>
      <c r="J15" s="12">
        <f>J9/J11</f>
        <v>1</v>
      </c>
      <c r="M15" s="7" t="s">
        <v>35</v>
      </c>
      <c r="N15" s="12" t="e">
        <f>N9/N11</f>
        <v>#DIV/0!</v>
      </c>
    </row>
    <row r="16" spans="1:14" ht="15" thickBot="1" x14ac:dyDescent="0.35">
      <c r="A16" s="13" t="s">
        <v>20</v>
      </c>
      <c r="B16" s="14">
        <f>B10/B11</f>
        <v>0</v>
      </c>
      <c r="E16" s="13" t="s">
        <v>20</v>
      </c>
      <c r="F16" s="14" t="e">
        <f>F10/F11</f>
        <v>#DIV/0!</v>
      </c>
      <c r="I16" s="13" t="s">
        <v>20</v>
      </c>
      <c r="J16" s="14">
        <f>J10/J11</f>
        <v>0</v>
      </c>
      <c r="M16" s="13" t="s">
        <v>20</v>
      </c>
      <c r="N16" s="14" t="e">
        <f>N10/N11</f>
        <v>#DIV/0!</v>
      </c>
    </row>
    <row r="17" spans="1:15" ht="15" thickBot="1" x14ac:dyDescent="0.35"/>
    <row r="18" spans="1:15" x14ac:dyDescent="0.3">
      <c r="A18" s="17" t="s">
        <v>27</v>
      </c>
      <c r="B18" s="21" t="s">
        <v>23</v>
      </c>
      <c r="C18" s="22" t="s">
        <v>28</v>
      </c>
      <c r="E18" s="17" t="s">
        <v>27</v>
      </c>
      <c r="F18" s="21" t="s">
        <v>23</v>
      </c>
      <c r="G18" s="22" t="s">
        <v>28</v>
      </c>
      <c r="I18" s="17" t="s">
        <v>27</v>
      </c>
      <c r="J18" s="21" t="s">
        <v>23</v>
      </c>
      <c r="K18" s="22" t="s">
        <v>28</v>
      </c>
      <c r="M18" s="17" t="s">
        <v>27</v>
      </c>
      <c r="N18" s="21" t="s">
        <v>23</v>
      </c>
      <c r="O18" s="22" t="s">
        <v>28</v>
      </c>
    </row>
    <row r="19" spans="1:15" ht="15" thickBot="1" x14ac:dyDescent="0.35">
      <c r="A19" s="18" t="s">
        <v>26</v>
      </c>
      <c r="B19" s="19">
        <f>COUNTIFS(Tabla1[ENTREGAS CONFORME],"SI",Tabla1[PROVEEDOR],kpi!$B$5)</f>
        <v>88</v>
      </c>
      <c r="C19" s="20">
        <f>B19/B11</f>
        <v>0.70399999999999996</v>
      </c>
      <c r="E19" s="18" t="s">
        <v>26</v>
      </c>
      <c r="F19" s="19">
        <f>COUNTIFS(Tabla1[ENTREGAS CONFORME],"SI",Tabla1[PROVEEDOR],kpi!$F$5)</f>
        <v>0</v>
      </c>
      <c r="G19" s="20" t="e">
        <f>F19/F11</f>
        <v>#DIV/0!</v>
      </c>
      <c r="I19" s="18" t="s">
        <v>26</v>
      </c>
      <c r="J19" s="19">
        <f>COUNTIFS(Tabla1[ENTREGAS CONFORME],"SI",Tabla1[PROVEEDOR],kpi!$J$5)</f>
        <v>0</v>
      </c>
      <c r="K19" s="20">
        <f>J19/J11</f>
        <v>0</v>
      </c>
      <c r="M19" s="18" t="s">
        <v>26</v>
      </c>
      <c r="N19" s="19">
        <f>COUNTIFS(Tabla1[ENTREGAS CONFORME],"SI",Tabla1[PROVEEDOR],kpi!$N$5)</f>
        <v>0</v>
      </c>
      <c r="O19" s="20" t="e">
        <f>N19/N11</f>
        <v>#DIV/0!</v>
      </c>
    </row>
    <row r="21" spans="1:15" x14ac:dyDescent="0.3">
      <c r="A21" s="3" t="s">
        <v>19</v>
      </c>
      <c r="B21" s="4">
        <f>B11-B8</f>
        <v>3</v>
      </c>
      <c r="E21" s="3" t="s">
        <v>19</v>
      </c>
      <c r="F21" s="4">
        <f>F11-F8</f>
        <v>0</v>
      </c>
      <c r="I21" s="3" t="s">
        <v>19</v>
      </c>
      <c r="J21" s="4">
        <f>J11-J8</f>
        <v>15</v>
      </c>
      <c r="M21" s="3" t="s">
        <v>19</v>
      </c>
      <c r="N21" s="4">
        <f>N11-N8</f>
        <v>0</v>
      </c>
    </row>
  </sheetData>
  <conditionalFormatting sqref="B14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{38C9BA48-8458-4380-9375-9C20D94DDF33}</x14:id>
        </ext>
      </extLst>
    </cfRule>
  </conditionalFormatting>
  <conditionalFormatting sqref="F14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{0DC9C92C-88A7-48DB-BB8F-075D9BCF9F95}</x14:id>
        </ext>
      </extLst>
    </cfRule>
  </conditionalFormatting>
  <conditionalFormatting sqref="J1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{8938D8ED-A87A-49A9-9E26-F46333F2B5A8}</x14:id>
        </ext>
      </extLst>
    </cfRule>
  </conditionalFormatting>
  <conditionalFormatting sqref="N14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{24B75D88-15FC-4284-9C82-3181AE9698B9}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C9BA48-8458-4380-9375-9C20D94DDF3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0DC9C92C-88A7-48DB-BB8F-075D9BCF9F9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8938D8ED-A87A-49A9-9E26-F46333F2B5A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24B75D88-15FC-4284-9C82-3181AE9698B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N14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Tablas!$A$3:$A$6</xm:f>
          </x14:formula1>
          <xm:sqref>B5 F5 N5 J5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5"/>
  <sheetViews>
    <sheetView workbookViewId="0">
      <selection activeCell="A2" sqref="A2"/>
    </sheetView>
  </sheetViews>
  <sheetFormatPr baseColWidth="10" defaultRowHeight="15" x14ac:dyDescent="0.25"/>
  <cols>
    <col min="2" max="2" width="21.140625" bestFit="1" customWidth="1"/>
    <col min="3" max="4" width="12.85546875" customWidth="1"/>
    <col min="5" max="5" width="15" style="44" customWidth="1"/>
    <col min="11" max="11" width="32.42578125" bestFit="1" customWidth="1"/>
    <col min="13" max="13" width="11.5703125" style="46"/>
  </cols>
  <sheetData>
    <row r="1" spans="1:16" x14ac:dyDescent="0.25">
      <c r="A1" s="5" t="s">
        <v>1</v>
      </c>
      <c r="B1" s="15" t="s">
        <v>0</v>
      </c>
      <c r="C1" s="15" t="s">
        <v>8</v>
      </c>
      <c r="D1" s="41" t="s">
        <v>39</v>
      </c>
      <c r="E1" s="41" t="s">
        <v>6</v>
      </c>
      <c r="F1" s="43" t="s">
        <v>40</v>
      </c>
      <c r="G1" s="43" t="s">
        <v>41</v>
      </c>
      <c r="H1" s="43" t="s">
        <v>42</v>
      </c>
      <c r="I1" s="43" t="s">
        <v>46</v>
      </c>
      <c r="J1" s="43" t="s">
        <v>47</v>
      </c>
      <c r="K1" s="43" t="s">
        <v>43</v>
      </c>
      <c r="L1" s="43" t="s">
        <v>44</v>
      </c>
      <c r="M1" s="45" t="s">
        <v>45</v>
      </c>
    </row>
    <row r="2" spans="1:16" ht="15.75" x14ac:dyDescent="0.3">
      <c r="A2" s="39"/>
      <c r="B2" s="1"/>
      <c r="C2" s="1"/>
      <c r="D2" s="42"/>
      <c r="E2" s="40"/>
    </row>
    <row r="3" spans="1:16" ht="15.75" x14ac:dyDescent="0.3">
      <c r="A3" s="39"/>
      <c r="B3" s="1"/>
      <c r="C3" s="1"/>
      <c r="D3" s="42"/>
      <c r="E3" s="40"/>
    </row>
    <row r="4" spans="1:16" ht="15.75" x14ac:dyDescent="0.3">
      <c r="A4" s="39"/>
      <c r="B4" s="1"/>
      <c r="C4" s="1"/>
      <c r="D4" s="42"/>
      <c r="E4" s="40"/>
    </row>
    <row r="5" spans="1:16" ht="15.75" x14ac:dyDescent="0.3">
      <c r="A5" s="39"/>
      <c r="B5" s="1"/>
      <c r="C5" s="1"/>
      <c r="D5" s="42"/>
      <c r="E5" s="40"/>
    </row>
    <row r="6" spans="1:16" ht="15.75" x14ac:dyDescent="0.3">
      <c r="A6" s="39"/>
      <c r="B6" s="1"/>
      <c r="C6" s="1"/>
      <c r="D6" s="42"/>
      <c r="E6" s="40"/>
    </row>
    <row r="7" spans="1:16" ht="15.75" x14ac:dyDescent="0.3">
      <c r="A7" s="39"/>
      <c r="B7" s="35"/>
      <c r="C7" s="1"/>
      <c r="D7" s="42"/>
      <c r="E7" s="40"/>
    </row>
    <row r="8" spans="1:16" ht="15.75" x14ac:dyDescent="0.3">
      <c r="A8" s="39"/>
      <c r="B8" s="35"/>
      <c r="C8" s="1"/>
      <c r="D8" s="42"/>
      <c r="E8" s="40"/>
    </row>
    <row r="9" spans="1:16" ht="15.75" x14ac:dyDescent="0.3">
      <c r="A9" s="39"/>
      <c r="B9" s="35"/>
      <c r="C9" s="1"/>
      <c r="D9" s="42"/>
      <c r="E9" s="40"/>
    </row>
    <row r="10" spans="1:16" ht="15.75" x14ac:dyDescent="0.3">
      <c r="A10" s="39"/>
      <c r="B10" s="35"/>
      <c r="C10" s="1"/>
      <c r="D10" s="42"/>
      <c r="E10" s="40"/>
    </row>
    <row r="11" spans="1:16" ht="15.75" x14ac:dyDescent="0.3">
      <c r="A11" s="39"/>
      <c r="B11" s="35"/>
      <c r="C11" s="1"/>
      <c r="D11" s="42"/>
      <c r="E11" s="40"/>
      <c r="P11" s="63"/>
    </row>
    <row r="12" spans="1:16" ht="15.75" x14ac:dyDescent="0.3">
      <c r="A12" s="39"/>
      <c r="B12" s="35"/>
      <c r="C12" s="1"/>
      <c r="D12" s="42"/>
      <c r="E12" s="40"/>
    </row>
    <row r="13" spans="1:16" ht="15.75" x14ac:dyDescent="0.3">
      <c r="A13" s="39"/>
      <c r="B13" s="35"/>
      <c r="C13" s="1"/>
      <c r="D13" s="42"/>
      <c r="E13" s="40"/>
    </row>
    <row r="14" spans="1:16" ht="15.75" x14ac:dyDescent="0.3">
      <c r="A14" s="39"/>
      <c r="B14" s="35"/>
      <c r="C14" s="1"/>
      <c r="D14" s="42"/>
      <c r="E14" s="40"/>
    </row>
    <row r="15" spans="1:16" ht="15.75" x14ac:dyDescent="0.3">
      <c r="A15" s="39"/>
      <c r="B15" s="35"/>
      <c r="C15" s="1"/>
      <c r="D15" s="42"/>
      <c r="E15" s="40"/>
    </row>
    <row r="16" spans="1:16" ht="15.75" x14ac:dyDescent="0.3">
      <c r="A16" s="39"/>
      <c r="B16" s="35"/>
      <c r="C16" s="1"/>
      <c r="D16" s="42"/>
      <c r="E16" s="40"/>
    </row>
    <row r="17" spans="1:5" ht="15.75" x14ac:dyDescent="0.3">
      <c r="A17" s="39"/>
      <c r="B17" s="35"/>
      <c r="C17" s="1"/>
      <c r="D17" s="42"/>
      <c r="E17" s="40"/>
    </row>
    <row r="18" spans="1:5" ht="15.75" x14ac:dyDescent="0.3">
      <c r="A18" s="39"/>
      <c r="B18" s="35"/>
      <c r="C18" s="1"/>
      <c r="D18" s="42"/>
      <c r="E18" s="40"/>
    </row>
    <row r="19" spans="1:5" ht="15.75" x14ac:dyDescent="0.3">
      <c r="A19" s="39"/>
      <c r="B19" s="35"/>
      <c r="C19" s="1"/>
      <c r="D19" s="42"/>
      <c r="E19" s="40"/>
    </row>
    <row r="20" spans="1:5" ht="15.75" x14ac:dyDescent="0.3">
      <c r="A20" s="39"/>
      <c r="B20" s="35"/>
      <c r="C20" s="1"/>
      <c r="D20" s="42"/>
      <c r="E20" s="40"/>
    </row>
    <row r="21" spans="1:5" ht="15.75" x14ac:dyDescent="0.3">
      <c r="A21" s="39"/>
      <c r="B21" s="35"/>
      <c r="C21" s="1"/>
      <c r="D21" s="42"/>
      <c r="E21" s="40"/>
    </row>
    <row r="22" spans="1:5" ht="15.75" x14ac:dyDescent="0.3">
      <c r="A22" s="39"/>
      <c r="B22" s="35"/>
      <c r="C22" s="1"/>
      <c r="D22" s="42"/>
      <c r="E22" s="40"/>
    </row>
    <row r="23" spans="1:5" ht="15.75" x14ac:dyDescent="0.3">
      <c r="A23" s="39"/>
      <c r="B23" s="35"/>
      <c r="C23" s="1"/>
      <c r="D23" s="42"/>
      <c r="E23" s="40"/>
    </row>
    <row r="24" spans="1:5" ht="15.75" x14ac:dyDescent="0.3">
      <c r="A24" s="39"/>
      <c r="B24" s="35"/>
      <c r="C24" s="1"/>
      <c r="D24" s="42"/>
      <c r="E24" s="40"/>
    </row>
    <row r="25" spans="1:5" ht="15.75" x14ac:dyDescent="0.3">
      <c r="A25" s="39"/>
      <c r="B25" s="35"/>
      <c r="C25" s="1"/>
      <c r="D25" s="42"/>
      <c r="E25" s="40"/>
    </row>
    <row r="26" spans="1:5" ht="15.75" x14ac:dyDescent="0.3">
      <c r="A26" s="39"/>
      <c r="B26" s="35"/>
      <c r="C26" s="1"/>
      <c r="D26" s="42"/>
      <c r="E26" s="40"/>
    </row>
    <row r="27" spans="1:5" ht="15.75" x14ac:dyDescent="0.3">
      <c r="A27" s="39"/>
      <c r="B27" s="35"/>
      <c r="C27" s="1"/>
      <c r="D27" s="42"/>
      <c r="E27" s="40"/>
    </row>
    <row r="28" spans="1:5" ht="15.75" x14ac:dyDescent="0.3">
      <c r="A28" s="39"/>
      <c r="B28" s="35"/>
      <c r="C28" s="1"/>
      <c r="D28" s="42"/>
      <c r="E28" s="40"/>
    </row>
    <row r="29" spans="1:5" ht="15.75" x14ac:dyDescent="0.3">
      <c r="A29" s="39"/>
      <c r="B29" s="35"/>
      <c r="C29" s="1"/>
      <c r="D29" s="42"/>
      <c r="E29" s="40"/>
    </row>
    <row r="30" spans="1:5" ht="15.75" x14ac:dyDescent="0.3">
      <c r="A30" s="39"/>
      <c r="B30" s="35"/>
      <c r="C30" s="1"/>
      <c r="D30" s="42"/>
      <c r="E30" s="40"/>
    </row>
    <row r="31" spans="1:5" ht="15.75" x14ac:dyDescent="0.3">
      <c r="A31" s="39"/>
      <c r="B31" s="35"/>
      <c r="C31" s="1"/>
      <c r="D31" s="42"/>
      <c r="E31" s="40"/>
    </row>
    <row r="32" spans="1:5" ht="15.75" x14ac:dyDescent="0.3">
      <c r="A32" s="39"/>
      <c r="B32" s="35"/>
      <c r="C32" s="1"/>
      <c r="D32" s="42"/>
      <c r="E32" s="40"/>
    </row>
    <row r="33" spans="1:5" ht="15.75" x14ac:dyDescent="0.3">
      <c r="A33" s="39"/>
      <c r="B33" s="35"/>
      <c r="C33" s="1"/>
      <c r="D33" s="42"/>
      <c r="E33" s="40"/>
    </row>
    <row r="34" spans="1:5" ht="15.75" x14ac:dyDescent="0.3">
      <c r="A34" s="39"/>
      <c r="B34" s="35"/>
      <c r="C34" s="1"/>
      <c r="D34" s="42"/>
      <c r="E34" s="40"/>
    </row>
    <row r="35" spans="1:5" ht="15.75" x14ac:dyDescent="0.3">
      <c r="A35" s="39"/>
      <c r="B35" s="35"/>
      <c r="C35" s="1"/>
      <c r="D35" s="42"/>
      <c r="E35" s="40"/>
    </row>
    <row r="36" spans="1:5" ht="15.75" x14ac:dyDescent="0.3">
      <c r="A36" s="39"/>
      <c r="B36" s="35"/>
      <c r="C36" s="1"/>
      <c r="D36" s="42"/>
      <c r="E36" s="40"/>
    </row>
    <row r="37" spans="1:5" ht="15.75" x14ac:dyDescent="0.3">
      <c r="A37" s="39"/>
      <c r="B37" s="35"/>
      <c r="C37" s="1"/>
      <c r="D37" s="42"/>
      <c r="E37" s="40"/>
    </row>
    <row r="38" spans="1:5" ht="15.75" x14ac:dyDescent="0.3">
      <c r="A38" s="39"/>
      <c r="B38" s="35"/>
      <c r="C38" s="1"/>
      <c r="D38" s="42"/>
      <c r="E38" s="40"/>
    </row>
    <row r="39" spans="1:5" ht="15.75" x14ac:dyDescent="0.3">
      <c r="A39" s="39"/>
      <c r="B39" s="35"/>
      <c r="C39" s="1"/>
      <c r="D39" s="42"/>
      <c r="E39" s="40"/>
    </row>
    <row r="40" spans="1:5" ht="15.75" x14ac:dyDescent="0.3">
      <c r="A40" s="39"/>
      <c r="B40" s="35"/>
      <c r="C40" s="1"/>
      <c r="D40" s="42"/>
      <c r="E40" s="40"/>
    </row>
    <row r="41" spans="1:5" ht="15.75" x14ac:dyDescent="0.3">
      <c r="A41" s="39"/>
      <c r="B41" s="35"/>
      <c r="C41" s="1"/>
      <c r="D41" s="42"/>
      <c r="E41" s="40"/>
    </row>
    <row r="42" spans="1:5" ht="15.75" x14ac:dyDescent="0.3">
      <c r="A42" s="39"/>
      <c r="B42" s="35"/>
      <c r="C42" s="1"/>
      <c r="D42" s="42"/>
      <c r="E42" s="40"/>
    </row>
    <row r="43" spans="1:5" ht="15.75" x14ac:dyDescent="0.3">
      <c r="A43" s="39"/>
      <c r="B43" s="35"/>
      <c r="C43" s="1"/>
      <c r="D43" s="42"/>
      <c r="E43" s="40"/>
    </row>
    <row r="44" spans="1:5" ht="15.75" x14ac:dyDescent="0.3">
      <c r="A44" s="39"/>
      <c r="B44" s="35"/>
      <c r="C44" s="1"/>
      <c r="D44" s="42"/>
      <c r="E44" s="40"/>
    </row>
    <row r="45" spans="1:5" ht="15.75" x14ac:dyDescent="0.3">
      <c r="A45" s="39"/>
      <c r="B45" s="35"/>
      <c r="C45" s="1"/>
      <c r="D45" s="42"/>
      <c r="E45" s="40"/>
    </row>
    <row r="46" spans="1:5" ht="15.75" x14ac:dyDescent="0.3">
      <c r="A46" s="39"/>
      <c r="B46" s="35"/>
      <c r="C46" s="1"/>
      <c r="D46" s="42"/>
      <c r="E46" s="40"/>
    </row>
    <row r="47" spans="1:5" ht="15.75" x14ac:dyDescent="0.3">
      <c r="A47" s="39"/>
      <c r="B47" s="35"/>
      <c r="C47" s="1"/>
      <c r="D47" s="42"/>
      <c r="E47" s="40"/>
    </row>
    <row r="48" spans="1:5" ht="15.75" x14ac:dyDescent="0.3">
      <c r="A48" s="39"/>
      <c r="B48" s="35"/>
      <c r="C48" s="1"/>
      <c r="D48" s="42"/>
      <c r="E48" s="40"/>
    </row>
    <row r="49" spans="1:5" ht="15.75" x14ac:dyDescent="0.3">
      <c r="A49" s="39"/>
      <c r="B49" s="35"/>
      <c r="C49" s="1"/>
      <c r="D49" s="42"/>
      <c r="E49" s="40"/>
    </row>
    <row r="50" spans="1:5" ht="15.75" x14ac:dyDescent="0.3">
      <c r="A50" s="39"/>
      <c r="B50" s="35"/>
      <c r="C50" s="1"/>
      <c r="D50" s="42"/>
      <c r="E50" s="40"/>
    </row>
    <row r="51" spans="1:5" ht="15.75" x14ac:dyDescent="0.3">
      <c r="A51" s="39"/>
      <c r="B51" s="35"/>
      <c r="C51" s="1"/>
      <c r="D51" s="42"/>
      <c r="E51" s="40"/>
    </row>
    <row r="52" spans="1:5" ht="15.75" x14ac:dyDescent="0.3">
      <c r="A52" s="39"/>
      <c r="B52" s="35"/>
      <c r="C52" s="1"/>
      <c r="D52" s="42"/>
      <c r="E52" s="40"/>
    </row>
    <row r="53" spans="1:5" ht="15.75" x14ac:dyDescent="0.3">
      <c r="A53" s="39"/>
      <c r="B53" s="35"/>
      <c r="C53" s="1"/>
      <c r="D53" s="42"/>
      <c r="E53" s="40"/>
    </row>
    <row r="54" spans="1:5" ht="15.75" x14ac:dyDescent="0.3">
      <c r="A54" s="39"/>
      <c r="B54" s="35"/>
      <c r="C54" s="1"/>
      <c r="D54" s="42"/>
      <c r="E54" s="40"/>
    </row>
    <row r="55" spans="1:5" ht="15.75" x14ac:dyDescent="0.3">
      <c r="A55" s="39"/>
      <c r="B55" s="35"/>
      <c r="C55" s="1"/>
      <c r="D55" s="42"/>
      <c r="E55" s="40"/>
    </row>
    <row r="56" spans="1:5" ht="15.75" x14ac:dyDescent="0.3">
      <c r="A56" s="39"/>
      <c r="B56" s="35"/>
      <c r="C56" s="1"/>
      <c r="D56" s="42"/>
      <c r="E56" s="40"/>
    </row>
    <row r="57" spans="1:5" ht="15.75" x14ac:dyDescent="0.3">
      <c r="A57" s="39"/>
      <c r="B57" s="35"/>
      <c r="C57" s="1"/>
      <c r="D57" s="42"/>
      <c r="E57" s="40"/>
    </row>
    <row r="58" spans="1:5" ht="15.75" x14ac:dyDescent="0.3">
      <c r="A58" s="39"/>
      <c r="B58" s="35"/>
      <c r="C58" s="1"/>
      <c r="D58" s="42"/>
      <c r="E58" s="40"/>
    </row>
    <row r="59" spans="1:5" ht="15.75" x14ac:dyDescent="0.3">
      <c r="A59" s="39"/>
      <c r="B59" s="35"/>
      <c r="C59" s="1"/>
      <c r="D59" s="42"/>
      <c r="E59" s="40"/>
    </row>
    <row r="60" spans="1:5" ht="15.75" x14ac:dyDescent="0.3">
      <c r="A60" s="39"/>
      <c r="B60" s="35"/>
      <c r="C60" s="1"/>
      <c r="D60" s="42"/>
      <c r="E60" s="40"/>
    </row>
    <row r="61" spans="1:5" ht="15.75" x14ac:dyDescent="0.3">
      <c r="A61" s="39"/>
      <c r="B61" s="35"/>
      <c r="C61" s="1"/>
      <c r="D61" s="42"/>
      <c r="E61" s="40"/>
    </row>
    <row r="62" spans="1:5" ht="15.75" x14ac:dyDescent="0.3">
      <c r="A62" s="39"/>
      <c r="B62" s="35"/>
      <c r="C62" s="1"/>
      <c r="D62" s="42"/>
      <c r="E62" s="40"/>
    </row>
    <row r="63" spans="1:5" ht="15.75" x14ac:dyDescent="0.3">
      <c r="A63" s="39"/>
      <c r="B63" s="35"/>
      <c r="C63" s="1"/>
      <c r="D63" s="42"/>
      <c r="E63" s="40"/>
    </row>
    <row r="64" spans="1:5" ht="15.75" x14ac:dyDescent="0.3">
      <c r="A64" s="39"/>
      <c r="B64" s="35"/>
      <c r="C64" s="1"/>
      <c r="D64" s="42"/>
      <c r="E64" s="40"/>
    </row>
    <row r="65" spans="1:5" ht="15.75" x14ac:dyDescent="0.3">
      <c r="A65" s="39"/>
      <c r="B65" s="35"/>
      <c r="C65" s="1"/>
      <c r="D65" s="42"/>
      <c r="E65" s="40"/>
    </row>
    <row r="66" spans="1:5" ht="15.75" x14ac:dyDescent="0.3">
      <c r="A66" s="39"/>
      <c r="B66" s="35"/>
      <c r="C66" s="1"/>
      <c r="D66" s="42"/>
      <c r="E66" s="40"/>
    </row>
    <row r="67" spans="1:5" ht="15.75" x14ac:dyDescent="0.3">
      <c r="A67" s="39"/>
      <c r="B67" s="35"/>
      <c r="C67" s="1"/>
      <c r="D67" s="42"/>
      <c r="E67" s="40"/>
    </row>
    <row r="68" spans="1:5" ht="15.75" x14ac:dyDescent="0.3">
      <c r="A68" s="39"/>
      <c r="B68" s="35"/>
      <c r="C68" s="1"/>
      <c r="D68" s="42"/>
      <c r="E68" s="40"/>
    </row>
    <row r="69" spans="1:5" ht="15.75" x14ac:dyDescent="0.3">
      <c r="A69" s="39"/>
      <c r="B69" s="35"/>
      <c r="C69" s="1"/>
      <c r="D69" s="42"/>
      <c r="E69" s="40"/>
    </row>
    <row r="70" spans="1:5" ht="15.75" x14ac:dyDescent="0.3">
      <c r="A70" s="39"/>
      <c r="B70" s="35"/>
      <c r="C70" s="1"/>
      <c r="D70" s="42"/>
      <c r="E70" s="40"/>
    </row>
    <row r="71" spans="1:5" ht="15.75" x14ac:dyDescent="0.3">
      <c r="A71" s="39"/>
      <c r="B71" s="35"/>
      <c r="C71" s="1"/>
      <c r="D71" s="42"/>
      <c r="E71" s="40"/>
    </row>
    <row r="72" spans="1:5" ht="15.75" x14ac:dyDescent="0.3">
      <c r="A72" s="39"/>
      <c r="B72" s="35"/>
      <c r="C72" s="1"/>
      <c r="D72" s="42"/>
      <c r="E72" s="40"/>
    </row>
    <row r="73" spans="1:5" ht="15.75" x14ac:dyDescent="0.3">
      <c r="A73" s="39"/>
      <c r="B73" s="35"/>
      <c r="C73" s="1"/>
      <c r="D73" s="42"/>
      <c r="E73" s="40"/>
    </row>
    <row r="74" spans="1:5" ht="15.75" x14ac:dyDescent="0.3">
      <c r="A74" s="39"/>
      <c r="B74" s="35"/>
      <c r="C74" s="1"/>
      <c r="D74" s="42"/>
      <c r="E74" s="40"/>
    </row>
    <row r="75" spans="1:5" ht="15.75" x14ac:dyDescent="0.3">
      <c r="A75" s="39"/>
      <c r="B75" s="35"/>
      <c r="C75" s="1"/>
      <c r="D75" s="42"/>
      <c r="E75" s="40"/>
    </row>
    <row r="76" spans="1:5" ht="15.75" x14ac:dyDescent="0.3">
      <c r="A76" s="39"/>
      <c r="B76" s="35"/>
      <c r="C76" s="1"/>
      <c r="D76" s="42"/>
      <c r="E76" s="40"/>
    </row>
    <row r="77" spans="1:5" ht="15.75" x14ac:dyDescent="0.3">
      <c r="A77" s="39"/>
      <c r="B77" s="35"/>
      <c r="C77" s="1"/>
      <c r="D77" s="42"/>
      <c r="E77" s="40"/>
    </row>
    <row r="78" spans="1:5" ht="15.75" x14ac:dyDescent="0.3">
      <c r="A78" s="39"/>
      <c r="B78" s="35"/>
      <c r="C78" s="1"/>
      <c r="D78" s="42"/>
      <c r="E78" s="40"/>
    </row>
    <row r="79" spans="1:5" ht="15.75" x14ac:dyDescent="0.3">
      <c r="A79" s="39"/>
      <c r="B79" s="35"/>
      <c r="C79" s="1"/>
      <c r="D79" s="42"/>
      <c r="E79" s="40"/>
    </row>
    <row r="80" spans="1:5" ht="15.75" x14ac:dyDescent="0.3">
      <c r="A80" s="39"/>
      <c r="B80" s="35"/>
      <c r="C80" s="1"/>
      <c r="D80" s="42"/>
      <c r="E80" s="40"/>
    </row>
    <row r="81" spans="1:5" ht="15.75" x14ac:dyDescent="0.3">
      <c r="A81" s="39"/>
      <c r="B81" s="35"/>
      <c r="C81" s="1"/>
      <c r="D81" s="42"/>
      <c r="E81" s="40"/>
    </row>
    <row r="82" spans="1:5" ht="15.75" x14ac:dyDescent="0.3">
      <c r="A82" s="39"/>
      <c r="B82" s="35"/>
      <c r="C82" s="1"/>
      <c r="D82" s="42"/>
      <c r="E82" s="40"/>
    </row>
    <row r="83" spans="1:5" ht="15.75" x14ac:dyDescent="0.3">
      <c r="A83" s="39"/>
      <c r="B83" s="35"/>
      <c r="C83" s="1"/>
      <c r="D83" s="42"/>
      <c r="E83" s="40"/>
    </row>
    <row r="84" spans="1:5" ht="15.75" x14ac:dyDescent="0.3">
      <c r="A84" s="39"/>
      <c r="B84" s="35"/>
      <c r="C84" s="1"/>
      <c r="D84" s="42"/>
      <c r="E84" s="40"/>
    </row>
    <row r="85" spans="1:5" ht="15.75" x14ac:dyDescent="0.3">
      <c r="A85" s="39"/>
      <c r="B85" s="35"/>
      <c r="C85" s="1"/>
      <c r="D85" s="42"/>
      <c r="E85" s="40"/>
    </row>
  </sheetData>
  <conditionalFormatting sqref="H1:J1048576">
    <cfRule type="containsText" dxfId="2" priority="1" operator="containsText" text="SOBRANTE">
      <formula>NOT(ISERROR(SEARCH("SOBRANTE",H1)))</formula>
    </cfRule>
    <cfRule type="containsText" dxfId="1" priority="2" operator="containsText" text="FALTANTE">
      <formula>NOT(ISERROR(SEARCH("FALTANTE",H1)))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D9"/>
  <sheetViews>
    <sheetView workbookViewId="0">
      <selection activeCell="B4" sqref="B4"/>
    </sheetView>
  </sheetViews>
  <sheetFormatPr baseColWidth="10" defaultColWidth="11.5703125" defaultRowHeight="14.25" x14ac:dyDescent="0.3"/>
  <cols>
    <col min="1" max="2" width="11.5703125" style="3"/>
    <col min="3" max="3" width="18.28515625" style="3" customWidth="1"/>
    <col min="4" max="16384" width="11.5703125" style="3"/>
  </cols>
  <sheetData>
    <row r="1" spans="1:4" x14ac:dyDescent="0.3">
      <c r="A1" s="23" t="s">
        <v>30</v>
      </c>
      <c r="B1" s="24">
        <v>44975</v>
      </c>
    </row>
    <row r="3" spans="1:4" s="2" customFormat="1" ht="45" customHeight="1" x14ac:dyDescent="0.25">
      <c r="A3" s="59" t="s">
        <v>8</v>
      </c>
      <c r="B3" s="59" t="s">
        <v>23</v>
      </c>
      <c r="C3" s="60" t="s">
        <v>29</v>
      </c>
      <c r="D3" s="60" t="s">
        <v>31</v>
      </c>
    </row>
    <row r="4" spans="1:4" x14ac:dyDescent="0.3">
      <c r="A4" s="16" t="s">
        <v>11</v>
      </c>
      <c r="B4" s="16">
        <f>COUNTIFS(Tabla1[PROVEEDOR],Hoja1!A4)</f>
        <v>125</v>
      </c>
      <c r="C4" s="16">
        <f>COUNTIFS(Tabla1[ENTREGAS CONFORME],"SI",Tabla1[PROVEEDOR],Hoja1!A4)</f>
        <v>88</v>
      </c>
      <c r="D4" s="61">
        <f>IFERROR(C4/B4,"")</f>
        <v>0.70399999999999996</v>
      </c>
    </row>
    <row r="5" spans="1:4" x14ac:dyDescent="0.3">
      <c r="A5" s="16" t="s">
        <v>14</v>
      </c>
      <c r="B5" s="16">
        <f>COUNTIFS(Tabla1[PROVEEDOR],Hoja1!A5)</f>
        <v>15</v>
      </c>
      <c r="C5" s="16">
        <f>COUNTIFS(Tabla1[ENTREGAS CONFORME],"SI",Tabla1[PROVEEDOR],Hoja1!A5)</f>
        <v>0</v>
      </c>
      <c r="D5" s="61">
        <f>IFERROR(C5/B5,"")</f>
        <v>0</v>
      </c>
    </row>
    <row r="6" spans="1:4" x14ac:dyDescent="0.3">
      <c r="A6" s="16" t="s">
        <v>13</v>
      </c>
      <c r="B6" s="16">
        <f>COUNTIFS(Tabla1[PROVEEDOR],Hoja1!A6)</f>
        <v>0</v>
      </c>
      <c r="C6" s="16">
        <f>COUNTIFS(Tabla1[ENTREGAS CONFORME],"SI",Tabla1[PROVEEDOR],Hoja1!A6)</f>
        <v>0</v>
      </c>
      <c r="D6" s="61" t="str">
        <f>IFERROR(C6/B6,"")</f>
        <v/>
      </c>
    </row>
    <row r="7" spans="1:4" x14ac:dyDescent="0.3">
      <c r="A7" s="16" t="s">
        <v>36</v>
      </c>
      <c r="B7" s="16">
        <f>COUNTIFS(Tabla1[PROVEEDOR],Hoja1!A7)</f>
        <v>11</v>
      </c>
      <c r="C7" s="16">
        <f>COUNTIFS(Tabla1[ENTREGAS CONFORME],"SI",Tabla1[PROVEEDOR],Hoja1!A7)</f>
        <v>0</v>
      </c>
      <c r="D7" s="61">
        <f>IFERROR(C7/B7,"")</f>
        <v>0</v>
      </c>
    </row>
    <row r="8" spans="1:4" x14ac:dyDescent="0.3">
      <c r="A8" s="16" t="s">
        <v>48</v>
      </c>
      <c r="B8" s="16">
        <f>COUNTIFS(Tabla1[PROVEEDOR],Hoja1!A8)</f>
        <v>39</v>
      </c>
      <c r="C8" s="16">
        <f>COUNTIFS(Tabla1[ENTREGAS CONFORME],"SI",Tabla1[PROVEEDOR],Hoja1!A8)</f>
        <v>0</v>
      </c>
      <c r="D8" s="61">
        <f>IFERROR(C8/B8,"")</f>
        <v>0</v>
      </c>
    </row>
    <row r="9" spans="1:4" x14ac:dyDescent="0.3">
      <c r="A9" s="62" t="s">
        <v>18</v>
      </c>
      <c r="B9" s="16">
        <f>SUM(B4:B7)</f>
        <v>151</v>
      </c>
      <c r="C9" s="16">
        <f>SUM(C4:C8)</f>
        <v>88</v>
      </c>
      <c r="D9" s="61">
        <f>C9/B9</f>
        <v>0.58278145695364236</v>
      </c>
    </row>
  </sheetData>
  <conditionalFormatting sqref="D4:D8">
    <cfRule type="iconSet" priority="410">
      <iconSet iconSet="3Symbols2">
        <cfvo type="percent" val="0"/>
        <cfvo type="num" val="0.75"/>
        <cfvo type="num" val="0.95"/>
      </iconSet>
    </cfRule>
  </conditionalFormatting>
  <conditionalFormatting sqref="D9">
    <cfRule type="iconSet" priority="1">
      <iconSet iconSet="3Symbols2">
        <cfvo type="percent" val="0"/>
        <cfvo type="num" val="0.75"/>
        <cfvo type="num" val="0.95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2:E199"/>
  <sheetViews>
    <sheetView topLeftCell="A2" workbookViewId="0">
      <selection activeCell="E3" sqref="E3"/>
    </sheetView>
  </sheetViews>
  <sheetFormatPr baseColWidth="10" defaultRowHeight="15" x14ac:dyDescent="0.25"/>
  <cols>
    <col min="1" max="1" width="13.28515625" customWidth="1"/>
  </cols>
  <sheetData>
    <row r="2" spans="1:5" x14ac:dyDescent="0.25">
      <c r="A2" t="s">
        <v>8</v>
      </c>
      <c r="D2" s="25" t="s">
        <v>32</v>
      </c>
      <c r="E2" s="26" t="s">
        <v>33</v>
      </c>
    </row>
    <row r="3" spans="1:5" x14ac:dyDescent="0.25">
      <c r="A3" t="s">
        <v>11</v>
      </c>
      <c r="D3" s="64">
        <v>84</v>
      </c>
      <c r="E3" s="67" t="s">
        <v>270</v>
      </c>
    </row>
    <row r="4" spans="1:5" x14ac:dyDescent="0.25">
      <c r="A4" t="s">
        <v>13</v>
      </c>
      <c r="D4" s="38">
        <v>398</v>
      </c>
      <c r="E4" s="68" t="s">
        <v>271</v>
      </c>
    </row>
    <row r="5" spans="1:5" x14ac:dyDescent="0.25">
      <c r="A5" t="s">
        <v>14</v>
      </c>
      <c r="D5" s="37">
        <v>298</v>
      </c>
      <c r="E5" s="69" t="s">
        <v>272</v>
      </c>
    </row>
    <row r="6" spans="1:5" x14ac:dyDescent="0.25">
      <c r="A6" t="s">
        <v>12</v>
      </c>
      <c r="D6" s="38">
        <v>213</v>
      </c>
      <c r="E6" s="68" t="s">
        <v>273</v>
      </c>
    </row>
    <row r="7" spans="1:5" x14ac:dyDescent="0.25">
      <c r="A7" t="s">
        <v>36</v>
      </c>
      <c r="D7" s="37">
        <v>482</v>
      </c>
      <c r="E7" s="69" t="s">
        <v>274</v>
      </c>
    </row>
    <row r="8" spans="1:5" x14ac:dyDescent="0.25">
      <c r="A8" t="s">
        <v>38</v>
      </c>
      <c r="D8" s="38">
        <v>488</v>
      </c>
      <c r="E8" s="68" t="s">
        <v>275</v>
      </c>
    </row>
    <row r="9" spans="1:5" x14ac:dyDescent="0.25">
      <c r="D9" s="37">
        <v>76</v>
      </c>
      <c r="E9" s="69" t="s">
        <v>276</v>
      </c>
    </row>
    <row r="10" spans="1:5" x14ac:dyDescent="0.25">
      <c r="D10" s="38">
        <v>4</v>
      </c>
      <c r="E10" s="68" t="s">
        <v>277</v>
      </c>
    </row>
    <row r="11" spans="1:5" x14ac:dyDescent="0.25">
      <c r="D11" s="37">
        <v>343</v>
      </c>
      <c r="E11" s="69" t="s">
        <v>278</v>
      </c>
    </row>
    <row r="12" spans="1:5" x14ac:dyDescent="0.25">
      <c r="D12" s="38">
        <v>342</v>
      </c>
      <c r="E12" s="68" t="s">
        <v>279</v>
      </c>
    </row>
    <row r="13" spans="1:5" x14ac:dyDescent="0.25">
      <c r="D13" s="37">
        <v>498</v>
      </c>
      <c r="E13" s="69" t="s">
        <v>280</v>
      </c>
    </row>
    <row r="14" spans="1:5" x14ac:dyDescent="0.25">
      <c r="D14" s="38">
        <v>58</v>
      </c>
      <c r="E14" s="68" t="s">
        <v>281</v>
      </c>
    </row>
    <row r="15" spans="1:5" x14ac:dyDescent="0.25">
      <c r="D15" s="37">
        <v>527</v>
      </c>
      <c r="E15" s="69" t="s">
        <v>282</v>
      </c>
    </row>
    <row r="16" spans="1:5" x14ac:dyDescent="0.25">
      <c r="D16" s="38">
        <v>395</v>
      </c>
      <c r="E16" s="68" t="s">
        <v>283</v>
      </c>
    </row>
    <row r="17" spans="4:5" x14ac:dyDescent="0.25">
      <c r="D17" s="37">
        <v>497</v>
      </c>
      <c r="E17" s="69" t="s">
        <v>284</v>
      </c>
    </row>
    <row r="18" spans="4:5" x14ac:dyDescent="0.25">
      <c r="D18" s="38">
        <v>143</v>
      </c>
      <c r="E18" s="68" t="s">
        <v>285</v>
      </c>
    </row>
    <row r="19" spans="4:5" x14ac:dyDescent="0.25">
      <c r="D19" s="37">
        <v>244</v>
      </c>
      <c r="E19" s="69" t="s">
        <v>286</v>
      </c>
    </row>
    <row r="20" spans="4:5" x14ac:dyDescent="0.25">
      <c r="D20" s="38">
        <v>408</v>
      </c>
      <c r="E20" s="68" t="s">
        <v>287</v>
      </c>
    </row>
    <row r="21" spans="4:5" x14ac:dyDescent="0.25">
      <c r="D21" s="37">
        <v>243</v>
      </c>
      <c r="E21" s="69" t="s">
        <v>288</v>
      </c>
    </row>
    <row r="22" spans="4:5" x14ac:dyDescent="0.25">
      <c r="D22" s="38">
        <v>335</v>
      </c>
      <c r="E22" s="68" t="s">
        <v>289</v>
      </c>
    </row>
    <row r="23" spans="4:5" x14ac:dyDescent="0.25">
      <c r="D23" s="37">
        <v>451</v>
      </c>
      <c r="E23" s="69" t="s">
        <v>290</v>
      </c>
    </row>
    <row r="24" spans="4:5" x14ac:dyDescent="0.25">
      <c r="D24" s="38">
        <v>89</v>
      </c>
      <c r="E24" s="68" t="s">
        <v>291</v>
      </c>
    </row>
    <row r="25" spans="4:5" x14ac:dyDescent="0.25">
      <c r="D25" s="37">
        <v>77</v>
      </c>
      <c r="E25" s="69" t="s">
        <v>292</v>
      </c>
    </row>
    <row r="26" spans="4:5" x14ac:dyDescent="0.25">
      <c r="D26" s="38">
        <v>345</v>
      </c>
      <c r="E26" s="68" t="s">
        <v>293</v>
      </c>
    </row>
    <row r="27" spans="4:5" x14ac:dyDescent="0.25">
      <c r="D27" s="37">
        <v>72</v>
      </c>
      <c r="E27" s="69" t="s">
        <v>294</v>
      </c>
    </row>
    <row r="28" spans="4:5" x14ac:dyDescent="0.25">
      <c r="D28" s="38">
        <v>319</v>
      </c>
      <c r="E28" s="68" t="s">
        <v>295</v>
      </c>
    </row>
    <row r="29" spans="4:5" x14ac:dyDescent="0.25">
      <c r="D29" s="37">
        <v>148</v>
      </c>
      <c r="E29" s="69" t="s">
        <v>296</v>
      </c>
    </row>
    <row r="30" spans="4:5" x14ac:dyDescent="0.25">
      <c r="D30" s="38">
        <v>419</v>
      </c>
      <c r="E30" s="68" t="s">
        <v>297</v>
      </c>
    </row>
    <row r="31" spans="4:5" x14ac:dyDescent="0.25">
      <c r="D31" s="37">
        <v>393</v>
      </c>
      <c r="E31" s="69" t="s">
        <v>298</v>
      </c>
    </row>
    <row r="32" spans="4:5" x14ac:dyDescent="0.25">
      <c r="D32" s="38">
        <v>338</v>
      </c>
      <c r="E32" s="68" t="s">
        <v>299</v>
      </c>
    </row>
    <row r="33" spans="4:5" x14ac:dyDescent="0.25">
      <c r="D33" s="37">
        <v>518</v>
      </c>
      <c r="E33" s="69" t="s">
        <v>300</v>
      </c>
    </row>
    <row r="34" spans="4:5" x14ac:dyDescent="0.25">
      <c r="D34" s="38">
        <v>405</v>
      </c>
      <c r="E34" s="68" t="s">
        <v>301</v>
      </c>
    </row>
    <row r="35" spans="4:5" x14ac:dyDescent="0.25">
      <c r="D35" s="37">
        <v>224</v>
      </c>
      <c r="E35" s="69" t="s">
        <v>302</v>
      </c>
    </row>
    <row r="36" spans="4:5" x14ac:dyDescent="0.25">
      <c r="D36" s="38">
        <v>216</v>
      </c>
      <c r="E36" s="68" t="s">
        <v>303</v>
      </c>
    </row>
    <row r="37" spans="4:5" x14ac:dyDescent="0.25">
      <c r="D37" s="37">
        <v>349</v>
      </c>
      <c r="E37" s="69" t="s">
        <v>304</v>
      </c>
    </row>
    <row r="38" spans="4:5" x14ac:dyDescent="0.25">
      <c r="D38" s="38">
        <v>414</v>
      </c>
      <c r="E38" s="68" t="s">
        <v>305</v>
      </c>
    </row>
    <row r="39" spans="4:5" x14ac:dyDescent="0.25">
      <c r="D39" s="37">
        <v>157</v>
      </c>
      <c r="E39" s="69" t="s">
        <v>306</v>
      </c>
    </row>
    <row r="40" spans="4:5" x14ac:dyDescent="0.25">
      <c r="D40" s="38">
        <v>442</v>
      </c>
      <c r="E40" s="68" t="s">
        <v>307</v>
      </c>
    </row>
    <row r="41" spans="4:5" x14ac:dyDescent="0.25">
      <c r="D41" s="37">
        <v>42</v>
      </c>
      <c r="E41" s="69" t="s">
        <v>308</v>
      </c>
    </row>
    <row r="42" spans="4:5" x14ac:dyDescent="0.25">
      <c r="D42" s="38">
        <v>92</v>
      </c>
      <c r="E42" s="68" t="s">
        <v>309</v>
      </c>
    </row>
    <row r="43" spans="4:5" x14ac:dyDescent="0.25">
      <c r="D43" s="37">
        <v>93</v>
      </c>
      <c r="E43" s="69" t="s">
        <v>310</v>
      </c>
    </row>
    <row r="44" spans="4:5" x14ac:dyDescent="0.25">
      <c r="D44" s="38">
        <v>181</v>
      </c>
      <c r="E44" s="68" t="s">
        <v>311</v>
      </c>
    </row>
    <row r="45" spans="4:5" x14ac:dyDescent="0.25">
      <c r="D45" s="37">
        <v>9</v>
      </c>
      <c r="E45" s="69" t="s">
        <v>312</v>
      </c>
    </row>
    <row r="46" spans="4:5" x14ac:dyDescent="0.25">
      <c r="D46" s="38">
        <v>485</v>
      </c>
      <c r="E46" s="68" t="s">
        <v>313</v>
      </c>
    </row>
    <row r="47" spans="4:5" x14ac:dyDescent="0.25">
      <c r="D47" s="37">
        <v>397</v>
      </c>
      <c r="E47" s="69" t="s">
        <v>314</v>
      </c>
    </row>
    <row r="48" spans="4:5" x14ac:dyDescent="0.25">
      <c r="D48" s="38">
        <v>252</v>
      </c>
      <c r="E48" s="68" t="s">
        <v>315</v>
      </c>
    </row>
    <row r="49" spans="4:5" x14ac:dyDescent="0.25">
      <c r="D49" s="37">
        <v>536</v>
      </c>
      <c r="E49" s="69" t="s">
        <v>316</v>
      </c>
    </row>
    <row r="50" spans="4:5" x14ac:dyDescent="0.25">
      <c r="D50" s="38">
        <v>45</v>
      </c>
      <c r="E50" s="68" t="s">
        <v>317</v>
      </c>
    </row>
    <row r="51" spans="4:5" x14ac:dyDescent="0.25">
      <c r="D51" s="37">
        <v>387</v>
      </c>
      <c r="E51" s="69" t="s">
        <v>318</v>
      </c>
    </row>
    <row r="52" spans="4:5" x14ac:dyDescent="0.25">
      <c r="D52" s="38">
        <v>520</v>
      </c>
      <c r="E52" s="68" t="s">
        <v>319</v>
      </c>
    </row>
    <row r="53" spans="4:5" x14ac:dyDescent="0.25">
      <c r="D53" s="37">
        <v>287</v>
      </c>
      <c r="E53" s="69" t="s">
        <v>320</v>
      </c>
    </row>
    <row r="54" spans="4:5" x14ac:dyDescent="0.25">
      <c r="D54" s="38">
        <v>81</v>
      </c>
      <c r="E54" s="68" t="s">
        <v>321</v>
      </c>
    </row>
    <row r="55" spans="4:5" x14ac:dyDescent="0.25">
      <c r="D55" s="37">
        <v>38</v>
      </c>
      <c r="E55" s="69" t="s">
        <v>322</v>
      </c>
    </row>
    <row r="56" spans="4:5" x14ac:dyDescent="0.25">
      <c r="D56" s="38">
        <v>43</v>
      </c>
      <c r="E56" s="68" t="s">
        <v>323</v>
      </c>
    </row>
    <row r="57" spans="4:5" x14ac:dyDescent="0.25">
      <c r="D57" s="37">
        <v>223</v>
      </c>
      <c r="E57" s="69" t="s">
        <v>324</v>
      </c>
    </row>
    <row r="58" spans="4:5" x14ac:dyDescent="0.25">
      <c r="D58" s="38">
        <v>500</v>
      </c>
      <c r="E58" s="68" t="s">
        <v>325</v>
      </c>
    </row>
    <row r="59" spans="4:5" x14ac:dyDescent="0.25">
      <c r="D59" s="37">
        <v>158</v>
      </c>
      <c r="E59" s="69" t="s">
        <v>326</v>
      </c>
    </row>
    <row r="60" spans="4:5" x14ac:dyDescent="0.25">
      <c r="D60" s="38">
        <v>159</v>
      </c>
      <c r="E60" s="68" t="s">
        <v>327</v>
      </c>
    </row>
    <row r="61" spans="4:5" x14ac:dyDescent="0.25">
      <c r="D61" s="37">
        <v>489</v>
      </c>
      <c r="E61" s="69" t="s">
        <v>328</v>
      </c>
    </row>
    <row r="62" spans="4:5" x14ac:dyDescent="0.25">
      <c r="D62" s="38">
        <v>435</v>
      </c>
      <c r="E62" s="68" t="s">
        <v>329</v>
      </c>
    </row>
    <row r="63" spans="4:5" x14ac:dyDescent="0.25">
      <c r="D63" s="37">
        <v>365</v>
      </c>
      <c r="E63" s="69" t="s">
        <v>330</v>
      </c>
    </row>
    <row r="64" spans="4:5" x14ac:dyDescent="0.25">
      <c r="D64" s="38">
        <v>315</v>
      </c>
      <c r="E64" s="68" t="s">
        <v>331</v>
      </c>
    </row>
    <row r="65" spans="4:5" x14ac:dyDescent="0.25">
      <c r="D65" s="37">
        <v>427</v>
      </c>
      <c r="E65" s="69" t="s">
        <v>332</v>
      </c>
    </row>
    <row r="66" spans="4:5" x14ac:dyDescent="0.25">
      <c r="D66" s="38">
        <v>198</v>
      </c>
      <c r="E66" s="68" t="s">
        <v>333</v>
      </c>
    </row>
    <row r="67" spans="4:5" x14ac:dyDescent="0.25">
      <c r="D67" s="37">
        <v>421</v>
      </c>
      <c r="E67" s="69" t="s">
        <v>334</v>
      </c>
    </row>
    <row r="68" spans="4:5" x14ac:dyDescent="0.25">
      <c r="D68" s="38">
        <v>517</v>
      </c>
      <c r="E68" s="68" t="s">
        <v>335</v>
      </c>
    </row>
    <row r="69" spans="4:5" x14ac:dyDescent="0.25">
      <c r="D69" s="37">
        <v>404</v>
      </c>
      <c r="E69" s="69" t="s">
        <v>336</v>
      </c>
    </row>
    <row r="70" spans="4:5" x14ac:dyDescent="0.25">
      <c r="D70" s="38">
        <v>428</v>
      </c>
      <c r="E70" s="68" t="s">
        <v>337</v>
      </c>
    </row>
    <row r="71" spans="4:5" x14ac:dyDescent="0.25">
      <c r="D71" s="37">
        <v>258</v>
      </c>
      <c r="E71" s="69" t="s">
        <v>338</v>
      </c>
    </row>
    <row r="72" spans="4:5" x14ac:dyDescent="0.25">
      <c r="D72" s="38">
        <v>205</v>
      </c>
      <c r="E72" s="68" t="s">
        <v>339</v>
      </c>
    </row>
    <row r="73" spans="4:5" x14ac:dyDescent="0.25">
      <c r="D73" s="37">
        <v>214</v>
      </c>
      <c r="E73" s="69" t="s">
        <v>340</v>
      </c>
    </row>
    <row r="74" spans="4:5" x14ac:dyDescent="0.25">
      <c r="D74" s="38">
        <v>54</v>
      </c>
      <c r="E74" s="68" t="s">
        <v>341</v>
      </c>
    </row>
    <row r="75" spans="4:5" x14ac:dyDescent="0.25">
      <c r="D75" s="37">
        <v>194</v>
      </c>
      <c r="E75" s="69" t="s">
        <v>342</v>
      </c>
    </row>
    <row r="76" spans="4:5" x14ac:dyDescent="0.25">
      <c r="D76" s="38">
        <v>41</v>
      </c>
      <c r="E76" s="68" t="s">
        <v>343</v>
      </c>
    </row>
    <row r="77" spans="4:5" x14ac:dyDescent="0.25">
      <c r="D77" s="37">
        <v>303</v>
      </c>
      <c r="E77" s="69" t="s">
        <v>344</v>
      </c>
    </row>
    <row r="78" spans="4:5" x14ac:dyDescent="0.25">
      <c r="D78" s="38">
        <v>60</v>
      </c>
      <c r="E78" s="68" t="s">
        <v>345</v>
      </c>
    </row>
    <row r="79" spans="4:5" x14ac:dyDescent="0.25">
      <c r="D79" s="37">
        <v>196</v>
      </c>
      <c r="E79" s="69" t="s">
        <v>346</v>
      </c>
    </row>
    <row r="80" spans="4:5" x14ac:dyDescent="0.25">
      <c r="D80" s="38">
        <v>251</v>
      </c>
      <c r="E80" s="68" t="s">
        <v>347</v>
      </c>
    </row>
    <row r="81" spans="4:5" x14ac:dyDescent="0.25">
      <c r="D81" s="37">
        <v>31</v>
      </c>
      <c r="E81" s="69" t="s">
        <v>348</v>
      </c>
    </row>
    <row r="82" spans="4:5" x14ac:dyDescent="0.25">
      <c r="D82" s="38">
        <v>25</v>
      </c>
      <c r="E82" s="68" t="s">
        <v>349</v>
      </c>
    </row>
    <row r="83" spans="4:5" x14ac:dyDescent="0.25">
      <c r="D83" s="37">
        <v>359</v>
      </c>
      <c r="E83" s="69" t="s">
        <v>350</v>
      </c>
    </row>
    <row r="84" spans="4:5" x14ac:dyDescent="0.25">
      <c r="D84" s="38">
        <v>280</v>
      </c>
      <c r="E84" s="68" t="s">
        <v>351</v>
      </c>
    </row>
    <row r="85" spans="4:5" x14ac:dyDescent="0.25">
      <c r="D85" s="37">
        <v>295</v>
      </c>
      <c r="E85" s="69" t="s">
        <v>352</v>
      </c>
    </row>
    <row r="86" spans="4:5" x14ac:dyDescent="0.25">
      <c r="D86" s="38">
        <v>337</v>
      </c>
      <c r="E86" s="68" t="s">
        <v>353</v>
      </c>
    </row>
    <row r="87" spans="4:5" x14ac:dyDescent="0.25">
      <c r="D87" s="37">
        <v>531</v>
      </c>
      <c r="E87" s="69" t="s">
        <v>354</v>
      </c>
    </row>
    <row r="88" spans="4:5" x14ac:dyDescent="0.25">
      <c r="D88" s="38">
        <v>172</v>
      </c>
      <c r="E88" s="68" t="s">
        <v>355</v>
      </c>
    </row>
    <row r="89" spans="4:5" x14ac:dyDescent="0.25">
      <c r="D89" s="37">
        <v>59</v>
      </c>
      <c r="E89" s="69" t="s">
        <v>356</v>
      </c>
    </row>
    <row r="90" spans="4:5" x14ac:dyDescent="0.25">
      <c r="D90" s="38">
        <v>522</v>
      </c>
      <c r="E90" s="68" t="s">
        <v>357</v>
      </c>
    </row>
    <row r="91" spans="4:5" x14ac:dyDescent="0.25">
      <c r="D91" s="37">
        <v>237</v>
      </c>
      <c r="E91" s="69" t="s">
        <v>358</v>
      </c>
    </row>
    <row r="92" spans="4:5" x14ac:dyDescent="0.25">
      <c r="D92" s="38">
        <v>501</v>
      </c>
      <c r="E92" s="68" t="s">
        <v>359</v>
      </c>
    </row>
    <row r="93" spans="4:5" x14ac:dyDescent="0.25">
      <c r="D93" s="37">
        <v>94</v>
      </c>
      <c r="E93" s="69" t="s">
        <v>360</v>
      </c>
    </row>
    <row r="94" spans="4:5" x14ac:dyDescent="0.25">
      <c r="D94" s="38">
        <v>235</v>
      </c>
      <c r="E94" s="68" t="s">
        <v>361</v>
      </c>
    </row>
    <row r="95" spans="4:5" x14ac:dyDescent="0.25">
      <c r="D95" s="37">
        <v>363</v>
      </c>
      <c r="E95" s="69" t="s">
        <v>362</v>
      </c>
    </row>
    <row r="96" spans="4:5" x14ac:dyDescent="0.25">
      <c r="D96" s="38">
        <v>232</v>
      </c>
      <c r="E96" s="68" t="s">
        <v>363</v>
      </c>
    </row>
    <row r="97" spans="4:5" x14ac:dyDescent="0.25">
      <c r="D97" s="37">
        <v>116</v>
      </c>
      <c r="E97" s="69" t="s">
        <v>364</v>
      </c>
    </row>
    <row r="98" spans="4:5" x14ac:dyDescent="0.25">
      <c r="D98" s="38">
        <v>429</v>
      </c>
      <c r="E98" s="68" t="s">
        <v>365</v>
      </c>
    </row>
    <row r="99" spans="4:5" x14ac:dyDescent="0.25">
      <c r="D99" s="37">
        <v>324</v>
      </c>
      <c r="E99" s="69" t="s">
        <v>366</v>
      </c>
    </row>
    <row r="100" spans="4:5" x14ac:dyDescent="0.25">
      <c r="D100" s="38">
        <v>64</v>
      </c>
      <c r="E100" s="68" t="s">
        <v>367</v>
      </c>
    </row>
    <row r="101" spans="4:5" x14ac:dyDescent="0.25">
      <c r="D101" s="37">
        <v>380</v>
      </c>
      <c r="E101" s="69" t="s">
        <v>368</v>
      </c>
    </row>
    <row r="102" spans="4:5" x14ac:dyDescent="0.25">
      <c r="D102" s="38">
        <v>526</v>
      </c>
      <c r="E102" s="68" t="s">
        <v>369</v>
      </c>
    </row>
    <row r="103" spans="4:5" x14ac:dyDescent="0.25">
      <c r="D103" s="37">
        <v>291</v>
      </c>
      <c r="E103" s="69" t="s">
        <v>370</v>
      </c>
    </row>
    <row r="104" spans="4:5" x14ac:dyDescent="0.25">
      <c r="D104" s="38">
        <v>69</v>
      </c>
      <c r="E104" s="68" t="s">
        <v>371</v>
      </c>
    </row>
    <row r="105" spans="4:5" x14ac:dyDescent="0.25">
      <c r="D105" s="37">
        <v>263</v>
      </c>
      <c r="E105" s="69" t="s">
        <v>372</v>
      </c>
    </row>
    <row r="106" spans="4:5" x14ac:dyDescent="0.25">
      <c r="D106" s="38">
        <v>507</v>
      </c>
      <c r="E106" s="68" t="s">
        <v>373</v>
      </c>
    </row>
    <row r="107" spans="4:5" x14ac:dyDescent="0.25">
      <c r="D107" s="37">
        <v>430</v>
      </c>
      <c r="E107" s="69" t="s">
        <v>374</v>
      </c>
    </row>
    <row r="108" spans="4:5" x14ac:dyDescent="0.25">
      <c r="D108" s="38">
        <v>350</v>
      </c>
      <c r="E108" s="68" t="s">
        <v>375</v>
      </c>
    </row>
    <row r="109" spans="4:5" x14ac:dyDescent="0.25">
      <c r="D109" s="37">
        <v>524</v>
      </c>
      <c r="E109" s="69" t="s">
        <v>376</v>
      </c>
    </row>
    <row r="110" spans="4:5" x14ac:dyDescent="0.25">
      <c r="D110" s="38">
        <v>483</v>
      </c>
      <c r="E110" s="68" t="s">
        <v>377</v>
      </c>
    </row>
    <row r="111" spans="4:5" x14ac:dyDescent="0.25">
      <c r="D111" s="37">
        <v>481</v>
      </c>
      <c r="E111" s="69" t="s">
        <v>378</v>
      </c>
    </row>
    <row r="112" spans="4:5" x14ac:dyDescent="0.25">
      <c r="D112" s="38">
        <v>448</v>
      </c>
      <c r="E112" s="68" t="s">
        <v>379</v>
      </c>
    </row>
    <row r="113" spans="4:5" x14ac:dyDescent="0.25">
      <c r="D113" s="37">
        <v>514</v>
      </c>
      <c r="E113" s="69" t="s">
        <v>380</v>
      </c>
    </row>
    <row r="114" spans="4:5" x14ac:dyDescent="0.25">
      <c r="D114" s="38">
        <v>277</v>
      </c>
      <c r="E114" s="68" t="s">
        <v>381</v>
      </c>
    </row>
    <row r="115" spans="4:5" x14ac:dyDescent="0.25">
      <c r="D115" s="37">
        <v>496</v>
      </c>
      <c r="E115" s="69" t="s">
        <v>382</v>
      </c>
    </row>
    <row r="116" spans="4:5" x14ac:dyDescent="0.25">
      <c r="D116" s="38">
        <v>145</v>
      </c>
      <c r="E116" s="68" t="s">
        <v>383</v>
      </c>
    </row>
    <row r="117" spans="4:5" x14ac:dyDescent="0.25">
      <c r="D117" s="37">
        <v>437</v>
      </c>
      <c r="E117" s="69" t="s">
        <v>384</v>
      </c>
    </row>
    <row r="118" spans="4:5" x14ac:dyDescent="0.25">
      <c r="D118" s="38">
        <v>458</v>
      </c>
      <c r="E118" s="68" t="s">
        <v>385</v>
      </c>
    </row>
    <row r="119" spans="4:5" x14ac:dyDescent="0.25">
      <c r="D119" s="37">
        <v>171</v>
      </c>
      <c r="E119" s="69" t="s">
        <v>386</v>
      </c>
    </row>
    <row r="120" spans="4:5" x14ac:dyDescent="0.25">
      <c r="D120" s="38">
        <v>107</v>
      </c>
      <c r="E120" s="68" t="s">
        <v>387</v>
      </c>
    </row>
    <row r="121" spans="4:5" x14ac:dyDescent="0.25">
      <c r="D121" s="37">
        <v>187</v>
      </c>
      <c r="E121" s="69" t="s">
        <v>388</v>
      </c>
    </row>
    <row r="122" spans="4:5" x14ac:dyDescent="0.25">
      <c r="D122" s="38">
        <v>534</v>
      </c>
      <c r="E122" s="68" t="s">
        <v>389</v>
      </c>
    </row>
    <row r="123" spans="4:5" x14ac:dyDescent="0.25">
      <c r="D123" s="37">
        <v>322</v>
      </c>
      <c r="E123" s="69" t="s">
        <v>390</v>
      </c>
    </row>
    <row r="124" spans="4:5" x14ac:dyDescent="0.25">
      <c r="D124" s="38">
        <v>53</v>
      </c>
      <c r="E124" s="68" t="s">
        <v>391</v>
      </c>
    </row>
    <row r="125" spans="4:5" x14ac:dyDescent="0.25">
      <c r="D125" s="37">
        <v>10</v>
      </c>
      <c r="E125" s="69" t="s">
        <v>392</v>
      </c>
    </row>
    <row r="126" spans="4:5" x14ac:dyDescent="0.25">
      <c r="D126" s="38">
        <v>217</v>
      </c>
      <c r="E126" s="68" t="s">
        <v>393</v>
      </c>
    </row>
    <row r="127" spans="4:5" x14ac:dyDescent="0.25">
      <c r="D127" s="37">
        <v>472</v>
      </c>
      <c r="E127" s="69" t="s">
        <v>394</v>
      </c>
    </row>
    <row r="128" spans="4:5" x14ac:dyDescent="0.25">
      <c r="D128" s="38">
        <v>510</v>
      </c>
      <c r="E128" s="68" t="s">
        <v>395</v>
      </c>
    </row>
    <row r="129" spans="4:5" x14ac:dyDescent="0.25">
      <c r="D129" s="37">
        <v>312</v>
      </c>
      <c r="E129" s="69" t="s">
        <v>396</v>
      </c>
    </row>
    <row r="130" spans="4:5" x14ac:dyDescent="0.25">
      <c r="D130" s="38">
        <v>314</v>
      </c>
      <c r="E130" s="68" t="s">
        <v>397</v>
      </c>
    </row>
    <row r="131" spans="4:5" x14ac:dyDescent="0.25">
      <c r="D131" s="37">
        <v>505</v>
      </c>
      <c r="E131" s="69" t="s">
        <v>398</v>
      </c>
    </row>
    <row r="132" spans="4:5" x14ac:dyDescent="0.25">
      <c r="D132" s="38">
        <v>23</v>
      </c>
      <c r="E132" s="68" t="s">
        <v>399</v>
      </c>
    </row>
    <row r="133" spans="4:5" x14ac:dyDescent="0.25">
      <c r="D133" s="37">
        <v>18</v>
      </c>
      <c r="E133" s="69" t="s">
        <v>400</v>
      </c>
    </row>
    <row r="134" spans="4:5" x14ac:dyDescent="0.25">
      <c r="D134" s="38">
        <v>278</v>
      </c>
      <c r="E134" s="68" t="s">
        <v>401</v>
      </c>
    </row>
    <row r="135" spans="4:5" x14ac:dyDescent="0.25">
      <c r="D135" s="37">
        <v>276</v>
      </c>
      <c r="E135" s="69" t="s">
        <v>402</v>
      </c>
    </row>
    <row r="136" spans="4:5" x14ac:dyDescent="0.25">
      <c r="D136" s="38">
        <v>491</v>
      </c>
      <c r="E136" s="68" t="s">
        <v>403</v>
      </c>
    </row>
    <row r="137" spans="4:5" x14ac:dyDescent="0.25">
      <c r="D137" s="37">
        <v>146</v>
      </c>
      <c r="E137" s="69" t="s">
        <v>404</v>
      </c>
    </row>
    <row r="138" spans="4:5" x14ac:dyDescent="0.25">
      <c r="D138" s="38">
        <v>175</v>
      </c>
      <c r="E138" s="68" t="s">
        <v>405</v>
      </c>
    </row>
    <row r="139" spans="4:5" x14ac:dyDescent="0.25">
      <c r="D139" s="37">
        <v>331</v>
      </c>
      <c r="E139" s="69" t="s">
        <v>406</v>
      </c>
    </row>
    <row r="140" spans="4:5" x14ac:dyDescent="0.25">
      <c r="D140" s="38">
        <v>272</v>
      </c>
      <c r="E140" s="68" t="s">
        <v>407</v>
      </c>
    </row>
    <row r="141" spans="4:5" x14ac:dyDescent="0.25">
      <c r="D141" s="37">
        <v>185</v>
      </c>
      <c r="E141" s="69" t="s">
        <v>408</v>
      </c>
    </row>
    <row r="142" spans="4:5" x14ac:dyDescent="0.25">
      <c r="D142" s="38">
        <v>479</v>
      </c>
      <c r="E142" s="68" t="s">
        <v>409</v>
      </c>
    </row>
    <row r="143" spans="4:5" x14ac:dyDescent="0.25">
      <c r="D143" s="37">
        <v>329</v>
      </c>
      <c r="E143" s="69" t="s">
        <v>410</v>
      </c>
    </row>
    <row r="144" spans="4:5" x14ac:dyDescent="0.25">
      <c r="D144" s="38">
        <v>170</v>
      </c>
      <c r="E144" s="68" t="s">
        <v>411</v>
      </c>
    </row>
    <row r="145" spans="4:5" x14ac:dyDescent="0.25">
      <c r="D145" s="37">
        <v>70</v>
      </c>
      <c r="E145" s="69" t="s">
        <v>412</v>
      </c>
    </row>
    <row r="146" spans="4:5" x14ac:dyDescent="0.25">
      <c r="D146" s="38">
        <v>487</v>
      </c>
      <c r="E146" s="68" t="s">
        <v>413</v>
      </c>
    </row>
    <row r="147" spans="4:5" x14ac:dyDescent="0.25">
      <c r="D147" s="37">
        <v>226</v>
      </c>
      <c r="E147" s="69" t="s">
        <v>414</v>
      </c>
    </row>
    <row r="148" spans="4:5" x14ac:dyDescent="0.25">
      <c r="D148" s="38">
        <v>83</v>
      </c>
      <c r="E148" s="68" t="s">
        <v>415</v>
      </c>
    </row>
    <row r="149" spans="4:5" x14ac:dyDescent="0.25">
      <c r="D149" s="37">
        <v>16</v>
      </c>
      <c r="E149" s="69" t="s">
        <v>416</v>
      </c>
    </row>
    <row r="150" spans="4:5" x14ac:dyDescent="0.25">
      <c r="D150" s="38">
        <v>55</v>
      </c>
      <c r="E150" s="68" t="s">
        <v>417</v>
      </c>
    </row>
    <row r="151" spans="4:5" x14ac:dyDescent="0.25">
      <c r="D151" s="37">
        <v>539</v>
      </c>
      <c r="E151" s="69" t="s">
        <v>418</v>
      </c>
    </row>
    <row r="152" spans="4:5" x14ac:dyDescent="0.25">
      <c r="D152" s="38">
        <v>138</v>
      </c>
      <c r="E152" s="68" t="s">
        <v>419</v>
      </c>
    </row>
    <row r="153" spans="4:5" x14ac:dyDescent="0.25">
      <c r="D153" s="37">
        <v>352</v>
      </c>
      <c r="E153" s="69" t="s">
        <v>420</v>
      </c>
    </row>
    <row r="154" spans="4:5" x14ac:dyDescent="0.25">
      <c r="D154" s="38">
        <v>424</v>
      </c>
      <c r="E154" s="68" t="s">
        <v>421</v>
      </c>
    </row>
    <row r="155" spans="4:5" x14ac:dyDescent="0.25">
      <c r="D155" s="37">
        <v>449</v>
      </c>
      <c r="E155" s="69" t="s">
        <v>422</v>
      </c>
    </row>
    <row r="156" spans="4:5" x14ac:dyDescent="0.25">
      <c r="D156" s="38">
        <v>126</v>
      </c>
      <c r="E156" s="68" t="s">
        <v>423</v>
      </c>
    </row>
    <row r="157" spans="4:5" x14ac:dyDescent="0.25">
      <c r="D157" s="37">
        <v>266</v>
      </c>
      <c r="E157" s="69" t="s">
        <v>424</v>
      </c>
    </row>
    <row r="158" spans="4:5" x14ac:dyDescent="0.25">
      <c r="D158" s="38">
        <v>30</v>
      </c>
      <c r="E158" s="68" t="s">
        <v>425</v>
      </c>
    </row>
    <row r="159" spans="4:5" x14ac:dyDescent="0.25">
      <c r="D159" s="37">
        <v>37</v>
      </c>
      <c r="E159" s="69" t="s">
        <v>426</v>
      </c>
    </row>
    <row r="160" spans="4:5" x14ac:dyDescent="0.25">
      <c r="D160" s="38">
        <v>182</v>
      </c>
      <c r="E160" s="68" t="s">
        <v>427</v>
      </c>
    </row>
    <row r="161" spans="4:5" x14ac:dyDescent="0.25">
      <c r="D161" s="37">
        <v>336</v>
      </c>
      <c r="E161" s="69" t="s">
        <v>428</v>
      </c>
    </row>
    <row r="162" spans="4:5" x14ac:dyDescent="0.25">
      <c r="D162" s="38">
        <v>389</v>
      </c>
      <c r="E162" s="68" t="s">
        <v>429</v>
      </c>
    </row>
    <row r="163" spans="4:5" x14ac:dyDescent="0.25">
      <c r="D163" s="37">
        <v>475</v>
      </c>
      <c r="E163" s="69" t="s">
        <v>430</v>
      </c>
    </row>
    <row r="164" spans="4:5" x14ac:dyDescent="0.25">
      <c r="D164" s="38">
        <v>250</v>
      </c>
      <c r="E164" s="68" t="s">
        <v>431</v>
      </c>
    </row>
    <row r="165" spans="4:5" x14ac:dyDescent="0.25">
      <c r="D165" s="37">
        <v>495</v>
      </c>
      <c r="E165" s="69" t="s">
        <v>432</v>
      </c>
    </row>
    <row r="166" spans="4:5" x14ac:dyDescent="0.25">
      <c r="D166" s="38">
        <v>274</v>
      </c>
      <c r="E166" s="68" t="s">
        <v>433</v>
      </c>
    </row>
    <row r="167" spans="4:5" x14ac:dyDescent="0.25">
      <c r="D167" s="37">
        <v>310</v>
      </c>
      <c r="E167" s="69" t="s">
        <v>434</v>
      </c>
    </row>
    <row r="168" spans="4:5" x14ac:dyDescent="0.25">
      <c r="D168" s="38">
        <v>227</v>
      </c>
      <c r="E168" s="68" t="s">
        <v>435</v>
      </c>
    </row>
    <row r="169" spans="4:5" x14ac:dyDescent="0.25">
      <c r="D169" s="37">
        <v>374</v>
      </c>
      <c r="E169" s="69" t="s">
        <v>436</v>
      </c>
    </row>
    <row r="170" spans="4:5" x14ac:dyDescent="0.25">
      <c r="D170" s="38">
        <v>62</v>
      </c>
      <c r="E170" s="68" t="s">
        <v>437</v>
      </c>
    </row>
    <row r="171" spans="4:5" x14ac:dyDescent="0.25">
      <c r="D171" s="37">
        <v>275</v>
      </c>
      <c r="E171" s="69" t="s">
        <v>438</v>
      </c>
    </row>
    <row r="172" spans="4:5" x14ac:dyDescent="0.25">
      <c r="D172" s="38">
        <v>409</v>
      </c>
      <c r="E172" s="68" t="s">
        <v>439</v>
      </c>
    </row>
    <row r="173" spans="4:5" x14ac:dyDescent="0.25">
      <c r="D173" s="37">
        <v>231</v>
      </c>
      <c r="E173" s="69" t="s">
        <v>440</v>
      </c>
    </row>
    <row r="174" spans="4:5" x14ac:dyDescent="0.25">
      <c r="D174" s="38">
        <v>210</v>
      </c>
      <c r="E174" s="68" t="s">
        <v>441</v>
      </c>
    </row>
    <row r="175" spans="4:5" x14ac:dyDescent="0.25">
      <c r="D175" s="37">
        <v>104</v>
      </c>
      <c r="E175" s="69" t="s">
        <v>442</v>
      </c>
    </row>
    <row r="176" spans="4:5" x14ac:dyDescent="0.25">
      <c r="D176" s="38">
        <v>140</v>
      </c>
      <c r="E176" s="68" t="s">
        <v>443</v>
      </c>
    </row>
    <row r="177" spans="4:5" x14ac:dyDescent="0.25">
      <c r="D177" s="37">
        <v>32</v>
      </c>
      <c r="E177" s="69" t="s">
        <v>444</v>
      </c>
    </row>
    <row r="178" spans="4:5" x14ac:dyDescent="0.25">
      <c r="D178" s="38">
        <v>160</v>
      </c>
      <c r="E178" s="68" t="s">
        <v>445</v>
      </c>
    </row>
    <row r="179" spans="4:5" x14ac:dyDescent="0.25">
      <c r="D179" s="37">
        <v>245</v>
      </c>
      <c r="E179" s="69" t="s">
        <v>446</v>
      </c>
    </row>
    <row r="180" spans="4:5" x14ac:dyDescent="0.25">
      <c r="D180" s="38">
        <v>535</v>
      </c>
      <c r="E180" s="68" t="s">
        <v>447</v>
      </c>
    </row>
    <row r="181" spans="4:5" x14ac:dyDescent="0.25">
      <c r="D181" s="37">
        <v>493</v>
      </c>
      <c r="E181" s="69" t="s">
        <v>448</v>
      </c>
    </row>
    <row r="182" spans="4:5" x14ac:dyDescent="0.25">
      <c r="D182" s="38">
        <v>494</v>
      </c>
      <c r="E182" s="68" t="s">
        <v>449</v>
      </c>
    </row>
    <row r="183" spans="4:5" x14ac:dyDescent="0.25">
      <c r="D183" s="37">
        <v>132</v>
      </c>
      <c r="E183" s="69" t="s">
        <v>450</v>
      </c>
    </row>
    <row r="184" spans="4:5" x14ac:dyDescent="0.25">
      <c r="D184" s="38">
        <v>102</v>
      </c>
      <c r="E184" s="68" t="s">
        <v>451</v>
      </c>
    </row>
    <row r="185" spans="4:5" x14ac:dyDescent="0.25">
      <c r="D185" s="37">
        <v>108</v>
      </c>
      <c r="E185" s="69" t="s">
        <v>452</v>
      </c>
    </row>
    <row r="186" spans="4:5" x14ac:dyDescent="0.25">
      <c r="D186" s="38">
        <v>347</v>
      </c>
      <c r="E186" s="68" t="s">
        <v>453</v>
      </c>
    </row>
    <row r="187" spans="4:5" x14ac:dyDescent="0.25">
      <c r="D187" s="37">
        <v>326</v>
      </c>
      <c r="E187" s="69" t="s">
        <v>454</v>
      </c>
    </row>
    <row r="188" spans="4:5" x14ac:dyDescent="0.25">
      <c r="D188" s="38">
        <v>533</v>
      </c>
      <c r="E188" s="68" t="s">
        <v>455</v>
      </c>
    </row>
    <row r="189" spans="4:5" x14ac:dyDescent="0.25">
      <c r="D189" s="37">
        <v>88</v>
      </c>
      <c r="E189" s="69" t="s">
        <v>456</v>
      </c>
    </row>
    <row r="190" spans="4:5" x14ac:dyDescent="0.25">
      <c r="D190" s="38">
        <v>332</v>
      </c>
      <c r="E190" s="68" t="s">
        <v>457</v>
      </c>
    </row>
    <row r="191" spans="4:5" x14ac:dyDescent="0.25">
      <c r="D191" s="37">
        <v>305</v>
      </c>
      <c r="E191" s="69" t="s">
        <v>458</v>
      </c>
    </row>
    <row r="192" spans="4:5" x14ac:dyDescent="0.25">
      <c r="D192" s="38">
        <v>200</v>
      </c>
      <c r="E192" s="68" t="s">
        <v>459</v>
      </c>
    </row>
    <row r="193" spans="4:5" x14ac:dyDescent="0.25">
      <c r="D193" s="37">
        <v>386</v>
      </c>
      <c r="E193" s="69" t="s">
        <v>460</v>
      </c>
    </row>
    <row r="194" spans="4:5" x14ac:dyDescent="0.25">
      <c r="D194" s="38">
        <v>168</v>
      </c>
      <c r="E194" s="68" t="s">
        <v>461</v>
      </c>
    </row>
    <row r="195" spans="4:5" x14ac:dyDescent="0.25">
      <c r="D195" s="37">
        <v>502</v>
      </c>
      <c r="E195" s="69" t="s">
        <v>462</v>
      </c>
    </row>
    <row r="196" spans="4:5" x14ac:dyDescent="0.25">
      <c r="D196" s="38">
        <v>95</v>
      </c>
      <c r="E196" s="68" t="s">
        <v>463</v>
      </c>
    </row>
    <row r="197" spans="4:5" x14ac:dyDescent="0.25">
      <c r="D197" s="37">
        <v>179</v>
      </c>
      <c r="E197" s="69" t="s">
        <v>464</v>
      </c>
    </row>
    <row r="198" spans="4:5" x14ac:dyDescent="0.25">
      <c r="D198" s="38">
        <v>113</v>
      </c>
      <c r="E198" s="68" t="s">
        <v>465</v>
      </c>
    </row>
    <row r="199" spans="4:5" x14ac:dyDescent="0.25">
      <c r="D199" s="37">
        <v>239</v>
      </c>
      <c r="E199" s="69" t="s">
        <v>466</v>
      </c>
    </row>
  </sheetData>
  <conditionalFormatting sqref="D1:D8">
    <cfRule type="duplicateValues" dxfId="0" priority="411"/>
  </conditionalFormatting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E16"/>
  <sheetViews>
    <sheetView workbookViewId="0">
      <selection activeCell="E10" sqref="E10"/>
    </sheetView>
  </sheetViews>
  <sheetFormatPr baseColWidth="10" defaultColWidth="11.5703125" defaultRowHeight="14.25" x14ac:dyDescent="0.3"/>
  <cols>
    <col min="1" max="1" width="7.5703125" style="3" customWidth="1"/>
    <col min="2" max="2" width="9.42578125" style="3" customWidth="1"/>
    <col min="3" max="3" width="13.28515625" style="3" customWidth="1"/>
    <col min="4" max="16384" width="11.5703125" style="3"/>
  </cols>
  <sheetData>
    <row r="1" spans="1:5" x14ac:dyDescent="0.3">
      <c r="A1" s="27" t="s">
        <v>2</v>
      </c>
      <c r="B1" s="32" t="s">
        <v>10</v>
      </c>
      <c r="C1" s="33" t="s">
        <v>8</v>
      </c>
      <c r="D1" s="34" t="s">
        <v>21</v>
      </c>
      <c r="E1" s="34" t="s">
        <v>4</v>
      </c>
    </row>
    <row r="2" spans="1:5" x14ac:dyDescent="0.3">
      <c r="A2" s="28">
        <v>1</v>
      </c>
      <c r="B2" s="29" t="s">
        <v>59</v>
      </c>
      <c r="C2" s="31" t="s">
        <v>11</v>
      </c>
      <c r="D2" s="16" t="s">
        <v>480</v>
      </c>
      <c r="E2" s="16" t="s">
        <v>481</v>
      </c>
    </row>
    <row r="3" spans="1:5" x14ac:dyDescent="0.3">
      <c r="A3" s="28">
        <v>2</v>
      </c>
      <c r="B3" s="30" t="s">
        <v>75</v>
      </c>
      <c r="C3" s="31" t="s">
        <v>11</v>
      </c>
      <c r="D3" s="16" t="s">
        <v>467</v>
      </c>
      <c r="E3" s="16" t="s">
        <v>468</v>
      </c>
    </row>
    <row r="4" spans="1:5" x14ac:dyDescent="0.3">
      <c r="A4" s="28">
        <v>3</v>
      </c>
      <c r="B4" s="30" t="s">
        <v>52</v>
      </c>
      <c r="C4" s="31" t="s">
        <v>11</v>
      </c>
      <c r="D4" s="16" t="s">
        <v>469</v>
      </c>
      <c r="E4" s="16" t="s">
        <v>470</v>
      </c>
    </row>
    <row r="5" spans="1:5" x14ac:dyDescent="0.3">
      <c r="A5" s="28">
        <v>4</v>
      </c>
      <c r="B5" s="30" t="s">
        <v>53</v>
      </c>
      <c r="C5" s="31" t="s">
        <v>11</v>
      </c>
      <c r="D5" s="16" t="s">
        <v>471</v>
      </c>
      <c r="E5" s="16" t="s">
        <v>489</v>
      </c>
    </row>
    <row r="6" spans="1:5" x14ac:dyDescent="0.3">
      <c r="A6" s="28">
        <v>5</v>
      </c>
      <c r="B6" s="30" t="s">
        <v>57</v>
      </c>
      <c r="C6" s="31" t="s">
        <v>11</v>
      </c>
      <c r="D6" s="16" t="s">
        <v>472</v>
      </c>
      <c r="E6" s="16" t="s">
        <v>519</v>
      </c>
    </row>
    <row r="7" spans="1:5" hidden="1" x14ac:dyDescent="0.3">
      <c r="A7" s="28">
        <v>6</v>
      </c>
      <c r="B7" s="30" t="s">
        <v>49</v>
      </c>
      <c r="C7" s="31" t="s">
        <v>36</v>
      </c>
      <c r="D7" s="16" t="s">
        <v>36</v>
      </c>
      <c r="E7" s="16" t="s">
        <v>81</v>
      </c>
    </row>
    <row r="8" spans="1:5" x14ac:dyDescent="0.3">
      <c r="A8" s="28">
        <v>7</v>
      </c>
      <c r="B8" s="30" t="s">
        <v>58</v>
      </c>
      <c r="C8" s="31" t="s">
        <v>11</v>
      </c>
      <c r="D8" s="16" t="s">
        <v>473</v>
      </c>
      <c r="E8" s="16" t="s">
        <v>492</v>
      </c>
    </row>
    <row r="9" spans="1:5" x14ac:dyDescent="0.3">
      <c r="A9" s="28">
        <v>8</v>
      </c>
      <c r="B9" s="30" t="s">
        <v>50</v>
      </c>
      <c r="C9" s="31" t="s">
        <v>11</v>
      </c>
      <c r="D9" s="16" t="s">
        <v>474</v>
      </c>
      <c r="E9" s="16" t="s">
        <v>475</v>
      </c>
    </row>
    <row r="10" spans="1:5" x14ac:dyDescent="0.3">
      <c r="A10" s="28">
        <v>9</v>
      </c>
      <c r="B10" s="30" t="s">
        <v>72</v>
      </c>
      <c r="C10" s="31" t="s">
        <v>11</v>
      </c>
      <c r="D10" s="16" t="s">
        <v>476</v>
      </c>
      <c r="E10" s="16" t="s">
        <v>477</v>
      </c>
    </row>
    <row r="11" spans="1:5" hidden="1" x14ac:dyDescent="0.3">
      <c r="A11" s="28">
        <v>10</v>
      </c>
      <c r="B11" s="30" t="s">
        <v>61</v>
      </c>
      <c r="C11" s="31"/>
      <c r="D11" s="16"/>
      <c r="E11" s="16" t="s">
        <v>60</v>
      </c>
    </row>
    <row r="12" spans="1:5" hidden="1" x14ac:dyDescent="0.3">
      <c r="A12" s="28">
        <v>11</v>
      </c>
      <c r="B12" s="29" t="s">
        <v>76</v>
      </c>
      <c r="C12" s="31" t="s">
        <v>48</v>
      </c>
      <c r="D12" s="16" t="s">
        <v>79</v>
      </c>
      <c r="E12" s="16" t="s">
        <v>63</v>
      </c>
    </row>
    <row r="13" spans="1:5" hidden="1" x14ac:dyDescent="0.3">
      <c r="A13" s="28">
        <v>12</v>
      </c>
      <c r="B13" s="30" t="s">
        <v>51</v>
      </c>
      <c r="C13" s="31" t="s">
        <v>14</v>
      </c>
      <c r="D13" s="16" t="s">
        <v>56</v>
      </c>
      <c r="E13" s="16" t="s">
        <v>73</v>
      </c>
    </row>
    <row r="14" spans="1:5" ht="13.5" hidden="1" customHeight="1" x14ac:dyDescent="0.3">
      <c r="A14" s="28">
        <v>13</v>
      </c>
      <c r="B14" s="30" t="s">
        <v>54</v>
      </c>
      <c r="C14" s="31" t="s">
        <v>48</v>
      </c>
      <c r="D14" s="16" t="s">
        <v>62</v>
      </c>
      <c r="E14" s="16" t="s">
        <v>63</v>
      </c>
    </row>
    <row r="15" spans="1:5" hidden="1" x14ac:dyDescent="0.3">
      <c r="A15" s="36">
        <v>14</v>
      </c>
      <c r="B15" s="30" t="s">
        <v>78</v>
      </c>
      <c r="C15" s="31" t="s">
        <v>48</v>
      </c>
      <c r="D15" s="16" t="s">
        <v>80</v>
      </c>
      <c r="E15" s="16"/>
    </row>
    <row r="16" spans="1:5" x14ac:dyDescent="0.3">
      <c r="A16" s="28">
        <v>15</v>
      </c>
      <c r="B16" s="30" t="s">
        <v>77</v>
      </c>
      <c r="C16" s="31" t="s">
        <v>11</v>
      </c>
      <c r="D16" s="16" t="s">
        <v>478</v>
      </c>
      <c r="E16" s="16" t="s">
        <v>479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1"/>
  <sheetViews>
    <sheetView showGridLines="0" workbookViewId="0">
      <selection activeCell="G12" sqref="A1:G12"/>
    </sheetView>
  </sheetViews>
  <sheetFormatPr baseColWidth="10" defaultRowHeight="15" x14ac:dyDescent="0.25"/>
  <cols>
    <col min="2" max="2" width="6.7109375" customWidth="1"/>
    <col min="6" max="6" width="11.5703125" style="70"/>
  </cols>
  <sheetData>
    <row r="1" spans="1:7" x14ac:dyDescent="0.25">
      <c r="A1" s="80" t="s">
        <v>8</v>
      </c>
      <c r="B1" s="80" t="s">
        <v>2</v>
      </c>
      <c r="C1" s="80" t="s">
        <v>23</v>
      </c>
      <c r="D1" s="80" t="s">
        <v>7</v>
      </c>
      <c r="E1" s="80" t="s">
        <v>16</v>
      </c>
      <c r="F1" s="81" t="s">
        <v>74</v>
      </c>
    </row>
    <row r="2" spans="1:7" ht="15.75" x14ac:dyDescent="0.3">
      <c r="A2" s="31" t="s">
        <v>11</v>
      </c>
      <c r="B2" s="71">
        <v>1</v>
      </c>
      <c r="C2" s="71">
        <f>COUNTIFS(Tabla1[RUTA],STATUS!B2)</f>
        <v>13</v>
      </c>
      <c r="D2" s="71">
        <f>C2-E2</f>
        <v>13</v>
      </c>
      <c r="E2" s="71">
        <f>COUNTIFS(Seguimiento!D:D,STATUS!B2,Seguimiento!K:K,"EN RUTA")</f>
        <v>0</v>
      </c>
      <c r="F2" s="72">
        <f>D2/C2</f>
        <v>1</v>
      </c>
    </row>
    <row r="3" spans="1:7" ht="15.75" x14ac:dyDescent="0.3">
      <c r="A3" s="31" t="s">
        <v>11</v>
      </c>
      <c r="B3" s="71">
        <v>2</v>
      </c>
      <c r="C3" s="71">
        <f>COUNTIFS(Tabla1[RUTA],STATUS!B3)</f>
        <v>12</v>
      </c>
      <c r="D3" s="71">
        <f t="shared" ref="D3:D10" si="0">C3-E3</f>
        <v>12</v>
      </c>
      <c r="E3" s="71">
        <f>COUNTIFS(Seguimiento!D:D,STATUS!B3,Seguimiento!K:K,"EN RUTA")</f>
        <v>0</v>
      </c>
      <c r="F3" s="72">
        <f t="shared" ref="F3:F11" si="1">D3/C3</f>
        <v>1</v>
      </c>
    </row>
    <row r="4" spans="1:7" ht="15.75" x14ac:dyDescent="0.3">
      <c r="A4" s="31" t="s">
        <v>11</v>
      </c>
      <c r="B4" s="71">
        <v>3</v>
      </c>
      <c r="C4" s="71">
        <f>COUNTIFS(Tabla1[RUTA],STATUS!B4)</f>
        <v>14</v>
      </c>
      <c r="D4" s="71">
        <f t="shared" si="0"/>
        <v>14</v>
      </c>
      <c r="E4" s="71">
        <f>COUNTIFS(Seguimiento!D:D,STATUS!B4,Seguimiento!K:K,"EN RUTA")</f>
        <v>0</v>
      </c>
      <c r="F4" s="72">
        <f t="shared" si="1"/>
        <v>1</v>
      </c>
    </row>
    <row r="5" spans="1:7" ht="15.75" x14ac:dyDescent="0.3">
      <c r="A5" s="31" t="s">
        <v>11</v>
      </c>
      <c r="B5" s="71">
        <v>4</v>
      </c>
      <c r="C5" s="71">
        <f>COUNTIFS(Tabla1[RUTA],STATUS!B5)</f>
        <v>17</v>
      </c>
      <c r="D5" s="71">
        <f t="shared" si="0"/>
        <v>17</v>
      </c>
      <c r="E5" s="71">
        <f>COUNTIFS(Seguimiento!D:D,STATUS!B5,Seguimiento!K:K,"EN RUTA")</f>
        <v>0</v>
      </c>
      <c r="F5" s="72">
        <f t="shared" si="1"/>
        <v>1</v>
      </c>
    </row>
    <row r="6" spans="1:7" ht="15.75" x14ac:dyDescent="0.3">
      <c r="A6" s="31" t="s">
        <v>11</v>
      </c>
      <c r="B6" s="71">
        <v>5</v>
      </c>
      <c r="C6" s="71">
        <f>COUNTIFS(Tabla1[RUTA],STATUS!B6)</f>
        <v>15</v>
      </c>
      <c r="D6" s="71">
        <f t="shared" si="0"/>
        <v>15</v>
      </c>
      <c r="E6" s="71">
        <f>COUNTIFS(Seguimiento!D:D,STATUS!B6,Seguimiento!K:K,"EN RUTA")</f>
        <v>0</v>
      </c>
      <c r="F6" s="72">
        <f t="shared" si="1"/>
        <v>1</v>
      </c>
    </row>
    <row r="7" spans="1:7" ht="15.75" x14ac:dyDescent="0.3">
      <c r="A7" s="31" t="s">
        <v>11</v>
      </c>
      <c r="B7" s="71">
        <v>7</v>
      </c>
      <c r="C7" s="71">
        <f>COUNTIFS(Tabla1[RUTA],STATUS!B7)</f>
        <v>18</v>
      </c>
      <c r="D7" s="71">
        <f t="shared" si="0"/>
        <v>18</v>
      </c>
      <c r="E7" s="71">
        <f>COUNTIFS(Seguimiento!D:D,STATUS!B7,Seguimiento!K:K,"EN RUTA")</f>
        <v>0</v>
      </c>
      <c r="F7" s="72">
        <f t="shared" si="1"/>
        <v>1</v>
      </c>
    </row>
    <row r="8" spans="1:7" ht="15.75" x14ac:dyDescent="0.3">
      <c r="A8" s="31" t="s">
        <v>11</v>
      </c>
      <c r="B8" s="71">
        <v>8</v>
      </c>
      <c r="C8" s="71">
        <f>COUNTIFS(Tabla1[RUTA],STATUS!B8)</f>
        <v>16</v>
      </c>
      <c r="D8" s="71">
        <f t="shared" si="0"/>
        <v>16</v>
      </c>
      <c r="E8" s="71">
        <f>COUNTIFS(Seguimiento!D:D,STATUS!B8,Seguimiento!K:K,"EN RUTA")</f>
        <v>0</v>
      </c>
      <c r="F8" s="72">
        <f t="shared" si="1"/>
        <v>1</v>
      </c>
    </row>
    <row r="9" spans="1:7" ht="15.75" x14ac:dyDescent="0.3">
      <c r="A9" s="31" t="s">
        <v>11</v>
      </c>
      <c r="B9" s="71">
        <v>9</v>
      </c>
      <c r="C9" s="71">
        <f>COUNTIFS(Tabla1[RUTA],STATUS!B9)</f>
        <v>15</v>
      </c>
      <c r="D9" s="71">
        <f t="shared" si="0"/>
        <v>15</v>
      </c>
      <c r="E9" s="71">
        <f>COUNTIFS(Seguimiento!D:D,STATUS!B9,Seguimiento!K:K,"EN RUTA")</f>
        <v>0</v>
      </c>
      <c r="F9" s="72">
        <f t="shared" si="1"/>
        <v>1</v>
      </c>
    </row>
    <row r="10" spans="1:7" ht="15.75" x14ac:dyDescent="0.3">
      <c r="A10" s="31" t="s">
        <v>11</v>
      </c>
      <c r="B10" s="71">
        <v>15</v>
      </c>
      <c r="C10" s="71">
        <f>COUNTIFS(Tabla1[RUTA],STATUS!B10)</f>
        <v>6</v>
      </c>
      <c r="D10" s="71">
        <f t="shared" si="0"/>
        <v>3</v>
      </c>
      <c r="E10" s="71">
        <f>COUNTIFS(Seguimiento!D:D,STATUS!B10,Seguimiento!K:K,"EN RUTA")</f>
        <v>3</v>
      </c>
      <c r="F10" s="72">
        <f t="shared" si="1"/>
        <v>0.5</v>
      </c>
      <c r="G10" s="82" t="s">
        <v>518</v>
      </c>
    </row>
    <row r="11" spans="1:7" x14ac:dyDescent="0.25">
      <c r="A11" s="83" t="s">
        <v>18</v>
      </c>
      <c r="B11" s="84"/>
      <c r="C11" s="79">
        <f>SUBTOTAL(9,C2:C10)</f>
        <v>126</v>
      </c>
      <c r="D11" s="79">
        <f>SUBTOTAL(9,D2:D10)</f>
        <v>123</v>
      </c>
      <c r="E11" s="79">
        <f>SUM(E2:E10)</f>
        <v>3</v>
      </c>
      <c r="F11" s="72">
        <f t="shared" si="1"/>
        <v>0.97619047619047616</v>
      </c>
    </row>
  </sheetData>
  <mergeCells count="1">
    <mergeCell ref="A11:B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Seguimiento</vt:lpstr>
      <vt:lpstr>Hoja3</vt:lpstr>
      <vt:lpstr>kpi</vt:lpstr>
      <vt:lpstr>Hoja2</vt:lpstr>
      <vt:lpstr>Hoja1</vt:lpstr>
      <vt:lpstr>Tablas</vt:lpstr>
      <vt:lpstr>Placas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David Chavez Contreras</dc:creator>
  <cp:lastModifiedBy>Stalin</cp:lastModifiedBy>
  <cp:lastPrinted>2023-02-21T18:04:28Z</cp:lastPrinted>
  <dcterms:created xsi:type="dcterms:W3CDTF">2023-01-21T11:57:47Z</dcterms:created>
  <dcterms:modified xsi:type="dcterms:W3CDTF">2023-08-23T01:07:01Z</dcterms:modified>
</cp:coreProperties>
</file>